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resultsorg-my.sharepoint.com/personal/akrupar_results_org/Documents/RTEI/Data Analysis/"/>
    </mc:Choice>
  </mc:AlternateContent>
  <bookViews>
    <workbookView xWindow="0" yWindow="0" windowWidth="20190" windowHeight="4905" activeTab="4"/>
  </bookViews>
  <sheets>
    <sheet name="LOGGDP" sheetId="1" r:id="rId1"/>
    <sheet name="CompressionFactor" sheetId="3" r:id="rId2"/>
    <sheet name="State Capacity adjustments" sheetId="4" r:id="rId3"/>
    <sheet name="Data availability weights" sheetId="5" r:id="rId4"/>
    <sheet name="Codebook" sheetId="2" r:id="rId5"/>
  </sheets>
  <externalReferences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J5" i="1" l="1"/>
  <c r="EO6" i="1"/>
  <c r="EO5" i="1"/>
  <c r="EO4" i="1"/>
  <c r="EO2" i="1"/>
  <c r="EG4" i="1"/>
  <c r="EG6" i="1"/>
  <c r="EG5" i="1"/>
  <c r="EG2" i="1"/>
  <c r="BF5" i="1" l="1"/>
  <c r="BF4" i="1"/>
  <c r="BF2" i="1"/>
  <c r="BF8" i="1"/>
  <c r="BF9" i="1"/>
  <c r="BF10" i="1"/>
  <c r="CM13" i="1" l="1"/>
  <c r="CL13" i="1"/>
  <c r="DF2" i="1" l="1"/>
  <c r="DF6" i="1"/>
  <c r="DF5" i="1"/>
  <c r="DF4" i="1"/>
  <c r="DF3" i="1"/>
  <c r="DH2" i="1"/>
  <c r="DH3" i="1"/>
  <c r="DH4" i="1"/>
  <c r="DH10" i="1"/>
  <c r="DH9" i="1"/>
  <c r="DW3" i="1" l="1"/>
  <c r="DW5" i="1"/>
  <c r="DY3" i="1"/>
  <c r="DY5" i="1"/>
  <c r="DF9" i="1"/>
  <c r="PV4" i="1" l="1"/>
  <c r="PL2" i="1"/>
  <c r="NH5" i="1"/>
  <c r="NH6" i="1"/>
  <c r="NH2" i="1"/>
  <c r="MD3" i="1"/>
  <c r="MB3" i="1"/>
  <c r="MB5" i="1"/>
  <c r="MB6" i="1"/>
  <c r="MB2" i="1"/>
  <c r="LG6" i="1"/>
  <c r="LG2" i="1"/>
  <c r="KI3" i="1"/>
  <c r="KI5" i="1"/>
  <c r="KI6" i="1"/>
  <c r="KI2" i="1"/>
  <c r="JN3" i="1"/>
  <c r="JN5" i="1"/>
  <c r="JN6" i="1"/>
  <c r="JN2" i="1"/>
  <c r="HD3" i="1"/>
  <c r="HD5" i="1"/>
  <c r="HD6" i="1"/>
  <c r="HD2" i="1"/>
  <c r="GE3" i="1"/>
  <c r="GE5" i="1"/>
  <c r="GE6" i="1"/>
  <c r="GE2" i="1"/>
  <c r="PV6" i="1" l="1"/>
  <c r="PV2" i="1"/>
  <c r="PV3" i="1"/>
  <c r="PV5" i="1"/>
  <c r="EM10" i="1"/>
  <c r="EM9" i="1"/>
  <c r="EM8" i="1"/>
  <c r="EH8" i="1"/>
  <c r="DP8" i="1" l="1"/>
  <c r="DS8" i="1" s="1"/>
  <c r="CP9" i="1"/>
  <c r="CP10" i="1"/>
  <c r="CO10" i="1"/>
  <c r="CO9" i="1"/>
  <c r="CL10" i="1"/>
  <c r="XB8" i="1"/>
  <c r="WV10" i="1"/>
  <c r="WW10" i="1" s="1"/>
  <c r="WV9" i="1"/>
  <c r="WW9" i="1" s="1"/>
  <c r="WV8" i="1"/>
  <c r="WW8" i="1" s="1"/>
  <c r="EN10" i="1"/>
  <c r="EN9" i="1"/>
  <c r="EN8" i="1"/>
  <c r="D14" i="5" l="1"/>
  <c r="I12" i="5"/>
  <c r="H12" i="5"/>
  <c r="G12" i="5"/>
  <c r="F12" i="5"/>
  <c r="E12" i="5"/>
  <c r="D12" i="5"/>
  <c r="C12" i="5"/>
  <c r="B12" i="5"/>
  <c r="I11" i="5"/>
  <c r="H11" i="5"/>
  <c r="G11" i="5"/>
  <c r="F11" i="5"/>
  <c r="E11" i="5"/>
  <c r="D11" i="5"/>
  <c r="C11" i="5"/>
  <c r="B11" i="5"/>
  <c r="I10" i="5"/>
  <c r="H10" i="5"/>
  <c r="H14" i="5" s="1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I8" i="5"/>
  <c r="I14" i="5" s="1"/>
  <c r="H8" i="5"/>
  <c r="G8" i="5"/>
  <c r="F8" i="5"/>
  <c r="E8" i="5"/>
  <c r="E14" i="5" s="1"/>
  <c r="D8" i="5"/>
  <c r="C8" i="5"/>
  <c r="B8" i="5"/>
  <c r="J7" i="5"/>
  <c r="I7" i="5"/>
  <c r="H7" i="5"/>
  <c r="G7" i="5"/>
  <c r="F7" i="5"/>
  <c r="E7" i="5"/>
  <c r="D7" i="5"/>
  <c r="C7" i="5"/>
  <c r="B7" i="5"/>
  <c r="I6" i="5"/>
  <c r="H6" i="5"/>
  <c r="G6" i="5"/>
  <c r="F6" i="5"/>
  <c r="E6" i="5"/>
  <c r="D6" i="5"/>
  <c r="C6" i="5"/>
  <c r="B6" i="5"/>
  <c r="J5" i="5"/>
  <c r="I5" i="5"/>
  <c r="H5" i="5"/>
  <c r="G5" i="5"/>
  <c r="G13" i="5" s="1"/>
  <c r="F5" i="5"/>
  <c r="F13" i="5" s="1"/>
  <c r="E5" i="5"/>
  <c r="D5" i="5"/>
  <c r="C5" i="5"/>
  <c r="C13" i="5" s="1"/>
  <c r="B5" i="5"/>
  <c r="B13" i="5" s="1"/>
  <c r="I4" i="5"/>
  <c r="H4" i="5"/>
  <c r="G4" i="5"/>
  <c r="G14" i="5" s="1"/>
  <c r="F4" i="5"/>
  <c r="F14" i="5" s="1"/>
  <c r="E4" i="5"/>
  <c r="D4" i="5"/>
  <c r="C4" i="5"/>
  <c r="C14" i="5" s="1"/>
  <c r="B4" i="5"/>
  <c r="B14" i="5" s="1"/>
  <c r="J3" i="5"/>
  <c r="I3" i="5"/>
  <c r="I13" i="5" s="1"/>
  <c r="H3" i="5"/>
  <c r="H13" i="5" s="1"/>
  <c r="G3" i="5"/>
  <c r="F3" i="5"/>
  <c r="E3" i="5"/>
  <c r="E13" i="5" s="1"/>
  <c r="D3" i="5"/>
  <c r="D13" i="5" s="1"/>
  <c r="C3" i="5"/>
  <c r="B3" i="5"/>
  <c r="D17" i="4"/>
  <c r="D16" i="4"/>
  <c r="D15" i="4"/>
  <c r="D14" i="4"/>
  <c r="D13" i="4"/>
  <c r="D12" i="4"/>
  <c r="D11" i="4"/>
  <c r="J10" i="4"/>
  <c r="D10" i="4"/>
  <c r="J9" i="4"/>
  <c r="D9" i="4"/>
  <c r="J8" i="4"/>
  <c r="D8" i="4"/>
  <c r="J7" i="4"/>
  <c r="D7" i="4"/>
  <c r="J6" i="4"/>
  <c r="D6" i="4"/>
  <c r="J5" i="4"/>
  <c r="D5" i="4"/>
  <c r="J4" i="4"/>
  <c r="D4" i="4"/>
  <c r="J3" i="4"/>
  <c r="D3" i="4"/>
  <c r="J2" i="4"/>
  <c r="D2" i="4"/>
  <c r="LJ2" i="3"/>
  <c r="TJ10" i="3"/>
  <c r="TJ9" i="3"/>
  <c r="TJ8" i="3"/>
  <c r="TJ6" i="3"/>
  <c r="TJ5" i="3"/>
  <c r="TJ4" i="3"/>
  <c r="TJ3" i="3"/>
  <c r="TJ2" i="3"/>
  <c r="TH10" i="3"/>
  <c r="TH9" i="3"/>
  <c r="TH8" i="3"/>
  <c r="TH6" i="3"/>
  <c r="TH5" i="3"/>
  <c r="TH4" i="3"/>
  <c r="TH3" i="3"/>
  <c r="TH2" i="3"/>
  <c r="TE10" i="3"/>
  <c r="TE9" i="3"/>
  <c r="TE8" i="3"/>
  <c r="TE6" i="3"/>
  <c r="TE5" i="3"/>
  <c r="TE4" i="3"/>
  <c r="TE3" i="3"/>
  <c r="TE2" i="3"/>
  <c r="TC10" i="3"/>
  <c r="TC9" i="3"/>
  <c r="TC8" i="3"/>
  <c r="TC6" i="3"/>
  <c r="TC5" i="3"/>
  <c r="TC4" i="3"/>
  <c r="TC3" i="3"/>
  <c r="TL3" i="3" s="1"/>
  <c r="UV3" i="3" s="1"/>
  <c r="TC2" i="3"/>
  <c r="TA10" i="3"/>
  <c r="TL10" i="3" s="1"/>
  <c r="UV10" i="3" s="1"/>
  <c r="TA9" i="3"/>
  <c r="TA8" i="3"/>
  <c r="TA6" i="3"/>
  <c r="TA5" i="3"/>
  <c r="TA4" i="3"/>
  <c r="TA3" i="3"/>
  <c r="TA2" i="3"/>
  <c r="SY10" i="3"/>
  <c r="SY9" i="3"/>
  <c r="SY8" i="3"/>
  <c r="TL8" i="3" s="1"/>
  <c r="UV8" i="3" s="1"/>
  <c r="SY6" i="3"/>
  <c r="SY5" i="3"/>
  <c r="SY4" i="3"/>
  <c r="SY3" i="3"/>
  <c r="SY2" i="3"/>
  <c r="TL2" i="3" s="1"/>
  <c r="UV2" i="3" s="1"/>
  <c r="SN10" i="3"/>
  <c r="SN9" i="3"/>
  <c r="SP9" i="3" s="1"/>
  <c r="US9" i="3" s="1"/>
  <c r="SN8" i="3"/>
  <c r="SN5" i="3"/>
  <c r="SN2" i="3"/>
  <c r="SD8" i="3"/>
  <c r="SD4" i="3"/>
  <c r="SH4" i="3" s="1"/>
  <c r="UQ4" i="3" s="1"/>
  <c r="SD2" i="3"/>
  <c r="SH2" i="3" s="1"/>
  <c r="UQ2" i="3" s="1"/>
  <c r="RA10" i="3"/>
  <c r="QY8" i="3"/>
  <c r="QW8" i="3"/>
  <c r="QU8" i="3"/>
  <c r="QS8" i="3"/>
  <c r="QQ8" i="3"/>
  <c r="QO10" i="3"/>
  <c r="QO8" i="3"/>
  <c r="QM10" i="3"/>
  <c r="QM8" i="3"/>
  <c r="QK10" i="3"/>
  <c r="QK9" i="3"/>
  <c r="QK8" i="3"/>
  <c r="QI10" i="3"/>
  <c r="QI9" i="3"/>
  <c r="QI8" i="3"/>
  <c r="QG10" i="3"/>
  <c r="QG9" i="3"/>
  <c r="QG8" i="3"/>
  <c r="QG4" i="3"/>
  <c r="QE10" i="3"/>
  <c r="QC8" i="3"/>
  <c r="QA8" i="3"/>
  <c r="PY8" i="3"/>
  <c r="PW8" i="3"/>
  <c r="PU8" i="3"/>
  <c r="PS10" i="3"/>
  <c r="PS8" i="3"/>
  <c r="PQ10" i="3"/>
  <c r="PQ8" i="3"/>
  <c r="PO10" i="3"/>
  <c r="PO8" i="3"/>
  <c r="PM10" i="3"/>
  <c r="PM8" i="3"/>
  <c r="PK10" i="3"/>
  <c r="PK9" i="3"/>
  <c r="PK8" i="3"/>
  <c r="PK4" i="3"/>
  <c r="PA6" i="3"/>
  <c r="PA5" i="3"/>
  <c r="PA4" i="3"/>
  <c r="OY6" i="3"/>
  <c r="OY5" i="3"/>
  <c r="OY4" i="3"/>
  <c r="OW6" i="3"/>
  <c r="OW5" i="3"/>
  <c r="OW4" i="3"/>
  <c r="OW3" i="3"/>
  <c r="MW10" i="3"/>
  <c r="MW9" i="3"/>
  <c r="MY9" i="3" s="1"/>
  <c r="UL9" i="3" s="1"/>
  <c r="MW8" i="3"/>
  <c r="MY8" i="3" s="1"/>
  <c r="UL8" i="3" s="1"/>
  <c r="MW6" i="3"/>
  <c r="MY6" i="3" s="1"/>
  <c r="UL6" i="3" s="1"/>
  <c r="MW5" i="3"/>
  <c r="MW4" i="3"/>
  <c r="MW3" i="3"/>
  <c r="MY3" i="3" s="1"/>
  <c r="UL3" i="3" s="1"/>
  <c r="MW2" i="3"/>
  <c r="MY2" i="3" s="1"/>
  <c r="UL2" i="3" s="1"/>
  <c r="VH2" i="3" s="1"/>
  <c r="VI2" i="3" s="1"/>
  <c r="LX8" i="3"/>
  <c r="LU8" i="3"/>
  <c r="LR8" i="3"/>
  <c r="LP8" i="3"/>
  <c r="LN8" i="3"/>
  <c r="LL8" i="3"/>
  <c r="LL2" i="3"/>
  <c r="LJ8" i="3"/>
  <c r="LH9" i="3"/>
  <c r="LH8" i="3"/>
  <c r="LH4" i="3"/>
  <c r="LH2" i="3"/>
  <c r="LF8" i="3"/>
  <c r="KY8" i="3"/>
  <c r="KW8" i="3"/>
  <c r="KU8" i="3"/>
  <c r="KS8" i="3"/>
  <c r="KQ9" i="3"/>
  <c r="KQ8" i="3"/>
  <c r="KQ4" i="3"/>
  <c r="KO10" i="3"/>
  <c r="KM8" i="3"/>
  <c r="KK8" i="3"/>
  <c r="KI8" i="3"/>
  <c r="KG8" i="3"/>
  <c r="KE8" i="3"/>
  <c r="KC8" i="3"/>
  <c r="KA8" i="3"/>
  <c r="JY10" i="3"/>
  <c r="JY9" i="3"/>
  <c r="JY8" i="3"/>
  <c r="JY6" i="3"/>
  <c r="JY5" i="3"/>
  <c r="JY2" i="3"/>
  <c r="JW10" i="3"/>
  <c r="JW9" i="3"/>
  <c r="JW8" i="3"/>
  <c r="JW6" i="3"/>
  <c r="JW5" i="3"/>
  <c r="JW2" i="3"/>
  <c r="JU10" i="3"/>
  <c r="JU9" i="3"/>
  <c r="JU8" i="3"/>
  <c r="JU6" i="3"/>
  <c r="JU5" i="3"/>
  <c r="JU4" i="3"/>
  <c r="JU2" i="3"/>
  <c r="IV4" i="3"/>
  <c r="IZ10" i="3"/>
  <c r="IZ8" i="3"/>
  <c r="IZ6" i="3"/>
  <c r="IZ5" i="3"/>
  <c r="IZ2" i="3"/>
  <c r="IX10" i="3"/>
  <c r="IX8" i="3"/>
  <c r="IX6" i="3"/>
  <c r="IX5" i="3"/>
  <c r="IX2" i="3"/>
  <c r="IV10" i="3"/>
  <c r="IV9" i="3"/>
  <c r="IV8" i="3"/>
  <c r="IV6" i="3"/>
  <c r="IV5" i="3"/>
  <c r="IV2" i="3"/>
  <c r="IH8" i="3"/>
  <c r="IF8" i="3"/>
  <c r="ID8" i="3"/>
  <c r="IB8" i="3"/>
  <c r="HZ8" i="3"/>
  <c r="HX8" i="3"/>
  <c r="HV8" i="3"/>
  <c r="HT10" i="3"/>
  <c r="HT8" i="3"/>
  <c r="HT6" i="3"/>
  <c r="HT5" i="3"/>
  <c r="HT3" i="3"/>
  <c r="HT2" i="3"/>
  <c r="HR10" i="3"/>
  <c r="HR8" i="3"/>
  <c r="HR6" i="3"/>
  <c r="HR5" i="3"/>
  <c r="HR3" i="3"/>
  <c r="HR2" i="3"/>
  <c r="HP10" i="3"/>
  <c r="HP9" i="3"/>
  <c r="HP8" i="3"/>
  <c r="HP6" i="3"/>
  <c r="HP5" i="3"/>
  <c r="HP4" i="3"/>
  <c r="HP3" i="3"/>
  <c r="HP2" i="3"/>
  <c r="HM8" i="3"/>
  <c r="HK8" i="3"/>
  <c r="HI8" i="3"/>
  <c r="HG8" i="3"/>
  <c r="HE8" i="3"/>
  <c r="HC8" i="3"/>
  <c r="HA8" i="3"/>
  <c r="GY8" i="3"/>
  <c r="GW8" i="3"/>
  <c r="GU8" i="3"/>
  <c r="GU4" i="3"/>
  <c r="GJ10" i="3"/>
  <c r="GJ9" i="3"/>
  <c r="GJ8" i="3"/>
  <c r="GJ6" i="3"/>
  <c r="GJ5" i="3"/>
  <c r="GJ3" i="3"/>
  <c r="GJ2" i="3"/>
  <c r="GH10" i="3"/>
  <c r="GH9" i="3"/>
  <c r="GH8" i="3"/>
  <c r="GH6" i="3"/>
  <c r="GH5" i="3"/>
  <c r="GH3" i="3"/>
  <c r="GH2" i="3"/>
  <c r="GF10" i="3"/>
  <c r="GF9" i="3"/>
  <c r="GF8" i="3"/>
  <c r="GF6" i="3"/>
  <c r="GF5" i="3"/>
  <c r="GF4" i="3"/>
  <c r="GF3" i="3"/>
  <c r="GF2" i="3"/>
  <c r="ET10" i="3"/>
  <c r="ET9" i="3"/>
  <c r="EV9" i="3" s="1"/>
  <c r="UF9" i="3" s="1"/>
  <c r="ET8" i="3"/>
  <c r="ET6" i="3"/>
  <c r="ET5" i="3"/>
  <c r="ET4" i="3"/>
  <c r="EV4" i="3" s="1"/>
  <c r="UF4" i="3" s="1"/>
  <c r="ET3" i="3"/>
  <c r="EV3" i="3" s="1"/>
  <c r="UF3" i="3" s="1"/>
  <c r="ET2" i="3"/>
  <c r="EO10" i="3"/>
  <c r="EO9" i="3"/>
  <c r="EO8" i="3"/>
  <c r="EO6" i="3"/>
  <c r="EV6" i="3" s="1"/>
  <c r="UF6" i="3" s="1"/>
  <c r="EO5" i="3"/>
  <c r="EO4" i="3"/>
  <c r="EO2" i="3"/>
  <c r="EG8" i="3"/>
  <c r="EI8" i="3" s="1"/>
  <c r="UD8" i="3" s="1"/>
  <c r="EG6" i="3"/>
  <c r="EG5" i="3"/>
  <c r="EG4" i="3"/>
  <c r="EG2" i="3"/>
  <c r="EC10" i="3"/>
  <c r="EC9" i="3"/>
  <c r="EC8" i="3"/>
  <c r="DV10" i="3"/>
  <c r="DV9" i="3"/>
  <c r="DV8" i="3"/>
  <c r="DV6" i="3"/>
  <c r="DV5" i="3"/>
  <c r="DV4" i="3"/>
  <c r="DV2" i="3"/>
  <c r="DT10" i="3"/>
  <c r="DT9" i="3"/>
  <c r="DT8" i="3"/>
  <c r="DT6" i="3"/>
  <c r="DT5" i="3"/>
  <c r="DT4" i="3"/>
  <c r="DT3" i="3"/>
  <c r="DT2" i="3"/>
  <c r="DQ8" i="3"/>
  <c r="DO10" i="3"/>
  <c r="DO9" i="3"/>
  <c r="DX9" i="3" s="1"/>
  <c r="UB9" i="3" s="1"/>
  <c r="DO8" i="3"/>
  <c r="DK10" i="3"/>
  <c r="DK9" i="3"/>
  <c r="DK8" i="3"/>
  <c r="DK6" i="3"/>
  <c r="DK5" i="3"/>
  <c r="DK3" i="3"/>
  <c r="DK2" i="3"/>
  <c r="DX2" i="3" s="1"/>
  <c r="UB2" i="3" s="1"/>
  <c r="DE10" i="3"/>
  <c r="DE8" i="3"/>
  <c r="DE6" i="3"/>
  <c r="DE5" i="3"/>
  <c r="DE4" i="3"/>
  <c r="DE3" i="3"/>
  <c r="DG9" i="3"/>
  <c r="TZ9" i="3" s="1"/>
  <c r="DB8" i="3"/>
  <c r="DB5" i="3"/>
  <c r="DB4" i="3"/>
  <c r="DB3" i="3"/>
  <c r="CM9" i="3"/>
  <c r="CW9" i="3"/>
  <c r="CW8" i="3"/>
  <c r="CU10" i="3"/>
  <c r="CU9" i="3"/>
  <c r="CU8" i="3"/>
  <c r="CN10" i="3"/>
  <c r="CN9" i="3"/>
  <c r="CN8" i="3"/>
  <c r="CN6" i="3"/>
  <c r="CN5" i="3"/>
  <c r="CN4" i="3"/>
  <c r="CN3" i="3"/>
  <c r="CN2" i="3"/>
  <c r="CK9" i="3"/>
  <c r="CK8" i="3"/>
  <c r="CI10" i="3"/>
  <c r="CI9" i="3"/>
  <c r="CI8" i="3"/>
  <c r="CB9" i="3"/>
  <c r="CB8" i="3"/>
  <c r="CB5" i="3"/>
  <c r="CB4" i="3"/>
  <c r="CB3" i="3"/>
  <c r="CB2" i="3"/>
  <c r="BZ10" i="3"/>
  <c r="BZ9" i="3"/>
  <c r="BZ8" i="3"/>
  <c r="BZ5" i="3"/>
  <c r="BZ4" i="3"/>
  <c r="BZ3" i="3"/>
  <c r="BX10" i="3"/>
  <c r="BX8" i="3"/>
  <c r="BX4" i="3"/>
  <c r="BV10" i="3"/>
  <c r="BV9" i="3"/>
  <c r="BV8" i="3"/>
  <c r="BV6" i="3"/>
  <c r="BV4" i="3"/>
  <c r="BV3" i="3"/>
  <c r="BT10" i="3"/>
  <c r="BT9" i="3"/>
  <c r="BT8" i="3"/>
  <c r="BT6" i="3"/>
  <c r="BT5" i="3"/>
  <c r="BT4" i="3"/>
  <c r="BT2" i="3"/>
  <c r="BR6" i="3"/>
  <c r="BR5" i="3"/>
  <c r="BR4" i="3"/>
  <c r="BP6" i="3"/>
  <c r="BP5" i="3"/>
  <c r="BP4" i="3"/>
  <c r="BN6" i="3"/>
  <c r="BN5" i="3"/>
  <c r="BN4" i="3"/>
  <c r="BJ6" i="3"/>
  <c r="BJ5" i="3"/>
  <c r="BJ4" i="3"/>
  <c r="BJ3" i="3"/>
  <c r="BH6" i="3"/>
  <c r="BH5" i="3"/>
  <c r="BH4" i="3"/>
  <c r="BH2" i="3"/>
  <c r="BF8" i="3"/>
  <c r="BF5" i="3"/>
  <c r="BF4" i="3"/>
  <c r="BF2" i="3"/>
  <c r="AV10" i="3"/>
  <c r="AV8" i="3"/>
  <c r="AV6" i="3"/>
  <c r="AV5" i="3"/>
  <c r="AV4" i="3"/>
  <c r="AV3" i="3"/>
  <c r="UU10" i="3"/>
  <c r="UQ10" i="3"/>
  <c r="UM10" i="3"/>
  <c r="UG10" i="3"/>
  <c r="TT10" i="3"/>
  <c r="TM10" i="3"/>
  <c r="SZ10" i="3"/>
  <c r="TK10" i="3" s="1"/>
  <c r="SW10" i="3"/>
  <c r="SV10" i="3"/>
  <c r="UT10" i="3" s="1"/>
  <c r="SP10" i="3"/>
  <c r="US10" i="3" s="1"/>
  <c r="SM10" i="3"/>
  <c r="SO10" i="3" s="1"/>
  <c r="UR10" i="3" s="1"/>
  <c r="SI10" i="3"/>
  <c r="SH10" i="3"/>
  <c r="SG10" i="3"/>
  <c r="UP10" i="3" s="1"/>
  <c r="VJ10" i="3" s="1"/>
  <c r="RO10" i="3"/>
  <c r="RN10" i="3"/>
  <c r="RM10" i="3"/>
  <c r="RB10" i="3"/>
  <c r="QZ10" i="3"/>
  <c r="QN10" i="3"/>
  <c r="QL10" i="3"/>
  <c r="QJ10" i="3"/>
  <c r="QH10" i="3"/>
  <c r="QF10" i="3"/>
  <c r="QD10" i="3"/>
  <c r="PR10" i="3"/>
  <c r="PP10" i="3"/>
  <c r="PN10" i="3"/>
  <c r="PL10" i="3"/>
  <c r="PJ10" i="3"/>
  <c r="OU10" i="3"/>
  <c r="OO10" i="3"/>
  <c r="ON10" i="3"/>
  <c r="OM10" i="3"/>
  <c r="OL10" i="3"/>
  <c r="OK10" i="3"/>
  <c r="OJ10" i="3"/>
  <c r="OD10" i="3"/>
  <c r="OC10" i="3"/>
  <c r="OB10" i="3"/>
  <c r="OA10" i="3"/>
  <c r="NZ10" i="3"/>
  <c r="NE10" i="3"/>
  <c r="MZ10" i="3"/>
  <c r="MY10" i="3"/>
  <c r="UL10" i="3" s="1"/>
  <c r="MX10" i="3"/>
  <c r="UK10" i="3" s="1"/>
  <c r="KN10" i="3"/>
  <c r="JX10" i="3"/>
  <c r="JV10" i="3"/>
  <c r="JT10" i="3"/>
  <c r="JK10" i="3"/>
  <c r="JJ10" i="3"/>
  <c r="JI10" i="3"/>
  <c r="IY10" i="3"/>
  <c r="IW10" i="3"/>
  <c r="IU10" i="3"/>
  <c r="IL10" i="3"/>
  <c r="LZ10" i="3" s="1"/>
  <c r="UI10" i="3" s="1"/>
  <c r="IK10" i="3"/>
  <c r="IJ10" i="3"/>
  <c r="HS10" i="3"/>
  <c r="HQ10" i="3"/>
  <c r="HO10" i="3"/>
  <c r="GI10" i="3"/>
  <c r="GG10" i="3"/>
  <c r="GE10" i="3"/>
  <c r="FV10" i="3"/>
  <c r="FU10" i="3"/>
  <c r="FT10" i="3"/>
  <c r="FR10" i="3"/>
  <c r="UH10" i="3" s="1"/>
  <c r="FQ10" i="3"/>
  <c r="EN10" i="3"/>
  <c r="EV10" i="3" s="1"/>
  <c r="UF10" i="3" s="1"/>
  <c r="EM10" i="3"/>
  <c r="EU10" i="3" s="1"/>
  <c r="UE10" i="3" s="1"/>
  <c r="EJ10" i="3"/>
  <c r="EH10" i="3"/>
  <c r="UC10" i="3" s="1"/>
  <c r="EI10" i="3"/>
  <c r="UD10" i="3" s="1"/>
  <c r="DS10" i="3"/>
  <c r="DR10" i="3"/>
  <c r="DJ10" i="3"/>
  <c r="DI10" i="3"/>
  <c r="DW10" i="3" s="1"/>
  <c r="UA10" i="3" s="1"/>
  <c r="DH10" i="3"/>
  <c r="DD10" i="3"/>
  <c r="DF10" i="3" s="1"/>
  <c r="TY10" i="3" s="1"/>
  <c r="DC10" i="3"/>
  <c r="DG10" i="3"/>
  <c r="TZ10" i="3" s="1"/>
  <c r="CM10" i="3"/>
  <c r="CL10" i="3"/>
  <c r="CP10" i="3" s="1"/>
  <c r="TX10" i="3" s="1"/>
  <c r="BY10" i="3"/>
  <c r="BW10" i="3"/>
  <c r="BU10" i="3"/>
  <c r="BS10" i="3"/>
  <c r="BO10" i="3"/>
  <c r="BM10" i="3"/>
  <c r="BG10" i="3"/>
  <c r="BE10" i="3"/>
  <c r="BC10" i="3"/>
  <c r="AW10" i="3"/>
  <c r="TS10" i="3" s="1"/>
  <c r="AQ10" i="3"/>
  <c r="TR10" i="3" s="1"/>
  <c r="AH10" i="3"/>
  <c r="TQ10" i="3" s="1"/>
  <c r="UU9" i="3"/>
  <c r="UT9" i="3"/>
  <c r="UE9" i="3"/>
  <c r="TT9" i="3"/>
  <c r="TS9" i="3"/>
  <c r="TK9" i="3"/>
  <c r="SZ9" i="3"/>
  <c r="SW9" i="3"/>
  <c r="SV9" i="3"/>
  <c r="SQ9" i="3"/>
  <c r="SO9" i="3"/>
  <c r="UR9" i="3" s="1"/>
  <c r="SI9" i="3"/>
  <c r="SH9" i="3"/>
  <c r="UQ9" i="3" s="1"/>
  <c r="SG9" i="3"/>
  <c r="UP9" i="3" s="1"/>
  <c r="VJ9" i="3" s="1"/>
  <c r="RM9" i="3"/>
  <c r="RB9" i="3"/>
  <c r="QJ9" i="3"/>
  <c r="QH9" i="3"/>
  <c r="QF9" i="3"/>
  <c r="RX9" i="3" s="1"/>
  <c r="UN9" i="3" s="1"/>
  <c r="PJ9" i="3"/>
  <c r="OM9" i="3"/>
  <c r="OL9" i="3"/>
  <c r="OK9" i="3"/>
  <c r="OB9" i="3"/>
  <c r="OA9" i="3"/>
  <c r="NZ9" i="3"/>
  <c r="NE9" i="3"/>
  <c r="UM9" i="3" s="1"/>
  <c r="VG9" i="3" s="1"/>
  <c r="MZ9" i="3"/>
  <c r="MX9" i="3"/>
  <c r="UK9" i="3" s="1"/>
  <c r="LG9" i="3"/>
  <c r="KP9" i="3"/>
  <c r="JX9" i="3"/>
  <c r="JV9" i="3"/>
  <c r="JT9" i="3"/>
  <c r="IU9" i="3"/>
  <c r="IL9" i="3"/>
  <c r="IK9" i="3"/>
  <c r="IJ9" i="3"/>
  <c r="HO9" i="3"/>
  <c r="GI9" i="3"/>
  <c r="GG9" i="3"/>
  <c r="GE9" i="3"/>
  <c r="FV9" i="3"/>
  <c r="FU9" i="3"/>
  <c r="FT9" i="3"/>
  <c r="FR9" i="3"/>
  <c r="UH9" i="3" s="1"/>
  <c r="FQ9" i="3"/>
  <c r="UG9" i="3" s="1"/>
  <c r="EW9" i="3"/>
  <c r="EU9" i="3"/>
  <c r="EJ9" i="3"/>
  <c r="EI9" i="3"/>
  <c r="UD9" i="3" s="1"/>
  <c r="EH9" i="3"/>
  <c r="UC9" i="3" s="1"/>
  <c r="DY9" i="3"/>
  <c r="DS9" i="3"/>
  <c r="DR9" i="3"/>
  <c r="DJ9" i="3"/>
  <c r="DI9" i="3"/>
  <c r="DW9" i="3" s="1"/>
  <c r="UA9" i="3" s="1"/>
  <c r="CV9" i="3"/>
  <c r="CS9" i="3"/>
  <c r="DH9" i="3" s="1"/>
  <c r="CQ9" i="3"/>
  <c r="CA9" i="3"/>
  <c r="BY9" i="3"/>
  <c r="BU9" i="3"/>
  <c r="BS9" i="3"/>
  <c r="BQ9" i="3"/>
  <c r="BG9" i="3"/>
  <c r="BE9" i="3"/>
  <c r="BC9" i="3"/>
  <c r="AQ9" i="3"/>
  <c r="TR9" i="3" s="1"/>
  <c r="AH9" i="3"/>
  <c r="TQ9" i="3" s="1"/>
  <c r="UT8" i="3"/>
  <c r="TK8" i="3"/>
  <c r="UU8" i="3" s="1"/>
  <c r="SZ8" i="3"/>
  <c r="SW8" i="3"/>
  <c r="SV8" i="3"/>
  <c r="SM8" i="3"/>
  <c r="SL8" i="3"/>
  <c r="SH8" i="3"/>
  <c r="UQ8" i="3" s="1"/>
  <c r="SC8" i="3"/>
  <c r="SI8" i="3" s="1"/>
  <c r="RO8" i="3"/>
  <c r="RN8" i="3"/>
  <c r="RM8" i="3"/>
  <c r="RB8" i="3"/>
  <c r="QX8" i="3"/>
  <c r="QV8" i="3"/>
  <c r="QT8" i="3"/>
  <c r="QR8" i="3"/>
  <c r="QP8" i="3"/>
  <c r="QN8" i="3"/>
  <c r="QL8" i="3"/>
  <c r="QJ8" i="3"/>
  <c r="QH8" i="3"/>
  <c r="QF8" i="3"/>
  <c r="QB8" i="3"/>
  <c r="PZ8" i="3"/>
  <c r="PX8" i="3"/>
  <c r="PV8" i="3"/>
  <c r="PT8" i="3"/>
  <c r="PR8" i="3"/>
  <c r="PP8" i="3"/>
  <c r="PN8" i="3"/>
  <c r="PL8" i="3"/>
  <c r="PJ8" i="3"/>
  <c r="OT8" i="3"/>
  <c r="OS8" i="3"/>
  <c r="OR8" i="3"/>
  <c r="OQ8" i="3"/>
  <c r="OP8" i="3"/>
  <c r="OO8" i="3"/>
  <c r="ON8" i="3"/>
  <c r="OM8" i="3"/>
  <c r="OL8" i="3"/>
  <c r="OK8" i="3"/>
  <c r="OI8" i="3"/>
  <c r="OH8" i="3"/>
  <c r="OG8" i="3"/>
  <c r="OF8" i="3"/>
  <c r="OE8" i="3"/>
  <c r="OD8" i="3"/>
  <c r="OC8" i="3"/>
  <c r="OB8" i="3"/>
  <c r="OA8" i="3"/>
  <c r="NZ8" i="3"/>
  <c r="NE8" i="3"/>
  <c r="UM8" i="3" s="1"/>
  <c r="MZ8" i="3"/>
  <c r="MX8" i="3"/>
  <c r="UK8" i="3" s="1"/>
  <c r="LW8" i="3"/>
  <c r="LT8" i="3"/>
  <c r="LQ8" i="3"/>
  <c r="LO8" i="3"/>
  <c r="LM8" i="3"/>
  <c r="LK8" i="3"/>
  <c r="LI8" i="3"/>
  <c r="LG8" i="3"/>
  <c r="LE8" i="3"/>
  <c r="KX8" i="3"/>
  <c r="KV8" i="3"/>
  <c r="KT8" i="3"/>
  <c r="KR8" i="3"/>
  <c r="KP8" i="3"/>
  <c r="KL8" i="3"/>
  <c r="KJ8" i="3"/>
  <c r="KH8" i="3"/>
  <c r="KF8" i="3"/>
  <c r="KD8" i="3"/>
  <c r="KB8" i="3"/>
  <c r="JZ8" i="3"/>
  <c r="JX8" i="3"/>
  <c r="JV8" i="3"/>
  <c r="JT8" i="3"/>
  <c r="IY8" i="3"/>
  <c r="IW8" i="3"/>
  <c r="IU8" i="3"/>
  <c r="IL8" i="3"/>
  <c r="IK8" i="3"/>
  <c r="IJ8" i="3"/>
  <c r="IG8" i="3"/>
  <c r="IE8" i="3"/>
  <c r="IC8" i="3"/>
  <c r="IA8" i="3"/>
  <c r="HY8" i="3"/>
  <c r="HW8" i="3"/>
  <c r="HU8" i="3"/>
  <c r="HS8" i="3"/>
  <c r="HQ8" i="3"/>
  <c r="HO8" i="3"/>
  <c r="HL8" i="3"/>
  <c r="HJ8" i="3"/>
  <c r="HH8" i="3"/>
  <c r="HF8" i="3"/>
  <c r="HD8" i="3"/>
  <c r="HB8" i="3"/>
  <c r="GZ8" i="3"/>
  <c r="GX8" i="3"/>
  <c r="GV8" i="3"/>
  <c r="GT8" i="3"/>
  <c r="GI8" i="3"/>
  <c r="GG8" i="3"/>
  <c r="GE8" i="3"/>
  <c r="FV8" i="3"/>
  <c r="FU8" i="3"/>
  <c r="FT8" i="3"/>
  <c r="FR8" i="3"/>
  <c r="UH8" i="3" s="1"/>
  <c r="FQ8" i="3"/>
  <c r="UG8" i="3" s="1"/>
  <c r="EW8" i="3"/>
  <c r="EN8" i="3"/>
  <c r="EM8" i="3"/>
  <c r="EU8" i="3" s="1"/>
  <c r="UE8" i="3" s="1"/>
  <c r="EJ8" i="3"/>
  <c r="EH8" i="3"/>
  <c r="UC8" i="3" s="1"/>
  <c r="DS8" i="3"/>
  <c r="DR8" i="3"/>
  <c r="DP8" i="3"/>
  <c r="DM8" i="3"/>
  <c r="DJ8" i="3"/>
  <c r="DI8" i="3"/>
  <c r="DD8" i="3"/>
  <c r="DC8" i="3"/>
  <c r="DA8" i="3"/>
  <c r="CZ8" i="3"/>
  <c r="CY8" i="3"/>
  <c r="CX8" i="3"/>
  <c r="CV8" i="3"/>
  <c r="CS8" i="3"/>
  <c r="CM8" i="3"/>
  <c r="CL8" i="3"/>
  <c r="CJ8" i="3"/>
  <c r="CG8" i="3"/>
  <c r="CA8" i="3"/>
  <c r="BY8" i="3"/>
  <c r="BW8" i="3"/>
  <c r="BU8" i="3"/>
  <c r="BS8" i="3"/>
  <c r="BQ8" i="3"/>
  <c r="BK8" i="3"/>
  <c r="BG8" i="3"/>
  <c r="BE8" i="3"/>
  <c r="BC8" i="3"/>
  <c r="TT8" i="3" s="1"/>
  <c r="AW8" i="3"/>
  <c r="TS8" i="3" s="1"/>
  <c r="AQ8" i="3"/>
  <c r="TR8" i="3" s="1"/>
  <c r="AH8" i="3"/>
  <c r="TQ8" i="3" s="1"/>
  <c r="UT6" i="3"/>
  <c r="UP6" i="3"/>
  <c r="UN6" i="3"/>
  <c r="TT6" i="3"/>
  <c r="TK6" i="3"/>
  <c r="UU6" i="3" s="1"/>
  <c r="SW6" i="3"/>
  <c r="SV6" i="3"/>
  <c r="SQ6" i="3"/>
  <c r="SP6" i="3"/>
  <c r="US6" i="3" s="1"/>
  <c r="SO6" i="3"/>
  <c r="UR6" i="3" s="1"/>
  <c r="SI6" i="3"/>
  <c r="SH6" i="3"/>
  <c r="UQ6" i="3" s="1"/>
  <c r="SG6" i="3"/>
  <c r="RZ6" i="3"/>
  <c r="RX6" i="3"/>
  <c r="RY6" i="3"/>
  <c r="UO6" i="3" s="1"/>
  <c r="NE6" i="3"/>
  <c r="UM6" i="3" s="1"/>
  <c r="MZ6" i="3"/>
  <c r="MX6" i="3"/>
  <c r="UK6" i="3" s="1"/>
  <c r="VG6" i="3" s="1"/>
  <c r="MB6" i="3"/>
  <c r="LZ6" i="3"/>
  <c r="UI6" i="3" s="1"/>
  <c r="FR6" i="3"/>
  <c r="UH6" i="3" s="1"/>
  <c r="FQ6" i="3"/>
  <c r="UG6" i="3" s="1"/>
  <c r="EW6" i="3"/>
  <c r="EU6" i="3"/>
  <c r="UE6" i="3" s="1"/>
  <c r="VD6" i="3" s="1"/>
  <c r="EH6" i="3"/>
  <c r="UC6" i="3" s="1"/>
  <c r="EE6" i="3"/>
  <c r="DU6" i="3"/>
  <c r="DS6" i="3"/>
  <c r="DH6" i="3"/>
  <c r="DF6" i="3"/>
  <c r="TY6" i="3" s="1"/>
  <c r="DG6" i="3"/>
  <c r="TZ6" i="3" s="1"/>
  <c r="CP6" i="3"/>
  <c r="TX6" i="3" s="1"/>
  <c r="CM6" i="3"/>
  <c r="CO6" i="3" s="1"/>
  <c r="TW6" i="3" s="1"/>
  <c r="CE6" i="3"/>
  <c r="CC6" i="3"/>
  <c r="TU6" i="3" s="1"/>
  <c r="BC6" i="3"/>
  <c r="AW6" i="3"/>
  <c r="TS6" i="3" s="1"/>
  <c r="AQ6" i="3"/>
  <c r="TR6" i="3" s="1"/>
  <c r="AH6" i="3"/>
  <c r="TQ6" i="3" s="1"/>
  <c r="UT5" i="3"/>
  <c r="UP5" i="3"/>
  <c r="UH5" i="3"/>
  <c r="TR5" i="3"/>
  <c r="TK5" i="3"/>
  <c r="UU5" i="3" s="1"/>
  <c r="SW5" i="3"/>
  <c r="SV5" i="3"/>
  <c r="SQ5" i="3"/>
  <c r="SP5" i="3"/>
  <c r="US5" i="3" s="1"/>
  <c r="SO5" i="3"/>
  <c r="UR5" i="3" s="1"/>
  <c r="SI5" i="3"/>
  <c r="SH5" i="3"/>
  <c r="UQ5" i="3" s="1"/>
  <c r="SG5" i="3"/>
  <c r="RZ5" i="3"/>
  <c r="RX5" i="3"/>
  <c r="UN5" i="3" s="1"/>
  <c r="RY5" i="3"/>
  <c r="UO5" i="3" s="1"/>
  <c r="NE5" i="3"/>
  <c r="UM5" i="3" s="1"/>
  <c r="MZ5" i="3"/>
  <c r="MX5" i="3"/>
  <c r="UK5" i="3" s="1"/>
  <c r="VG5" i="3" s="1"/>
  <c r="MY5" i="3"/>
  <c r="UL5" i="3" s="1"/>
  <c r="MB5" i="3"/>
  <c r="LZ5" i="3"/>
  <c r="UI5" i="3" s="1"/>
  <c r="FR5" i="3"/>
  <c r="FQ5" i="3"/>
  <c r="UG5" i="3" s="1"/>
  <c r="EW5" i="3"/>
  <c r="EV5" i="3"/>
  <c r="UF5" i="3" s="1"/>
  <c r="EU5" i="3"/>
  <c r="UE5" i="3" s="1"/>
  <c r="VD5" i="3" s="1"/>
  <c r="EI5" i="3"/>
  <c r="UD5" i="3" s="1"/>
  <c r="EH5" i="3"/>
  <c r="UC5" i="3" s="1"/>
  <c r="DS5" i="3"/>
  <c r="DH5" i="3"/>
  <c r="DF5" i="3"/>
  <c r="TY5" i="3" s="1"/>
  <c r="DG5" i="3"/>
  <c r="TZ5" i="3" s="1"/>
  <c r="CO5" i="3"/>
  <c r="TW5" i="3" s="1"/>
  <c r="CP5" i="3"/>
  <c r="TX5" i="3" s="1"/>
  <c r="CM5" i="3"/>
  <c r="CE5" i="3"/>
  <c r="CC5" i="3"/>
  <c r="TU5" i="3" s="1"/>
  <c r="BC5" i="3"/>
  <c r="TT5" i="3" s="1"/>
  <c r="AW5" i="3"/>
  <c r="TS5" i="3" s="1"/>
  <c r="AQ5" i="3"/>
  <c r="AH5" i="3"/>
  <c r="TQ5" i="3" s="1"/>
  <c r="VG4" i="3"/>
  <c r="UT4" i="3"/>
  <c r="UP4" i="3"/>
  <c r="VJ4" i="3" s="1"/>
  <c r="UL4" i="3"/>
  <c r="TR4" i="3"/>
  <c r="TK4" i="3"/>
  <c r="UU4" i="3" s="1"/>
  <c r="SW4" i="3"/>
  <c r="SV4" i="3"/>
  <c r="SQ4" i="3"/>
  <c r="SP4" i="3"/>
  <c r="US4" i="3" s="1"/>
  <c r="SO4" i="3"/>
  <c r="UR4" i="3" s="1"/>
  <c r="SI4" i="3"/>
  <c r="SG4" i="3"/>
  <c r="RZ4" i="3"/>
  <c r="RX4" i="3"/>
  <c r="UN4" i="3" s="1"/>
  <c r="NE4" i="3"/>
  <c r="UM4" i="3" s="1"/>
  <c r="MZ4" i="3"/>
  <c r="MY4" i="3"/>
  <c r="MX4" i="3"/>
  <c r="UK4" i="3" s="1"/>
  <c r="MB4" i="3"/>
  <c r="LZ4" i="3"/>
  <c r="UI4" i="3" s="1"/>
  <c r="FQ4" i="3"/>
  <c r="FR4" i="3" s="1"/>
  <c r="UH4" i="3" s="1"/>
  <c r="EW4" i="3"/>
  <c r="EU4" i="3"/>
  <c r="UE4" i="3" s="1"/>
  <c r="EI4" i="3"/>
  <c r="UD4" i="3" s="1"/>
  <c r="EH4" i="3"/>
  <c r="UC4" i="3" s="1"/>
  <c r="DY4" i="3"/>
  <c r="DU4" i="3"/>
  <c r="DX4" i="3"/>
  <c r="UB4" i="3" s="1"/>
  <c r="DS4" i="3"/>
  <c r="DW4" i="3" s="1"/>
  <c r="UA4" i="3" s="1"/>
  <c r="DH4" i="3"/>
  <c r="DG4" i="3"/>
  <c r="TZ4" i="3" s="1"/>
  <c r="DF4" i="3"/>
  <c r="TY4" i="3" s="1"/>
  <c r="CO4" i="3"/>
  <c r="TW4" i="3" s="1"/>
  <c r="CM4" i="3"/>
  <c r="CP4" i="3" s="1"/>
  <c r="TX4" i="3" s="1"/>
  <c r="CE4" i="3"/>
  <c r="CC4" i="3"/>
  <c r="TU4" i="3" s="1"/>
  <c r="BC4" i="3"/>
  <c r="TT4" i="3" s="1"/>
  <c r="AW4" i="3"/>
  <c r="TS4" i="3" s="1"/>
  <c r="AQ4" i="3"/>
  <c r="AH4" i="3"/>
  <c r="TQ4" i="3" s="1"/>
  <c r="US3" i="3"/>
  <c r="UG3" i="3"/>
  <c r="UC3" i="3"/>
  <c r="TY3" i="3"/>
  <c r="TQ3" i="3"/>
  <c r="TK3" i="3"/>
  <c r="UU3" i="3" s="1"/>
  <c r="SW3" i="3"/>
  <c r="SV3" i="3"/>
  <c r="UT3" i="3" s="1"/>
  <c r="VJ3" i="3" s="1"/>
  <c r="SQ3" i="3"/>
  <c r="SP3" i="3"/>
  <c r="SO3" i="3"/>
  <c r="UR3" i="3" s="1"/>
  <c r="SI3" i="3"/>
  <c r="SH3" i="3"/>
  <c r="UQ3" i="3" s="1"/>
  <c r="SG3" i="3"/>
  <c r="UP3" i="3" s="1"/>
  <c r="RZ3" i="3"/>
  <c r="RX3" i="3"/>
  <c r="UN3" i="3" s="1"/>
  <c r="RY3" i="3"/>
  <c r="UO3" i="3" s="1"/>
  <c r="NE3" i="3"/>
  <c r="UM3" i="3" s="1"/>
  <c r="MZ3" i="3"/>
  <c r="MX3" i="3"/>
  <c r="UK3" i="3" s="1"/>
  <c r="VG3" i="3" s="1"/>
  <c r="MB3" i="3"/>
  <c r="LZ3" i="3"/>
  <c r="UI3" i="3" s="1"/>
  <c r="FQ3" i="3"/>
  <c r="FR3" i="3" s="1"/>
  <c r="UH3" i="3" s="1"/>
  <c r="EW3" i="3"/>
  <c r="EU3" i="3"/>
  <c r="UE3" i="3" s="1"/>
  <c r="VD3" i="3" s="1"/>
  <c r="EI3" i="3"/>
  <c r="UD3" i="3" s="1"/>
  <c r="EH3" i="3"/>
  <c r="DW3" i="3"/>
  <c r="UA3" i="3" s="1"/>
  <c r="DS3" i="3"/>
  <c r="DY3" i="3" s="1"/>
  <c r="DX3" i="3"/>
  <c r="UB3" i="3" s="1"/>
  <c r="DH3" i="3"/>
  <c r="DF3" i="3"/>
  <c r="CP3" i="3"/>
  <c r="TX3" i="3" s="1"/>
  <c r="CM3" i="3"/>
  <c r="CO3" i="3" s="1"/>
  <c r="TW3" i="3" s="1"/>
  <c r="CE3" i="3"/>
  <c r="CC3" i="3"/>
  <c r="TU3" i="3" s="1"/>
  <c r="BC3" i="3"/>
  <c r="TT3" i="3" s="1"/>
  <c r="AW3" i="3"/>
  <c r="TS3" i="3" s="1"/>
  <c r="AQ3" i="3"/>
  <c r="TR3" i="3" s="1"/>
  <c r="AH3" i="3"/>
  <c r="UT2" i="3"/>
  <c r="UN2" i="3"/>
  <c r="TZ2" i="3"/>
  <c r="TY2" i="3"/>
  <c r="TU2" i="3"/>
  <c r="TQ2" i="3"/>
  <c r="TK2" i="3"/>
  <c r="UU2" i="3" s="1"/>
  <c r="SW2" i="3"/>
  <c r="SV2" i="3"/>
  <c r="SQ2" i="3"/>
  <c r="SP2" i="3"/>
  <c r="US2" i="3" s="1"/>
  <c r="SO2" i="3"/>
  <c r="UR2" i="3" s="1"/>
  <c r="SI2" i="3"/>
  <c r="SG2" i="3"/>
  <c r="UP2" i="3" s="1"/>
  <c r="VJ2" i="3" s="1"/>
  <c r="RZ2" i="3"/>
  <c r="RY2" i="3"/>
  <c r="UO2" i="3" s="1"/>
  <c r="RX2" i="3"/>
  <c r="NE2" i="3"/>
  <c r="UM2" i="3" s="1"/>
  <c r="MZ2" i="3"/>
  <c r="MX2" i="3"/>
  <c r="UK2" i="3" s="1"/>
  <c r="MB2" i="3"/>
  <c r="LZ2" i="3"/>
  <c r="UI2" i="3" s="1"/>
  <c r="FR2" i="3"/>
  <c r="UH2" i="3" s="1"/>
  <c r="FQ2" i="3"/>
  <c r="UG2" i="3" s="1"/>
  <c r="EW2" i="3"/>
  <c r="EV2" i="3"/>
  <c r="UF2" i="3" s="1"/>
  <c r="EU2" i="3"/>
  <c r="UE2" i="3" s="1"/>
  <c r="VD2" i="3" s="1"/>
  <c r="EF2" i="3"/>
  <c r="EE2" i="3"/>
  <c r="DU2" i="3"/>
  <c r="DS2" i="3"/>
  <c r="DH2" i="3"/>
  <c r="DG2" i="3"/>
  <c r="DF2" i="3"/>
  <c r="CM2" i="3"/>
  <c r="CE2" i="3"/>
  <c r="CC2" i="3"/>
  <c r="BC2" i="3"/>
  <c r="TT2" i="3" s="1"/>
  <c r="AW2" i="3"/>
  <c r="TS2" i="3" s="1"/>
  <c r="AQ2" i="3"/>
  <c r="TR2" i="3" s="1"/>
  <c r="AH2" i="3"/>
  <c r="UV1" i="3"/>
  <c r="UU1" i="3"/>
  <c r="UT1" i="3"/>
  <c r="US1" i="3"/>
  <c r="UR1" i="3"/>
  <c r="UQ1" i="3"/>
  <c r="UP1" i="3"/>
  <c r="UO1" i="3"/>
  <c r="UN1" i="3"/>
  <c r="UM1" i="3"/>
  <c r="UL1" i="3"/>
  <c r="UK1" i="3"/>
  <c r="UJ1" i="3"/>
  <c r="UI1" i="3"/>
  <c r="UH1" i="3"/>
  <c r="UG1" i="3"/>
  <c r="UF1" i="3"/>
  <c r="UE1" i="3"/>
  <c r="UD1" i="3"/>
  <c r="UC1" i="3"/>
  <c r="UB1" i="3"/>
  <c r="UA1" i="3"/>
  <c r="TZ1" i="3"/>
  <c r="TY1" i="3"/>
  <c r="TX1" i="3"/>
  <c r="TW1" i="3"/>
  <c r="TV1" i="3"/>
  <c r="TU1" i="3"/>
  <c r="TT1" i="3"/>
  <c r="TS1" i="3"/>
  <c r="TR1" i="3"/>
  <c r="TQ1" i="3"/>
  <c r="WE2" i="1"/>
  <c r="QV9" i="1"/>
  <c r="QV3" i="1"/>
  <c r="PX2" i="1"/>
  <c r="XO9" i="1"/>
  <c r="XF10" i="1"/>
  <c r="XF9" i="1"/>
  <c r="XF8" i="1"/>
  <c r="XD10" i="1"/>
  <c r="XD9" i="1"/>
  <c r="XD8" i="1"/>
  <c r="XA10" i="1"/>
  <c r="XA9" i="1"/>
  <c r="XA8" i="1"/>
  <c r="WU8" i="1"/>
  <c r="WS10" i="1"/>
  <c r="WS9" i="1"/>
  <c r="WS8" i="1"/>
  <c r="WR9" i="1"/>
  <c r="YP9" i="1" s="1"/>
  <c r="WR10" i="1"/>
  <c r="YP10" i="1" s="1"/>
  <c r="WR8" i="1"/>
  <c r="YP8" i="1" s="1"/>
  <c r="WM9" i="1"/>
  <c r="WL9" i="1"/>
  <c r="YO9" i="1" s="1"/>
  <c r="WK9" i="1"/>
  <c r="YN9" i="1" s="1"/>
  <c r="WE10" i="1"/>
  <c r="WD10" i="1"/>
  <c r="YM10" i="1" s="1"/>
  <c r="WC10" i="1"/>
  <c r="YL10" i="1" s="1"/>
  <c r="WE9" i="1"/>
  <c r="WD9" i="1"/>
  <c r="YM9" i="1" s="1"/>
  <c r="WC9" i="1"/>
  <c r="YL9" i="1" s="1"/>
  <c r="RA10" i="1"/>
  <c r="YI10" i="1" s="1"/>
  <c r="RA9" i="1"/>
  <c r="YI9" i="1" s="1"/>
  <c r="RA8" i="1"/>
  <c r="YI8" i="1" s="1"/>
  <c r="QV8" i="1"/>
  <c r="QV10" i="1"/>
  <c r="QT10" i="1"/>
  <c r="YG10" i="1" s="1"/>
  <c r="QT9" i="1"/>
  <c r="YG9" i="1" s="1"/>
  <c r="QT8" i="1"/>
  <c r="YG8" i="1" s="1"/>
  <c r="QU9" i="1"/>
  <c r="YH9" i="1" s="1"/>
  <c r="QU8" i="1"/>
  <c r="YH8" i="1" s="1"/>
  <c r="FQ8" i="1"/>
  <c r="FR8" i="1" s="1"/>
  <c r="YD8" i="1" s="1"/>
  <c r="FQ3" i="1"/>
  <c r="FR3" i="1" s="1"/>
  <c r="FQ4" i="1"/>
  <c r="FR4" i="1" s="1"/>
  <c r="FQ5" i="1"/>
  <c r="FR5" i="1" s="1"/>
  <c r="FQ6" i="1"/>
  <c r="FR6" i="1" s="1"/>
  <c r="FQ2" i="1"/>
  <c r="FR2" i="1" s="1"/>
  <c r="FQ9" i="1"/>
  <c r="YC9" i="1" s="1"/>
  <c r="FQ10" i="1"/>
  <c r="EW9" i="1"/>
  <c r="EU9" i="1"/>
  <c r="YA9" i="1" s="1"/>
  <c r="ET10" i="1"/>
  <c r="ET9" i="1"/>
  <c r="ET8" i="1"/>
  <c r="EO9" i="1"/>
  <c r="EJ9" i="1"/>
  <c r="EJ10" i="1"/>
  <c r="EJ8" i="1"/>
  <c r="EI9" i="1"/>
  <c r="XZ9" i="1" s="1"/>
  <c r="EI10" i="1"/>
  <c r="XZ10" i="1" s="1"/>
  <c r="EH9" i="1"/>
  <c r="XY9" i="1" s="1"/>
  <c r="EH10" i="1"/>
  <c r="XY10" i="1" s="1"/>
  <c r="XY8" i="1"/>
  <c r="EG8" i="1"/>
  <c r="EI8" i="1" s="1"/>
  <c r="XZ8" i="1" s="1"/>
  <c r="DV10" i="1"/>
  <c r="DV9" i="1"/>
  <c r="DV8" i="1"/>
  <c r="DO8" i="1"/>
  <c r="CU9" i="1"/>
  <c r="DG9" i="1" s="1"/>
  <c r="CU8" i="1"/>
  <c r="CV8" i="1"/>
  <c r="CI8" i="1"/>
  <c r="QU10" i="1"/>
  <c r="YH10" i="1" s="1"/>
  <c r="EO10" i="1"/>
  <c r="EO8" i="1"/>
  <c r="BC9" i="1"/>
  <c r="XP9" i="1" s="1"/>
  <c r="BC10" i="1"/>
  <c r="XP10" i="1" s="1"/>
  <c r="BC8" i="1"/>
  <c r="XP8" i="1" s="1"/>
  <c r="AV10" i="1"/>
  <c r="AW10" i="1" s="1"/>
  <c r="XO10" i="1" s="1"/>
  <c r="AV8" i="1"/>
  <c r="AW8" i="1" s="1"/>
  <c r="XO8" i="1" s="1"/>
  <c r="YC8" i="1" l="1"/>
  <c r="CW8" i="1"/>
  <c r="CY8" i="1"/>
  <c r="EV9" i="1"/>
  <c r="YB9" i="1" s="1"/>
  <c r="TL6" i="3"/>
  <c r="UV6" i="3" s="1"/>
  <c r="TL9" i="3"/>
  <c r="UV9" i="3" s="1"/>
  <c r="VK9" i="3" s="1"/>
  <c r="VL9" i="3" s="1"/>
  <c r="VH5" i="3"/>
  <c r="VI5" i="3" s="1"/>
  <c r="VH6" i="3"/>
  <c r="VI6" i="3" s="1"/>
  <c r="RY4" i="3"/>
  <c r="UO4" i="3" s="1"/>
  <c r="RY9" i="3"/>
  <c r="UO9" i="3" s="1"/>
  <c r="VH9" i="3" s="1"/>
  <c r="VI9" i="3" s="1"/>
  <c r="MA5" i="3"/>
  <c r="UJ5" i="3" s="1"/>
  <c r="VE5" i="3" s="1"/>
  <c r="VF5" i="3" s="1"/>
  <c r="MA2" i="3"/>
  <c r="UJ2" i="3" s="1"/>
  <c r="VE2" i="3" s="1"/>
  <c r="VF2" i="3" s="1"/>
  <c r="MA9" i="3"/>
  <c r="UJ9" i="3" s="1"/>
  <c r="VE9" i="3" s="1"/>
  <c r="VF9" i="3" s="1"/>
  <c r="MA6" i="3"/>
  <c r="UJ6" i="3" s="1"/>
  <c r="VE6" i="3" s="1"/>
  <c r="VF6" i="3" s="1"/>
  <c r="EI2" i="3"/>
  <c r="UD2" i="3" s="1"/>
  <c r="EI6" i="3"/>
  <c r="UD6" i="3" s="1"/>
  <c r="VB6" i="3" s="1"/>
  <c r="VC6" i="3" s="1"/>
  <c r="DX10" i="3"/>
  <c r="UB10" i="3" s="1"/>
  <c r="VB10" i="3" s="1"/>
  <c r="VC10" i="3" s="1"/>
  <c r="VB4" i="3"/>
  <c r="VC4" i="3" s="1"/>
  <c r="DG3" i="3"/>
  <c r="TZ3" i="3" s="1"/>
  <c r="VB3" i="3" s="1"/>
  <c r="VC3" i="3" s="1"/>
  <c r="CP2" i="3"/>
  <c r="TX2" i="3" s="1"/>
  <c r="VB2" i="3" s="1"/>
  <c r="VC2" i="3" s="1"/>
  <c r="CD2" i="3"/>
  <c r="TV2" i="3" s="1"/>
  <c r="CD4" i="3"/>
  <c r="TV4" i="3" s="1"/>
  <c r="UY4" i="3" s="1"/>
  <c r="CD5" i="3"/>
  <c r="TV5" i="3" s="1"/>
  <c r="UY5" i="3" s="1"/>
  <c r="CD9" i="3"/>
  <c r="TV9" i="3" s="1"/>
  <c r="UY9" i="3" s="1"/>
  <c r="CO2" i="3"/>
  <c r="TW2" i="3" s="1"/>
  <c r="DY2" i="3"/>
  <c r="EH2" i="3"/>
  <c r="UC2" i="3" s="1"/>
  <c r="VG2" i="3"/>
  <c r="CD3" i="3"/>
  <c r="TV3" i="3" s="1"/>
  <c r="UY3" i="3" s="1"/>
  <c r="VH3" i="3"/>
  <c r="VI3" i="3" s="1"/>
  <c r="VK3" i="3"/>
  <c r="VL3" i="3" s="1"/>
  <c r="TL4" i="3"/>
  <c r="UV4" i="3" s="1"/>
  <c r="VK4" i="3" s="1"/>
  <c r="VL4" i="3" s="1"/>
  <c r="VH4" i="3"/>
  <c r="VI4" i="3" s="1"/>
  <c r="UX5" i="3"/>
  <c r="VJ5" i="3"/>
  <c r="CD6" i="3"/>
  <c r="TV6" i="3" s="1"/>
  <c r="UY6" i="3" s="1"/>
  <c r="VD10" i="3"/>
  <c r="DY5" i="3"/>
  <c r="DX5" i="3"/>
  <c r="UB5" i="3" s="1"/>
  <c r="VB5" i="3" s="1"/>
  <c r="VC5" i="3" s="1"/>
  <c r="DW5" i="3"/>
  <c r="UA5" i="3" s="1"/>
  <c r="DW2" i="3"/>
  <c r="UA2" i="3" s="1"/>
  <c r="UX3" i="3"/>
  <c r="VA4" i="3"/>
  <c r="MA4" i="3"/>
  <c r="UJ4" i="3" s="1"/>
  <c r="VE4" i="3" s="1"/>
  <c r="VF4" i="3" s="1"/>
  <c r="DW6" i="3"/>
  <c r="UA6" i="3" s="1"/>
  <c r="VA6" i="3" s="1"/>
  <c r="DY6" i="3"/>
  <c r="DX6" i="3"/>
  <c r="UB6" i="3" s="1"/>
  <c r="MA8" i="3"/>
  <c r="UJ8" i="3" s="1"/>
  <c r="VK2" i="3"/>
  <c r="VL2" i="3" s="1"/>
  <c r="UX2" i="3"/>
  <c r="CC10" i="3"/>
  <c r="TU10" i="3" s="1"/>
  <c r="CE10" i="3"/>
  <c r="UY2" i="3"/>
  <c r="VA3" i="3"/>
  <c r="MA3" i="3"/>
  <c r="UJ3" i="3" s="1"/>
  <c r="VE3" i="3" s="1"/>
  <c r="VF3" i="3" s="1"/>
  <c r="UX4" i="3"/>
  <c r="VA5" i="3"/>
  <c r="TL5" i="3"/>
  <c r="UV5" i="3" s="1"/>
  <c r="VK5" i="3" s="1"/>
  <c r="VL5" i="3" s="1"/>
  <c r="UG4" i="3"/>
  <c r="VD4" i="3" s="1"/>
  <c r="CE8" i="3"/>
  <c r="CD8" i="3"/>
  <c r="TV8" i="3" s="1"/>
  <c r="UY8" i="3" s="1"/>
  <c r="CC8" i="3"/>
  <c r="TU8" i="3" s="1"/>
  <c r="DH8" i="3"/>
  <c r="DG8" i="3"/>
  <c r="TZ8" i="3" s="1"/>
  <c r="DW8" i="3"/>
  <c r="UA8" i="3" s="1"/>
  <c r="DX8" i="3"/>
  <c r="UB8" i="3" s="1"/>
  <c r="DY8" i="3"/>
  <c r="SP8" i="3"/>
  <c r="US8" i="3" s="1"/>
  <c r="VK8" i="3" s="1"/>
  <c r="VL8" i="3" s="1"/>
  <c r="UX10" i="3"/>
  <c r="MB10" i="3"/>
  <c r="UX6" i="3"/>
  <c r="VK6" i="3"/>
  <c r="VL6" i="3" s="1"/>
  <c r="CP8" i="3"/>
  <c r="TX8" i="3" s="1"/>
  <c r="DF8" i="3"/>
  <c r="TY8" i="3" s="1"/>
  <c r="VJ6" i="3"/>
  <c r="RX8" i="3"/>
  <c r="UN8" i="3" s="1"/>
  <c r="VG8" i="3" s="1"/>
  <c r="CE9" i="3"/>
  <c r="CD10" i="3"/>
  <c r="TV10" i="3" s="1"/>
  <c r="UY10" i="3" s="1"/>
  <c r="UX8" i="3"/>
  <c r="CQ8" i="3"/>
  <c r="EV8" i="3"/>
  <c r="UF8" i="3" s="1"/>
  <c r="SQ8" i="3"/>
  <c r="CC9" i="3"/>
  <c r="TU9" i="3" s="1"/>
  <c r="UX9" i="3" s="1"/>
  <c r="DF9" i="3"/>
  <c r="TY9" i="3" s="1"/>
  <c r="MB9" i="3"/>
  <c r="LZ9" i="3"/>
  <c r="UI9" i="3" s="1"/>
  <c r="VD9" i="3" s="1"/>
  <c r="EW10" i="3"/>
  <c r="RX10" i="3"/>
  <c r="UN10" i="3" s="1"/>
  <c r="VG10" i="3" s="1"/>
  <c r="RZ10" i="3"/>
  <c r="CO8" i="3"/>
  <c r="TW8" i="3" s="1"/>
  <c r="VA8" i="3" s="1"/>
  <c r="SG8" i="3"/>
  <c r="UP8" i="3" s="1"/>
  <c r="SO8" i="3"/>
  <c r="UR8" i="3" s="1"/>
  <c r="CO9" i="3"/>
  <c r="TW9" i="3" s="1"/>
  <c r="VA9" i="3" s="1"/>
  <c r="RZ9" i="3"/>
  <c r="TM9" i="3"/>
  <c r="DY10" i="3"/>
  <c r="VK10" i="3"/>
  <c r="VL10" i="3" s="1"/>
  <c r="MB8" i="3"/>
  <c r="LZ8" i="3"/>
  <c r="UI8" i="3" s="1"/>
  <c r="VD8" i="3" s="1"/>
  <c r="RZ8" i="3"/>
  <c r="RY8" i="3"/>
  <c r="UO8" i="3" s="1"/>
  <c r="VH8" i="3" s="1"/>
  <c r="VI8" i="3" s="1"/>
  <c r="TM8" i="3"/>
  <c r="CP9" i="3"/>
  <c r="TX9" i="3" s="1"/>
  <c r="VB9" i="3" s="1"/>
  <c r="VC9" i="3" s="1"/>
  <c r="CO10" i="3"/>
  <c r="TW10" i="3" s="1"/>
  <c r="VA10" i="3" s="1"/>
  <c r="CQ10" i="3"/>
  <c r="MA10" i="3"/>
  <c r="UJ10" i="3" s="1"/>
  <c r="VE10" i="3" s="1"/>
  <c r="VF10" i="3" s="1"/>
  <c r="RY10" i="3"/>
  <c r="UO10" i="3" s="1"/>
  <c r="VH10" i="3" s="1"/>
  <c r="VI10" i="3" s="1"/>
  <c r="SQ10" i="3"/>
  <c r="YC10" i="1"/>
  <c r="FR10" i="1"/>
  <c r="YD10" i="1" s="1"/>
  <c r="FR9" i="1"/>
  <c r="YD9" i="1" s="1"/>
  <c r="VE8" i="3" l="1"/>
  <c r="VF8" i="3" s="1"/>
  <c r="VN10" i="3"/>
  <c r="UZ10" i="3"/>
  <c r="VO10" i="3" s="1"/>
  <c r="UZ8" i="3"/>
  <c r="VM9" i="3"/>
  <c r="VJ8" i="3"/>
  <c r="VN6" i="3"/>
  <c r="UZ6" i="3"/>
  <c r="VO6" i="3" s="1"/>
  <c r="VM10" i="3"/>
  <c r="UZ3" i="3"/>
  <c r="VO3" i="3" s="1"/>
  <c r="VN3" i="3"/>
  <c r="UZ5" i="3"/>
  <c r="VO5" i="3" s="1"/>
  <c r="VN5" i="3"/>
  <c r="VM8" i="3"/>
  <c r="VB8" i="3"/>
  <c r="VC8" i="3" s="1"/>
  <c r="UZ4" i="3"/>
  <c r="VO4" i="3" s="1"/>
  <c r="VN4" i="3"/>
  <c r="VN2" i="3"/>
  <c r="UZ2" i="3"/>
  <c r="VO2" i="3" s="1"/>
  <c r="VM4" i="3"/>
  <c r="VA2" i="3"/>
  <c r="VM2" i="3" s="1"/>
  <c r="VM6" i="3"/>
  <c r="VN9" i="3"/>
  <c r="UZ9" i="3"/>
  <c r="VO9" i="3" s="1"/>
  <c r="VM3" i="3"/>
  <c r="VM5" i="3"/>
  <c r="VO8" i="3" l="1"/>
  <c r="VN8" i="3"/>
  <c r="AQ9" i="1" l="1"/>
  <c r="XN9" i="1" s="1"/>
  <c r="AQ10" i="1"/>
  <c r="XN10" i="1" s="1"/>
  <c r="AQ8" i="1"/>
  <c r="XN8" i="1" s="1"/>
  <c r="AH10" i="1"/>
  <c r="XM10" i="1" s="1"/>
  <c r="AH9" i="1"/>
  <c r="XM9" i="1" s="1"/>
  <c r="AH8" i="1"/>
  <c r="XM8" i="1" s="1"/>
  <c r="WI10" i="1"/>
  <c r="VK10" i="1"/>
  <c r="VJ10" i="1"/>
  <c r="VI10" i="1"/>
  <c r="UX10" i="1"/>
  <c r="UV10" i="1"/>
  <c r="UJ10" i="1"/>
  <c r="UK10" i="1" s="1"/>
  <c r="UH10" i="1"/>
  <c r="UI10" i="1" s="1"/>
  <c r="UF10" i="1"/>
  <c r="UG10" i="1" s="1"/>
  <c r="UD10" i="1"/>
  <c r="UE10" i="1" s="1"/>
  <c r="UB10" i="1"/>
  <c r="UC10" i="1" s="1"/>
  <c r="TZ10" i="1"/>
  <c r="UA10" i="1" s="1"/>
  <c r="TN10" i="1"/>
  <c r="TO10" i="1" s="1"/>
  <c r="TL10" i="1"/>
  <c r="TM10" i="1" s="1"/>
  <c r="TJ10" i="1"/>
  <c r="TK10" i="1" s="1"/>
  <c r="TH10" i="1"/>
  <c r="TI10" i="1" s="1"/>
  <c r="TF10" i="1"/>
  <c r="TG10" i="1" s="1"/>
  <c r="SQ10" i="1"/>
  <c r="SK10" i="1"/>
  <c r="SJ10" i="1"/>
  <c r="SI10" i="1"/>
  <c r="SH10" i="1"/>
  <c r="SG10" i="1"/>
  <c r="SF10" i="1"/>
  <c r="RZ10" i="1"/>
  <c r="RY10" i="1"/>
  <c r="RX10" i="1"/>
  <c r="RW10" i="1"/>
  <c r="RV10" i="1"/>
  <c r="NF10" i="1"/>
  <c r="MP10" i="1"/>
  <c r="MN10" i="1"/>
  <c r="MO10" i="1" s="1"/>
  <c r="ML10" i="1"/>
  <c r="MM10" i="1" s="1"/>
  <c r="LS10" i="1"/>
  <c r="LR10" i="1"/>
  <c r="LQ10" i="1"/>
  <c r="KW10" i="1"/>
  <c r="KU10" i="1"/>
  <c r="KV10" i="1" s="1"/>
  <c r="KS10" i="1"/>
  <c r="KT10" i="1" s="1"/>
  <c r="JZ10" i="1"/>
  <c r="JY10" i="1"/>
  <c r="JX10" i="1"/>
  <c r="IW10" i="1"/>
  <c r="IU10" i="1"/>
  <c r="IV10" i="1" s="1"/>
  <c r="IS10" i="1"/>
  <c r="IT10" i="1" s="1"/>
  <c r="GS10" i="1"/>
  <c r="GQ10" i="1"/>
  <c r="GR10" i="1" s="1"/>
  <c r="GO10" i="1"/>
  <c r="GP10" i="1" s="1"/>
  <c r="FV10" i="1"/>
  <c r="FU10" i="1"/>
  <c r="FT10" i="1"/>
  <c r="DS10" i="1"/>
  <c r="DT10" i="1" s="1"/>
  <c r="DR10" i="1"/>
  <c r="DJ10" i="1"/>
  <c r="DK10" i="1" s="1"/>
  <c r="DI10" i="1"/>
  <c r="DD10" i="1"/>
  <c r="DE10" i="1" s="1"/>
  <c r="DC10" i="1"/>
  <c r="CM10" i="1"/>
  <c r="CN10" i="1" s="1"/>
  <c r="BY10" i="1"/>
  <c r="BW10" i="1"/>
  <c r="BX10" i="1" s="1"/>
  <c r="BU10" i="1"/>
  <c r="BV10" i="1" s="1"/>
  <c r="BS10" i="1"/>
  <c r="BT10" i="1" s="1"/>
  <c r="BO10" i="1"/>
  <c r="BP10" i="1" s="1"/>
  <c r="BM10" i="1"/>
  <c r="BN10" i="1" s="1"/>
  <c r="BG10" i="1"/>
  <c r="BE10" i="1"/>
  <c r="VI9" i="1"/>
  <c r="UX9" i="1"/>
  <c r="UF9" i="1"/>
  <c r="UG9" i="1" s="1"/>
  <c r="UD9" i="1"/>
  <c r="UE9" i="1" s="1"/>
  <c r="UB9" i="1"/>
  <c r="UC9" i="1" s="1"/>
  <c r="TF9" i="1"/>
  <c r="TG9" i="1" s="1"/>
  <c r="SI9" i="1"/>
  <c r="SH9" i="1"/>
  <c r="SG9" i="1"/>
  <c r="RX9" i="1"/>
  <c r="RW9" i="1"/>
  <c r="RV9" i="1"/>
  <c r="OS9" i="1"/>
  <c r="NR9" i="1"/>
  <c r="NS9" i="1" s="1"/>
  <c r="MP9" i="1"/>
  <c r="MN9" i="1"/>
  <c r="MO9" i="1" s="1"/>
  <c r="ML9" i="1"/>
  <c r="MM9" i="1" s="1"/>
  <c r="KS9" i="1"/>
  <c r="KT9" i="1" s="1"/>
  <c r="JZ9" i="1"/>
  <c r="JY9" i="1"/>
  <c r="JX9" i="1"/>
  <c r="IS9" i="1"/>
  <c r="GS9" i="1"/>
  <c r="GQ9" i="1"/>
  <c r="GR9" i="1" s="1"/>
  <c r="GO9" i="1"/>
  <c r="GP9" i="1" s="1"/>
  <c r="FV9" i="1"/>
  <c r="FU9" i="1"/>
  <c r="FT9" i="1"/>
  <c r="DS9" i="1"/>
  <c r="DT9" i="1" s="1"/>
  <c r="DR9" i="1"/>
  <c r="DJ9" i="1"/>
  <c r="DK9" i="1" s="1"/>
  <c r="DI9" i="1"/>
  <c r="CV9" i="1"/>
  <c r="CW9" i="1" s="1"/>
  <c r="CS9" i="1"/>
  <c r="CM9" i="1"/>
  <c r="CA9" i="1"/>
  <c r="CB9" i="1" s="1"/>
  <c r="BY9" i="1"/>
  <c r="BU9" i="1"/>
  <c r="BV9" i="1" s="1"/>
  <c r="BS9" i="1"/>
  <c r="BT9" i="1" s="1"/>
  <c r="BQ9" i="1"/>
  <c r="BG9" i="1"/>
  <c r="BE9" i="1"/>
  <c r="WI8" i="1"/>
  <c r="WJ8" i="1" s="1"/>
  <c r="WH8" i="1"/>
  <c r="VY8" i="1"/>
  <c r="VK8" i="1"/>
  <c r="VJ8" i="1"/>
  <c r="VI8" i="1"/>
  <c r="UX8" i="1"/>
  <c r="UT8" i="1"/>
  <c r="UU8" i="1" s="1"/>
  <c r="UR8" i="1"/>
  <c r="US8" i="1" s="1"/>
  <c r="UP8" i="1"/>
  <c r="UQ8" i="1" s="1"/>
  <c r="UN8" i="1"/>
  <c r="UO8" i="1" s="1"/>
  <c r="UL8" i="1"/>
  <c r="UM8" i="1" s="1"/>
  <c r="UJ8" i="1"/>
  <c r="UK8" i="1" s="1"/>
  <c r="UH8" i="1"/>
  <c r="UI8" i="1" s="1"/>
  <c r="UF8" i="1"/>
  <c r="UG8" i="1" s="1"/>
  <c r="UD8" i="1"/>
  <c r="UE8" i="1" s="1"/>
  <c r="UB8" i="1"/>
  <c r="UC8" i="1" s="1"/>
  <c r="TX8" i="1"/>
  <c r="TY8" i="1" s="1"/>
  <c r="TV8" i="1"/>
  <c r="TW8" i="1" s="1"/>
  <c r="TT8" i="1"/>
  <c r="TU8" i="1" s="1"/>
  <c r="TR8" i="1"/>
  <c r="TS8" i="1" s="1"/>
  <c r="TP8" i="1"/>
  <c r="TQ8" i="1" s="1"/>
  <c r="TN8" i="1"/>
  <c r="TO8" i="1" s="1"/>
  <c r="TL8" i="1"/>
  <c r="TM8" i="1" s="1"/>
  <c r="TJ8" i="1"/>
  <c r="TK8" i="1" s="1"/>
  <c r="TH8" i="1"/>
  <c r="TI8" i="1" s="1"/>
  <c r="TF8" i="1"/>
  <c r="TG8" i="1" s="1"/>
  <c r="SP8" i="1"/>
  <c r="SO8" i="1"/>
  <c r="SN8" i="1"/>
  <c r="SM8" i="1"/>
  <c r="SL8" i="1"/>
  <c r="SK8" i="1"/>
  <c r="SJ8" i="1"/>
  <c r="SI8" i="1"/>
  <c r="SH8" i="1"/>
  <c r="SG8" i="1"/>
  <c r="SE8" i="1"/>
  <c r="SD8" i="1"/>
  <c r="SC8" i="1"/>
  <c r="SB8" i="1"/>
  <c r="SA8" i="1"/>
  <c r="RZ8" i="1"/>
  <c r="RY8" i="1"/>
  <c r="RX8" i="1"/>
  <c r="RW8" i="1"/>
  <c r="RV8" i="1"/>
  <c r="PI8" i="1"/>
  <c r="PF8" i="1"/>
  <c r="PC8" i="1"/>
  <c r="PD8" i="1" s="1"/>
  <c r="PA8" i="1"/>
  <c r="PB8" i="1" s="1"/>
  <c r="OY8" i="1"/>
  <c r="OW8" i="1"/>
  <c r="OU8" i="1"/>
  <c r="OV8" i="1" s="1"/>
  <c r="OS8" i="1"/>
  <c r="OT8" i="1" s="1"/>
  <c r="OG8" i="1"/>
  <c r="NZ8" i="1"/>
  <c r="OA8" i="1" s="1"/>
  <c r="NX8" i="1"/>
  <c r="NV8" i="1"/>
  <c r="NT8" i="1"/>
  <c r="NU8" i="1" s="1"/>
  <c r="NR8" i="1"/>
  <c r="NS8" i="1" s="1"/>
  <c r="ND8" i="1"/>
  <c r="NB8" i="1"/>
  <c r="NC8" i="1" s="1"/>
  <c r="MZ8" i="1"/>
  <c r="MX8" i="1"/>
  <c r="MY8" i="1" s="1"/>
  <c r="MV8" i="1"/>
  <c r="MW8" i="1" s="1"/>
  <c r="MT8" i="1"/>
  <c r="MU8" i="1" s="1"/>
  <c r="MR8" i="1"/>
  <c r="MP8" i="1"/>
  <c r="MN8" i="1"/>
  <c r="MO8" i="1" s="1"/>
  <c r="ML8" i="1"/>
  <c r="MM8" i="1" s="1"/>
  <c r="KW8" i="1"/>
  <c r="KU8" i="1"/>
  <c r="KV8" i="1" s="1"/>
  <c r="KS8" i="1"/>
  <c r="KT8" i="1" s="1"/>
  <c r="JZ8" i="1"/>
  <c r="JY8" i="1"/>
  <c r="JX8" i="1"/>
  <c r="JK8" i="1"/>
  <c r="JI8" i="1"/>
  <c r="JJ8" i="1" s="1"/>
  <c r="JG8" i="1"/>
  <c r="JE8" i="1"/>
  <c r="JF8" i="1" s="1"/>
  <c r="JC8" i="1"/>
  <c r="JD8" i="1" s="1"/>
  <c r="JA8" i="1"/>
  <c r="IY8" i="1"/>
  <c r="IW8" i="1"/>
  <c r="IU8" i="1"/>
  <c r="IV8" i="1" s="1"/>
  <c r="IS8" i="1"/>
  <c r="IT8" i="1" s="1"/>
  <c r="IF8" i="1"/>
  <c r="ID8" i="1"/>
  <c r="IE8" i="1" s="1"/>
  <c r="IB8" i="1"/>
  <c r="HZ8" i="1"/>
  <c r="IA8" i="1" s="1"/>
  <c r="HX8" i="1"/>
  <c r="HY8" i="1" s="1"/>
  <c r="HV8" i="1"/>
  <c r="HT8" i="1"/>
  <c r="HU8" i="1" s="1"/>
  <c r="HR8" i="1"/>
  <c r="HP8" i="1"/>
  <c r="HQ8" i="1" s="1"/>
  <c r="HN8" i="1"/>
  <c r="HO8" i="1" s="1"/>
  <c r="GS8" i="1"/>
  <c r="GQ8" i="1"/>
  <c r="GR8" i="1" s="1"/>
  <c r="GO8" i="1"/>
  <c r="GP8" i="1" s="1"/>
  <c r="FV8" i="1"/>
  <c r="FU8" i="1"/>
  <c r="FT8" i="1"/>
  <c r="DT8" i="1"/>
  <c r="DQ8" i="1"/>
  <c r="DM8" i="1"/>
  <c r="DR8" i="1" s="1"/>
  <c r="DJ8" i="1"/>
  <c r="DK8" i="1" s="1"/>
  <c r="DI8" i="1"/>
  <c r="DD8" i="1"/>
  <c r="DE8" i="1" s="1"/>
  <c r="DC8" i="1"/>
  <c r="DA8" i="1"/>
  <c r="DB8" i="1" s="1"/>
  <c r="CZ8" i="1"/>
  <c r="CS8" i="1"/>
  <c r="CX8" i="1" s="1"/>
  <c r="CJ8" i="1"/>
  <c r="CG8" i="1"/>
  <c r="CA8" i="1"/>
  <c r="CB8" i="1" s="1"/>
  <c r="BY8" i="1"/>
  <c r="BW8" i="1"/>
  <c r="BX8" i="1" s="1"/>
  <c r="BU8" i="1"/>
  <c r="BV8" i="1" s="1"/>
  <c r="BS8" i="1"/>
  <c r="BT8" i="1" s="1"/>
  <c r="BQ8" i="1"/>
  <c r="BK8" i="1"/>
  <c r="BG8" i="1"/>
  <c r="BE8" i="1"/>
  <c r="MB10" i="1" l="1"/>
  <c r="NP10" i="1"/>
  <c r="NE8" i="1"/>
  <c r="NN8" i="1"/>
  <c r="NY8" i="1"/>
  <c r="OK8" i="1"/>
  <c r="DW9" i="1"/>
  <c r="DY9" i="1"/>
  <c r="DH8" i="1"/>
  <c r="DF8" i="1"/>
  <c r="XU8" i="1" s="1"/>
  <c r="NH8" i="1"/>
  <c r="OX8" i="1"/>
  <c r="PL8" i="1"/>
  <c r="PG8" i="1"/>
  <c r="PP8" i="1"/>
  <c r="NH9" i="1"/>
  <c r="DW8" i="1"/>
  <c r="XW8" i="1" s="1"/>
  <c r="DY8" i="1"/>
  <c r="MS8" i="1"/>
  <c r="NJ8" i="1"/>
  <c r="NA8" i="1"/>
  <c r="NL8" i="1"/>
  <c r="OH8" i="1"/>
  <c r="OQ8" i="1"/>
  <c r="OZ8" i="1"/>
  <c r="PN8" i="1"/>
  <c r="PJ8" i="1"/>
  <c r="PR8" i="1"/>
  <c r="NW8" i="1"/>
  <c r="OI8" i="1"/>
  <c r="DY10" i="1"/>
  <c r="DW10" i="1"/>
  <c r="XW10" i="1" s="1"/>
  <c r="NH10" i="1"/>
  <c r="KX10" i="1"/>
  <c r="LG10" i="1"/>
  <c r="KX8" i="1"/>
  <c r="LG8" i="1"/>
  <c r="KI10" i="1"/>
  <c r="KI8" i="1"/>
  <c r="KI9" i="1"/>
  <c r="JL8" i="1"/>
  <c r="JT8" i="1"/>
  <c r="IO8" i="1"/>
  <c r="JH8" i="1"/>
  <c r="JR8" i="1"/>
  <c r="IZ8" i="1"/>
  <c r="JP8" i="1"/>
  <c r="IC8" i="1"/>
  <c r="IM8" i="1"/>
  <c r="IX8" i="1"/>
  <c r="JN8" i="1"/>
  <c r="IX10" i="1"/>
  <c r="JN10" i="1"/>
  <c r="GE9" i="1"/>
  <c r="GT8" i="1"/>
  <c r="HD8" i="1"/>
  <c r="GE8" i="1"/>
  <c r="HW8" i="1"/>
  <c r="IK8" i="1"/>
  <c r="GT9" i="1"/>
  <c r="HD9" i="1"/>
  <c r="GE10" i="1"/>
  <c r="GT10" i="1"/>
  <c r="HD10" i="1"/>
  <c r="HS8" i="1"/>
  <c r="II8" i="1"/>
  <c r="XW9" i="1"/>
  <c r="DG8" i="1"/>
  <c r="XV8" i="1" s="1"/>
  <c r="DF10" i="1"/>
  <c r="XU10" i="1" s="1"/>
  <c r="DG10" i="1"/>
  <c r="XV10" i="1" s="1"/>
  <c r="CL8" i="1"/>
  <c r="DX8" i="1"/>
  <c r="XX8" i="1" s="1"/>
  <c r="CK8" i="1"/>
  <c r="CM8" i="1"/>
  <c r="DX9" i="1"/>
  <c r="XX9" i="1" s="1"/>
  <c r="XH9" i="1"/>
  <c r="YR9" i="1" s="1"/>
  <c r="ZG9" i="1" s="1"/>
  <c r="ZH9" i="1" s="1"/>
  <c r="XI9" i="1"/>
  <c r="XG9" i="1"/>
  <c r="YQ9" i="1" s="1"/>
  <c r="ZF9" i="1" s="1"/>
  <c r="WK10" i="1"/>
  <c r="YN10" i="1" s="1"/>
  <c r="WJ10" i="1"/>
  <c r="WL10" i="1" s="1"/>
  <c r="YO10" i="1" s="1"/>
  <c r="WM10" i="1"/>
  <c r="MQ10" i="1"/>
  <c r="PX8" i="1"/>
  <c r="MQ8" i="1"/>
  <c r="EU8" i="1"/>
  <c r="YA8" i="1" s="1"/>
  <c r="EW8" i="1"/>
  <c r="EV8" i="1"/>
  <c r="YB8" i="1" s="1"/>
  <c r="XI8" i="1"/>
  <c r="XG8" i="1"/>
  <c r="YQ8" i="1" s="1"/>
  <c r="XH8" i="1"/>
  <c r="YR8" i="1" s="1"/>
  <c r="CN9" i="1"/>
  <c r="XT9" i="1" s="1"/>
  <c r="XS9" i="1"/>
  <c r="MQ9" i="1"/>
  <c r="PX9" i="1"/>
  <c r="CD10" i="1"/>
  <c r="XR10" i="1" s="1"/>
  <c r="YU10" i="1" s="1"/>
  <c r="YV10" i="1" s="1"/>
  <c r="CE10" i="1"/>
  <c r="CC10" i="1"/>
  <c r="XQ10" i="1" s="1"/>
  <c r="YT10" i="1" s="1"/>
  <c r="XS10" i="1"/>
  <c r="XT10" i="1"/>
  <c r="DX10" i="1"/>
  <c r="XX10" i="1" s="1"/>
  <c r="EV10" i="1"/>
  <c r="YB10" i="1" s="1"/>
  <c r="EW10" i="1"/>
  <c r="EU10" i="1"/>
  <c r="YA10" i="1" s="1"/>
  <c r="VV10" i="1"/>
  <c r="VT10" i="1"/>
  <c r="YJ10" i="1" s="1"/>
  <c r="ZC10" i="1" s="1"/>
  <c r="VU10" i="1"/>
  <c r="YK10" i="1" s="1"/>
  <c r="ZD10" i="1" s="1"/>
  <c r="ZE10" i="1" s="1"/>
  <c r="XH10" i="1"/>
  <c r="YR10" i="1" s="1"/>
  <c r="XG10" i="1"/>
  <c r="YQ10" i="1" s="1"/>
  <c r="XI10" i="1"/>
  <c r="WC8" i="1"/>
  <c r="YL8" i="1" s="1"/>
  <c r="WE8" i="1"/>
  <c r="WD8" i="1"/>
  <c r="YM8" i="1" s="1"/>
  <c r="CD9" i="1"/>
  <c r="XR9" i="1" s="1"/>
  <c r="YU9" i="1" s="1"/>
  <c r="YV9" i="1" s="1"/>
  <c r="CC9" i="1"/>
  <c r="XQ9" i="1" s="1"/>
  <c r="YT9" i="1" s="1"/>
  <c r="CE9" i="1"/>
  <c r="XV9" i="1"/>
  <c r="XU9" i="1"/>
  <c r="CD8" i="1"/>
  <c r="XR8" i="1" s="1"/>
  <c r="YU8" i="1" s="1"/>
  <c r="YV8" i="1" s="1"/>
  <c r="CE8" i="1"/>
  <c r="CC8" i="1"/>
  <c r="XQ8" i="1" s="1"/>
  <c r="YT8" i="1" s="1"/>
  <c r="VT8" i="1"/>
  <c r="YJ8" i="1" s="1"/>
  <c r="ZC8" i="1" s="1"/>
  <c r="VU8" i="1"/>
  <c r="YK8" i="1" s="1"/>
  <c r="ZD8" i="1" s="1"/>
  <c r="ZE8" i="1" s="1"/>
  <c r="VV8" i="1"/>
  <c r="WM8" i="1"/>
  <c r="WK8" i="1"/>
  <c r="YN8" i="1" s="1"/>
  <c r="WL8" i="1"/>
  <c r="YO8" i="1" s="1"/>
  <c r="VU9" i="1"/>
  <c r="YK9" i="1" s="1"/>
  <c r="ZD9" i="1" s="1"/>
  <c r="ZE9" i="1" s="1"/>
  <c r="VV9" i="1"/>
  <c r="VT9" i="1"/>
  <c r="YJ9" i="1" s="1"/>
  <c r="ZC9" i="1" s="1"/>
  <c r="PX10" i="1"/>
  <c r="NG10" i="1"/>
  <c r="XF6" i="1"/>
  <c r="XF5" i="1"/>
  <c r="XF4" i="1"/>
  <c r="XF3" i="1"/>
  <c r="XF2" i="1"/>
  <c r="XD6" i="1"/>
  <c r="XD5" i="1"/>
  <c r="XD4" i="1"/>
  <c r="XD3" i="1"/>
  <c r="XD2" i="1"/>
  <c r="XA6" i="1"/>
  <c r="XA5" i="1"/>
  <c r="XA4" i="1"/>
  <c r="XA3" i="1"/>
  <c r="XA2" i="1"/>
  <c r="WY6" i="1"/>
  <c r="WY5" i="1"/>
  <c r="WY4" i="1"/>
  <c r="WY3" i="1"/>
  <c r="WY2" i="1"/>
  <c r="WW6" i="1"/>
  <c r="WW5" i="1"/>
  <c r="WW4" i="1"/>
  <c r="WW3" i="1"/>
  <c r="WW2" i="1"/>
  <c r="WU4" i="1"/>
  <c r="WU3" i="1"/>
  <c r="WJ2" i="1"/>
  <c r="VZ4" i="1"/>
  <c r="VZ2" i="1"/>
  <c r="UC4" i="1"/>
  <c r="TG4" i="1"/>
  <c r="SW6" i="1"/>
  <c r="SW5" i="1"/>
  <c r="SW4" i="1"/>
  <c r="SU6" i="1"/>
  <c r="SU5" i="1"/>
  <c r="SU4" i="1"/>
  <c r="SS6" i="1"/>
  <c r="SS5" i="1"/>
  <c r="SS4" i="1"/>
  <c r="SS3" i="1"/>
  <c r="QS6" i="1"/>
  <c r="QS5" i="1"/>
  <c r="QS4" i="1"/>
  <c r="QS3" i="1"/>
  <c r="OX2" i="1"/>
  <c r="OV2" i="1"/>
  <c r="OT2" i="1"/>
  <c r="OT4" i="1"/>
  <c r="NS4" i="1"/>
  <c r="MQ6" i="1"/>
  <c r="MQ5" i="1"/>
  <c r="MQ2" i="1"/>
  <c r="MO6" i="1"/>
  <c r="MO5" i="1"/>
  <c r="MO2" i="1"/>
  <c r="MM6" i="1"/>
  <c r="MM5" i="1"/>
  <c r="MM4" i="1"/>
  <c r="MM2" i="1"/>
  <c r="KX6" i="1"/>
  <c r="KX5" i="1"/>
  <c r="KX2" i="1"/>
  <c r="KV6" i="1"/>
  <c r="KV5" i="1"/>
  <c r="KV2" i="1"/>
  <c r="KT6" i="1"/>
  <c r="KT5" i="1"/>
  <c r="KT4" i="1"/>
  <c r="KT2" i="1"/>
  <c r="IX6" i="1"/>
  <c r="IX5" i="1"/>
  <c r="IX3" i="1"/>
  <c r="IX2" i="1"/>
  <c r="IV6" i="1"/>
  <c r="IV5" i="1"/>
  <c r="IV3" i="1"/>
  <c r="IV2" i="1"/>
  <c r="IT6" i="1"/>
  <c r="IT5" i="1"/>
  <c r="IT4" i="1"/>
  <c r="IT3" i="1"/>
  <c r="IT2" i="1"/>
  <c r="HO4" i="1"/>
  <c r="GT6" i="1"/>
  <c r="GT5" i="1"/>
  <c r="GT3" i="1"/>
  <c r="GT2" i="1"/>
  <c r="GR6" i="1"/>
  <c r="GR5" i="1"/>
  <c r="GR3" i="1"/>
  <c r="GR2" i="1"/>
  <c r="GP6" i="1"/>
  <c r="GP5" i="1"/>
  <c r="GP4" i="1"/>
  <c r="GP3" i="1"/>
  <c r="GP2" i="1"/>
  <c r="ET6" i="1"/>
  <c r="ET4" i="1"/>
  <c r="ET2" i="1"/>
  <c r="PW8" i="1" l="1"/>
  <c r="YF8" i="1" s="1"/>
  <c r="ZA8" i="1" s="1"/>
  <c r="ZB8" i="1" s="1"/>
  <c r="PV10" i="1"/>
  <c r="YE10" i="1" s="1"/>
  <c r="YZ10" i="1" s="1"/>
  <c r="PW10" i="1"/>
  <c r="YF10" i="1" s="1"/>
  <c r="ZA10" i="1" s="1"/>
  <c r="PV9" i="1"/>
  <c r="YE9" i="1" s="1"/>
  <c r="YZ9" i="1" s="1"/>
  <c r="PV8" i="1"/>
  <c r="YE8" i="1" s="1"/>
  <c r="YZ8" i="1" s="1"/>
  <c r="PW6" i="1"/>
  <c r="PW3" i="1"/>
  <c r="CQ8" i="1"/>
  <c r="PW2" i="1"/>
  <c r="PW5" i="1"/>
  <c r="PW9" i="1"/>
  <c r="YF9" i="1" s="1"/>
  <c r="ZA9" i="1" s="1"/>
  <c r="ZB9" i="1" s="1"/>
  <c r="ZG10" i="1"/>
  <c r="ZH10" i="1" s="1"/>
  <c r="YW9" i="1"/>
  <c r="CO8" i="1"/>
  <c r="XS8" i="1" s="1"/>
  <c r="YW8" i="1" s="1"/>
  <c r="CN8" i="1"/>
  <c r="CP8" i="1" s="1"/>
  <c r="XT8" i="1" s="1"/>
  <c r="YX8" i="1" s="1"/>
  <c r="YY8" i="1" s="1"/>
  <c r="YW10" i="1"/>
  <c r="YX10" i="1"/>
  <c r="YY10" i="1" s="1"/>
  <c r="YX9" i="1"/>
  <c r="YY9" i="1" s="1"/>
  <c r="ZF10" i="1"/>
  <c r="ZF8" i="1"/>
  <c r="ZG8" i="1"/>
  <c r="DU2" i="1"/>
  <c r="DU6" i="1"/>
  <c r="DV5" i="1"/>
  <c r="DU4" i="1"/>
  <c r="DK6" i="1"/>
  <c r="DK5" i="1"/>
  <c r="DK3" i="1"/>
  <c r="DX3" i="1" s="1"/>
  <c r="DK2" i="1"/>
  <c r="DE6" i="1"/>
  <c r="DE5" i="1"/>
  <c r="DE4" i="1"/>
  <c r="DE3" i="1"/>
  <c r="DB5" i="1"/>
  <c r="DB4" i="1"/>
  <c r="DB3" i="1"/>
  <c r="AV4" i="1"/>
  <c r="BH4" i="1"/>
  <c r="BJ4" i="1"/>
  <c r="BN4" i="1"/>
  <c r="BP4" i="1"/>
  <c r="BR4" i="1"/>
  <c r="BT4" i="1"/>
  <c r="BV4" i="1"/>
  <c r="BX4" i="1"/>
  <c r="BZ4" i="1"/>
  <c r="CB4" i="1"/>
  <c r="BV6" i="1"/>
  <c r="BT6" i="1"/>
  <c r="BP6" i="1"/>
  <c r="BN6" i="1"/>
  <c r="CB5" i="1"/>
  <c r="BZ5" i="1"/>
  <c r="BT5" i="1"/>
  <c r="BR5" i="1"/>
  <c r="BP5" i="1"/>
  <c r="BN5" i="1"/>
  <c r="CB2" i="1"/>
  <c r="CB3" i="1"/>
  <c r="BZ3" i="1"/>
  <c r="BV3" i="1"/>
  <c r="BT2" i="1"/>
  <c r="BJ3" i="1"/>
  <c r="BJ5" i="1"/>
  <c r="BH5" i="1"/>
  <c r="BJ6" i="1"/>
  <c r="BH6" i="1"/>
  <c r="AV6" i="1"/>
  <c r="AV5" i="1"/>
  <c r="BH2" i="1"/>
  <c r="ZI9" i="1" l="1"/>
  <c r="DX5" i="1"/>
  <c r="DV6" i="1"/>
  <c r="DX6" i="1" s="1"/>
  <c r="DW6" i="1"/>
  <c r="DY6" i="1"/>
  <c r="DV2" i="1"/>
  <c r="DX2" i="1" s="1"/>
  <c r="DW2" i="1"/>
  <c r="DY2" i="1"/>
  <c r="DV4" i="1"/>
  <c r="DX4" i="1" s="1"/>
  <c r="DW4" i="1"/>
  <c r="DY4" i="1"/>
  <c r="ZK9" i="1"/>
  <c r="ZI10" i="1"/>
  <c r="ZI8" i="1"/>
  <c r="ZJ8" i="1"/>
  <c r="ZH8" i="1"/>
  <c r="ZK8" i="1" s="1"/>
  <c r="ZJ10" i="1"/>
  <c r="ZB10" i="1"/>
  <c r="ZK10" i="1" s="1"/>
  <c r="ZJ9" i="1"/>
  <c r="AV3" i="1"/>
  <c r="XG2" i="1" l="1"/>
  <c r="WR6" i="1"/>
  <c r="WS6" i="1"/>
  <c r="WR5" i="1"/>
  <c r="WS5" i="1"/>
  <c r="WR4" i="1"/>
  <c r="WS4" i="1"/>
  <c r="WS3" i="1"/>
  <c r="WS2" i="1"/>
  <c r="WR2" i="1"/>
  <c r="WM6" i="1"/>
  <c r="WM5" i="1"/>
  <c r="WL4" i="1"/>
  <c r="WK4" i="1"/>
  <c r="WM4" i="1"/>
  <c r="WM3" i="1"/>
  <c r="WM2" i="1"/>
  <c r="VV6" i="1"/>
  <c r="VV5" i="1"/>
  <c r="VV4" i="1"/>
  <c r="VV3" i="1"/>
  <c r="VV2" i="1"/>
  <c r="VT2" i="1"/>
  <c r="PX6" i="1"/>
  <c r="PX5" i="1"/>
  <c r="PX4" i="1"/>
  <c r="PX3" i="1"/>
  <c r="EW5" i="1"/>
  <c r="EW6" i="1"/>
  <c r="EW4" i="1"/>
  <c r="EW2" i="1"/>
  <c r="EW3" i="1"/>
  <c r="DH6" i="1"/>
  <c r="CE6" i="1"/>
  <c r="CE5" i="1"/>
  <c r="CE4" i="1"/>
  <c r="CE3" i="1"/>
  <c r="CE2" i="1"/>
  <c r="XU2" i="1" l="1"/>
  <c r="CC5" i="1"/>
  <c r="XQ5" i="1" s="1"/>
  <c r="YQ1" i="1"/>
  <c r="YR1" i="1"/>
  <c r="YP1" i="1"/>
  <c r="YN1" i="1"/>
  <c r="YO1" i="1"/>
  <c r="YL1" i="1"/>
  <c r="YM1" i="1"/>
  <c r="YJ1" i="1"/>
  <c r="YK1" i="1"/>
  <c r="YI1" i="1"/>
  <c r="YG1" i="1"/>
  <c r="YH1" i="1"/>
  <c r="YE1" i="1"/>
  <c r="YF1" i="1"/>
  <c r="YC1" i="1"/>
  <c r="YD1" i="1"/>
  <c r="YC2" i="1"/>
  <c r="YD2" i="1"/>
  <c r="YC3" i="1"/>
  <c r="YD3" i="1"/>
  <c r="YC4" i="1"/>
  <c r="YD4" i="1"/>
  <c r="YC5" i="1"/>
  <c r="YD5" i="1"/>
  <c r="YC6" i="1"/>
  <c r="YD6" i="1"/>
  <c r="YA1" i="1"/>
  <c r="YB1" i="1"/>
  <c r="XY1" i="1"/>
  <c r="XZ1" i="1"/>
  <c r="XW1" i="1"/>
  <c r="XX1" i="1"/>
  <c r="XU1" i="1"/>
  <c r="XV1" i="1"/>
  <c r="XS1" i="1"/>
  <c r="XT1" i="1"/>
  <c r="XQ1" i="1"/>
  <c r="XR1" i="1"/>
  <c r="XP1" i="1"/>
  <c r="XO1" i="1"/>
  <c r="XN1" i="1"/>
  <c r="XM1" i="1"/>
  <c r="YP6" i="1" l="1"/>
  <c r="YP5" i="1"/>
  <c r="YP4" i="1"/>
  <c r="WR3" i="1"/>
  <c r="YP3" i="1" s="1"/>
  <c r="YP2" i="1"/>
  <c r="WL6" i="1"/>
  <c r="YO6" i="1" s="1"/>
  <c r="YO4" i="1"/>
  <c r="WL3" i="1"/>
  <c r="YO3" i="1" s="1"/>
  <c r="WK6" i="1"/>
  <c r="YN6" i="1" s="1"/>
  <c r="YN4" i="1"/>
  <c r="WK3" i="1"/>
  <c r="YN3" i="1" s="1"/>
  <c r="WK2" i="1"/>
  <c r="YN2" i="1" s="1"/>
  <c r="WE3" i="1"/>
  <c r="WE4" i="1"/>
  <c r="WE5" i="1"/>
  <c r="WE6" i="1"/>
  <c r="WD6" i="1"/>
  <c r="YM6" i="1" s="1"/>
  <c r="WD5" i="1"/>
  <c r="YM5" i="1" s="1"/>
  <c r="WD3" i="1"/>
  <c r="YM3" i="1" s="1"/>
  <c r="WC4" i="1"/>
  <c r="YL4" i="1" s="1"/>
  <c r="WC6" i="1"/>
  <c r="YL6" i="1" s="1"/>
  <c r="WC5" i="1"/>
  <c r="YL5" i="1" s="1"/>
  <c r="WC3" i="1"/>
  <c r="YL3" i="1" s="1"/>
  <c r="WC2" i="1"/>
  <c r="YL2" i="1" s="1"/>
  <c r="VU2" i="1"/>
  <c r="YK2" i="1" s="1"/>
  <c r="VT6" i="1"/>
  <c r="YJ6" i="1" s="1"/>
  <c r="VT5" i="1"/>
  <c r="YJ5" i="1" s="1"/>
  <c r="VT4" i="1"/>
  <c r="YJ4" i="1" s="1"/>
  <c r="VT3" i="1"/>
  <c r="YJ3" i="1" s="1"/>
  <c r="YJ2" i="1"/>
  <c r="QT5" i="1"/>
  <c r="YG5" i="1" s="1"/>
  <c r="QV5" i="1"/>
  <c r="QT3" i="1"/>
  <c r="YG3" i="1" s="1"/>
  <c r="YE6" i="1"/>
  <c r="YE5" i="1"/>
  <c r="YE4" i="1"/>
  <c r="YE3" i="1"/>
  <c r="YE2" i="1"/>
  <c r="EU3" i="1"/>
  <c r="YA3" i="1" s="1"/>
  <c r="EE6" i="1"/>
  <c r="EI3" i="1"/>
  <c r="XZ3" i="1" s="1"/>
  <c r="EH5" i="1"/>
  <c r="XY5" i="1" s="1"/>
  <c r="EH3" i="1"/>
  <c r="XY3" i="1" s="1"/>
  <c r="DG2" i="1"/>
  <c r="XV2" i="1" s="1"/>
  <c r="XU6" i="1"/>
  <c r="XU5" i="1"/>
  <c r="XU4" i="1"/>
  <c r="XU3" i="1"/>
  <c r="YZ3" i="1" l="1"/>
  <c r="EH6" i="1"/>
  <c r="XY6" i="1" s="1"/>
  <c r="CC6" i="1"/>
  <c r="XQ6" i="1" s="1"/>
  <c r="CC4" i="1"/>
  <c r="XQ4" i="1" s="1"/>
  <c r="CC3" i="1"/>
  <c r="XQ3" i="1" s="1"/>
  <c r="CC2" i="1"/>
  <c r="XQ2" i="1" s="1"/>
  <c r="AW6" i="1"/>
  <c r="XO6" i="1" s="1"/>
  <c r="AW2" i="1"/>
  <c r="XO2" i="1" s="1"/>
  <c r="AH5" i="1" l="1"/>
  <c r="XM5" i="1" s="1"/>
  <c r="AH4" i="1"/>
  <c r="XM4" i="1" s="1"/>
  <c r="AH6" i="1"/>
  <c r="XM6" i="1" s="1"/>
  <c r="AH3" i="1"/>
  <c r="XM3" i="1" s="1"/>
  <c r="AH2" i="1"/>
  <c r="XM2" i="1" s="1"/>
  <c r="XG6" i="1"/>
  <c r="YQ6" i="1" s="1"/>
  <c r="ZF6" i="1" s="1"/>
  <c r="RA6" i="1"/>
  <c r="YI6" i="1" s="1"/>
  <c r="QV6" i="1"/>
  <c r="QT6" i="1"/>
  <c r="YG6" i="1" s="1"/>
  <c r="QU6" i="1"/>
  <c r="YH6" i="1" s="1"/>
  <c r="EU6" i="1"/>
  <c r="YA6" i="1" s="1"/>
  <c r="YZ6" i="1" s="1"/>
  <c r="EI6" i="1"/>
  <c r="XZ6" i="1" s="1"/>
  <c r="DS6" i="1"/>
  <c r="DG6" i="1"/>
  <c r="XV6" i="1" s="1"/>
  <c r="CM6" i="1"/>
  <c r="CN6" i="1" s="1"/>
  <c r="BC6" i="1"/>
  <c r="XP6" i="1" s="1"/>
  <c r="AQ6" i="1"/>
  <c r="XN6" i="1" s="1"/>
  <c r="XG5" i="1"/>
  <c r="YQ5" i="1" s="1"/>
  <c r="WK5" i="1"/>
  <c r="YN5" i="1" s="1"/>
  <c r="WL5" i="1"/>
  <c r="YO5" i="1" s="1"/>
  <c r="RA5" i="1"/>
  <c r="YI5" i="1" s="1"/>
  <c r="ZC5" i="1" s="1"/>
  <c r="QU5" i="1"/>
  <c r="YH5" i="1" s="1"/>
  <c r="EU5" i="1"/>
  <c r="YA5" i="1" s="1"/>
  <c r="YZ5" i="1" s="1"/>
  <c r="EI5" i="1"/>
  <c r="XZ5" i="1" s="1"/>
  <c r="DS5" i="1"/>
  <c r="DH5" i="1"/>
  <c r="CM5" i="1"/>
  <c r="BC5" i="1"/>
  <c r="XP5" i="1" s="1"/>
  <c r="AW5" i="1"/>
  <c r="XO5" i="1" s="1"/>
  <c r="AQ5" i="1"/>
  <c r="XN5" i="1" s="1"/>
  <c r="XG4" i="1"/>
  <c r="YQ4" i="1" s="1"/>
  <c r="ZF4" i="1" s="1"/>
  <c r="WD4" i="1"/>
  <c r="YM4" i="1" s="1"/>
  <c r="RA4" i="1"/>
  <c r="YI4" i="1" s="1"/>
  <c r="QV4" i="1"/>
  <c r="QT4" i="1"/>
  <c r="YG4" i="1" s="1"/>
  <c r="QU4" i="1"/>
  <c r="YH4" i="1" s="1"/>
  <c r="EU4" i="1"/>
  <c r="YA4" i="1" s="1"/>
  <c r="YZ4" i="1" s="1"/>
  <c r="EH4" i="1"/>
  <c r="XY4" i="1" s="1"/>
  <c r="EI4" i="1"/>
  <c r="XZ4" i="1" s="1"/>
  <c r="DS4" i="1"/>
  <c r="DG4" i="1"/>
  <c r="XV4" i="1" s="1"/>
  <c r="CM4" i="1"/>
  <c r="CN4" i="1" s="1"/>
  <c r="BC4" i="1"/>
  <c r="XP4" i="1" s="1"/>
  <c r="AW4" i="1"/>
  <c r="XO4" i="1" s="1"/>
  <c r="AQ4" i="1"/>
  <c r="XN4" i="1" s="1"/>
  <c r="XG3" i="1"/>
  <c r="YQ3" i="1" s="1"/>
  <c r="ZF3" i="1" s="1"/>
  <c r="VU3" i="1"/>
  <c r="YK3" i="1" s="1"/>
  <c r="RA3" i="1"/>
  <c r="YI3" i="1" s="1"/>
  <c r="ZC3" i="1" s="1"/>
  <c r="QU3" i="1"/>
  <c r="YH3" i="1" s="1"/>
  <c r="EV3" i="1"/>
  <c r="YB3" i="1" s="1"/>
  <c r="DS3" i="1"/>
  <c r="CM3" i="1"/>
  <c r="BC3" i="1"/>
  <c r="XP3" i="1" s="1"/>
  <c r="AW3" i="1"/>
  <c r="XO3" i="1" s="1"/>
  <c r="AQ3" i="1"/>
  <c r="XN3" i="1" s="1"/>
  <c r="YQ2" i="1"/>
  <c r="ZF2" i="1" s="1"/>
  <c r="WL2" i="1"/>
  <c r="YO2" i="1" s="1"/>
  <c r="WD2" i="1"/>
  <c r="YM2" i="1" s="1"/>
  <c r="RA2" i="1"/>
  <c r="YI2" i="1" s="1"/>
  <c r="QV2" i="1"/>
  <c r="QT2" i="1"/>
  <c r="YG2" i="1" s="1"/>
  <c r="QU2" i="1"/>
  <c r="YH2" i="1" s="1"/>
  <c r="EU2" i="1"/>
  <c r="YA2" i="1" s="1"/>
  <c r="YZ2" i="1" s="1"/>
  <c r="EF2" i="1"/>
  <c r="EE2" i="1"/>
  <c r="DS2" i="1"/>
  <c r="CM2" i="1"/>
  <c r="CN2" i="1" s="1"/>
  <c r="BC2" i="1"/>
  <c r="XP2" i="1" s="1"/>
  <c r="AQ2" i="1"/>
  <c r="XN2" i="1" s="1"/>
  <c r="ZC2" i="1" l="1"/>
  <c r="ZC4" i="1"/>
  <c r="ZF5" i="1"/>
  <c r="CO3" i="1"/>
  <c r="XS3" i="1" s="1"/>
  <c r="CN3" i="1"/>
  <c r="CP3" i="1" s="1"/>
  <c r="XT3" i="1" s="1"/>
  <c r="DT5" i="1"/>
  <c r="XX5" i="1" s="1"/>
  <c r="DT2" i="1"/>
  <c r="XX2" i="1" s="1"/>
  <c r="XW3" i="1"/>
  <c r="DT3" i="1"/>
  <c r="XX3" i="1" s="1"/>
  <c r="DT4" i="1"/>
  <c r="XX4" i="1" s="1"/>
  <c r="DT6" i="1"/>
  <c r="XX6" i="1" s="1"/>
  <c r="CO5" i="1"/>
  <c r="XS5" i="1" s="1"/>
  <c r="CN5" i="1"/>
  <c r="CP5" i="1" s="1"/>
  <c r="XT5" i="1" s="1"/>
  <c r="ZD3" i="1"/>
  <c r="ZE3" i="1" s="1"/>
  <c r="CD2" i="1"/>
  <c r="XR2" i="1" s="1"/>
  <c r="YU2" i="1" s="1"/>
  <c r="YV2" i="1" s="1"/>
  <c r="ZD2" i="1"/>
  <c r="ZC6" i="1"/>
  <c r="YT3" i="1"/>
  <c r="YF2" i="1"/>
  <c r="CD3" i="1"/>
  <c r="XR3" i="1" s="1"/>
  <c r="YU3" i="1" s="1"/>
  <c r="YV3" i="1" s="1"/>
  <c r="PW4" i="1"/>
  <c r="YF4" i="1" s="1"/>
  <c r="CD5" i="1"/>
  <c r="XR5" i="1" s="1"/>
  <c r="YU5" i="1" s="1"/>
  <c r="YV5" i="1" s="1"/>
  <c r="CD6" i="1"/>
  <c r="XR6" i="1" s="1"/>
  <c r="YU6" i="1" s="1"/>
  <c r="YV6" i="1" s="1"/>
  <c r="VU6" i="1"/>
  <c r="YK6" i="1" s="1"/>
  <c r="ZD6" i="1" s="1"/>
  <c r="ZE6" i="1" s="1"/>
  <c r="YT6" i="1"/>
  <c r="CD4" i="1"/>
  <c r="XR4" i="1" s="1"/>
  <c r="YU4" i="1" s="1"/>
  <c r="YV4" i="1" s="1"/>
  <c r="YT4" i="1"/>
  <c r="VU5" i="1"/>
  <c r="YK5" i="1" s="1"/>
  <c r="ZD5" i="1" s="1"/>
  <c r="ZE5" i="1" s="1"/>
  <c r="YT2" i="1"/>
  <c r="YT5" i="1"/>
  <c r="CP4" i="1"/>
  <c r="XT4" i="1" s="1"/>
  <c r="CO4" i="1"/>
  <c r="XS4" i="1" s="1"/>
  <c r="XW4" i="1"/>
  <c r="XW6" i="1"/>
  <c r="CP2" i="1"/>
  <c r="XT2" i="1" s="1"/>
  <c r="CO2" i="1"/>
  <c r="XS2" i="1" s="1"/>
  <c r="DG3" i="1"/>
  <c r="XV3" i="1" s="1"/>
  <c r="DG5" i="1"/>
  <c r="XV5" i="1" s="1"/>
  <c r="XW5" i="1"/>
  <c r="EH2" i="1"/>
  <c r="XY2" i="1" s="1"/>
  <c r="EI2" i="1"/>
  <c r="XZ2" i="1" s="1"/>
  <c r="YF6" i="1"/>
  <c r="CP6" i="1"/>
  <c r="XT6" i="1" s="1"/>
  <c r="CO6" i="1"/>
  <c r="XS6" i="1" s="1"/>
  <c r="XW2" i="1"/>
  <c r="YF3" i="1"/>
  <c r="ZA3" i="1" s="1"/>
  <c r="ZB3" i="1" s="1"/>
  <c r="VU4" i="1"/>
  <c r="YK4" i="1" s="1"/>
  <c r="ZD4" i="1" s="1"/>
  <c r="ZE4" i="1" s="1"/>
  <c r="YF5" i="1"/>
  <c r="EV2" i="1"/>
  <c r="YB2" i="1" s="1"/>
  <c r="EV4" i="1"/>
  <c r="YB4" i="1" s="1"/>
  <c r="XH6" i="1"/>
  <c r="YR6" i="1" s="1"/>
  <c r="ZG6" i="1" s="1"/>
  <c r="ZH6" i="1" s="1"/>
  <c r="XH5" i="1"/>
  <c r="YR5" i="1" s="1"/>
  <c r="ZG5" i="1" s="1"/>
  <c r="ZH5" i="1" s="1"/>
  <c r="EV5" i="1"/>
  <c r="YB5" i="1" s="1"/>
  <c r="EV6" i="1"/>
  <c r="YB6" i="1" s="1"/>
  <c r="XH4" i="1"/>
  <c r="YR4" i="1" s="1"/>
  <c r="ZG4" i="1" s="1"/>
  <c r="ZH4" i="1" s="1"/>
  <c r="XH3" i="1"/>
  <c r="YR3" i="1" s="1"/>
  <c r="ZG3" i="1" s="1"/>
  <c r="ZH3" i="1" s="1"/>
  <c r="XH2" i="1"/>
  <c r="YR2" i="1" s="1"/>
  <c r="ZG2" i="1" s="1"/>
  <c r="ZH2" i="1" s="1"/>
  <c r="ZE2" i="1" l="1"/>
  <c r="YW3" i="1"/>
  <c r="ZI3" i="1" s="1"/>
  <c r="ZA6" i="1"/>
  <c r="ZB6" i="1" s="1"/>
  <c r="YW5" i="1"/>
  <c r="ZI5" i="1" s="1"/>
  <c r="ZA2" i="1"/>
  <c r="ZB2" i="1" s="1"/>
  <c r="YX4" i="1"/>
  <c r="YY4" i="1" s="1"/>
  <c r="ZA5" i="1"/>
  <c r="ZB5" i="1" s="1"/>
  <c r="YW4" i="1"/>
  <c r="ZA4" i="1"/>
  <c r="ZB4" i="1" s="1"/>
  <c r="YX5" i="1"/>
  <c r="YY5" i="1" s="1"/>
  <c r="YX3" i="1"/>
  <c r="YW6" i="1"/>
  <c r="YX6" i="1"/>
  <c r="YY6" i="1" s="1"/>
  <c r="YW2" i="1"/>
  <c r="YX2" i="1"/>
  <c r="YY2" i="1" s="1"/>
  <c r="ZK5" i="1" l="1"/>
  <c r="ZK6" i="1"/>
  <c r="ZK4" i="1"/>
  <c r="ZJ2" i="1"/>
  <c r="ZK2" i="1"/>
  <c r="ZJ3" i="1"/>
  <c r="YY3" i="1"/>
  <c r="ZK3" i="1" s="1"/>
  <c r="ZJ6" i="1"/>
  <c r="ZJ5" i="1"/>
  <c r="ZJ4" i="1"/>
  <c r="ZI6" i="1"/>
  <c r="ZI2" i="1"/>
  <c r="ZI4" i="1"/>
</calcChain>
</file>

<file path=xl/sharedStrings.xml><?xml version="1.0" encoding="utf-8"?>
<sst xmlns="http://schemas.openxmlformats.org/spreadsheetml/2006/main" count="3667" uniqueCount="1309">
  <si>
    <t>Theme</t>
  </si>
  <si>
    <t>1: Governance</t>
  </si>
  <si>
    <t>2: Availability</t>
  </si>
  <si>
    <t>3: Accessibility</t>
  </si>
  <si>
    <t>4: Acceptability</t>
  </si>
  <si>
    <t>5: Adaptability</t>
  </si>
  <si>
    <t>Subtheme</t>
  </si>
  <si>
    <t>1.1: International Framework</t>
  </si>
  <si>
    <t>1.2: National Law</t>
  </si>
  <si>
    <t>1.3: Plan of Action</t>
  </si>
  <si>
    <t>1.4: Monitoring and Reporting</t>
  </si>
  <si>
    <t>1.5: Financing</t>
  </si>
  <si>
    <t>2.1: Classrooms</t>
  </si>
  <si>
    <t>2.2: Sanitation</t>
  </si>
  <si>
    <t>2.3: Teachers</t>
  </si>
  <si>
    <t>2.4: Textbooks</t>
  </si>
  <si>
    <t>3.1: Free Education</t>
  </si>
  <si>
    <t>3.2: Discrimination</t>
  </si>
  <si>
    <t>3.3: Participation</t>
  </si>
  <si>
    <t>4.1: Aims of Education</t>
  </si>
  <si>
    <t>4.2: Learning Environment</t>
  </si>
  <si>
    <t>4.3: Learning Outcomes</t>
  </si>
  <si>
    <t>5.1: Children with Disabilities</t>
  </si>
  <si>
    <t>5.2: Children of Minorities</t>
  </si>
  <si>
    <t>5.3: Out of School Education</t>
  </si>
  <si>
    <t>5.4: Out of School Children</t>
  </si>
  <si>
    <t>Indicator</t>
  </si>
  <si>
    <t>1.1.1: Is the State party to the following United Nations treaties?</t>
  </si>
  <si>
    <t>1.1.2: Is the State party to the following UNESCO treaty?</t>
  </si>
  <si>
    <t>1.1.3: Is the State party to the following ILO conventions?</t>
  </si>
  <si>
    <t>1.1.4: Is the State party to the following Geneva conventions?</t>
  </si>
  <si>
    <t>1.1.5: Is the State party to the following regional treaties?</t>
  </si>
  <si>
    <t>1.2.1: Do national laws protect the right to education?</t>
  </si>
  <si>
    <t>1.2.2: Do national laws protect the liberty of individuals to establish private schools?</t>
  </si>
  <si>
    <t>1.2.3: Do national laws protect the right of minorities to establish their own schools?</t>
  </si>
  <si>
    <t>1.2.4: Do national laws expressly recognize the liberty of parents to choose the religious and moral education of their children in conformity with their own convictions?</t>
  </si>
  <si>
    <t>1.3.1: Is there a national education plan that aims to achieve free and compulsory primary education?</t>
  </si>
  <si>
    <t>1.3.2: Are there targeted implementation dates for each stage of the progressive implementation of the plan?</t>
  </si>
  <si>
    <t>1.3.3 Does the national education plan include measures to encourage regular attendance at schools and reduce drop-out rates?</t>
  </si>
  <si>
    <t>1.4.1: Are there minimum educational standards applicable to all schools, including private schools?</t>
  </si>
  <si>
    <t>1.4.2: Is there a State body responsible for monitoring the education system?</t>
  </si>
  <si>
    <t>1.4.4 Is the data on primary school net enrollment rate publically available?</t>
  </si>
  <si>
    <t>1.5.1 What is the current public expenditure per pupil as a percentage of GDP per capita?</t>
  </si>
  <si>
    <t>1.5.2 What is the government expenditure on education as reported as the percentage of GDP allocated to education?</t>
  </si>
  <si>
    <t>1.5.3 What percentage of the national education budget comes from foreign aid sources (bilateral and multilateral)?</t>
  </si>
  <si>
    <t>1.5.4 What is the percentage of GDP allocated to foreign aid in relation to education? [donor countries]</t>
  </si>
  <si>
    <t>2.1.1 Is there a minimum standard in place setting the numbers of pupils per classroom?</t>
  </si>
  <si>
    <t>2.1.2: What is the pupil-classroom ratio?</t>
  </si>
  <si>
    <t>2.2.1 Is there a minimum standard in place setting the number of pupils per toilet?</t>
  </si>
  <si>
    <t>2.2.2 What is the pupil-toilet ratio?</t>
  </si>
  <si>
    <t>2.2.3: What is the percentage of schools with toilets?</t>
  </si>
  <si>
    <t>2.2.4: What is the percentage of schools with potable water?</t>
  </si>
  <si>
    <t>2.3.2 Is there a minimum standard in place setting the number of pupils per trained teacher?</t>
  </si>
  <si>
    <t>2.3.3: What is the pupil-trained teacher ratio?</t>
  </si>
  <si>
    <t>2.3.4: What is the mean teacher salary relative to the national mean salary?</t>
  </si>
  <si>
    <t>2.4.2: What is the pupil-textbook ratio?</t>
  </si>
  <si>
    <t>3.1.1: Do national laws provide free and compulsory primary education?</t>
  </si>
  <si>
    <t>3.1.3: What percent of household spending was spent on primary education?</t>
  </si>
  <si>
    <t>3.1.4: What percent of household spending was spent on secondary education?</t>
  </si>
  <si>
    <t>3.1.5: Are tuition fees charged for public university/higher education?</t>
  </si>
  <si>
    <t>3.1.6: Is basic education publicly provided for adults who have not completed primary education?</t>
  </si>
  <si>
    <t>3.2.1: Do national laws forbid discrimination on the following grounds?</t>
  </si>
  <si>
    <t>3.2.2: Is the expulsion of girls from school because of pregnancy or for having a baby explicitly forbidden in national legislation?</t>
  </si>
  <si>
    <t>3.2.3: In practice, are girls expelled from school because of pregnancy or for having a baby?</t>
  </si>
  <si>
    <t>3.2.4: Do migrant, refugee, or internally displaced children have to present documents stating their legal status to enroll in school?</t>
  </si>
  <si>
    <t>3.3.2: What is the net enrollment rate?</t>
  </si>
  <si>
    <t>3.3.3: What is the completion rate?</t>
  </si>
  <si>
    <t>4.1.1: Do national laws or policies direct education towards the following aims?</t>
  </si>
  <si>
    <t>4.1.2: Does the national curriculum direct education towards the following aims</t>
  </si>
  <si>
    <t>4.1.3: Does the required training for teachers include improving the skills necessary for teaching towards the full development of the following aims?</t>
  </si>
  <si>
    <t>4.1.4: Are there established mechanisms to ensure that textbooks used in both public and private schools are aligned with the curriculum guidelines provided by the Ministry of Education?</t>
  </si>
  <si>
    <t>4.1.5: Does national curriculum include the following topics?</t>
  </si>
  <si>
    <t>4.2.1: Has the national government adopted specific measure to protect children from violence and abuse in school?</t>
  </si>
  <si>
    <t>4.2.3: Do national laws prohibit corporal punishment?</t>
  </si>
  <si>
    <t>4.2.4: Does corporal punishment occur in practice?</t>
  </si>
  <si>
    <t>4.3.3: What percent of students received a passing score on the national assessment/exam?</t>
  </si>
  <si>
    <t>4.3.4: What is the literacy rate?</t>
  </si>
  <si>
    <t>5.1.1: Do national laws recognize the right to education for children with disabilities?</t>
  </si>
  <si>
    <t>5.1.2: Are reasonable accommodation measures available for children with disabilities in mainstream schools?</t>
  </si>
  <si>
    <t>5.2.1: Are there mobile schools for children of nomads?</t>
  </si>
  <si>
    <t>5.2.2: Do national laws provide for language of instruction to be in the child's mother tongue?</t>
  </si>
  <si>
    <t>5.2.3: What percent of students are not taught in their mother tongue?</t>
  </si>
  <si>
    <t>5.3.1: Is primary education available in retention center/camps for refugee children?</t>
  </si>
  <si>
    <t>5.3.3: Is education available in prison?</t>
  </si>
  <si>
    <t>5.3.4: Do imprisoned children receive education integrated with the general education system (i.e., same curricula)?</t>
  </si>
  <si>
    <t>5.4.1: Does national law prohibit early marriage (below the age of 18)?</t>
  </si>
  <si>
    <t>5.4.3: Is the legal minimum age of employment 15 or above?</t>
  </si>
  <si>
    <t>5.4.4: Has the government adopted specific measures to combat child labor?</t>
  </si>
  <si>
    <t>5.4.6: Is the legal minimum age of military recruitment 15 or above?</t>
  </si>
  <si>
    <t>Governance</t>
  </si>
  <si>
    <t>Availability</t>
  </si>
  <si>
    <t>Accessibility</t>
  </si>
  <si>
    <t>Acceptability</t>
  </si>
  <si>
    <t>Adaptability</t>
  </si>
  <si>
    <t>1.1.1a: The International Covenant of Economic, Social and Cultural Rights</t>
  </si>
  <si>
    <t>1.1.1b: The Convention on the Rights of the Child</t>
  </si>
  <si>
    <t>1.1.1c: The International Convention on the Elimination of All Forms of Racial Discrimination</t>
  </si>
  <si>
    <t>1.1.1d: The Convention on the Rights of Persons with Disabilities</t>
  </si>
  <si>
    <t>1.1.1f: The Convention relating to the Status of Refugees</t>
  </si>
  <si>
    <t>1.1.1g: The International Covenant on Civil and Political Rights</t>
  </si>
  <si>
    <t>1.1.2a: The UNESCO Convention against Discrimination in Education</t>
  </si>
  <si>
    <t>1.1.3a: The ILO Minimum Age Convention</t>
  </si>
  <si>
    <t>1.1.3b: The ILO Worst Forms of Child Labour Convention</t>
  </si>
  <si>
    <t>1.1.3c: The ILO Indigenous and Tribal Peoples Convention</t>
  </si>
  <si>
    <t>1.1.4a: The Geneva Convention III relative to the Treatment of Prisoners of War</t>
  </si>
  <si>
    <t>1.1.4b: The Geneva Convention IV relative to the Protection of Civilian Persons in Time of War</t>
  </si>
  <si>
    <t>1.1.4c: Protocol I to the Geneva Conventions of 12 August 1949, and relating to the Protection of Victims of International Armed Conflicts</t>
  </si>
  <si>
    <t>1.1.4d: Protocol II to the Geneva Conventions of 12 August 1949, and relating to the Protection of Victims of Non-International Armed Conflicts</t>
  </si>
  <si>
    <t>1.1.5a: In Africa: The African Charter on Human and Peoples' Rights</t>
  </si>
  <si>
    <t>1.1.5c: In Africa: The African Charter on the Rights and Welfare of the Child</t>
  </si>
  <si>
    <t>1.1.5d: In Africa: African Youth Charter</t>
  </si>
  <si>
    <t>1.1.5e: In Africa: African Union Convention for the Protection and Assistance of Internally Displaced Persons in Africa</t>
  </si>
  <si>
    <t>1.1.5f: In the Americas: The Charter of the Organization of American States</t>
  </si>
  <si>
    <t>1.1.5g: In the Americas: The Additional Protocol to the American Convention on Human Rights, Protocol of San Salvador</t>
  </si>
  <si>
    <t>1.1.5h: In the Americas: The Inter-American Democratic Charter</t>
  </si>
  <si>
    <t>1.1.5i: In Arab States: The Arab Charter on Human Rights</t>
  </si>
  <si>
    <t>1.1.5j: In Europe: Protocol 1 to the European Convention for the Protection of Human Rights and Fundamental Freedoms</t>
  </si>
  <si>
    <t>1.1.5k: In Europe: The Revised European Social Charter</t>
  </si>
  <si>
    <t>1.1.5l: In Europe: The European Charter for Regional or Minority Languages</t>
  </si>
  <si>
    <t>1.1.5m: In Europe: The Framework Convention for the Protection of National Minorities</t>
  </si>
  <si>
    <t>1.1.5o: In Europe: The Convention on the Recognition of Qualifications concerning Higher Education in the European Region</t>
  </si>
  <si>
    <t>1.1.5p: In Europe: The European Union Charter of Fundamental Rights</t>
  </si>
  <si>
    <t>1.2.1a: Do national laws protect the right to primary education?</t>
  </si>
  <si>
    <t>1.2.1b: Do national laws protect the right to secondary education?</t>
  </si>
  <si>
    <t>1.2.1c: Do national laws protect the right to technical and vocational education?</t>
  </si>
  <si>
    <t>1.2.1d: Do national laws protect the right to higher education/university?</t>
  </si>
  <si>
    <t>National Laws_Available</t>
  </si>
  <si>
    <t>1.5.5a: Primary</t>
  </si>
  <si>
    <t>1.5.5b: Secondary</t>
  </si>
  <si>
    <t>1.5.5c: TVET</t>
  </si>
  <si>
    <t>1.5.5d: Tertiary</t>
  </si>
  <si>
    <t>1.5.6a: Teacher salaries</t>
  </si>
  <si>
    <t>1.5.6b: Teaching and learning materials (including teacher training)</t>
  </si>
  <si>
    <t>1.5.6c: Capital development (i.e., infrastructure)</t>
  </si>
  <si>
    <t>Financing_Available</t>
  </si>
  <si>
    <t>Classrooms_Available</t>
  </si>
  <si>
    <t>Sanitation_Available</t>
  </si>
  <si>
    <t>2.3.2a Is there a minimum standard in place setting the number of pupils per trained teacher (primary school)?</t>
  </si>
  <si>
    <t>2.3.2c Is there a minimum standard in place setting the number of pupils per trained teacher (secondary school)?</t>
  </si>
  <si>
    <t>2.3.2d If yes, what is the minimum standard pupil-trained teacher ratio (secondary school)?</t>
  </si>
  <si>
    <t>Teachers_Available</t>
  </si>
  <si>
    <t>Textbooks_Available</t>
  </si>
  <si>
    <t>3.1.5a: Are tuition fees charged for public university/higher education?</t>
  </si>
  <si>
    <t>Free Education_Available</t>
  </si>
  <si>
    <t>3.2.1a: Race and color (ethnicity)</t>
  </si>
  <si>
    <t>3.2.1b: Sex</t>
  </si>
  <si>
    <t>3.2.1c: Language</t>
  </si>
  <si>
    <t>3.2.1d: Religion</t>
  </si>
  <si>
    <t>3.2.1e: Political or other opinion</t>
  </si>
  <si>
    <t>3.2.1f: National or social origin?</t>
  </si>
  <si>
    <t>3.2.1g: Property</t>
  </si>
  <si>
    <t>3.2.1i: Sexual orientation and gender identity</t>
  </si>
  <si>
    <t>3.2.1j: Disability</t>
  </si>
  <si>
    <t>3.2.1k: Age</t>
  </si>
  <si>
    <t>3.2.1l: Nationality</t>
  </si>
  <si>
    <t>3.2.1m: Marital and family status</t>
  </si>
  <si>
    <t>3.2.1n: Health status</t>
  </si>
  <si>
    <t>3.2.1o: Place of Residence</t>
  </si>
  <si>
    <t>3.2.1p: Economic and social situation</t>
  </si>
  <si>
    <t>Discrimination_Available</t>
  </si>
  <si>
    <t>3.3.1aa: Primary schools - overall</t>
  </si>
  <si>
    <t>3.3.1ab: Primary schools - males</t>
  </si>
  <si>
    <t>3.3.1ac: Primary schools - females</t>
  </si>
  <si>
    <t>3.3.1ad: Primary schools - urban</t>
  </si>
  <si>
    <t>3.3.1ae: Primary schools - rural</t>
  </si>
  <si>
    <t>3.3.1af: Primary schools - Q1</t>
  </si>
  <si>
    <t>3.3.1ag: Primary schools - Q2</t>
  </si>
  <si>
    <t>3.3.1ah: Primary schools - Q3</t>
  </si>
  <si>
    <t>3.3.1ai: Primary schools - Q4</t>
  </si>
  <si>
    <t>3.3.1aj: Primary schools - Q5</t>
  </si>
  <si>
    <t>3.3.1ak: Primary schools - disability</t>
  </si>
  <si>
    <t>3.3.1ba: Secondary schools - overall</t>
  </si>
  <si>
    <t>3.3.1bb: Secondary schools - males</t>
  </si>
  <si>
    <t>3.3.1bc: Secondary schools - females</t>
  </si>
  <si>
    <t>3.3.1bd: Secondary schools - urban</t>
  </si>
  <si>
    <t>3.3.1be: Secondary schools - rural</t>
  </si>
  <si>
    <t>3.3.1bf: Secondary schools - Q1</t>
  </si>
  <si>
    <t>3.3.1bg: Secondary schools - Q2</t>
  </si>
  <si>
    <t>3.3.1bh: Secondary schools - Q3</t>
  </si>
  <si>
    <t>3.3.1bi: Secondary schools - Q4</t>
  </si>
  <si>
    <t>3.3.1bj: Secondary schools - Q5</t>
  </si>
  <si>
    <t>3.3.1bk: Secondary schools - disability</t>
  </si>
  <si>
    <t>3.3.1ca: TVET - overall</t>
  </si>
  <si>
    <t>3.3.1cb: TVET - males</t>
  </si>
  <si>
    <t>3.3.1cc: TVET - females</t>
  </si>
  <si>
    <t>3.3.1cd: TVET - urban</t>
  </si>
  <si>
    <t>3.3.1ce: TVET - rural</t>
  </si>
  <si>
    <t>3.3.1cf: TVET - Q1</t>
  </si>
  <si>
    <t>3.3.1cg: TVET - Q2</t>
  </si>
  <si>
    <t>3.3.1ch: TVET - Q3</t>
  </si>
  <si>
    <t>3.3.1ci: TVET - Q4</t>
  </si>
  <si>
    <t>3.3.1cj: TVET - Q5</t>
  </si>
  <si>
    <t>3.3.1ck: TVET - disability</t>
  </si>
  <si>
    <t>3.3.1da: Tertiary - overall</t>
  </si>
  <si>
    <t>3.3.1db: Tertiary - males</t>
  </si>
  <si>
    <t>3.3.1dc: Tertiary - females</t>
  </si>
  <si>
    <t>3.3.1dd: Tertiary - urban</t>
  </si>
  <si>
    <t>3.3.1de: Tertiary - rural</t>
  </si>
  <si>
    <t>3.3.1df: Tertiary - Q1</t>
  </si>
  <si>
    <t>3.3.1dg: Tertiary - Q2</t>
  </si>
  <si>
    <t>3.3.1dh: Tertiary - Q3</t>
  </si>
  <si>
    <t>3.3.1di: Tertiary - Q4</t>
  </si>
  <si>
    <t>3.3.1dj: Tertiary - Q5</t>
  </si>
  <si>
    <t>3.3.1dk: Tertiary - disability</t>
  </si>
  <si>
    <t>3.3.2aa: Primary schools - overall</t>
  </si>
  <si>
    <t>3.3.2ab: Primary schools - males</t>
  </si>
  <si>
    <t>3.3.2ac: Primary schools - females</t>
  </si>
  <si>
    <t>3.3.2ad: Primary schools - urban</t>
  </si>
  <si>
    <t>3.3.2ae: Primary schools - rural</t>
  </si>
  <si>
    <t>3.3.2af: Primary schools - Q1</t>
  </si>
  <si>
    <t>3.3.2ag: Primary schools - Q2</t>
  </si>
  <si>
    <t>3.3.2ah: Primary schools - Q3</t>
  </si>
  <si>
    <t>3.3.2ai: Primary schools - Q4</t>
  </si>
  <si>
    <t>3.3.2aj: Primary schools - Q5</t>
  </si>
  <si>
    <t>3.3.2ak: Primary schools - disability</t>
  </si>
  <si>
    <t>3.3.2ba: Secondary schools - overall</t>
  </si>
  <si>
    <t>3.3.2bb: Secondary schools - males</t>
  </si>
  <si>
    <t>3.3.2bc: Secondary schools - females</t>
  </si>
  <si>
    <t>3.3.2bd: Secondary schools - urban</t>
  </si>
  <si>
    <t>3.3.2be: Secondary schools - rural</t>
  </si>
  <si>
    <t>3.3.2bf: Secondary schools - Q1</t>
  </si>
  <si>
    <t>3.3.2bg: Secondary schools - Q2</t>
  </si>
  <si>
    <t>3.3.2bh: Secondary schools - Q3</t>
  </si>
  <si>
    <t>3.3.2bi: Secondary schools - Q4</t>
  </si>
  <si>
    <t>3.3.2bj: Secondary schools - Q5</t>
  </si>
  <si>
    <t>3.3.2bk: Secondary schools - disability</t>
  </si>
  <si>
    <t>3.3.3aa: Public primary schools - overall</t>
  </si>
  <si>
    <t>3.3.3ab: Public primary schools - males</t>
  </si>
  <si>
    <t>3.3.3ac: Public primary schools - females</t>
  </si>
  <si>
    <t>3.3.3ad: Public primary schools - urban</t>
  </si>
  <si>
    <t>3.3.3ae: Public primary schools - rural</t>
  </si>
  <si>
    <t>3.3.3af: Public primary schools - Q1</t>
  </si>
  <si>
    <t>3.3.3ag: Public primary schools - Q2</t>
  </si>
  <si>
    <t>3.3.3ah: Public primary schools - Q3</t>
  </si>
  <si>
    <t>3.3.3ai: Public primary schools - Q4</t>
  </si>
  <si>
    <t>3.3.3aj: Public primary schools - Q5</t>
  </si>
  <si>
    <t>3.3.3ak: Public primary schools - disability</t>
  </si>
  <si>
    <t>3.3.3ba: Public secondary schools - overall</t>
  </si>
  <si>
    <t>3.3.3bb: Public secondary schools - males</t>
  </si>
  <si>
    <t>3.3.3bc: Public secondary schools - females</t>
  </si>
  <si>
    <t>3.3.3bd: Public secondary schools - urban</t>
  </si>
  <si>
    <t>3.3.3be: Public secondary schools - rural</t>
  </si>
  <si>
    <t>3.3.3bf: Public secondary schools - Q1</t>
  </si>
  <si>
    <t>3.3.3bg: Public secondary schools - Q2</t>
  </si>
  <si>
    <t>3.3.3bh: Public secondary schools - Q3</t>
  </si>
  <si>
    <t>3.3.3bi: Public secondary schools - Q4</t>
  </si>
  <si>
    <t>3.3.3bj: Public secondary schools - Q5</t>
  </si>
  <si>
    <t>3.3.3bk: Public secondary schools - disability</t>
  </si>
  <si>
    <t>3.3.3ca: Public TVET - overall</t>
  </si>
  <si>
    <t>3.3.3cb: Public TVET - males</t>
  </si>
  <si>
    <t>3.3.3cc: Public TVET - females</t>
  </si>
  <si>
    <t>3.3.3cd: Public TVET - urban</t>
  </si>
  <si>
    <t>3.3.3ce: Public TVET - rural</t>
  </si>
  <si>
    <t>3.3.3cf: Public TVET - Q1</t>
  </si>
  <si>
    <t>3.3.3cg: Public TVET - Q2</t>
  </si>
  <si>
    <t>3.3.3ch: Public TVET - Q3</t>
  </si>
  <si>
    <t>3.3.3ci: Public TVET - Q4</t>
  </si>
  <si>
    <t>3.3.3cj: Public TVET - Q5</t>
  </si>
  <si>
    <t>3.3.3ck: Public TVET - disability</t>
  </si>
  <si>
    <t>3.3.3da: Public Tertiary - overall</t>
  </si>
  <si>
    <t>3.3.3db: Public Tertiary - males</t>
  </si>
  <si>
    <t>3.3.3dc: Public Tertiary - females</t>
  </si>
  <si>
    <t>3.3.3dd: Public Tertiary - urban</t>
  </si>
  <si>
    <t>3.3.3de: Public Tertiary - rural</t>
  </si>
  <si>
    <t>3.3.3df: Public Tertiary - Q1</t>
  </si>
  <si>
    <t>3.3.3dg: Public Tertiary - Q2</t>
  </si>
  <si>
    <t>3.3.3dh: Public Tertiary - Q3</t>
  </si>
  <si>
    <t>3.3.3di: Public Tertiary - Q4</t>
  </si>
  <si>
    <t>3.3.3dj: Public Tertiary - Q5</t>
  </si>
  <si>
    <t>3.3.3dk: Public Tertiary - disability</t>
  </si>
  <si>
    <t>Participation_Available</t>
  </si>
  <si>
    <t>4.1.1a: The full development of the child's personality, talents, and mental and physical abilities</t>
  </si>
  <si>
    <t>4.1.1b: The development of respect for human rights and fundamental freedoms</t>
  </si>
  <si>
    <t>4.1.1c: The development of respect for the child's parents, cultural identity, language, and values, as well as respect for the values of the child's country and other civilizations</t>
  </si>
  <si>
    <t>4.1.1e: The development of respect for the natural environment</t>
  </si>
  <si>
    <t>4.1.2a: The full development of the child's personality, talents, and mental and physical abilities</t>
  </si>
  <si>
    <t>4.1.2b: The development of respect for human rights and fundamental freedoms</t>
  </si>
  <si>
    <t>4.1.2c: The development of respect for the child's parents, cultural identity, language, and values, as well as respect for the values of the child's country and other civilizations</t>
  </si>
  <si>
    <t>4.1.2e: The development of respect for the natural environment</t>
  </si>
  <si>
    <t>4.1.3a: The full development of the child's personality, talents, and mental and physical abilities</t>
  </si>
  <si>
    <t>4.1.3b: The development of respect for human rights and fundamental freedoms</t>
  </si>
  <si>
    <t>4.1.3c: The development of respect for the child's parents, cultural identity, language, and values, as well as respect for the values of the child's country and other civilizations</t>
  </si>
  <si>
    <t>4.1.3e: The development of respect for the natural environment</t>
  </si>
  <si>
    <t>4.1.5a: Health and well-being</t>
  </si>
  <si>
    <t>4.1.5b: Human rights</t>
  </si>
  <si>
    <t>4.1.5c: The arts</t>
  </si>
  <si>
    <t>Aims_Available</t>
  </si>
  <si>
    <t>Learn Environ_Available</t>
  </si>
  <si>
    <t>4.3.3aa: Overall primary - overall</t>
  </si>
  <si>
    <t>4.3.3ab: Overall primary - males</t>
  </si>
  <si>
    <t>4.3.3ac: Overall primary - females</t>
  </si>
  <si>
    <t>4.3.3ad: Overall primary - urban</t>
  </si>
  <si>
    <t>4.3.3ae: Overall primary - rural</t>
  </si>
  <si>
    <t>4.3.3af: Overall primary - Q1</t>
  </si>
  <si>
    <t>4.3.3ag: Overall primary - Q2</t>
  </si>
  <si>
    <t>4.3.3ah: Overall primary - Q3</t>
  </si>
  <si>
    <t>4.3.3ai: Overall primary - Q4</t>
  </si>
  <si>
    <t>4.3.3aj: Overall primary - Q5</t>
  </si>
  <si>
    <t>4.3.3ak: Overall primary - disability</t>
  </si>
  <si>
    <t>4.3.3ba: Reading primary - overall</t>
  </si>
  <si>
    <t>4.3.3bb: Reading primary - males</t>
  </si>
  <si>
    <t>4.3.3bc: Reading primary - females</t>
  </si>
  <si>
    <t>4.3.3bd: Reading primary - urban</t>
  </si>
  <si>
    <t>4.3.3be: Reading primary - rural</t>
  </si>
  <si>
    <t>4.3.3bf: Reading primary - Q1</t>
  </si>
  <si>
    <t>4.3.3bg: Reading primary - Q2</t>
  </si>
  <si>
    <t>4.3.3bh: Reading primary - Q3</t>
  </si>
  <si>
    <t>4.3.3bi: Reading primary - Q4</t>
  </si>
  <si>
    <t>4.3.3bj: Reading primary - Q5</t>
  </si>
  <si>
    <t>4.3.3bk: Reading primary - disability</t>
  </si>
  <si>
    <t>4.3.3ca: Math primary - overall</t>
  </si>
  <si>
    <t>4.3.3cb: Math primary - males</t>
  </si>
  <si>
    <t>4.3.3cc: Math primary - females</t>
  </si>
  <si>
    <t>4.3.3cd: Math primary - urban</t>
  </si>
  <si>
    <t>4.3.3ce: Math primary - rural</t>
  </si>
  <si>
    <t>4.3.3cf: Math primary - Q1</t>
  </si>
  <si>
    <t>4.3.3cg: Math primary - Q2</t>
  </si>
  <si>
    <t>4.3.3ch: Math primary - Q3</t>
  </si>
  <si>
    <t>4.3.3ci: Math primary - Q4</t>
  </si>
  <si>
    <t>4.3.3cj: Math primary - Q5</t>
  </si>
  <si>
    <t>4.3.3ck: Math primary - disability</t>
  </si>
  <si>
    <t>4.3.3da: Overall secondary - overall</t>
  </si>
  <si>
    <t>4.3.3db: Overall secondary - males</t>
  </si>
  <si>
    <t>4.3.3dc: Overall secondary - females</t>
  </si>
  <si>
    <t>4.3.3dd: Overall secondary - urban</t>
  </si>
  <si>
    <t>4.3.3de: Overall secondary - rural</t>
  </si>
  <si>
    <t>4.3.3df: Overall secondary - Q1</t>
  </si>
  <si>
    <t>4.3.3dg: Overall secondary - Q2</t>
  </si>
  <si>
    <t>4.3.3dh: Overall secondary - Q3</t>
  </si>
  <si>
    <t>4.3.3di: Overall secondary - Q4</t>
  </si>
  <si>
    <t>4.3.3dj: Overall secondary - Q5</t>
  </si>
  <si>
    <t>4.3.3dk: Overall secondary - disability</t>
  </si>
  <si>
    <t>4.3.3ea: Reading secondary - overall</t>
  </si>
  <si>
    <t>4.3.3eb: Reading secondary - males</t>
  </si>
  <si>
    <t>4.3.3ec: Reading secondary - females</t>
  </si>
  <si>
    <t>4.3.3ed: Reading secondary - urban</t>
  </si>
  <si>
    <t>4.3.3ee: Reading secondary - rural</t>
  </si>
  <si>
    <t>4.3.3ef: Reading secondary - Q1</t>
  </si>
  <si>
    <t>4.3.3eg: Reading secondary - Q2</t>
  </si>
  <si>
    <t>4.3.3eh: Reading secondary - Q3</t>
  </si>
  <si>
    <t>4.3.3ei: Reading secondary - Q4</t>
  </si>
  <si>
    <t>4.3.3ej: Reading secondary - Q5</t>
  </si>
  <si>
    <t>4.3.3ek: Reading secondary - disability</t>
  </si>
  <si>
    <t>4.3.3fa: Math secondary - overall</t>
  </si>
  <si>
    <t>4.3.3fb: Math secondary - males</t>
  </si>
  <si>
    <t>4.3.3fc: Math secondary - females</t>
  </si>
  <si>
    <t>4.3.3fd: Math secondary - urban</t>
  </si>
  <si>
    <t>4.3.3fe: Math secondary - rural</t>
  </si>
  <si>
    <t>4.3.3ff: Math secondary - Q1</t>
  </si>
  <si>
    <t>4.3.3fg: Math secondary - Q2</t>
  </si>
  <si>
    <t>4.3.3fh: Math secondary - Q3</t>
  </si>
  <si>
    <t>4.3.3fi: Math secondary - Q4</t>
  </si>
  <si>
    <t>4.3.3fj: Math secondary - Q5</t>
  </si>
  <si>
    <t>4.3.3fk: Math secondary - disability</t>
  </si>
  <si>
    <t>4.3.4aa: Youth - overall</t>
  </si>
  <si>
    <t>4.3.4ab: Youth - males</t>
  </si>
  <si>
    <t>4.3.4ac: Youth - females</t>
  </si>
  <si>
    <t>4.3.4ad: Youth - urban</t>
  </si>
  <si>
    <t>4.3.4ae: Youth - rural</t>
  </si>
  <si>
    <t>4.3.4af: Youth - Q1</t>
  </si>
  <si>
    <t>4.3.4ag: Youth - Q2</t>
  </si>
  <si>
    <t>4.3.4ah: Youth - Q3</t>
  </si>
  <si>
    <t>4.3.4ai: Youth - Q4</t>
  </si>
  <si>
    <t>4.3.4aj: Youth - Q5</t>
  </si>
  <si>
    <t>4.3.4ak: Youth - disability</t>
  </si>
  <si>
    <t>4.3.4ba: Adult - overall</t>
  </si>
  <si>
    <t>4.3.4bb: Adult - males</t>
  </si>
  <si>
    <t>4.3.4bc: Adult - females</t>
  </si>
  <si>
    <t>4.3.4bd: Adult - urban</t>
  </si>
  <si>
    <t>4.3.4be: Adult - rural</t>
  </si>
  <si>
    <t>4.3.4bf: Adult - Q1</t>
  </si>
  <si>
    <t>4.3.4bg: Adult - Q2</t>
  </si>
  <si>
    <t>4.3.4bh: Adult - Q3</t>
  </si>
  <si>
    <t>4.3.4bi: Adult - Q4</t>
  </si>
  <si>
    <t>4.3.4bj: Adult - Q5</t>
  </si>
  <si>
    <t>4.3.4bk: Adult - disability</t>
  </si>
  <si>
    <t>Learning Outcomes_Available</t>
  </si>
  <si>
    <t>5.1.3a: Overall</t>
  </si>
  <si>
    <t>5.1.3b: Primary schools</t>
  </si>
  <si>
    <t>5.1.3c: Secondary schools</t>
  </si>
  <si>
    <t>5.2.3a: Primary schools</t>
  </si>
  <si>
    <t>5.2.3b: Secondary schools</t>
  </si>
  <si>
    <t>Out of S Education_Available</t>
  </si>
  <si>
    <t>Out of S Children_Available</t>
  </si>
  <si>
    <t>RESULTS</t>
  </si>
  <si>
    <t xml:space="preserve">ALL </t>
  </si>
  <si>
    <t>S</t>
  </si>
  <si>
    <t>SW</t>
  </si>
  <si>
    <t>P</t>
  </si>
  <si>
    <t>PW</t>
  </si>
  <si>
    <t>O</t>
  </si>
  <si>
    <t>OW</t>
  </si>
  <si>
    <t>Chile</t>
  </si>
  <si>
    <t>1598682 Chilean Pesos (606.19CLP/1USD)</t>
  </si>
  <si>
    <t>Missing</t>
  </si>
  <si>
    <t>Nigeria</t>
  </si>
  <si>
    <t>Philippines</t>
  </si>
  <si>
    <t>P440.17 (44.77PHP/ 1 USD)</t>
  </si>
  <si>
    <t>Tanzania</t>
  </si>
  <si>
    <t>1200000 Tsh (1733TZS/1USD</t>
  </si>
  <si>
    <t>Zimbabwe</t>
  </si>
  <si>
    <t>400 USD</t>
  </si>
  <si>
    <t>1.1.1a_S</t>
  </si>
  <si>
    <t>1.1.1b_S</t>
  </si>
  <si>
    <t>1.1.1c_S</t>
  </si>
  <si>
    <t>1.1.1d_S</t>
  </si>
  <si>
    <t>1.1.1e_S</t>
  </si>
  <si>
    <t>1.1.1f_S</t>
  </si>
  <si>
    <t>1.1.1g_S</t>
  </si>
  <si>
    <t>1.1.1h_S</t>
  </si>
  <si>
    <t>1.1.2a_S</t>
  </si>
  <si>
    <t>1.1.3a_S</t>
  </si>
  <si>
    <t>1.1.3b_S</t>
  </si>
  <si>
    <t>1.1.3c_S</t>
  </si>
  <si>
    <t>1.1.4a_S</t>
  </si>
  <si>
    <t>1.1.4b_S</t>
  </si>
  <si>
    <t>1.1.4c_S</t>
  </si>
  <si>
    <t>1.1.4d_S</t>
  </si>
  <si>
    <t>1.1.5a_S</t>
  </si>
  <si>
    <t>1.1.5b_S</t>
  </si>
  <si>
    <t>1.1.5c_S</t>
  </si>
  <si>
    <t>1.1.5d_S</t>
  </si>
  <si>
    <t>1.1.5e_S</t>
  </si>
  <si>
    <t>1.1.5f_S</t>
  </si>
  <si>
    <t>1.1.5g_S</t>
  </si>
  <si>
    <t>1.1.5h_S_2016</t>
  </si>
  <si>
    <t>1.1.5i_S</t>
  </si>
  <si>
    <t>1.1.5j_S</t>
  </si>
  <si>
    <t>1.1.5k_S</t>
  </si>
  <si>
    <t>1.1.5l_S</t>
  </si>
  <si>
    <t>1.1.5m_S</t>
  </si>
  <si>
    <t>1.1.5n_S</t>
  </si>
  <si>
    <t>1.1.5o_S</t>
  </si>
  <si>
    <t>1.1.5p_S</t>
  </si>
  <si>
    <t>1.1_IF_EqualAverage</t>
  </si>
  <si>
    <t>1.1_Available</t>
  </si>
  <si>
    <t>1.2.1a_S</t>
  </si>
  <si>
    <t>1.2.1b_S</t>
  </si>
  <si>
    <t>1.2.1c_S</t>
  </si>
  <si>
    <t>1.2.1d_S</t>
  </si>
  <si>
    <t>1.2.2_S</t>
  </si>
  <si>
    <t>1.2.3_S</t>
  </si>
  <si>
    <t>1.2.4_S</t>
  </si>
  <si>
    <t>1.2_NL_EqualAverage</t>
  </si>
  <si>
    <t>1.3.1_S</t>
  </si>
  <si>
    <t>1.3.2_S</t>
  </si>
  <si>
    <t>1.3.3_SW</t>
  </si>
  <si>
    <t>1.3_PoA</t>
  </si>
  <si>
    <t>POA_Available</t>
  </si>
  <si>
    <t>1.4.1_S</t>
  </si>
  <si>
    <t>1.4.2_S</t>
  </si>
  <si>
    <t>1.4.3_P_2016</t>
  </si>
  <si>
    <t>1.4.4_S_2016</t>
  </si>
  <si>
    <t>1.4.4_Av</t>
  </si>
  <si>
    <t>1.4_Available</t>
  </si>
  <si>
    <t>1.5.1_SW</t>
  </si>
  <si>
    <t>1.5.2_SW</t>
  </si>
  <si>
    <t>1.5.3_SW</t>
  </si>
  <si>
    <t>1.5.4_SW</t>
  </si>
  <si>
    <t>Not Applicable</t>
  </si>
  <si>
    <t>1.5.5a_SW</t>
  </si>
  <si>
    <t>1.5.5b_SW</t>
  </si>
  <si>
    <t>1.5.5c_SW</t>
  </si>
  <si>
    <t>1.5.5d_SW</t>
  </si>
  <si>
    <t>1.5.6a_SW</t>
  </si>
  <si>
    <t>Progressive weight</t>
  </si>
  <si>
    <t xml:space="preserve">_2016 </t>
  </si>
  <si>
    <t>2016 only question</t>
  </si>
  <si>
    <t>1.5.6b_SW</t>
  </si>
  <si>
    <t>1.5.6c_SW</t>
  </si>
  <si>
    <t>1.5.7_PW</t>
  </si>
  <si>
    <t>Process indicator</t>
  </si>
  <si>
    <t>Progressive process indicator</t>
  </si>
  <si>
    <t>Structural indicator</t>
  </si>
  <si>
    <t>Progressive structural indicator</t>
  </si>
  <si>
    <t>Outcome indicator</t>
  </si>
  <si>
    <t>Progressive outcome indicator</t>
  </si>
  <si>
    <t>1.5_Average</t>
  </si>
  <si>
    <t>1.5_Ave_Wt</t>
  </si>
  <si>
    <t>2.1.1a_S_2016</t>
  </si>
  <si>
    <t>2.1.1b_S_2016</t>
  </si>
  <si>
    <t>2.1.1d_SW_2016</t>
  </si>
  <si>
    <t>2.1.1c_SW_2016</t>
  </si>
  <si>
    <t>2.1.2a_P</t>
  </si>
  <si>
    <t>2.1.2b_PW</t>
  </si>
  <si>
    <t>2.1_Ave_Wt</t>
  </si>
  <si>
    <t>2.1_Average</t>
  </si>
  <si>
    <t>2.2.1a_S_2016</t>
  </si>
  <si>
    <t>2.2.1b_S_2016</t>
  </si>
  <si>
    <t>2.2.1c_SW_2016</t>
  </si>
  <si>
    <t>2.2.1d_SW_2016</t>
  </si>
  <si>
    <t>2.2.2b_S_2016</t>
  </si>
  <si>
    <t>2.2.2d_S_2016</t>
  </si>
  <si>
    <t>2.2.3a_S</t>
  </si>
  <si>
    <t>2.2.3b_SW</t>
  </si>
  <si>
    <t>2.2.4a_P</t>
  </si>
  <si>
    <t>2.2.4b_PW</t>
  </si>
  <si>
    <t>2.2_Average</t>
  </si>
  <si>
    <t>2.2_Ave_Wt</t>
  </si>
  <si>
    <t>2.3.1a_P</t>
  </si>
  <si>
    <t>2.3.1b_PW</t>
  </si>
  <si>
    <t>2.3.2a_S_2016</t>
  </si>
  <si>
    <t>2.3.2b_S_2016</t>
  </si>
  <si>
    <t>2.3.2c_SW_2016</t>
  </si>
  <si>
    <t>2.3.2d_SW_2016</t>
  </si>
  <si>
    <t>2.3.3a_P</t>
  </si>
  <si>
    <t>2.3.3b_PW</t>
  </si>
  <si>
    <t>2.3.4_PW</t>
  </si>
  <si>
    <t>2.3_Average</t>
  </si>
  <si>
    <t>2.3_Ave_Wt</t>
  </si>
  <si>
    <t>2.4.1a_S_2016</t>
  </si>
  <si>
    <t>2.4.1b_S_2016</t>
  </si>
  <si>
    <t>2.4.1c_SW_2016</t>
  </si>
  <si>
    <t>2.4.1d_SW_2016</t>
  </si>
  <si>
    <t>2.4.2a_P</t>
  </si>
  <si>
    <t>2.4.2b_PW</t>
  </si>
  <si>
    <t>2.4_Average</t>
  </si>
  <si>
    <t>2.4_Ave_Wt</t>
  </si>
  <si>
    <t>3.1.1_S</t>
  </si>
  <si>
    <t>3.1.2_P_2016</t>
  </si>
  <si>
    <t>3.1.3_P</t>
  </si>
  <si>
    <t>3.1.4_PW</t>
  </si>
  <si>
    <t>3.1.5a_P</t>
  </si>
  <si>
    <t>3.1.5b_P</t>
  </si>
  <si>
    <t>3.1.5b_P_Raw</t>
  </si>
  <si>
    <t>3.1.6_SW</t>
  </si>
  <si>
    <t>3.1_Average</t>
  </si>
  <si>
    <t>3.1_Ave_Wt</t>
  </si>
  <si>
    <t>3.2.1a_S</t>
  </si>
  <si>
    <t>3.2.1b_S</t>
  </si>
  <si>
    <t>3.2.1c_S</t>
  </si>
  <si>
    <t>3.2.1d_S</t>
  </si>
  <si>
    <t>3.2.1e_S</t>
  </si>
  <si>
    <t>3.2.1f_S</t>
  </si>
  <si>
    <t>3.2.1g_S</t>
  </si>
  <si>
    <t>3.2.1h_S</t>
  </si>
  <si>
    <t>3.2.1i_S</t>
  </si>
  <si>
    <t>3.2.1j_S</t>
  </si>
  <si>
    <t>3.2.1k_S</t>
  </si>
  <si>
    <t>3.2.1l_S</t>
  </si>
  <si>
    <t>3.2.1m_S</t>
  </si>
  <si>
    <t>3.2.1n_S</t>
  </si>
  <si>
    <t>3.2.1o_S</t>
  </si>
  <si>
    <t>3.2.1p_S</t>
  </si>
  <si>
    <t>3.2.2_S</t>
  </si>
  <si>
    <t>3.2.3_P</t>
  </si>
  <si>
    <t>3.2.4_P</t>
  </si>
  <si>
    <t>3.2_Average</t>
  </si>
  <si>
    <t>3.2_Ave_Wt</t>
  </si>
  <si>
    <t>3.3.1aa_S</t>
  </si>
  <si>
    <t>3.3.1ab_S</t>
  </si>
  <si>
    <t>3.3.1ac_S</t>
  </si>
  <si>
    <t>3.3.1ad_S</t>
  </si>
  <si>
    <t>3.3.1ae_S</t>
  </si>
  <si>
    <t>3.3.1af_S</t>
  </si>
  <si>
    <t>3.3.1ag_S</t>
  </si>
  <si>
    <t>3.3.1ah_S</t>
  </si>
  <si>
    <t>3.3.1ai_S</t>
  </si>
  <si>
    <t>3.3.1aj_S</t>
  </si>
  <si>
    <t>3.3.1ak_S</t>
  </si>
  <si>
    <t>3.3.1ba_SW</t>
  </si>
  <si>
    <t>3.3.1bb_SW</t>
  </si>
  <si>
    <t>3.3.1bc_SW</t>
  </si>
  <si>
    <t>3.3.1bd_SW</t>
  </si>
  <si>
    <t>3.3.1bd_SW_P</t>
  </si>
  <si>
    <t>3.3.1bf_SW</t>
  </si>
  <si>
    <t>3.3.1bg_SW</t>
  </si>
  <si>
    <t>3.3.1bh_SW</t>
  </si>
  <si>
    <t>3.3.1bi_SW</t>
  </si>
  <si>
    <t>3.3.1bj_SW</t>
  </si>
  <si>
    <t>3.3.1bk_SW</t>
  </si>
  <si>
    <t>3.3.1ca_SW</t>
  </si>
  <si>
    <t>3.3.1cb_SW</t>
  </si>
  <si>
    <t>3.3.1cc_SW</t>
  </si>
  <si>
    <t>3.3.1cd_SW</t>
  </si>
  <si>
    <t>3.3.1ce_SW</t>
  </si>
  <si>
    <t>3.3.1cf_SW</t>
  </si>
  <si>
    <t>3.3.1cg_SW</t>
  </si>
  <si>
    <t>3.3.1ch_SW</t>
  </si>
  <si>
    <t>3.3.1ci_SW</t>
  </si>
  <si>
    <t>3.3.1cj_SW</t>
  </si>
  <si>
    <t>3.3.1ck_SW</t>
  </si>
  <si>
    <t>3.3.1da_SW</t>
  </si>
  <si>
    <t>3.3.1db_SW</t>
  </si>
  <si>
    <t>3.3.1dc_SW</t>
  </si>
  <si>
    <t>3.3.1dd_SW</t>
  </si>
  <si>
    <t>3.3.1de_SW</t>
  </si>
  <si>
    <t>3.3.1df_SW</t>
  </si>
  <si>
    <t>3.3.1dg_SW</t>
  </si>
  <si>
    <t>3.3.1dh_SW</t>
  </si>
  <si>
    <t>3.3.1di_SW</t>
  </si>
  <si>
    <t>3.3.1dj_SW</t>
  </si>
  <si>
    <t>3.3.1dk_SW</t>
  </si>
  <si>
    <t>3.3.2aa_S</t>
  </si>
  <si>
    <t>3.3.2ab_S</t>
  </si>
  <si>
    <t>3.3.2ac_S</t>
  </si>
  <si>
    <t>3.3.2ad_S</t>
  </si>
  <si>
    <t>3.3.2ae_S</t>
  </si>
  <si>
    <t>3.3.2af_S</t>
  </si>
  <si>
    <t>3.3.2ag_S</t>
  </si>
  <si>
    <t>3.3.2ah_S</t>
  </si>
  <si>
    <t>3.3.2ai_S</t>
  </si>
  <si>
    <t>3.3.2aj_S</t>
  </si>
  <si>
    <t>3.3.2ak_S</t>
  </si>
  <si>
    <t>3.3.2ba_SW</t>
  </si>
  <si>
    <t>3.3.2bb_SW</t>
  </si>
  <si>
    <t>3.3.2bc_SW</t>
  </si>
  <si>
    <t>3.3.2bd_SW</t>
  </si>
  <si>
    <t>3.3.2be_SW</t>
  </si>
  <si>
    <t>3.3.2bf_SW</t>
  </si>
  <si>
    <t>3.3.2bg_SW</t>
  </si>
  <si>
    <t>3.3.2bh_SW</t>
  </si>
  <si>
    <t>3.3.2bi_SW</t>
  </si>
  <si>
    <t>3.3.2bj_SW</t>
  </si>
  <si>
    <t>3.3.2bk_SW</t>
  </si>
  <si>
    <t>3.3.3aa_S</t>
  </si>
  <si>
    <t>3.3.3ab_S</t>
  </si>
  <si>
    <t>3.3.3ac_S</t>
  </si>
  <si>
    <t>3.3.3ad_S</t>
  </si>
  <si>
    <t>3.3.3ae_S</t>
  </si>
  <si>
    <t>3.3.3af_S</t>
  </si>
  <si>
    <t>3.3.3ag_S</t>
  </si>
  <si>
    <t>3.3.3ah_S</t>
  </si>
  <si>
    <t>3.3.3ai_S</t>
  </si>
  <si>
    <t>3.3.3aj_S</t>
  </si>
  <si>
    <t>3.3.3ak_S</t>
  </si>
  <si>
    <t>3.3.3ba_SW</t>
  </si>
  <si>
    <t>3.3.3bb_SW</t>
  </si>
  <si>
    <t>3.3.3bc_SW</t>
  </si>
  <si>
    <t>3.3.3bd_SW</t>
  </si>
  <si>
    <t>3.3.3be_SW</t>
  </si>
  <si>
    <t>3.3.3bf_SW</t>
  </si>
  <si>
    <t>3.3.3bg_SW</t>
  </si>
  <si>
    <t>3.3.3bh_SW</t>
  </si>
  <si>
    <t>3.3.3bi_SW</t>
  </si>
  <si>
    <t>3.3.3bj_SW</t>
  </si>
  <si>
    <t>3.3.3bk_SW</t>
  </si>
  <si>
    <t>3.3.3ca_SW</t>
  </si>
  <si>
    <t>3.3.3cb_SW</t>
  </si>
  <si>
    <t>3.3.3cc_SW</t>
  </si>
  <si>
    <t>3.3.3cd_SW</t>
  </si>
  <si>
    <t>3.3.3ce_SW</t>
  </si>
  <si>
    <t>3.3.3cf_SW</t>
  </si>
  <si>
    <t>3.3.3cg_SW</t>
  </si>
  <si>
    <t>3.3.3ch_SW</t>
  </si>
  <si>
    <t>3.3.3ci_SW</t>
  </si>
  <si>
    <t>3.3.3cj_SW</t>
  </si>
  <si>
    <t>3.3.3ck_SW</t>
  </si>
  <si>
    <t>3.3.3da_SW</t>
  </si>
  <si>
    <t>3.3.3db_SW</t>
  </si>
  <si>
    <t>3.3.3dc_SW</t>
  </si>
  <si>
    <t>3.3.3dd_SW</t>
  </si>
  <si>
    <t>3.3.3de_SW</t>
  </si>
  <si>
    <t>3.3.3df_SW</t>
  </si>
  <si>
    <t>3.3.3dg_SW</t>
  </si>
  <si>
    <t>3.3.3dh_SW</t>
  </si>
  <si>
    <t>3.3.3di_SW</t>
  </si>
  <si>
    <t>3.3.3dj_SW</t>
  </si>
  <si>
    <t>3.3.3dk_SW</t>
  </si>
  <si>
    <t>3.3_Average</t>
  </si>
  <si>
    <t>3.3_Ave_Wt</t>
  </si>
  <si>
    <t>4.1.1a_S</t>
  </si>
  <si>
    <t>4.1.1b_S</t>
  </si>
  <si>
    <t>4.1.1c_S</t>
  </si>
  <si>
    <t>4.1.1d_S</t>
  </si>
  <si>
    <t>4.1.1e_S</t>
  </si>
  <si>
    <t>4.1.2a_P</t>
  </si>
  <si>
    <t>4.1.2b_P</t>
  </si>
  <si>
    <t>4.1.2c_P</t>
  </si>
  <si>
    <t>4.1.2d_P</t>
  </si>
  <si>
    <t>4.1.2e_P</t>
  </si>
  <si>
    <t>4.1.3a_P</t>
  </si>
  <si>
    <t>4.1.3b_P</t>
  </si>
  <si>
    <t>4.1.3c_P</t>
  </si>
  <si>
    <t>4.1.3d_P</t>
  </si>
  <si>
    <t>4.1.3e_P</t>
  </si>
  <si>
    <t>4.1.4_S</t>
  </si>
  <si>
    <t>4.1.5a_P</t>
  </si>
  <si>
    <t>4.1.5b_P</t>
  </si>
  <si>
    <t>4.1.5c_P</t>
  </si>
  <si>
    <t>4.1.6_SW</t>
  </si>
  <si>
    <t>4.1_Average</t>
  </si>
  <si>
    <t>4.1_Ave_Wt</t>
  </si>
  <si>
    <t>4.2.1_S</t>
  </si>
  <si>
    <t>4.2.3_S</t>
  </si>
  <si>
    <t>4.2.4_P</t>
  </si>
  <si>
    <t>4.2_Average</t>
  </si>
  <si>
    <t>4.3.1a_S_2016</t>
  </si>
  <si>
    <t>4.3.1b_S_2016</t>
  </si>
  <si>
    <t>4.3.1c_S_2016</t>
  </si>
  <si>
    <t>4.3.1d_S_2016</t>
  </si>
  <si>
    <t>4.3.1e_S_2016</t>
  </si>
  <si>
    <t>4.3.2a_P_2016</t>
  </si>
  <si>
    <t>4.3.2b_P_2016</t>
  </si>
  <si>
    <t>4.3.2c_P_2016</t>
  </si>
  <si>
    <t>4.3.3aa_O</t>
  </si>
  <si>
    <t>4.3.3ab_O</t>
  </si>
  <si>
    <t>4.3.3ac_O</t>
  </si>
  <si>
    <t>4.3.3ad_O</t>
  </si>
  <si>
    <t>4.3.3ae_O</t>
  </si>
  <si>
    <t>4.3.3af_O</t>
  </si>
  <si>
    <t>4.3.3ag_O</t>
  </si>
  <si>
    <t>4.3.3ah_O</t>
  </si>
  <si>
    <t>4.3.3ai_O</t>
  </si>
  <si>
    <t>4.3.3aj_O</t>
  </si>
  <si>
    <t>4.3.3ak_O</t>
  </si>
  <si>
    <t>4.3.3ba_O</t>
  </si>
  <si>
    <t>4.3.3bb_O</t>
  </si>
  <si>
    <t>4.3.3bc_O</t>
  </si>
  <si>
    <t>4.3.3bd_O</t>
  </si>
  <si>
    <t>4.3.3be_O</t>
  </si>
  <si>
    <t>4.3.3bf_O</t>
  </si>
  <si>
    <t>4.3.3bg_O</t>
  </si>
  <si>
    <t>4.3.3bh_O</t>
  </si>
  <si>
    <t>4.3.3bi_O</t>
  </si>
  <si>
    <t>4.3.3bj_O</t>
  </si>
  <si>
    <t>4.3.3bk_O</t>
  </si>
  <si>
    <t>4.3.3ca_O</t>
  </si>
  <si>
    <t>4.3.3cb_O</t>
  </si>
  <si>
    <t>4.3.3cc_O</t>
  </si>
  <si>
    <t>4.3.3cd_O</t>
  </si>
  <si>
    <t>4.3.3ce_O</t>
  </si>
  <si>
    <t>4.3.3cf_O</t>
  </si>
  <si>
    <t>4.3.3cg_O</t>
  </si>
  <si>
    <t>4.3.3ch_O</t>
  </si>
  <si>
    <t>4.3.3ci_O</t>
  </si>
  <si>
    <t>4.3.3cj_O</t>
  </si>
  <si>
    <t>4.3.3ck_O</t>
  </si>
  <si>
    <t>4.3.3da_OW</t>
  </si>
  <si>
    <t>4.3.3db_OW</t>
  </si>
  <si>
    <t>4.3.3dc_OW</t>
  </si>
  <si>
    <t>4.3.3dd_OW</t>
  </si>
  <si>
    <t>4.3.3de_OW</t>
  </si>
  <si>
    <t>4.3.3df_OW</t>
  </si>
  <si>
    <t>4.3.3dg_OW</t>
  </si>
  <si>
    <t>4.3.3dh_OW</t>
  </si>
  <si>
    <t>4.3.3di_OW</t>
  </si>
  <si>
    <t>4.3.3dj_OW</t>
  </si>
  <si>
    <t>4.3.3dk_OW</t>
  </si>
  <si>
    <t>4.3.3ea_OW</t>
  </si>
  <si>
    <t>4.3.3eb_OW</t>
  </si>
  <si>
    <t>4.3.3ec_OW</t>
  </si>
  <si>
    <t>4.3.3ed_OW</t>
  </si>
  <si>
    <t>4.3.3ee_OW</t>
  </si>
  <si>
    <t>4.3.3ef_OW</t>
  </si>
  <si>
    <t>4.3.3eg_OW</t>
  </si>
  <si>
    <t>4.3.3eh_OW</t>
  </si>
  <si>
    <t>4.3.3ei_OW</t>
  </si>
  <si>
    <t>4.3.3ej_OW</t>
  </si>
  <si>
    <t>4.3.3ek_OW</t>
  </si>
  <si>
    <t>4.3.3fa_OW</t>
  </si>
  <si>
    <t>4.3.3fb_OW</t>
  </si>
  <si>
    <t>4.3.3fc_OW</t>
  </si>
  <si>
    <t>4.3.3fd_OW</t>
  </si>
  <si>
    <t>4.3.3fe_OW</t>
  </si>
  <si>
    <t>4.3.3ff_OW</t>
  </si>
  <si>
    <t>4.3.3fg_OW</t>
  </si>
  <si>
    <t>4.3.3fh_OW</t>
  </si>
  <si>
    <t>4.3.3fi_OW</t>
  </si>
  <si>
    <t>4.3.3fj_OW</t>
  </si>
  <si>
    <t>4.3.3fk_OW</t>
  </si>
  <si>
    <t>4.3.4aa_O</t>
  </si>
  <si>
    <t>4.3.4ab_O</t>
  </si>
  <si>
    <t>4.3.4ac_O</t>
  </si>
  <si>
    <t>4.3.4ad_O</t>
  </si>
  <si>
    <t>4.3.4ae_O</t>
  </si>
  <si>
    <t>4.3.4af_O</t>
  </si>
  <si>
    <t>4.3.4ag_O</t>
  </si>
  <si>
    <t>4.3.4ah_O</t>
  </si>
  <si>
    <t>4.3.4ai_O</t>
  </si>
  <si>
    <t>4.3.4aj_O</t>
  </si>
  <si>
    <t>4.3.4ak_O</t>
  </si>
  <si>
    <t>4.3.4ba_O</t>
  </si>
  <si>
    <t>4.3.4bb_O</t>
  </si>
  <si>
    <t>4.3.4bc_O</t>
  </si>
  <si>
    <t>4.3.4bd_O</t>
  </si>
  <si>
    <t>4.3.4be_O</t>
  </si>
  <si>
    <t>4.3.4bf_O</t>
  </si>
  <si>
    <t>4.3.4bg_O</t>
  </si>
  <si>
    <t>4.3.4bh_O</t>
  </si>
  <si>
    <t>4.3.4bi_O</t>
  </si>
  <si>
    <t>4.3.4bj_O</t>
  </si>
  <si>
    <t>4.3.4bk_O</t>
  </si>
  <si>
    <t>4.3_Average</t>
  </si>
  <si>
    <t>4.3_Ave_Wt</t>
  </si>
  <si>
    <t>5.1.1_S</t>
  </si>
  <si>
    <t>5.1.2_P</t>
  </si>
  <si>
    <t>5.1.3a_PW</t>
  </si>
  <si>
    <t>_PWT</t>
  </si>
  <si>
    <t>1.3.3_SW_PWT</t>
  </si>
  <si>
    <t>1.5.1_SW_PWT</t>
  </si>
  <si>
    <t>1.5.2_SW_PWT</t>
  </si>
  <si>
    <t>1.5.3_SW_PWT</t>
  </si>
  <si>
    <t>1.5.4_SW_PWT</t>
  </si>
  <si>
    <t>1.5.5a_SW_PWT</t>
  </si>
  <si>
    <t>1.5.5b_SW_PWT</t>
  </si>
  <si>
    <t>1.5.5c_SW_PWT</t>
  </si>
  <si>
    <t>1.5.5d_SW_PWT</t>
  </si>
  <si>
    <t>1.5.6a_SW_PWT</t>
  </si>
  <si>
    <t>1.5.6b_SW_PWT</t>
  </si>
  <si>
    <t>1.5.6c_SW_PWT</t>
  </si>
  <si>
    <t>1.5.7_PW_PWT</t>
  </si>
  <si>
    <t>2.2.3b_SW_PWT</t>
  </si>
  <si>
    <t>2.2.4b_PW_PWT</t>
  </si>
  <si>
    <t>2.1.2b_PW_PWT</t>
  </si>
  <si>
    <t>2.3.1b_PW_PWT</t>
  </si>
  <si>
    <t>2.3.3b_PW_PWT</t>
  </si>
  <si>
    <t>2.3.4_PW_PWT</t>
  </si>
  <si>
    <t>2.4.2b_PW_PWT</t>
  </si>
  <si>
    <t>3.1.4_PW_PWT</t>
  </si>
  <si>
    <t>3.1.6_SW_PWT</t>
  </si>
  <si>
    <t>3.3.1ba_SW_PWT</t>
  </si>
  <si>
    <t>3.3.1bb_SW_PWT</t>
  </si>
  <si>
    <t>3.3.1bc_SW_PWT</t>
  </si>
  <si>
    <t>3.3.1da_SW_PWT</t>
  </si>
  <si>
    <t>3.3.1db_SW_PWT</t>
  </si>
  <si>
    <t>3.3.1dc_SW_PWT</t>
  </si>
  <si>
    <t>3.3.2ba_SW_PWT</t>
  </si>
  <si>
    <t>3.3.2bb_SW_PWT</t>
  </si>
  <si>
    <t>3.3.2bc_SW_PWT</t>
  </si>
  <si>
    <t>3.3.3ba_SW_PWT</t>
  </si>
  <si>
    <t>3.3.3bb_SW_PWT</t>
  </si>
  <si>
    <t>3.3.3bc_SW_PWT</t>
  </si>
  <si>
    <t>3.3.3ca_SW_PWT</t>
  </si>
  <si>
    <t>3.3.3da_SW_PWT</t>
  </si>
  <si>
    <t>3.3.3db_SW_PWT</t>
  </si>
  <si>
    <t>3.3.3dc_SW_PWT</t>
  </si>
  <si>
    <t>4.1.6_SW_PWT</t>
  </si>
  <si>
    <t>4.3.3da_OW_PWT</t>
  </si>
  <si>
    <t>4.3.3db_OW_PWT</t>
  </si>
  <si>
    <t>4.3.3dc_OW_PWT</t>
  </si>
  <si>
    <t>4.3.3ea_OW_PWT</t>
  </si>
  <si>
    <t>4.3.3fa_OW_PWT</t>
  </si>
  <si>
    <t>5.1.3a_PW_PWT</t>
  </si>
  <si>
    <t>5.1.3b_PW</t>
  </si>
  <si>
    <t>5.1.3c_PW</t>
  </si>
  <si>
    <t>5.1_Average</t>
  </si>
  <si>
    <t>5.1_Ave_Wt</t>
  </si>
  <si>
    <t>Disability_Available</t>
  </si>
  <si>
    <t>5.2.1_P</t>
  </si>
  <si>
    <t>5.2.2_S</t>
  </si>
  <si>
    <t>5.2.3a_P</t>
  </si>
  <si>
    <t>5.2.3b_PW</t>
  </si>
  <si>
    <t>5.2.3b_PW_PWT</t>
  </si>
  <si>
    <t>5.2_Average</t>
  </si>
  <si>
    <t>5.2_Ave_Wt</t>
  </si>
  <si>
    <t>Minorities_Available</t>
  </si>
  <si>
    <t>5.3.1_P</t>
  </si>
  <si>
    <t>5.3.3_P</t>
  </si>
  <si>
    <t>5.3.4_P</t>
  </si>
  <si>
    <t>5.3_Average</t>
  </si>
  <si>
    <t>5.4.1_SW</t>
  </si>
  <si>
    <t>5.4.1_SW_PWT</t>
  </si>
  <si>
    <t>5.4.2_PW</t>
  </si>
  <si>
    <t>5.4.2_PW_PWT</t>
  </si>
  <si>
    <t>5.4.3_SW</t>
  </si>
  <si>
    <t>5.4.3_SW_PWT</t>
  </si>
  <si>
    <t>5.4.4_SW</t>
  </si>
  <si>
    <t>5.4.4_SW_PWT</t>
  </si>
  <si>
    <t>5.4.5_P</t>
  </si>
  <si>
    <t>5.4.6_SW</t>
  </si>
  <si>
    <t>5.4.6_SW_PWT</t>
  </si>
  <si>
    <t>5.4.7_PW</t>
  </si>
  <si>
    <t>5.4.7_PW_PWT</t>
  </si>
  <si>
    <t>5.4_Average</t>
  </si>
  <si>
    <t>5.4_Ave_Wt</t>
  </si>
  <si>
    <t>3.3.1ca_SW_PWT</t>
  </si>
  <si>
    <t>Year</t>
  </si>
  <si>
    <t>Question</t>
  </si>
  <si>
    <t>Code</t>
  </si>
  <si>
    <t>2015 - 2016</t>
  </si>
  <si>
    <t>0, .5, 1</t>
  </si>
  <si>
    <t>1.1.1e: The International Covention on the Protection of the Rights of All Migrants Workser and the Members of Their Families</t>
  </si>
  <si>
    <t>1.1.1h: The Convention on the Elimination of All Forms of Discrimination agains Women</t>
  </si>
  <si>
    <t>1.1.5b: In Africa: The Protocal to the African Charter on Human and Peoples' Rights on the Rights of Women in Africa</t>
  </si>
  <si>
    <t>1.1.5n: In Europe: The European Convetnion on the Legal Status of Migrant Workers</t>
  </si>
  <si>
    <t>1.2.1e: Do national laws protect the right to technical and vocational education?</t>
  </si>
  <si>
    <t>2015 only</t>
  </si>
  <si>
    <t>1.2.2: Does the occupying power guarantee all children in their occupied territory the right to education?</t>
  </si>
  <si>
    <t>0, 1</t>
  </si>
  <si>
    <t>1.2.3: Do national laws protect the liberty of individuals to establish private schools?</t>
  </si>
  <si>
    <t>1.2.4: Do national laws protect the right of minorities to establish their own schools?</t>
  </si>
  <si>
    <t>1.2.5: Do national laws expressly recognize the liberty of parents to choose the religious and moral education of their children in conformity with their own convictions?</t>
  </si>
  <si>
    <t>1.4.3: How often is data on education collected nationally and made publicly available?</t>
  </si>
  <si>
    <t>0, .25, .5, .75, 1</t>
  </si>
  <si>
    <t>0-1, percent</t>
  </si>
  <si>
    <t>1.5.5: What is the percentage of total national education budget allocated to each level of education?</t>
  </si>
  <si>
    <t>1.5.6: What percentage of he total national education budget is allocated to the following components?</t>
  </si>
  <si>
    <t>1.5.7: What percentage of the approved budget for education in the 2013 fiscal year was actually executed?</t>
  </si>
  <si>
    <t>2.1.1a Is there a minimum standard in place setting the numbers of pupils per classroom? (primary school)</t>
  </si>
  <si>
    <t>2.1.1b If yes, what is the minimum standard pupil-classroom ration (primary school)?</t>
  </si>
  <si>
    <t>0-1 ratio</t>
  </si>
  <si>
    <t>2.1.1c Is there a minimum standard in place setting the number of pupils per classroom (secondary school)?</t>
  </si>
  <si>
    <t>2.1.1d If yes, what is the minimum standard pupil-classroom ration (secondary school)?</t>
  </si>
  <si>
    <t>2015-2016</t>
  </si>
  <si>
    <t xml:space="preserve">2.1.2a: for primary schools? </t>
  </si>
  <si>
    <t xml:space="preserve">2.1.2b: for secondary schools? </t>
  </si>
  <si>
    <t>2.2.1a Is there a minimum standard in place setting the number of pupils per toilet (primary school)?</t>
  </si>
  <si>
    <t>2.2.1b If yes, what is the minimum standard pupil-teacher ratio (primary school)?</t>
  </si>
  <si>
    <t>2.2.1c Is there a minimum standard in place setting the number of pupils per toilet (secondary school)?</t>
  </si>
  <si>
    <t>2.2.1d If yes, what is the minimum standard pupil-toilet ratio (secondary school)?</t>
  </si>
  <si>
    <t>2.2.2b in primary schools?</t>
  </si>
  <si>
    <t>2.2.2d in secondary schools?</t>
  </si>
  <si>
    <t>2.2.3a. For primary schools?</t>
  </si>
  <si>
    <t>0-1 %</t>
  </si>
  <si>
    <t>2.2.3b. For secondary schools?</t>
  </si>
  <si>
    <t>2.2.4a. For primary schools?</t>
  </si>
  <si>
    <t>2.2.4b. For secondary schools?</t>
  </si>
  <si>
    <t>2.3.1 What is the percentage of teachers that are appropriately trained?</t>
  </si>
  <si>
    <t>2.3.1a For primary schools?</t>
  </si>
  <si>
    <t>2.3.1b For secondary schools?</t>
  </si>
  <si>
    <t>2.3.2b If yes, what is the minimum standard pupil-trained teacher ratio (primary school)?</t>
  </si>
  <si>
    <t>2.3.3a For primary schools?</t>
  </si>
  <si>
    <t>2.3.3b For secondary schools?</t>
  </si>
  <si>
    <t>2.4.1 Is there a minimum standard in place setting the number of pupils per available textbook?</t>
  </si>
  <si>
    <t>2.4.1a Is there a minimum standard in place setting the number of pupils per available textbook (primary school)?</t>
  </si>
  <si>
    <t>2.4.1b If yes, what is the minimum standard pupil-textbook ratio (primary school)?</t>
  </si>
  <si>
    <t>2.4.1c Is there a minimum standard in place setting the number of pupils per available textbook (secondary school)?</t>
  </si>
  <si>
    <t>2.4.1d If yes, what is the minimum standard pupil-textbook ratio (secondary school)?</t>
  </si>
  <si>
    <t>2.4.2a. For primary schools?</t>
  </si>
  <si>
    <t>2.4.2b. For secondary schools?</t>
  </si>
  <si>
    <t>Yes, national law provides for both free and compulsory primary education.</t>
  </si>
  <si>
    <t>No, national law provides for either free or compulsory education but not both.</t>
  </si>
  <si>
    <t>No, national law does not provide for either free or compulsory primary education.</t>
  </si>
  <si>
    <t>Not applicable/ other</t>
  </si>
  <si>
    <t>3.1.2 Is primary education free in practice?</t>
  </si>
  <si>
    <t>Yes, primary education is free for all</t>
  </si>
  <si>
    <t>No, but primary education is free for the majority of children</t>
  </si>
  <si>
    <t>No, primary education is free for about half of all children</t>
  </si>
  <si>
    <t>No, primary education is free for the minority of children</t>
  </si>
  <si>
    <t>No, primary education is not free for anyone.</t>
  </si>
  <si>
    <t>3.13.: What percent of household spending was spent on primary education?</t>
  </si>
  <si>
    <t>0 - 1 %</t>
  </si>
  <si>
    <t>3.1.5b: If yes, what is the average tuition fee for public university/ higher education?</t>
  </si>
  <si>
    <t>N</t>
  </si>
  <si>
    <t>No, Yes, NA</t>
  </si>
  <si>
    <t>3.2.1h: Birth?</t>
  </si>
  <si>
    <t>0,1</t>
  </si>
  <si>
    <t>3.2.3a. Yes it is nearly universally practiced</t>
  </si>
  <si>
    <t>0, .33, .66, 1</t>
  </si>
  <si>
    <t>3.2.3b. Yes, it is regularly practiced.</t>
  </si>
  <si>
    <t>3.2.3c. Yes, but it is rarely practiced</t>
  </si>
  <si>
    <t>3.2.3d No.</t>
  </si>
  <si>
    <t>3.2.3e Not applicable/ other</t>
  </si>
  <si>
    <t>3.3.1: What is the gross enrollment rate? (primary schools)</t>
  </si>
  <si>
    <t>3.3.1: What is the gross enrollment rate? (secondary schools)</t>
  </si>
  <si>
    <t>3.3.1: What is the gross enrollment rate? (TVET)</t>
  </si>
  <si>
    <t>3.3.1: What is the gross enrollment rate? (Tertiary)</t>
  </si>
  <si>
    <t>3.3.3. What is the share of private school enrollment?</t>
  </si>
  <si>
    <t>4.1.1d: The development of the child's responsiblities in a free society, including understanding, peace, tolerance, equality, and friendship among all persons and groups</t>
  </si>
  <si>
    <t>4.1.2d: The development of the child's responsiblities in a free society, including understanding, peace, tolerance, equality, and friendship among all persons and groups</t>
  </si>
  <si>
    <t>4.1.3d: The development of the child's responsiblities in a free society, including understanding, peace, tolerance, equality, and friendship among all persons and groups</t>
  </si>
  <si>
    <t>4.1.6 Do national laws include children in the decision making process of school curricula, school policies, and codes of behavior?</t>
  </si>
  <si>
    <t>4.2.2 In practice, do children in schools encounter violence and abuse?</t>
  </si>
  <si>
    <t>a. Yes, violence and abuse is a very common practice</t>
  </si>
  <si>
    <t>b. Yes, violence and abuse is regularly practiced</t>
  </si>
  <si>
    <t>c. Yes, violence and abuse is rarely practiced</t>
  </si>
  <si>
    <t>d. No.</t>
  </si>
  <si>
    <t>e. Not applicable/ other</t>
  </si>
  <si>
    <t>a. Yes, corporal punishment is a very common practice</t>
  </si>
  <si>
    <t>b. Yes, corporal punishment is regularly practiced</t>
  </si>
  <si>
    <t>c. Yes, corporal punishment is rarely practiced</t>
  </si>
  <si>
    <t>4.3.1 Do national assessments or exams attempt to evaluate pupils progress towards the following aims?</t>
  </si>
  <si>
    <t>a. The full development of the child's personality, talents, and mental and physical abilities?</t>
  </si>
  <si>
    <t>b. The development of respect for human rights and fundametal freedoms?</t>
  </si>
  <si>
    <t>c. The development of respect for the child's parents, cultural identity, language, and values as well as respect for the values of the child's country and other civilizations?</t>
  </si>
  <si>
    <t>d. The development of the child's responsibilities in a free society, including understanding, peace, tolerance, equality, and friendship among all persons and groups?</t>
  </si>
  <si>
    <t>e. The development of respect for the natural environment?</t>
  </si>
  <si>
    <t>4.3.2 Do national assessments or exams evaluate pupil’s understanding of the following topics?</t>
  </si>
  <si>
    <t>4.3.2a. Health and well-being</t>
  </si>
  <si>
    <t>4.3.2b. Human rights</t>
  </si>
  <si>
    <t>4.3.3c. The Arts</t>
  </si>
  <si>
    <t>a. Yes, they are nearly universally in schools</t>
  </si>
  <si>
    <t>b. Yes, they are generally available in schools.</t>
  </si>
  <si>
    <t>c. Yes, but availability is rare or uncommon.</t>
  </si>
  <si>
    <t>d. No</t>
  </si>
  <si>
    <t>5.1.3: What is the percentage of teachers trained to teach children with disabilities?</t>
  </si>
  <si>
    <t>a. Yes, mobile schools are available universally.</t>
  </si>
  <si>
    <t>b. Yes, mobile schools are generally present.</t>
  </si>
  <si>
    <t>c. Yes, but mobile schools are rare or uncommon</t>
  </si>
  <si>
    <t>a. Yes it is universally available.</t>
  </si>
  <si>
    <t>b. Yes, it is generally available</t>
  </si>
  <si>
    <t>5.3.2 Do refugee children receive education integrated with the general education system (i.e., same curricula)?</t>
  </si>
  <si>
    <t>b. Yes it is generally available</t>
  </si>
  <si>
    <t>5.3.4: Are children prisoners-of-war given the means to pursue their educational activities?</t>
  </si>
  <si>
    <t>5.4.2 What percent of women were married by the age of 18?</t>
  </si>
  <si>
    <t>5.4.5 What percent of children under the age of 15 worked in the labor force?</t>
  </si>
  <si>
    <t>5.4.7 Are children under the age of 15 recruited by the military in practice?</t>
  </si>
  <si>
    <t>a. Yes, it is very common practice.</t>
  </si>
  <si>
    <t>b. Yes, it is regularly practiced.</t>
  </si>
  <si>
    <t>c. Yes, but it is rarely practiced.</t>
  </si>
  <si>
    <t>General Notes:</t>
  </si>
  <si>
    <t>Gov_Wt</t>
  </si>
  <si>
    <t>Availability_Wt</t>
  </si>
  <si>
    <t>Accessibility_Wt</t>
  </si>
  <si>
    <t>Acceptability_Wt</t>
  </si>
  <si>
    <t>ALLWt</t>
  </si>
  <si>
    <t>Adaptability_Wt</t>
  </si>
  <si>
    <t>1.1.1e: The International Convention on the Protection of the Rights of All Migrants Workers and the Members of Their Families</t>
  </si>
  <si>
    <t>1.1.1h: The Convention on the Elimination of All Forms of Discrimination against Women</t>
  </si>
  <si>
    <t>1.1.5b: In Africa: The Protocol to the African Charter on Human and Peoples' Rights on the Rights of Women in Africa</t>
  </si>
  <si>
    <t>1.1.5n: In Europe: The European Convention on the Legal Status of Migrant Workers</t>
  </si>
  <si>
    <t>1.4.3 How often is data on primary school net enrollment collected nationally?</t>
  </si>
  <si>
    <t>1.5.5a: What is the percentage of total national education budget allocated to each level of education? Primary</t>
  </si>
  <si>
    <t>1.5.5b: What is the percentage of total national education budget allocated to each level of education? Secondary</t>
  </si>
  <si>
    <t>1.5.5c: What is the percentage of total national education budget allocated to each level of education? TVET</t>
  </si>
  <si>
    <t>1.5.5d: What is the percentage of total national education budget allocated to each level of education? Tertiary</t>
  </si>
  <si>
    <t>1.5.7 What percentage of the approved budget for education was actually executed?</t>
  </si>
  <si>
    <t>2.1.1a: Is there a minimum standard in place setting the numbers of pupils per classroom (primary school)?</t>
  </si>
  <si>
    <t>2.1.1b: If yes, what is the minimum standard pupil-classroom ratio (primary school)?</t>
  </si>
  <si>
    <t>2.1.1c: Is there a minimum standard in place setting the numbers of pupils per classroom (secondary school)?</t>
  </si>
  <si>
    <t>2.1.1d: If yes, what is the minimum standard pupil-classroom ration (secondary school)?</t>
  </si>
  <si>
    <t>2.1.2a: What is the pupil-classroom ratio? For primary schools</t>
  </si>
  <si>
    <t>2.1.2b: What is the pupil-classroom ratio? For secondary schools</t>
  </si>
  <si>
    <t>2.2.1a: Is there a minimum standard in place setting the number of pupils per toilet (primary school)?</t>
  </si>
  <si>
    <t>2.2.1b: If yes, what is the minimum standard pupil-teacher ratio (primary school)?</t>
  </si>
  <si>
    <t>2.2.1c: Is there a minimum standard in place setting the number of pupils per toilet (secondary school)?</t>
  </si>
  <si>
    <t>2.2.1d: If yes, what is the minimum standard pupil-teacher ratio (secondary school)?</t>
  </si>
  <si>
    <t>2.2.2b: What is the pupil-toilet ratio? For primary schools</t>
  </si>
  <si>
    <t>2.2.2d: What is the pupil-toilet ratio? For secondary schools</t>
  </si>
  <si>
    <t>2.2.3a: What is the percentage of schools with toilets? For primary schools?</t>
  </si>
  <si>
    <t>2.2.3b: What is the percentage of schools with toilets? For secondary schools?</t>
  </si>
  <si>
    <t>2.2.4a: What is the percentage of schools with potable water? For primary schools?</t>
  </si>
  <si>
    <t>2.2.4b: What is the percentage of schools with potable water? For secondary schools?</t>
  </si>
  <si>
    <t>2.3.1a: What is the percentage of teachers that are appropriately trained? For primary schools?</t>
  </si>
  <si>
    <t>2.3.1b: What is the percentage of teachers that are appropriately trained? For secondary schools?</t>
  </si>
  <si>
    <t>2.3.2b: If yes, what is the minimum standard pupil-trained teacher ratio (primary school)?</t>
  </si>
  <si>
    <t>2.3.3a: What is the pupil-trained teacher ratio? For primary schools?</t>
  </si>
  <si>
    <t>2.3.3b: What is the pupil-trained teacher ratio? For secondary schools?</t>
  </si>
  <si>
    <t>2.4.1a: Is there a minimum standard in place setting the number of pupils per available textbook (primary)?</t>
  </si>
  <si>
    <t>2.4.1b: If yes, what is the minimum standard pupil-textbook ratio (primary school)?</t>
  </si>
  <si>
    <t>2.4.1c: Is there a minimum standard in place setting the number of pupils per available textbook (secondary)?</t>
  </si>
  <si>
    <t>2.4.1d: If yes, what is the minimum standard pupil-textbook ratio (secondary school)?</t>
  </si>
  <si>
    <t>2.4.2a: What is the pupil-textbook ratio? For primary schools?</t>
  </si>
  <si>
    <t>2.4.2b: What is the pupil-textbook ratio? For secondary schools?</t>
  </si>
  <si>
    <t>3.1.2: Is primary education free in practice?</t>
  </si>
  <si>
    <t>3.1.5b: If yes, what is the average tuition fee for public university/higher education?</t>
  </si>
  <si>
    <t>3.2.1h: Birth</t>
  </si>
  <si>
    <t>4.1.1d: The development of the child's responsibilities in a free society, including understanding, peace, tolerance, equality, and friendship among all persons and groups</t>
  </si>
  <si>
    <t>4.1.2d: The development of the child's responsibilities in a free society, including understanding, peace, tolerance, equality, and friendship among all persons and groups</t>
  </si>
  <si>
    <t>4.1.3d: The development of the child's responsibilities in a free society, including understanding, peace, tolerance, equality, and friendship among all persons and groups</t>
  </si>
  <si>
    <t>4.1.6: Do national laws include children in the decision making process of school curricula, school policies, and codes of behavior?</t>
  </si>
  <si>
    <t>4.2.2: In practice, are children in schools free from violence and abuse?</t>
  </si>
  <si>
    <t>4.3.1a: The full development of the child's personality, talents, and mental and physical abilities?</t>
  </si>
  <si>
    <t>4.3.1b: The development of respect for human rights and fundamental freedoms?</t>
  </si>
  <si>
    <t>4.3.1c: The development of respect for the child's parents, cultural identity, language, and values, as well as respect for the values of the child's country and other civilizations?</t>
  </si>
  <si>
    <t>4.3.1d: The development of the child's responsibilities in a free society, including understanding, peace, tolerance, equality, and friendship among all persons and groups?</t>
  </si>
  <si>
    <t>4.3.1e: The development of respect for the natural environment?</t>
  </si>
  <si>
    <t>4.3.2a: Health and Well-being</t>
  </si>
  <si>
    <t>4.3.2b: Human Rights</t>
  </si>
  <si>
    <t>4.3.2c: The Arts</t>
  </si>
  <si>
    <t>5.3.2: Do refugee children receive education integrated with the general education system (i.e., same curricula)?</t>
  </si>
  <si>
    <t>5.4.2: What percent of women were married by the age of 18?</t>
  </si>
  <si>
    <t>5.4.5: What percent of children under the age of 15 worked in the labor force?</t>
  </si>
  <si>
    <t>5.4.7: Are children under the age of 15 recruited by the military in practice?</t>
  </si>
  <si>
    <t>Australia</t>
  </si>
  <si>
    <t>AU$24,081</t>
  </si>
  <si>
    <t>Data Unavailable</t>
  </si>
  <si>
    <t>Data UnavailableData Unavailable</t>
  </si>
  <si>
    <t>N/A</t>
  </si>
  <si>
    <t>NA</t>
  </si>
  <si>
    <t>Canada</t>
  </si>
  <si>
    <t>6191 CAD</t>
  </si>
  <si>
    <t>US</t>
  </si>
  <si>
    <t xml:space="preserve">  </t>
  </si>
  <si>
    <t>3.3.1be_SW</t>
  </si>
  <si>
    <t>3.3.3bk_SW_PWT</t>
  </si>
  <si>
    <t>4.3.3eb_OW_PWT</t>
  </si>
  <si>
    <t>4.3.3ec_OW_PWT</t>
  </si>
  <si>
    <t>4.3.3ed_OW_PWT</t>
  </si>
  <si>
    <t>4.3.3ee_OW_PWT</t>
  </si>
  <si>
    <t>4.3.3ef_OW_PWT</t>
  </si>
  <si>
    <t>4.3.3eg_OW_PWT</t>
  </si>
  <si>
    <t>4.3.3eh_OW_PWT</t>
  </si>
  <si>
    <t>4.3.3ei_OW_PWT</t>
  </si>
  <si>
    <t>4.3.3ej_OW_PWT</t>
  </si>
  <si>
    <t>4.3.3ek_OW_PWT</t>
  </si>
  <si>
    <t>4.3.3fb_OW_PWT</t>
  </si>
  <si>
    <t>4.3.3fc_OW_PWT</t>
  </si>
  <si>
    <t>4.3.3fd_OW_PWT</t>
  </si>
  <si>
    <t>4.3.3fe_OW_PWT</t>
  </si>
  <si>
    <t>4.3.3ff_OW_PWT</t>
  </si>
  <si>
    <t>4.3.3fg_OW_PWT</t>
  </si>
  <si>
    <t>4.3.3fh_OW_PWT</t>
  </si>
  <si>
    <t>4.3.3fi_OW_PWT</t>
  </si>
  <si>
    <t>4.3.3fj_OW_PWT</t>
  </si>
  <si>
    <t>4.3.3fk_OW_PWT</t>
  </si>
  <si>
    <t>2.1.1c_SW_2016_PWT</t>
  </si>
  <si>
    <t>2.1.1d_SW_2016_PWT</t>
  </si>
  <si>
    <t>2.2.1c_SW_2016_PWT</t>
  </si>
  <si>
    <t>2.2.1d_SW_2016_PWT</t>
  </si>
  <si>
    <t>2.3.2c_SW_2016_PWT</t>
  </si>
  <si>
    <t>2.3.2d_SW_2016_PWT</t>
  </si>
  <si>
    <t>2.4.1c_SW_2016_PWT</t>
  </si>
  <si>
    <t>3.3.3dj_SW_PWT</t>
  </si>
  <si>
    <t>3.3.3dh_SW_PWT</t>
  </si>
  <si>
    <t>3.3.3df_SW_PWT</t>
  </si>
  <si>
    <t>3.3.3de_SW_PWT</t>
  </si>
  <si>
    <t>3.3.3dd_SW_PWT</t>
  </si>
  <si>
    <t>3.3.3ck_SW_PWT</t>
  </si>
  <si>
    <t>3.3.3ce_SW_PWT</t>
  </si>
  <si>
    <t>3.3.3cd_SW_PWT</t>
  </si>
  <si>
    <t>3.3.3cc_SW_PWT</t>
  </si>
  <si>
    <t>3.3.3cb_SW_PWT</t>
  </si>
  <si>
    <t>3.3.3bj_SW_PWT</t>
  </si>
  <si>
    <t>3.3.3bi_SW_PWT</t>
  </si>
  <si>
    <t>3.3.3bh_SW_PWT</t>
  </si>
  <si>
    <t>3.3.3bg_SW_PWT</t>
  </si>
  <si>
    <t>3.3.3bf_SW_PWT</t>
  </si>
  <si>
    <t>3.3.3be_SW_PWT</t>
  </si>
  <si>
    <t>3.3.3bd_SW_PWT</t>
  </si>
  <si>
    <t>3.3.1dj_SW_PWT</t>
  </si>
  <si>
    <t>3.3.1di_SW_PWT</t>
  </si>
  <si>
    <t>3.3.1dh_SW_PWT</t>
  </si>
  <si>
    <t>3.3.1dg_SW_PWT</t>
  </si>
  <si>
    <t>3.3.1df_SW_PWT</t>
  </si>
  <si>
    <t>3.3.1de_SW_PWT</t>
  </si>
  <si>
    <t>3.3.1dd_SW_PWT</t>
  </si>
  <si>
    <t>3.3.1cj_SW_PWT</t>
  </si>
  <si>
    <t>3.3.1ci_SW_PWT</t>
  </si>
  <si>
    <t>3.3.1ch_SW_PWT</t>
  </si>
  <si>
    <t>3.3.1cg_SW_PWT</t>
  </si>
  <si>
    <t>3.3.1cf_SW_PWT</t>
  </si>
  <si>
    <t>3.3.1ce_SW_PWT</t>
  </si>
  <si>
    <t>3.3.1cd_SW_PWT</t>
  </si>
  <si>
    <t>3.3.1cc_SW_PWT</t>
  </si>
  <si>
    <t>3.3.1cb_SW_PWT</t>
  </si>
  <si>
    <t>4.2.2_P_2016</t>
  </si>
  <si>
    <t>5.3.2_P_2016</t>
  </si>
  <si>
    <t>Gov Data</t>
  </si>
  <si>
    <t>Avail Data</t>
  </si>
  <si>
    <t>Access Data</t>
  </si>
  <si>
    <t>Accept Data</t>
  </si>
  <si>
    <t>Adapt Data</t>
  </si>
  <si>
    <t>ALL Data</t>
  </si>
  <si>
    <t>Country</t>
  </si>
  <si>
    <t>2015 GDP per capita</t>
  </si>
  <si>
    <t>Data source: http://data.worldbank.org/indicator/NY.GDP.PCAP.CD</t>
  </si>
  <si>
    <t>LogGDP</t>
  </si>
  <si>
    <t>DRC</t>
  </si>
  <si>
    <t>Ethiopia</t>
  </si>
  <si>
    <t>Honduras</t>
  </si>
  <si>
    <t>Mean GDP</t>
  </si>
  <si>
    <t>Indoneisa</t>
  </si>
  <si>
    <t>Palestine</t>
  </si>
  <si>
    <t>South Korea</t>
  </si>
  <si>
    <t>UK</t>
  </si>
  <si>
    <t>Data availability weights</t>
  </si>
  <si>
    <t>Chili</t>
  </si>
  <si>
    <t xml:space="preserve">Tanzania </t>
  </si>
  <si>
    <t>USA</t>
  </si>
  <si>
    <t>2016 NEW</t>
  </si>
  <si>
    <t>Governance response rate</t>
  </si>
  <si>
    <t>Governance Applicable</t>
  </si>
  <si>
    <t>Availability response rate</t>
  </si>
  <si>
    <t>Availability Applicable</t>
  </si>
  <si>
    <t>Accessibility response rate</t>
  </si>
  <si>
    <t>Accessibility applicable</t>
  </si>
  <si>
    <t>Acceptability response rate</t>
  </si>
  <si>
    <t>Acceptability applicable</t>
  </si>
  <si>
    <t>Adaptability response rate</t>
  </si>
  <si>
    <t>Adaptability applicable</t>
  </si>
  <si>
    <t>Total response rate</t>
  </si>
  <si>
    <t>Total applicable</t>
  </si>
  <si>
    <t>Decentralized systems</t>
  </si>
  <si>
    <t>Centralized systems</t>
  </si>
  <si>
    <t>Australia?</t>
  </si>
  <si>
    <t>Hondorus</t>
  </si>
  <si>
    <t>Indonesia</t>
  </si>
  <si>
    <t>Nigeria?</t>
  </si>
  <si>
    <t>Middle of the road</t>
  </si>
  <si>
    <t>Canada?</t>
  </si>
  <si>
    <t>3.3.1a_gp</t>
  </si>
  <si>
    <t>3.3.1a_gp_ad</t>
  </si>
  <si>
    <t>3.3.1a_resp</t>
  </si>
  <si>
    <t>3.3.1a_resp_ad</t>
  </si>
  <si>
    <t>3.3.1a_inc_hmp</t>
  </si>
  <si>
    <t>3.3.1a_inc_hmp_ad</t>
  </si>
  <si>
    <t>3.3.1a_inc_mlp</t>
  </si>
  <si>
    <t>3.3.1a_inc_mlp_ad</t>
  </si>
  <si>
    <t>3.3.1a_disp</t>
  </si>
  <si>
    <t>3.3.1a_disp_ad</t>
  </si>
  <si>
    <t>3.3.1b_gp</t>
  </si>
  <si>
    <t>3.3.1b_gp_ad</t>
  </si>
  <si>
    <t>3.3.1b_resp</t>
  </si>
  <si>
    <t>3.3.1b_resp_ad</t>
  </si>
  <si>
    <t>3.3.1b_inc_hmp</t>
  </si>
  <si>
    <t>3.3.1b_inc_hmp_ad</t>
  </si>
  <si>
    <t>3.3.1b_inc_mlp</t>
  </si>
  <si>
    <t>3.3.1b_inc_mlp_ad</t>
  </si>
  <si>
    <t>3.3.1b_disp</t>
  </si>
  <si>
    <t>3.3.1b_disp_ad</t>
  </si>
  <si>
    <t>3.3.1c_gp</t>
  </si>
  <si>
    <t>3.3.1c_gp_ad</t>
  </si>
  <si>
    <t>3.3.1c_resp</t>
  </si>
  <si>
    <t>3.3.1c_resp_ad</t>
  </si>
  <si>
    <t>3.3.1c_inc_hmp</t>
  </si>
  <si>
    <t>3.3.1c_inc_hmp_ad</t>
  </si>
  <si>
    <t>3.3.1c_inc_mlp</t>
  </si>
  <si>
    <t>3.3.1c_inc_mlp_ad</t>
  </si>
  <si>
    <t>3.3.1c_disp</t>
  </si>
  <si>
    <t>3.3.1c_disp_ad</t>
  </si>
  <si>
    <t>3.3.1d_gp</t>
  </si>
  <si>
    <t>3.3.1d_gp_ad</t>
  </si>
  <si>
    <t>3.3.1d_resp</t>
  </si>
  <si>
    <t>3.3.1d_resp_ad</t>
  </si>
  <si>
    <t>3.3.1d_inc_hmp</t>
  </si>
  <si>
    <t>3.3.1d_inc_hmp_ad</t>
  </si>
  <si>
    <t>3.3.1d_inc_mlp</t>
  </si>
  <si>
    <t>3.3.1d_inc_mlp_ad</t>
  </si>
  <si>
    <t>3.3.1d_disp</t>
  </si>
  <si>
    <t>3.3.1d_disp_ad</t>
  </si>
  <si>
    <t>3.3.2a_gp</t>
  </si>
  <si>
    <t>3.3.2a_gp_ad</t>
  </si>
  <si>
    <t>3.3.2a_resp</t>
  </si>
  <si>
    <t>3.3.2a_resp_ad</t>
  </si>
  <si>
    <t>3.3.2a_inc_hmp</t>
  </si>
  <si>
    <t>3.3.2a_inc_hmp_ad</t>
  </si>
  <si>
    <t>3.3.2a_inc_mlp</t>
  </si>
  <si>
    <t>3.3.2a_inc_mlp_ad</t>
  </si>
  <si>
    <t>3.3.2a_disp</t>
  </si>
  <si>
    <t>3.3.2a_disp_ad</t>
  </si>
  <si>
    <t>3.3.2b_gp</t>
  </si>
  <si>
    <t>3.3.2b_gp_ad</t>
  </si>
  <si>
    <t>3.3.2b_resp</t>
  </si>
  <si>
    <t>3.3.2b_resp_ad</t>
  </si>
  <si>
    <t>3.3.2b_inc_hmp</t>
  </si>
  <si>
    <t>3.3.2b_inc_hmp_ad</t>
  </si>
  <si>
    <t>3.3.2b_inc_mlp</t>
  </si>
  <si>
    <t>3.3.2b_inc_mlp_ad</t>
  </si>
  <si>
    <t>3.3.2b_disp</t>
  </si>
  <si>
    <t>3.3.2b_disp_ad</t>
  </si>
  <si>
    <t>_gp</t>
  </si>
  <si>
    <t>_gp_ad</t>
  </si>
  <si>
    <t>_resp</t>
  </si>
  <si>
    <t>_resp_ad</t>
  </si>
  <si>
    <t>_inc_hmp</t>
  </si>
  <si>
    <t>_inc_hmp_ad</t>
  </si>
  <si>
    <t>_inc_mlp</t>
  </si>
  <si>
    <t>_inc_mlp_ad</t>
  </si>
  <si>
    <t>_disp</t>
  </si>
  <si>
    <t>_disp_ad</t>
  </si>
  <si>
    <t>gender parity - girls to boys</t>
  </si>
  <si>
    <t>urban/ rural parity</t>
  </si>
  <si>
    <t>high/ middle income parity</t>
  </si>
  <si>
    <t>middle/ lower income parity</t>
  </si>
  <si>
    <t>disability to total parity</t>
  </si>
  <si>
    <t>group with advantage</t>
  </si>
  <si>
    <t>Male</t>
  </si>
  <si>
    <t>Female</t>
  </si>
  <si>
    <t>Rural</t>
  </si>
  <si>
    <t>Middle</t>
  </si>
  <si>
    <t>Urban</t>
  </si>
  <si>
    <t>High</t>
  </si>
  <si>
    <t>Overall</t>
  </si>
  <si>
    <t>female</t>
  </si>
  <si>
    <t>Number possible</t>
  </si>
  <si>
    <t>1</t>
  </si>
  <si>
    <t>0</t>
  </si>
  <si>
    <t>.5</t>
  </si>
  <si>
    <t>997</t>
  </si>
  <si>
    <t>.25</t>
  </si>
  <si>
    <t xml:space="preserve"> 25:1</t>
  </si>
  <si>
    <t>Male: 26:1
Female: 25:1</t>
  </si>
  <si>
    <t>Male: 20:1
Female: 19:1</t>
  </si>
  <si>
    <t>Not Available</t>
  </si>
  <si>
    <t>.33</t>
  </si>
  <si>
    <t>.66</t>
  </si>
  <si>
    <t>16Zim</t>
  </si>
  <si>
    <t>3.3.3a_gp</t>
  </si>
  <si>
    <t>3.3.3a_gp_ad</t>
  </si>
  <si>
    <t>3.3.3a_resp</t>
  </si>
  <si>
    <t>3.3.3a_resp_ad</t>
  </si>
  <si>
    <t>3.3.3a_inc_mlp</t>
  </si>
  <si>
    <t>3.3.3a_inc_mlp_ad</t>
  </si>
  <si>
    <t>3.3.3a_inc_hmp</t>
  </si>
  <si>
    <t>3.3.3a_inc_hmp_ad</t>
  </si>
  <si>
    <t>3.3.3a_disp</t>
  </si>
  <si>
    <t>3.3.3a_disp_ad</t>
  </si>
  <si>
    <t>3.3.3b_gp</t>
  </si>
  <si>
    <t>3.3.3b_gp_ad</t>
  </si>
  <si>
    <t>3.3.3b_resp</t>
  </si>
  <si>
    <t>3.3.3b_resp_ad</t>
  </si>
  <si>
    <t>3.3.3b_inc_mlp</t>
  </si>
  <si>
    <t>3.3.3b_inc_mlp_ad</t>
  </si>
  <si>
    <t>3.3.3b_inc_hmp</t>
  </si>
  <si>
    <t>3.3.3b_inc_hmp_ad</t>
  </si>
  <si>
    <t>3.3.3b_disp</t>
  </si>
  <si>
    <t>3.3.3b_disp_ad</t>
  </si>
  <si>
    <t>3.3.3c_gp</t>
  </si>
  <si>
    <t>3.3.3c_gp_ad</t>
  </si>
  <si>
    <t>3.3.3c_resp</t>
  </si>
  <si>
    <t>3.3.3c_resp_ad</t>
  </si>
  <si>
    <t>3.3.3c_inc_mlp</t>
  </si>
  <si>
    <t>3.3.3c_inc_mlp_ad</t>
  </si>
  <si>
    <t>3.3.3c_inc_hmp</t>
  </si>
  <si>
    <t>3.3.3c_inc_hmp_ad</t>
  </si>
  <si>
    <t>3.3.3c_disp</t>
  </si>
  <si>
    <t>3.3.3c_disp_ad</t>
  </si>
  <si>
    <t>3.3.3d_gp</t>
  </si>
  <si>
    <t>3.3.3d_gp_ad</t>
  </si>
  <si>
    <t>3.3.3d_resp</t>
  </si>
  <si>
    <t>3.3.3d_resp_ad</t>
  </si>
  <si>
    <t>3.3.3d_inc_hmp</t>
  </si>
  <si>
    <t>3.3.3d_inc_hmp_ad</t>
  </si>
  <si>
    <t>3.3.3d_inc_mlp</t>
  </si>
  <si>
    <t>3.3.3d_inc_mlp_ad</t>
  </si>
  <si>
    <t>3.3.3d_disp</t>
  </si>
  <si>
    <t>3.3.3d_disp_ad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</si>
</sst>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50595E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2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0" fillId="0" borderId="0" xfId="0" applyFont="1" applyFill="1"/>
    <xf numFmtId="0" fontId="0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textRotation="90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6" fillId="0" borderId="0" xfId="0" applyFont="1"/>
    <xf numFmtId="2" fontId="0" fillId="0" borderId="0" xfId="0" applyNumberFormat="1"/>
    <xf numFmtId="0" fontId="0" fillId="0" borderId="0" xfId="0" applyNumberFormat="1"/>
    <xf numFmtId="6" fontId="6" fillId="0" borderId="0" xfId="0" applyNumberFormat="1" applyFont="1"/>
    <xf numFmtId="0" fontId="1" fillId="0" borderId="0" xfId="0" applyFont="1"/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2" fontId="0" fillId="2" borderId="0" xfId="0" applyNumberFormat="1" applyFill="1" applyAlignment="1">
      <alignment wrapText="1"/>
    </xf>
    <xf numFmtId="0" fontId="7" fillId="0" borderId="0" xfId="0" applyFont="1"/>
    <xf numFmtId="4" fontId="8" fillId="0" borderId="0" xfId="0" applyNumberFormat="1" applyFont="1"/>
    <xf numFmtId="0" fontId="8" fillId="0" borderId="0" xfId="0" applyFont="1"/>
    <xf numFmtId="0" fontId="0" fillId="5" borderId="0" xfId="0" applyFill="1"/>
    <xf numFmtId="1" fontId="0" fillId="0" borderId="0" xfId="0" applyNumberFormat="1" applyFill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/>
    </xf>
    <xf numFmtId="0" fontId="5" fillId="0" borderId="0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 textRotation="90"/>
    </xf>
    <xf numFmtId="0" fontId="0" fillId="0" borderId="2" xfId="0" applyBorder="1" applyAlignment="1">
      <alignment vertical="center" textRotation="90"/>
    </xf>
    <xf numFmtId="0" fontId="4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[1]StateCapacityAdjustments!$A$2:$A$17</c:f>
              <c:strCache>
                <c:ptCount val="16"/>
                <c:pt idx="0">
                  <c:v>Australia</c:v>
                </c:pt>
                <c:pt idx="1">
                  <c:v>Canada</c:v>
                </c:pt>
                <c:pt idx="2">
                  <c:v>Chile</c:v>
                </c:pt>
                <c:pt idx="3">
                  <c:v>DRC</c:v>
                </c:pt>
                <c:pt idx="4">
                  <c:v>Ethiopia</c:v>
                </c:pt>
                <c:pt idx="5">
                  <c:v>Honduras</c:v>
                </c:pt>
                <c:pt idx="6">
                  <c:v>Indoneisa</c:v>
                </c:pt>
                <c:pt idx="7">
                  <c:v>Mean GDP</c:v>
                </c:pt>
                <c:pt idx="8">
                  <c:v>Nigeria</c:v>
                </c:pt>
                <c:pt idx="9">
                  <c:v>Palestine</c:v>
                </c:pt>
                <c:pt idx="10">
                  <c:v>Philippines</c:v>
                </c:pt>
                <c:pt idx="11">
                  <c:v>South Korea</c:v>
                </c:pt>
                <c:pt idx="12">
                  <c:v>Tanzania</c:v>
                </c:pt>
                <c:pt idx="13">
                  <c:v>UK</c:v>
                </c:pt>
                <c:pt idx="14">
                  <c:v>US</c:v>
                </c:pt>
                <c:pt idx="15">
                  <c:v>Zimbabwe</c:v>
                </c:pt>
              </c:strCache>
            </c:strRef>
          </c:xVal>
          <c:yVal>
            <c:numRef>
              <c:f>[1]StateCapacityAdjustments!$B$2:$B$17</c:f>
              <c:numCache>
                <c:formatCode>General</c:formatCode>
                <c:ptCount val="16"/>
                <c:pt idx="0">
                  <c:v>56327.7</c:v>
                </c:pt>
                <c:pt idx="1">
                  <c:v>43248.5</c:v>
                </c:pt>
                <c:pt idx="2">
                  <c:v>13383.9</c:v>
                </c:pt>
                <c:pt idx="3">
                  <c:v>456.1</c:v>
                </c:pt>
                <c:pt idx="4">
                  <c:v>619.1</c:v>
                </c:pt>
                <c:pt idx="5">
                  <c:v>2495.6</c:v>
                </c:pt>
                <c:pt idx="6">
                  <c:v>3346.5</c:v>
                </c:pt>
                <c:pt idx="7">
                  <c:v>9995.6</c:v>
                </c:pt>
                <c:pt idx="8">
                  <c:v>2640.3</c:v>
                </c:pt>
                <c:pt idx="9">
                  <c:v>2866.8</c:v>
                </c:pt>
                <c:pt idx="10">
                  <c:v>2899.4</c:v>
                </c:pt>
                <c:pt idx="11">
                  <c:v>27221.5</c:v>
                </c:pt>
                <c:pt idx="12">
                  <c:v>864.9</c:v>
                </c:pt>
                <c:pt idx="13">
                  <c:v>43734</c:v>
                </c:pt>
                <c:pt idx="14">
                  <c:v>55836.800000000003</c:v>
                </c:pt>
                <c:pt idx="15">
                  <c:v>890.4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3-4F9B-BBA9-29208070F8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8227856"/>
        <c:axId val="362316880"/>
      </c:scatterChart>
      <c:valAx>
        <c:axId val="53822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16880"/>
        <c:crosses val="autoZero"/>
        <c:crossBetween val="midCat"/>
      </c:valAx>
      <c:valAx>
        <c:axId val="3623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2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18</xdr:row>
      <xdr:rowOff>33337</xdr:rowOff>
    </xdr:from>
    <xdr:to>
      <xdr:col>2</xdr:col>
      <xdr:colOff>3457575</xdr:colOff>
      <xdr:row>32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%20coding%20Guide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s and org for data 2016"/>
      <sheetName val="Weighting Formulas"/>
      <sheetName val="StateCapacityAdjustments"/>
      <sheetName val="Data availability weights"/>
      <sheetName val="Descramble numbers"/>
    </sheetNames>
    <sheetDataSet>
      <sheetData sheetId="0"/>
      <sheetData sheetId="1"/>
      <sheetData sheetId="2">
        <row r="2">
          <cell r="A2" t="str">
            <v>Australia</v>
          </cell>
          <cell r="B2">
            <v>56327.7</v>
          </cell>
        </row>
        <row r="3">
          <cell r="A3" t="str">
            <v>Canada</v>
          </cell>
          <cell r="B3">
            <v>43248.5</v>
          </cell>
        </row>
        <row r="4">
          <cell r="A4" t="str">
            <v>Chile</v>
          </cell>
          <cell r="B4">
            <v>13383.9</v>
          </cell>
        </row>
        <row r="5">
          <cell r="A5" t="str">
            <v>DRC</v>
          </cell>
          <cell r="B5">
            <v>456.1</v>
          </cell>
        </row>
        <row r="6">
          <cell r="A6" t="str">
            <v>Ethiopia</v>
          </cell>
          <cell r="B6">
            <v>619.1</v>
          </cell>
        </row>
        <row r="7">
          <cell r="A7" t="str">
            <v>Honduras</v>
          </cell>
          <cell r="B7">
            <v>2495.6</v>
          </cell>
        </row>
        <row r="8">
          <cell r="A8" t="str">
            <v>Indoneisa</v>
          </cell>
          <cell r="B8">
            <v>3346.5</v>
          </cell>
        </row>
        <row r="9">
          <cell r="A9" t="str">
            <v>Mean GDP</v>
          </cell>
          <cell r="B9">
            <v>9995.6</v>
          </cell>
        </row>
        <row r="10">
          <cell r="A10" t="str">
            <v>Nigeria</v>
          </cell>
          <cell r="B10">
            <v>2640.3</v>
          </cell>
        </row>
        <row r="11">
          <cell r="A11" t="str">
            <v>Palestine</v>
          </cell>
          <cell r="B11">
            <v>2866.8</v>
          </cell>
        </row>
        <row r="12">
          <cell r="A12" t="str">
            <v>Philippines</v>
          </cell>
          <cell r="B12">
            <v>2899.4</v>
          </cell>
        </row>
        <row r="13">
          <cell r="A13" t="str">
            <v>South Korea</v>
          </cell>
          <cell r="B13">
            <v>27221.5</v>
          </cell>
        </row>
        <row r="14">
          <cell r="A14" t="str">
            <v>Tanzania</v>
          </cell>
          <cell r="B14">
            <v>864.9</v>
          </cell>
        </row>
        <row r="15">
          <cell r="A15" t="str">
            <v>UK</v>
          </cell>
          <cell r="B15">
            <v>43734</v>
          </cell>
        </row>
        <row r="16">
          <cell r="A16" t="str">
            <v>US</v>
          </cell>
          <cell r="B16">
            <v>55836.800000000003</v>
          </cell>
        </row>
        <row r="17">
          <cell r="A17" t="str">
            <v>Zimbabwe</v>
          </cell>
          <cell r="B17">
            <v>890.4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H15"/>
  <sheetViews>
    <sheetView topLeftCell="PM1" zoomScale="70" zoomScaleNormal="70" workbookViewId="0">
      <selection activeCell="PL2" sqref="PL2"/>
    </sheetView>
  </sheetViews>
  <sheetFormatPr defaultColWidth="14.42578125" defaultRowHeight="15" x14ac:dyDescent="0.25"/>
  <cols>
    <col min="1" max="1" width="11" bestFit="1" customWidth="1"/>
    <col min="2" max="2" width="8.140625" bestFit="1" customWidth="1"/>
    <col min="3" max="3" width="8.28515625" bestFit="1" customWidth="1"/>
    <col min="4" max="4" width="8" bestFit="1" customWidth="1"/>
    <col min="5" max="6" width="8.28515625" bestFit="1" customWidth="1"/>
    <col min="7" max="7" width="7.85546875" bestFit="1" customWidth="1"/>
    <col min="8" max="8" width="8.140625" bestFit="1" customWidth="1"/>
    <col min="9" max="9" width="8.28515625" bestFit="1" customWidth="1"/>
    <col min="10" max="11" width="8.1406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8" bestFit="1" customWidth="1"/>
    <col min="17" max="17" width="8.28515625" bestFit="1" customWidth="1"/>
    <col min="18" max="18" width="8.140625" bestFit="1" customWidth="1"/>
    <col min="19" max="19" width="8.28515625" bestFit="1" customWidth="1"/>
    <col min="20" max="20" width="8" bestFit="1" customWidth="1"/>
    <col min="21" max="22" width="8.28515625" bestFit="1" customWidth="1"/>
    <col min="23" max="23" width="7.85546875" bestFit="1" customWidth="1"/>
    <col min="24" max="24" width="8.140625" bestFit="1" customWidth="1"/>
    <col min="25" max="25" width="13.42578125" style="15" bestFit="1" customWidth="1"/>
    <col min="26" max="27" width="7.7109375" bestFit="1" customWidth="1"/>
    <col min="28" max="28" width="8.140625" bestFit="1" customWidth="1"/>
    <col min="29" max="29" width="7.7109375" bestFit="1" customWidth="1"/>
    <col min="30" max="30" width="8.85546875" bestFit="1" customWidth="1"/>
    <col min="31" max="33" width="8.28515625" bestFit="1" customWidth="1"/>
    <col min="34" max="34" width="14.42578125" style="38"/>
    <col min="35" max="35" width="12.85546875" style="38" bestFit="1" customWidth="1"/>
    <col min="36" max="36" width="8.140625" bestFit="1" customWidth="1"/>
    <col min="37" max="37" width="8.28515625" bestFit="1" customWidth="1"/>
    <col min="38" max="38" width="8" bestFit="1" customWidth="1"/>
    <col min="39" max="39" width="8.28515625" bestFit="1" customWidth="1"/>
    <col min="40" max="42" width="7.140625" bestFit="1" customWidth="1"/>
    <col min="45" max="46" width="7.140625" bestFit="1" customWidth="1"/>
    <col min="47" max="47" width="9" bestFit="1" customWidth="1"/>
    <col min="48" max="48" width="12.5703125" bestFit="1" customWidth="1"/>
    <col min="49" max="49" width="8.140625" bestFit="1" customWidth="1"/>
    <col min="50" max="50" width="14.28515625" bestFit="1" customWidth="1"/>
    <col min="51" max="52" width="7.140625" bestFit="1" customWidth="1"/>
    <col min="53" max="53" width="12.28515625" bestFit="1" customWidth="1"/>
    <col min="54" max="54" width="12.140625" bestFit="1" customWidth="1"/>
    <col min="55" max="55" width="8.42578125" bestFit="1" customWidth="1"/>
    <col min="56" max="56" width="12.85546875" bestFit="1" customWidth="1"/>
    <col min="66" max="66" width="12.140625" bestFit="1" customWidth="1"/>
    <col min="67" max="67" width="10.140625" bestFit="1" customWidth="1"/>
    <col min="68" max="68" width="12.28515625" bestFit="1" customWidth="1"/>
    <col min="69" max="69" width="9.85546875" bestFit="1" customWidth="1"/>
    <col min="70" max="70" width="12" bestFit="1" customWidth="1"/>
    <col min="71" max="71" width="10.140625" bestFit="1" customWidth="1"/>
    <col min="72" max="72" width="12.28515625" bestFit="1" customWidth="1"/>
    <col min="73" max="73" width="10" bestFit="1" customWidth="1"/>
    <col min="74" max="74" width="12.140625" bestFit="1" customWidth="1"/>
    <col min="75" max="75" width="10.140625" bestFit="1" customWidth="1"/>
    <col min="76" max="76" width="12.28515625" bestFit="1" customWidth="1"/>
    <col min="77" max="77" width="9.85546875" bestFit="1" customWidth="1"/>
    <col min="78" max="78" width="12" bestFit="1" customWidth="1"/>
    <col min="79" max="79" width="9.140625" bestFit="1" customWidth="1"/>
    <col min="80" max="80" width="11.5703125" bestFit="1" customWidth="1"/>
    <col min="116" max="121" width="14.42578125" style="16"/>
    <col min="125" max="125" width="14.42578125" style="16"/>
    <col min="187" max="196" width="14.42578125" style="44"/>
    <col min="212" max="221" width="14.42578125" style="44"/>
    <col min="243" max="252" width="14.42578125" style="44"/>
    <col min="274" max="283" width="14.42578125" style="44"/>
    <col min="295" max="304" width="14.42578125" style="44"/>
    <col min="319" max="328" width="14.42578125" style="44"/>
    <col min="340" max="349" width="14.42578125" style="44"/>
    <col min="372" max="381" width="14.42578125" style="44"/>
    <col min="399" max="408" width="14.42578125" style="44"/>
    <col min="428" max="437" width="14.42578125" style="44"/>
  </cols>
  <sheetData>
    <row r="1" spans="1:710" ht="45" x14ac:dyDescent="0.25">
      <c r="A1" s="1"/>
      <c r="B1" s="1" t="s">
        <v>402</v>
      </c>
      <c r="C1" s="1" t="s">
        <v>403</v>
      </c>
      <c r="D1" s="1" t="s">
        <v>404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1" t="s">
        <v>421</v>
      </c>
      <c r="V1" s="1" t="s">
        <v>422</v>
      </c>
      <c r="W1" s="1" t="s">
        <v>423</v>
      </c>
      <c r="X1" s="1" t="s">
        <v>424</v>
      </c>
      <c r="Y1" s="11" t="s">
        <v>425</v>
      </c>
      <c r="Z1" s="1" t="s">
        <v>426</v>
      </c>
      <c r="AA1" s="1" t="s">
        <v>427</v>
      </c>
      <c r="AB1" s="1" t="s">
        <v>428</v>
      </c>
      <c r="AC1" s="1" t="s">
        <v>429</v>
      </c>
      <c r="AD1" s="1" t="s">
        <v>430</v>
      </c>
      <c r="AE1" s="1" t="s">
        <v>431</v>
      </c>
      <c r="AF1" s="1" t="s">
        <v>432</v>
      </c>
      <c r="AG1" s="1" t="s">
        <v>433</v>
      </c>
      <c r="AH1" s="6" t="s">
        <v>434</v>
      </c>
      <c r="AI1" s="6" t="s">
        <v>435</v>
      </c>
      <c r="AJ1" s="1" t="s">
        <v>436</v>
      </c>
      <c r="AK1" s="1" t="s">
        <v>437</v>
      </c>
      <c r="AL1" s="1" t="s">
        <v>438</v>
      </c>
      <c r="AM1" s="1" t="s">
        <v>439</v>
      </c>
      <c r="AN1" s="1" t="s">
        <v>440</v>
      </c>
      <c r="AO1" s="1" t="s">
        <v>441</v>
      </c>
      <c r="AP1" s="1" t="s">
        <v>442</v>
      </c>
      <c r="AQ1" s="2" t="s">
        <v>443</v>
      </c>
      <c r="AR1" s="2" t="s">
        <v>126</v>
      </c>
      <c r="AS1" s="1" t="s">
        <v>444</v>
      </c>
      <c r="AT1" s="1" t="s">
        <v>445</v>
      </c>
      <c r="AU1" s="1" t="s">
        <v>446</v>
      </c>
      <c r="AV1" s="11" t="s">
        <v>789</v>
      </c>
      <c r="AW1" s="4" t="s">
        <v>447</v>
      </c>
      <c r="AX1" s="4" t="s">
        <v>448</v>
      </c>
      <c r="AY1" s="1" t="s">
        <v>449</v>
      </c>
      <c r="AZ1" s="1" t="s">
        <v>450</v>
      </c>
      <c r="BA1" s="1" t="s">
        <v>451</v>
      </c>
      <c r="BB1" s="1" t="s">
        <v>452</v>
      </c>
      <c r="BC1" s="4" t="s">
        <v>453</v>
      </c>
      <c r="BD1" s="2" t="s">
        <v>454</v>
      </c>
      <c r="BE1" s="11" t="s">
        <v>455</v>
      </c>
      <c r="BF1" s="11" t="s">
        <v>790</v>
      </c>
      <c r="BG1" s="11" t="s">
        <v>456</v>
      </c>
      <c r="BH1" s="11" t="s">
        <v>791</v>
      </c>
      <c r="BI1" s="11" t="s">
        <v>457</v>
      </c>
      <c r="BJ1" s="11" t="s">
        <v>792</v>
      </c>
      <c r="BK1" s="11" t="s">
        <v>458</v>
      </c>
      <c r="BL1" s="11" t="s">
        <v>793</v>
      </c>
      <c r="BM1" s="5" t="s">
        <v>460</v>
      </c>
      <c r="BN1" s="5" t="s">
        <v>794</v>
      </c>
      <c r="BO1" s="5" t="s">
        <v>461</v>
      </c>
      <c r="BP1" s="5" t="s">
        <v>795</v>
      </c>
      <c r="BQ1" s="5" t="s">
        <v>462</v>
      </c>
      <c r="BR1" s="5" t="s">
        <v>796</v>
      </c>
      <c r="BS1" s="5" t="s">
        <v>463</v>
      </c>
      <c r="BT1" s="5" t="s">
        <v>797</v>
      </c>
      <c r="BU1" s="5" t="s">
        <v>464</v>
      </c>
      <c r="BV1" s="5" t="s">
        <v>798</v>
      </c>
      <c r="BW1" s="5" t="s">
        <v>468</v>
      </c>
      <c r="BX1" s="5" t="s">
        <v>799</v>
      </c>
      <c r="BY1" s="5" t="s">
        <v>469</v>
      </c>
      <c r="BZ1" s="5" t="s">
        <v>800</v>
      </c>
      <c r="CA1" s="5" t="s">
        <v>470</v>
      </c>
      <c r="CB1" s="5" t="s">
        <v>801</v>
      </c>
      <c r="CC1" s="4" t="s">
        <v>477</v>
      </c>
      <c r="CD1" s="4" t="s">
        <v>478</v>
      </c>
      <c r="CE1" s="4" t="s">
        <v>134</v>
      </c>
      <c r="CF1" s="5" t="s">
        <v>479</v>
      </c>
      <c r="CG1" s="5" t="s">
        <v>480</v>
      </c>
      <c r="CH1" s="5" t="s">
        <v>482</v>
      </c>
      <c r="CI1" s="5" t="s">
        <v>1087</v>
      </c>
      <c r="CJ1" s="5" t="s">
        <v>481</v>
      </c>
      <c r="CK1" s="5" t="s">
        <v>1088</v>
      </c>
      <c r="CL1" s="5" t="s">
        <v>483</v>
      </c>
      <c r="CM1" s="5" t="s">
        <v>484</v>
      </c>
      <c r="CN1" s="5" t="s">
        <v>804</v>
      </c>
      <c r="CO1" s="6" t="s">
        <v>486</v>
      </c>
      <c r="CP1" s="6" t="s">
        <v>485</v>
      </c>
      <c r="CQ1" s="6" t="s">
        <v>135</v>
      </c>
      <c r="CR1" s="5" t="s">
        <v>487</v>
      </c>
      <c r="CS1" s="5" t="s">
        <v>488</v>
      </c>
      <c r="CT1" s="5" t="s">
        <v>489</v>
      </c>
      <c r="CU1" s="5" t="s">
        <v>1089</v>
      </c>
      <c r="CV1" s="5" t="s">
        <v>490</v>
      </c>
      <c r="CW1" s="5" t="s">
        <v>1090</v>
      </c>
      <c r="CX1" s="13" t="s">
        <v>491</v>
      </c>
      <c r="CY1" s="13" t="s">
        <v>492</v>
      </c>
      <c r="CZ1" s="1" t="s">
        <v>493</v>
      </c>
      <c r="DA1" s="1" t="s">
        <v>494</v>
      </c>
      <c r="DB1" s="1" t="s">
        <v>802</v>
      </c>
      <c r="DC1" s="3" t="s">
        <v>495</v>
      </c>
      <c r="DD1" s="3" t="s">
        <v>496</v>
      </c>
      <c r="DE1" s="3" t="s">
        <v>803</v>
      </c>
      <c r="DF1" s="4" t="s">
        <v>497</v>
      </c>
      <c r="DG1" s="4" t="s">
        <v>498</v>
      </c>
      <c r="DH1" s="4" t="s">
        <v>136</v>
      </c>
      <c r="DI1" s="3" t="s">
        <v>499</v>
      </c>
      <c r="DJ1" s="3" t="s">
        <v>500</v>
      </c>
      <c r="DK1" s="3" t="s">
        <v>805</v>
      </c>
      <c r="DL1" s="13" t="s">
        <v>501</v>
      </c>
      <c r="DM1" s="13" t="s">
        <v>502</v>
      </c>
      <c r="DN1" s="13" t="s">
        <v>503</v>
      </c>
      <c r="DO1" s="13" t="s">
        <v>1091</v>
      </c>
      <c r="DP1" s="13" t="s">
        <v>504</v>
      </c>
      <c r="DQ1" s="13" t="s">
        <v>1092</v>
      </c>
      <c r="DR1" s="1" t="s">
        <v>505</v>
      </c>
      <c r="DS1" s="3" t="s">
        <v>506</v>
      </c>
      <c r="DT1" s="3" t="s">
        <v>806</v>
      </c>
      <c r="DU1" s="11" t="s">
        <v>507</v>
      </c>
      <c r="DV1" s="11" t="s">
        <v>807</v>
      </c>
      <c r="DW1" s="4" t="s">
        <v>508</v>
      </c>
      <c r="DX1" s="4" t="s">
        <v>509</v>
      </c>
      <c r="DY1" s="4" t="s">
        <v>140</v>
      </c>
      <c r="DZ1" s="11" t="s">
        <v>510</v>
      </c>
      <c r="EA1" s="11" t="s">
        <v>511</v>
      </c>
      <c r="EB1" s="11" t="s">
        <v>512</v>
      </c>
      <c r="EC1" s="11" t="s">
        <v>1093</v>
      </c>
      <c r="ED1" s="11" t="s">
        <v>513</v>
      </c>
      <c r="EE1" s="3" t="s">
        <v>514</v>
      </c>
      <c r="EF1" s="3" t="s">
        <v>515</v>
      </c>
      <c r="EG1" s="3" t="s">
        <v>808</v>
      </c>
      <c r="EH1" s="4" t="s">
        <v>516</v>
      </c>
      <c r="EI1" s="4" t="s">
        <v>517</v>
      </c>
      <c r="EJ1" s="4" t="s">
        <v>141</v>
      </c>
      <c r="EK1" s="3" t="s">
        <v>518</v>
      </c>
      <c r="EL1" s="11" t="s">
        <v>519</v>
      </c>
      <c r="EM1" s="3" t="s">
        <v>520</v>
      </c>
      <c r="EN1" s="3" t="s">
        <v>521</v>
      </c>
      <c r="EO1" s="3" t="s">
        <v>809</v>
      </c>
      <c r="EP1" s="5" t="s">
        <v>522</v>
      </c>
      <c r="EQ1" s="12" t="s">
        <v>523</v>
      </c>
      <c r="ER1" s="12" t="s">
        <v>524</v>
      </c>
      <c r="ES1" s="5" t="s">
        <v>525</v>
      </c>
      <c r="ET1" s="5" t="s">
        <v>810</v>
      </c>
      <c r="EU1" s="4" t="s">
        <v>526</v>
      </c>
      <c r="EV1" s="4" t="s">
        <v>527</v>
      </c>
      <c r="EW1" s="4" t="s">
        <v>143</v>
      </c>
      <c r="EX1" s="1" t="s">
        <v>528</v>
      </c>
      <c r="EY1" s="1" t="s">
        <v>529</v>
      </c>
      <c r="EZ1" s="1" t="s">
        <v>530</v>
      </c>
      <c r="FA1" s="1" t="s">
        <v>531</v>
      </c>
      <c r="FB1" s="1" t="s">
        <v>532</v>
      </c>
      <c r="FC1" s="1" t="s">
        <v>533</v>
      </c>
      <c r="FD1" s="1" t="s">
        <v>534</v>
      </c>
      <c r="FE1" s="1" t="s">
        <v>535</v>
      </c>
      <c r="FF1" s="1" t="s">
        <v>536</v>
      </c>
      <c r="FG1" s="1" t="s">
        <v>537</v>
      </c>
      <c r="FH1" s="1" t="s">
        <v>538</v>
      </c>
      <c r="FI1" s="1" t="s">
        <v>539</v>
      </c>
      <c r="FJ1" s="1" t="s">
        <v>540</v>
      </c>
      <c r="FK1" s="1" t="s">
        <v>541</v>
      </c>
      <c r="FL1" s="1" t="s">
        <v>542</v>
      </c>
      <c r="FM1" s="1" t="s">
        <v>543</v>
      </c>
      <c r="FN1" s="1" t="s">
        <v>544</v>
      </c>
      <c r="FO1" s="1" t="s">
        <v>545</v>
      </c>
      <c r="FP1" s="1" t="s">
        <v>546</v>
      </c>
      <c r="FQ1" s="2" t="s">
        <v>547</v>
      </c>
      <c r="FR1" s="2" t="s">
        <v>548</v>
      </c>
      <c r="FS1" s="2" t="s">
        <v>159</v>
      </c>
      <c r="FT1" s="1" t="s">
        <v>549</v>
      </c>
      <c r="FU1" s="1" t="s">
        <v>550</v>
      </c>
      <c r="FV1" s="1" t="s">
        <v>551</v>
      </c>
      <c r="FW1" s="1" t="s">
        <v>552</v>
      </c>
      <c r="FX1" s="1" t="s">
        <v>553</v>
      </c>
      <c r="FY1" s="1" t="s">
        <v>554</v>
      </c>
      <c r="FZ1" s="1" t="s">
        <v>555</v>
      </c>
      <c r="GA1" s="1" t="s">
        <v>556</v>
      </c>
      <c r="GB1" s="1" t="s">
        <v>557</v>
      </c>
      <c r="GC1" s="1" t="s">
        <v>558</v>
      </c>
      <c r="GD1" s="1" t="s">
        <v>559</v>
      </c>
      <c r="GE1" s="44" t="s">
        <v>1172</v>
      </c>
      <c r="GF1" s="44" t="s">
        <v>1173</v>
      </c>
      <c r="GG1" s="44" t="s">
        <v>1174</v>
      </c>
      <c r="GH1" s="44" t="s">
        <v>1175</v>
      </c>
      <c r="GI1" s="44" t="s">
        <v>1178</v>
      </c>
      <c r="GJ1" s="44" t="s">
        <v>1179</v>
      </c>
      <c r="GK1" s="44" t="s">
        <v>1176</v>
      </c>
      <c r="GL1" s="44" t="s">
        <v>1177</v>
      </c>
      <c r="GM1" s="44" t="s">
        <v>1180</v>
      </c>
      <c r="GN1" s="44" t="s">
        <v>1181</v>
      </c>
      <c r="GO1" s="1" t="s">
        <v>560</v>
      </c>
      <c r="GP1" s="1" t="s">
        <v>811</v>
      </c>
      <c r="GQ1" s="1" t="s">
        <v>561</v>
      </c>
      <c r="GR1" s="1" t="s">
        <v>812</v>
      </c>
      <c r="GS1" s="1" t="s">
        <v>562</v>
      </c>
      <c r="GT1" s="1" t="s">
        <v>813</v>
      </c>
      <c r="GU1" s="1" t="s">
        <v>563</v>
      </c>
      <c r="GV1" s="1" t="s">
        <v>564</v>
      </c>
      <c r="GW1" s="1" t="s">
        <v>1065</v>
      </c>
      <c r="GX1" s="1" t="s">
        <v>565</v>
      </c>
      <c r="GY1" s="1" t="s">
        <v>566</v>
      </c>
      <c r="GZ1" s="1" t="s">
        <v>567</v>
      </c>
      <c r="HA1" s="1" t="s">
        <v>568</v>
      </c>
      <c r="HB1" s="1" t="s">
        <v>569</v>
      </c>
      <c r="HC1" s="1" t="s">
        <v>570</v>
      </c>
      <c r="HD1" s="44" t="s">
        <v>1182</v>
      </c>
      <c r="HE1" s="44" t="s">
        <v>1183</v>
      </c>
      <c r="HF1" s="44" t="s">
        <v>1184</v>
      </c>
      <c r="HG1" s="44" t="s">
        <v>1185</v>
      </c>
      <c r="HH1" s="44" t="s">
        <v>1188</v>
      </c>
      <c r="HI1" s="44" t="s">
        <v>1189</v>
      </c>
      <c r="HJ1" s="44" t="s">
        <v>1186</v>
      </c>
      <c r="HK1" s="44" t="s">
        <v>1187</v>
      </c>
      <c r="HL1" s="44" t="s">
        <v>1190</v>
      </c>
      <c r="HM1" s="44" t="s">
        <v>1191</v>
      </c>
      <c r="HN1" s="1" t="s">
        <v>571</v>
      </c>
      <c r="HO1" s="1" t="s">
        <v>866</v>
      </c>
      <c r="HP1" s="1" t="s">
        <v>572</v>
      </c>
      <c r="HQ1" s="1" t="s">
        <v>1126</v>
      </c>
      <c r="HR1" s="1" t="s">
        <v>573</v>
      </c>
      <c r="HS1" s="1" t="s">
        <v>1125</v>
      </c>
      <c r="HT1" s="1" t="s">
        <v>574</v>
      </c>
      <c r="HU1" s="1" t="s">
        <v>1124</v>
      </c>
      <c r="HV1" s="1" t="s">
        <v>575</v>
      </c>
      <c r="HW1" s="1" t="s">
        <v>1123</v>
      </c>
      <c r="HX1" s="1" t="s">
        <v>576</v>
      </c>
      <c r="HY1" s="1" t="s">
        <v>1122</v>
      </c>
      <c r="HZ1" s="1" t="s">
        <v>577</v>
      </c>
      <c r="IA1" s="1" t="s">
        <v>1121</v>
      </c>
      <c r="IB1" s="1" t="s">
        <v>578</v>
      </c>
      <c r="IC1" s="1" t="s">
        <v>1120</v>
      </c>
      <c r="ID1" s="1" t="s">
        <v>579</v>
      </c>
      <c r="IE1" s="1" t="s">
        <v>1119</v>
      </c>
      <c r="IF1" s="1" t="s">
        <v>580</v>
      </c>
      <c r="IG1" s="1" t="s">
        <v>1118</v>
      </c>
      <c r="IH1" s="1" t="s">
        <v>581</v>
      </c>
      <c r="II1" s="44" t="s">
        <v>1192</v>
      </c>
      <c r="IJ1" s="44" t="s">
        <v>1193</v>
      </c>
      <c r="IK1" s="44" t="s">
        <v>1194</v>
      </c>
      <c r="IL1" s="44" t="s">
        <v>1195</v>
      </c>
      <c r="IM1" s="44" t="s">
        <v>1198</v>
      </c>
      <c r="IN1" s="44" t="s">
        <v>1199</v>
      </c>
      <c r="IO1" s="44" t="s">
        <v>1196</v>
      </c>
      <c r="IP1" s="44" t="s">
        <v>1197</v>
      </c>
      <c r="IQ1" s="44" t="s">
        <v>1200</v>
      </c>
      <c r="IR1" s="44" t="s">
        <v>1201</v>
      </c>
      <c r="IS1" s="1" t="s">
        <v>582</v>
      </c>
      <c r="IT1" s="1" t="s">
        <v>814</v>
      </c>
      <c r="IU1" s="1" t="s">
        <v>583</v>
      </c>
      <c r="IV1" s="1" t="s">
        <v>815</v>
      </c>
      <c r="IW1" s="1" t="s">
        <v>584</v>
      </c>
      <c r="IX1" s="1" t="s">
        <v>816</v>
      </c>
      <c r="IY1" s="1" t="s">
        <v>585</v>
      </c>
      <c r="IZ1" s="1" t="s">
        <v>1117</v>
      </c>
      <c r="JA1" s="1" t="s">
        <v>586</v>
      </c>
      <c r="JB1" s="1" t="s">
        <v>1116</v>
      </c>
      <c r="JC1" s="1" t="s">
        <v>587</v>
      </c>
      <c r="JD1" s="1" t="s">
        <v>1115</v>
      </c>
      <c r="JE1" s="1" t="s">
        <v>588</v>
      </c>
      <c r="JF1" s="1" t="s">
        <v>1114</v>
      </c>
      <c r="JG1" s="1" t="s">
        <v>589</v>
      </c>
      <c r="JH1" s="1" t="s">
        <v>1113</v>
      </c>
      <c r="JI1" s="1" t="s">
        <v>590</v>
      </c>
      <c r="JJ1" s="1" t="s">
        <v>1112</v>
      </c>
      <c r="JK1" s="1" t="s">
        <v>591</v>
      </c>
      <c r="JL1" s="1" t="s">
        <v>1111</v>
      </c>
      <c r="JM1" s="1" t="s">
        <v>592</v>
      </c>
      <c r="JN1" s="44" t="s">
        <v>1202</v>
      </c>
      <c r="JO1" s="44" t="s">
        <v>1203</v>
      </c>
      <c r="JP1" s="44" t="s">
        <v>1204</v>
      </c>
      <c r="JQ1" s="44" t="s">
        <v>1205</v>
      </c>
      <c r="JR1" s="44" t="s">
        <v>1208</v>
      </c>
      <c r="JS1" s="44" t="s">
        <v>1209</v>
      </c>
      <c r="JT1" s="44" t="s">
        <v>1206</v>
      </c>
      <c r="JU1" s="44" t="s">
        <v>1207</v>
      </c>
      <c r="JV1" s="44" t="s">
        <v>1210</v>
      </c>
      <c r="JW1" s="44" t="s">
        <v>1211</v>
      </c>
      <c r="JX1" s="1" t="s">
        <v>593</v>
      </c>
      <c r="JY1" s="1" t="s">
        <v>594</v>
      </c>
      <c r="JZ1" s="1" t="s">
        <v>595</v>
      </c>
      <c r="KA1" s="1" t="s">
        <v>596</v>
      </c>
      <c r="KB1" s="1" t="s">
        <v>597</v>
      </c>
      <c r="KC1" s="1" t="s">
        <v>598</v>
      </c>
      <c r="KD1" s="1" t="s">
        <v>599</v>
      </c>
      <c r="KE1" s="1" t="s">
        <v>600</v>
      </c>
      <c r="KF1" s="1" t="s">
        <v>601</v>
      </c>
      <c r="KG1" s="1" t="s">
        <v>602</v>
      </c>
      <c r="KH1" s="1" t="s">
        <v>603</v>
      </c>
      <c r="KI1" s="44" t="s">
        <v>1212</v>
      </c>
      <c r="KJ1" s="44" t="s">
        <v>1213</v>
      </c>
      <c r="KK1" s="44" t="s">
        <v>1214</v>
      </c>
      <c r="KL1" s="44" t="s">
        <v>1215</v>
      </c>
      <c r="KM1" s="44" t="s">
        <v>1218</v>
      </c>
      <c r="KN1" s="44" t="s">
        <v>1219</v>
      </c>
      <c r="KO1" s="44" t="s">
        <v>1216</v>
      </c>
      <c r="KP1" s="44" t="s">
        <v>1217</v>
      </c>
      <c r="KQ1" s="44" t="s">
        <v>1220</v>
      </c>
      <c r="KR1" s="44" t="s">
        <v>1221</v>
      </c>
      <c r="KS1" s="1" t="s">
        <v>604</v>
      </c>
      <c r="KT1" s="1" t="s">
        <v>817</v>
      </c>
      <c r="KU1" s="1" t="s">
        <v>605</v>
      </c>
      <c r="KV1" s="1" t="s">
        <v>818</v>
      </c>
      <c r="KW1" s="1" t="s">
        <v>606</v>
      </c>
      <c r="KX1" s="1" t="s">
        <v>819</v>
      </c>
      <c r="KY1" s="1" t="s">
        <v>607</v>
      </c>
      <c r="KZ1" s="1" t="s">
        <v>608</v>
      </c>
      <c r="LA1" s="1" t="s">
        <v>609</v>
      </c>
      <c r="LB1" s="1" t="s">
        <v>610</v>
      </c>
      <c r="LC1" s="1" t="s">
        <v>611</v>
      </c>
      <c r="LD1" s="1" t="s">
        <v>612</v>
      </c>
      <c r="LE1" s="1" t="s">
        <v>613</v>
      </c>
      <c r="LF1" s="1" t="s">
        <v>614</v>
      </c>
      <c r="LG1" s="44" t="s">
        <v>1222</v>
      </c>
      <c r="LH1" s="44" t="s">
        <v>1223</v>
      </c>
      <c r="LI1" s="44" t="s">
        <v>1224</v>
      </c>
      <c r="LJ1" s="44" t="s">
        <v>1225</v>
      </c>
      <c r="LK1" s="44" t="s">
        <v>1228</v>
      </c>
      <c r="LL1" s="44" t="s">
        <v>1229</v>
      </c>
      <c r="LM1" s="44" t="s">
        <v>1226</v>
      </c>
      <c r="LN1" s="44" t="s">
        <v>1227</v>
      </c>
      <c r="LO1" s="44" t="s">
        <v>1230</v>
      </c>
      <c r="LP1" s="44" t="s">
        <v>1231</v>
      </c>
      <c r="LQ1" s="1" t="s">
        <v>615</v>
      </c>
      <c r="LR1" s="1" t="s">
        <v>616</v>
      </c>
      <c r="LS1" s="1" t="s">
        <v>617</v>
      </c>
      <c r="LT1" s="1" t="s">
        <v>618</v>
      </c>
      <c r="LU1" s="1" t="s">
        <v>619</v>
      </c>
      <c r="LV1" s="1" t="s">
        <v>620</v>
      </c>
      <c r="LW1" s="1" t="s">
        <v>621</v>
      </c>
      <c r="LX1" s="1" t="s">
        <v>622</v>
      </c>
      <c r="LY1" s="1" t="s">
        <v>623</v>
      </c>
      <c r="LZ1" s="1" t="s">
        <v>624</v>
      </c>
      <c r="MA1" s="1" t="s">
        <v>625</v>
      </c>
      <c r="MB1" s="44" t="s">
        <v>1269</v>
      </c>
      <c r="MC1" s="44" t="s">
        <v>1270</v>
      </c>
      <c r="MD1" s="44" t="s">
        <v>1271</v>
      </c>
      <c r="ME1" s="44" t="s">
        <v>1272</v>
      </c>
      <c r="MF1" s="44" t="s">
        <v>1273</v>
      </c>
      <c r="MG1" s="44" t="s">
        <v>1274</v>
      </c>
      <c r="MH1" s="44" t="s">
        <v>1275</v>
      </c>
      <c r="MI1" s="44" t="s">
        <v>1276</v>
      </c>
      <c r="MJ1" s="44" t="s">
        <v>1277</v>
      </c>
      <c r="MK1" s="44" t="s">
        <v>1278</v>
      </c>
      <c r="ML1" s="1" t="s">
        <v>626</v>
      </c>
      <c r="MM1" s="1" t="s">
        <v>820</v>
      </c>
      <c r="MN1" s="1" t="s">
        <v>627</v>
      </c>
      <c r="MO1" s="1" t="s">
        <v>821</v>
      </c>
      <c r="MP1" s="1" t="s">
        <v>628</v>
      </c>
      <c r="MQ1" s="1" t="s">
        <v>822</v>
      </c>
      <c r="MR1" s="1" t="s">
        <v>629</v>
      </c>
      <c r="MS1" s="1" t="s">
        <v>1110</v>
      </c>
      <c r="MT1" s="1" t="s">
        <v>630</v>
      </c>
      <c r="MU1" s="1" t="s">
        <v>1109</v>
      </c>
      <c r="MV1" s="1" t="s">
        <v>631</v>
      </c>
      <c r="MW1" s="1" t="s">
        <v>1108</v>
      </c>
      <c r="MX1" s="1" t="s">
        <v>632</v>
      </c>
      <c r="MY1" s="1" t="s">
        <v>1107</v>
      </c>
      <c r="MZ1" s="1" t="s">
        <v>633</v>
      </c>
      <c r="NA1" s="1" t="s">
        <v>1106</v>
      </c>
      <c r="NB1" s="1" t="s">
        <v>634</v>
      </c>
      <c r="NC1" s="1" t="s">
        <v>1105</v>
      </c>
      <c r="ND1" s="1" t="s">
        <v>635</v>
      </c>
      <c r="NE1" s="1" t="s">
        <v>1104</v>
      </c>
      <c r="NF1" s="1" t="s">
        <v>636</v>
      </c>
      <c r="NG1" s="1" t="s">
        <v>1066</v>
      </c>
      <c r="NH1" s="44" t="s">
        <v>1279</v>
      </c>
      <c r="NI1" s="44" t="s">
        <v>1280</v>
      </c>
      <c r="NJ1" s="44" t="s">
        <v>1281</v>
      </c>
      <c r="NK1" s="44" t="s">
        <v>1282</v>
      </c>
      <c r="NL1" s="44" t="s">
        <v>1283</v>
      </c>
      <c r="NM1" s="44" t="s">
        <v>1284</v>
      </c>
      <c r="NN1" s="44" t="s">
        <v>1285</v>
      </c>
      <c r="NO1" s="44" t="s">
        <v>1286</v>
      </c>
      <c r="NP1" s="44" t="s">
        <v>1287</v>
      </c>
      <c r="NQ1" s="44" t="s">
        <v>1288</v>
      </c>
      <c r="NR1" s="1" t="s">
        <v>637</v>
      </c>
      <c r="NS1" s="1" t="s">
        <v>823</v>
      </c>
      <c r="NT1" s="1" t="s">
        <v>638</v>
      </c>
      <c r="NU1" s="1" t="s">
        <v>1103</v>
      </c>
      <c r="NV1" s="1" t="s">
        <v>639</v>
      </c>
      <c r="NW1" s="1" t="s">
        <v>1102</v>
      </c>
      <c r="NX1" s="1" t="s">
        <v>640</v>
      </c>
      <c r="NY1" s="1" t="s">
        <v>1101</v>
      </c>
      <c r="NZ1" s="1" t="s">
        <v>641</v>
      </c>
      <c r="OA1" s="1" t="s">
        <v>1100</v>
      </c>
      <c r="OB1" s="1" t="s">
        <v>642</v>
      </c>
      <c r="OC1" s="1" t="s">
        <v>643</v>
      </c>
      <c r="OD1" s="1" t="s">
        <v>644</v>
      </c>
      <c r="OE1" s="1" t="s">
        <v>645</v>
      </c>
      <c r="OF1" s="1" t="s">
        <v>646</v>
      </c>
      <c r="OG1" s="1" t="s">
        <v>647</v>
      </c>
      <c r="OH1" s="1" t="s">
        <v>1099</v>
      </c>
      <c r="OI1" s="44" t="s">
        <v>1289</v>
      </c>
      <c r="OJ1" s="44" t="s">
        <v>1290</v>
      </c>
      <c r="OK1" s="44" t="s">
        <v>1291</v>
      </c>
      <c r="OL1" s="44" t="s">
        <v>1292</v>
      </c>
      <c r="OM1" s="44" t="s">
        <v>1293</v>
      </c>
      <c r="ON1" s="44" t="s">
        <v>1294</v>
      </c>
      <c r="OO1" s="44" t="s">
        <v>1295</v>
      </c>
      <c r="OP1" s="44" t="s">
        <v>1296</v>
      </c>
      <c r="OQ1" s="44" t="s">
        <v>1297</v>
      </c>
      <c r="OR1" s="44" t="s">
        <v>1298</v>
      </c>
      <c r="OS1" s="1" t="s">
        <v>648</v>
      </c>
      <c r="OT1" s="1" t="s">
        <v>824</v>
      </c>
      <c r="OU1" s="1" t="s">
        <v>649</v>
      </c>
      <c r="OV1" s="1" t="s">
        <v>825</v>
      </c>
      <c r="OW1" s="1" t="s">
        <v>650</v>
      </c>
      <c r="OX1" s="1" t="s">
        <v>826</v>
      </c>
      <c r="OY1" s="1" t="s">
        <v>651</v>
      </c>
      <c r="OZ1" s="1" t="s">
        <v>1098</v>
      </c>
      <c r="PA1" s="1" t="s">
        <v>652</v>
      </c>
      <c r="PB1" s="1" t="s">
        <v>1097</v>
      </c>
      <c r="PC1" s="1" t="s">
        <v>653</v>
      </c>
      <c r="PD1" s="1" t="s">
        <v>1096</v>
      </c>
      <c r="PE1" s="1" t="s">
        <v>654</v>
      </c>
      <c r="PF1" s="1" t="s">
        <v>655</v>
      </c>
      <c r="PG1" s="1" t="s">
        <v>1095</v>
      </c>
      <c r="PH1" s="1" t="s">
        <v>656</v>
      </c>
      <c r="PI1" s="1" t="s">
        <v>657</v>
      </c>
      <c r="PJ1" s="1" t="s">
        <v>1094</v>
      </c>
      <c r="PK1" s="1" t="s">
        <v>658</v>
      </c>
      <c r="PL1" s="44" t="s">
        <v>1299</v>
      </c>
      <c r="PM1" s="44" t="s">
        <v>1300</v>
      </c>
      <c r="PN1" s="44" t="s">
        <v>1301</v>
      </c>
      <c r="PO1" s="44" t="s">
        <v>1302</v>
      </c>
      <c r="PP1" s="44" t="s">
        <v>1303</v>
      </c>
      <c r="PQ1" s="44" t="s">
        <v>1304</v>
      </c>
      <c r="PR1" s="44" t="s">
        <v>1305</v>
      </c>
      <c r="PS1" s="44" t="s">
        <v>1306</v>
      </c>
      <c r="PT1" s="44" t="s">
        <v>1307</v>
      </c>
      <c r="PU1" s="44" t="s">
        <v>1308</v>
      </c>
      <c r="PV1" s="2" t="s">
        <v>659</v>
      </c>
      <c r="PW1" s="2" t="s">
        <v>660</v>
      </c>
      <c r="PX1" s="2" t="s">
        <v>270</v>
      </c>
      <c r="PY1" s="1" t="s">
        <v>661</v>
      </c>
      <c r="PZ1" s="1" t="s">
        <v>662</v>
      </c>
      <c r="QA1" s="1" t="s">
        <v>663</v>
      </c>
      <c r="QB1" s="1" t="s">
        <v>664</v>
      </c>
      <c r="QC1" s="1" t="s">
        <v>665</v>
      </c>
      <c r="QD1" s="1" t="s">
        <v>666</v>
      </c>
      <c r="QE1" s="1" t="s">
        <v>667</v>
      </c>
      <c r="QF1" s="1" t="s">
        <v>668</v>
      </c>
      <c r="QG1" s="1" t="s">
        <v>669</v>
      </c>
      <c r="QH1" s="1" t="s">
        <v>670</v>
      </c>
      <c r="QI1" s="1" t="s">
        <v>671</v>
      </c>
      <c r="QJ1" s="1" t="s">
        <v>672</v>
      </c>
      <c r="QK1" s="1" t="s">
        <v>673</v>
      </c>
      <c r="QL1" s="1" t="s">
        <v>674</v>
      </c>
      <c r="QM1" s="1" t="s">
        <v>675</v>
      </c>
      <c r="QN1" s="1" t="s">
        <v>676</v>
      </c>
      <c r="QO1" s="1" t="s">
        <v>677</v>
      </c>
      <c r="QP1" s="1" t="s">
        <v>678</v>
      </c>
      <c r="QQ1" s="1" t="s">
        <v>679</v>
      </c>
      <c r="QR1" s="11" t="s">
        <v>680</v>
      </c>
      <c r="QS1" s="11" t="s">
        <v>827</v>
      </c>
      <c r="QT1" s="8" t="s">
        <v>681</v>
      </c>
      <c r="QU1" s="8" t="s">
        <v>682</v>
      </c>
      <c r="QV1" s="8" t="s">
        <v>286</v>
      </c>
      <c r="QW1" s="1" t="s">
        <v>683</v>
      </c>
      <c r="QX1" s="13" t="s">
        <v>1127</v>
      </c>
      <c r="QY1" s="1" t="s">
        <v>684</v>
      </c>
      <c r="QZ1" s="1" t="s">
        <v>685</v>
      </c>
      <c r="RA1" s="9" t="s">
        <v>686</v>
      </c>
      <c r="RB1" s="9" t="s">
        <v>287</v>
      </c>
      <c r="RC1" s="1" t="s">
        <v>687</v>
      </c>
      <c r="RD1" s="1" t="s">
        <v>688</v>
      </c>
      <c r="RE1" s="1" t="s">
        <v>689</v>
      </c>
      <c r="RF1" s="1" t="s">
        <v>690</v>
      </c>
      <c r="RG1" s="1" t="s">
        <v>691</v>
      </c>
      <c r="RH1" s="1" t="s">
        <v>692</v>
      </c>
      <c r="RI1" s="1" t="s">
        <v>693</v>
      </c>
      <c r="RJ1" s="1" t="s">
        <v>694</v>
      </c>
      <c r="RK1" s="1" t="s">
        <v>695</v>
      </c>
      <c r="RL1" s="1" t="s">
        <v>696</v>
      </c>
      <c r="RM1" s="1" t="s">
        <v>697</v>
      </c>
      <c r="RN1" s="1" t="s">
        <v>698</v>
      </c>
      <c r="RO1" s="1" t="s">
        <v>699</v>
      </c>
      <c r="RP1" s="1" t="s">
        <v>700</v>
      </c>
      <c r="RQ1" s="1" t="s">
        <v>701</v>
      </c>
      <c r="RR1" s="1" t="s">
        <v>702</v>
      </c>
      <c r="RS1" s="1" t="s">
        <v>703</v>
      </c>
      <c r="RT1" s="1" t="s">
        <v>704</v>
      </c>
      <c r="RU1" s="1" t="s">
        <v>705</v>
      </c>
      <c r="RV1" s="1" t="s">
        <v>706</v>
      </c>
      <c r="RW1" s="1" t="s">
        <v>707</v>
      </c>
      <c r="RX1" s="1" t="s">
        <v>708</v>
      </c>
      <c r="RY1" s="1" t="s">
        <v>709</v>
      </c>
      <c r="RZ1" s="1" t="s">
        <v>710</v>
      </c>
      <c r="SA1" s="1" t="s">
        <v>711</v>
      </c>
      <c r="SB1" s="1" t="s">
        <v>712</v>
      </c>
      <c r="SC1" s="1" t="s">
        <v>713</v>
      </c>
      <c r="SD1" s="1" t="s">
        <v>714</v>
      </c>
      <c r="SE1" s="1" t="s">
        <v>715</v>
      </c>
      <c r="SF1" s="1" t="s">
        <v>716</v>
      </c>
      <c r="SG1" s="1" t="s">
        <v>717</v>
      </c>
      <c r="SH1" s="1" t="s">
        <v>718</v>
      </c>
      <c r="SI1" s="1" t="s">
        <v>719</v>
      </c>
      <c r="SJ1" s="1" t="s">
        <v>720</v>
      </c>
      <c r="SK1" s="1" t="s">
        <v>721</v>
      </c>
      <c r="SL1" s="1" t="s">
        <v>722</v>
      </c>
      <c r="SM1" s="1" t="s">
        <v>723</v>
      </c>
      <c r="SN1" s="1" t="s">
        <v>724</v>
      </c>
      <c r="SO1" s="1" t="s">
        <v>725</v>
      </c>
      <c r="SP1" s="1" t="s">
        <v>726</v>
      </c>
      <c r="SQ1" s="1" t="s">
        <v>727</v>
      </c>
      <c r="SR1" s="1" t="s">
        <v>728</v>
      </c>
      <c r="SS1" s="1" t="s">
        <v>828</v>
      </c>
      <c r="ST1" s="1" t="s">
        <v>729</v>
      </c>
      <c r="SU1" s="1" t="s">
        <v>829</v>
      </c>
      <c r="SV1" s="1" t="s">
        <v>730</v>
      </c>
      <c r="SW1" s="1" t="s">
        <v>830</v>
      </c>
      <c r="SX1" s="1" t="s">
        <v>731</v>
      </c>
      <c r="SY1" s="1" t="s">
        <v>732</v>
      </c>
      <c r="SZ1" s="1" t="s">
        <v>733</v>
      </c>
      <c r="TA1" s="1" t="s">
        <v>734</v>
      </c>
      <c r="TB1" s="1" t="s">
        <v>735</v>
      </c>
      <c r="TC1" s="1" t="s">
        <v>736</v>
      </c>
      <c r="TD1" s="1" t="s">
        <v>737</v>
      </c>
      <c r="TE1" s="1" t="s">
        <v>738</v>
      </c>
      <c r="TF1" s="1" t="s">
        <v>739</v>
      </c>
      <c r="TG1" s="1" t="s">
        <v>831</v>
      </c>
      <c r="TH1" s="1" t="s">
        <v>740</v>
      </c>
      <c r="TI1" s="1" t="s">
        <v>1067</v>
      </c>
      <c r="TJ1" s="1" t="s">
        <v>741</v>
      </c>
      <c r="TK1" s="1" t="s">
        <v>1068</v>
      </c>
      <c r="TL1" s="1" t="s">
        <v>742</v>
      </c>
      <c r="TM1" s="1" t="s">
        <v>1069</v>
      </c>
      <c r="TN1" s="1" t="s">
        <v>743</v>
      </c>
      <c r="TO1" s="1" t="s">
        <v>1070</v>
      </c>
      <c r="TP1" s="1" t="s">
        <v>744</v>
      </c>
      <c r="TQ1" s="1" t="s">
        <v>1071</v>
      </c>
      <c r="TR1" s="1" t="s">
        <v>745</v>
      </c>
      <c r="TS1" s="1" t="s">
        <v>1072</v>
      </c>
      <c r="TT1" s="1" t="s">
        <v>746</v>
      </c>
      <c r="TU1" s="1" t="s">
        <v>1073</v>
      </c>
      <c r="TV1" s="1" t="s">
        <v>747</v>
      </c>
      <c r="TW1" s="1" t="s">
        <v>1074</v>
      </c>
      <c r="TX1" s="1" t="s">
        <v>748</v>
      </c>
      <c r="TY1" s="1" t="s">
        <v>1075</v>
      </c>
      <c r="TZ1" s="1" t="s">
        <v>749</v>
      </c>
      <c r="UA1" s="1" t="s">
        <v>1076</v>
      </c>
      <c r="UB1" s="1" t="s">
        <v>750</v>
      </c>
      <c r="UC1" s="1" t="s">
        <v>832</v>
      </c>
      <c r="UD1" s="1" t="s">
        <v>751</v>
      </c>
      <c r="UE1" s="1" t="s">
        <v>1077</v>
      </c>
      <c r="UF1" s="1" t="s">
        <v>752</v>
      </c>
      <c r="UG1" s="1" t="s">
        <v>1078</v>
      </c>
      <c r="UH1" s="1" t="s">
        <v>753</v>
      </c>
      <c r="UI1" s="1" t="s">
        <v>1079</v>
      </c>
      <c r="UJ1" s="1" t="s">
        <v>754</v>
      </c>
      <c r="UK1" s="1" t="s">
        <v>1080</v>
      </c>
      <c r="UL1" s="1" t="s">
        <v>755</v>
      </c>
      <c r="UM1" s="1" t="s">
        <v>1081</v>
      </c>
      <c r="UN1" s="1" t="s">
        <v>756</v>
      </c>
      <c r="UO1" s="1" t="s">
        <v>1082</v>
      </c>
      <c r="UP1" s="1" t="s">
        <v>757</v>
      </c>
      <c r="UQ1" s="1" t="s">
        <v>1083</v>
      </c>
      <c r="UR1" s="1" t="s">
        <v>758</v>
      </c>
      <c r="US1" s="1" t="s">
        <v>1084</v>
      </c>
      <c r="UT1" s="1" t="s">
        <v>759</v>
      </c>
      <c r="UU1" s="1" t="s">
        <v>1085</v>
      </c>
      <c r="UV1" s="1" t="s">
        <v>760</v>
      </c>
      <c r="UW1" s="1" t="s">
        <v>1086</v>
      </c>
      <c r="UX1" s="1" t="s">
        <v>761</v>
      </c>
      <c r="UY1" s="1" t="s">
        <v>762</v>
      </c>
      <c r="UZ1" s="1" t="s">
        <v>763</v>
      </c>
      <c r="VA1" s="1" t="s">
        <v>764</v>
      </c>
      <c r="VB1" s="1" t="s">
        <v>765</v>
      </c>
      <c r="VC1" s="1" t="s">
        <v>766</v>
      </c>
      <c r="VD1" s="1" t="s">
        <v>767</v>
      </c>
      <c r="VE1" s="1" t="s">
        <v>768</v>
      </c>
      <c r="VF1" s="1" t="s">
        <v>769</v>
      </c>
      <c r="VG1" s="1" t="s">
        <v>770</v>
      </c>
      <c r="VH1" s="1" t="s">
        <v>771</v>
      </c>
      <c r="VI1" s="1" t="s">
        <v>772</v>
      </c>
      <c r="VJ1" s="1" t="s">
        <v>773</v>
      </c>
      <c r="VK1" s="1" t="s">
        <v>774</v>
      </c>
      <c r="VL1" s="1" t="s">
        <v>775</v>
      </c>
      <c r="VM1" s="1" t="s">
        <v>776</v>
      </c>
      <c r="VN1" s="1" t="s">
        <v>777</v>
      </c>
      <c r="VO1" s="1" t="s">
        <v>778</v>
      </c>
      <c r="VP1" s="1" t="s">
        <v>779</v>
      </c>
      <c r="VQ1" s="1" t="s">
        <v>780</v>
      </c>
      <c r="VR1" s="1" t="s">
        <v>781</v>
      </c>
      <c r="VS1" s="1" t="s">
        <v>782</v>
      </c>
      <c r="VT1" s="2" t="s">
        <v>783</v>
      </c>
      <c r="VU1" s="2" t="s">
        <v>784</v>
      </c>
      <c r="VV1" s="2" t="s">
        <v>376</v>
      </c>
      <c r="VW1" s="1" t="s">
        <v>785</v>
      </c>
      <c r="VX1" s="3" t="s">
        <v>786</v>
      </c>
      <c r="VY1" s="5" t="s">
        <v>787</v>
      </c>
      <c r="VZ1" s="5" t="s">
        <v>833</v>
      </c>
      <c r="WA1" s="5" t="s">
        <v>834</v>
      </c>
      <c r="WB1" s="5" t="s">
        <v>835</v>
      </c>
      <c r="WC1" s="8" t="s">
        <v>836</v>
      </c>
      <c r="WD1" s="8" t="s">
        <v>837</v>
      </c>
      <c r="WE1" s="8" t="s">
        <v>838</v>
      </c>
      <c r="WF1" s="1" t="s">
        <v>839</v>
      </c>
      <c r="WG1" s="1" t="s">
        <v>840</v>
      </c>
      <c r="WH1" s="1" t="s">
        <v>841</v>
      </c>
      <c r="WI1" s="1" t="s">
        <v>842</v>
      </c>
      <c r="WJ1" s="1" t="s">
        <v>843</v>
      </c>
      <c r="WK1" s="9" t="s">
        <v>844</v>
      </c>
      <c r="WL1" s="9" t="s">
        <v>845</v>
      </c>
      <c r="WM1" s="9" t="s">
        <v>846</v>
      </c>
      <c r="WN1" s="1" t="s">
        <v>847</v>
      </c>
      <c r="WO1" s="13" t="s">
        <v>1128</v>
      </c>
      <c r="WP1" s="1" t="s">
        <v>848</v>
      </c>
      <c r="WQ1" s="1" t="s">
        <v>849</v>
      </c>
      <c r="WR1" s="9" t="s">
        <v>850</v>
      </c>
      <c r="WS1" s="9" t="s">
        <v>382</v>
      </c>
      <c r="WT1" s="5" t="s">
        <v>851</v>
      </c>
      <c r="WU1" s="5" t="s">
        <v>852</v>
      </c>
      <c r="WV1" s="5" t="s">
        <v>853</v>
      </c>
      <c r="WW1" s="5" t="s">
        <v>854</v>
      </c>
      <c r="WX1" s="11" t="s">
        <v>855</v>
      </c>
      <c r="WY1" s="5" t="s">
        <v>856</v>
      </c>
      <c r="WZ1" s="11" t="s">
        <v>857</v>
      </c>
      <c r="XA1" s="5" t="s">
        <v>858</v>
      </c>
      <c r="XB1" s="11" t="s">
        <v>859</v>
      </c>
      <c r="XC1" s="11" t="s">
        <v>860</v>
      </c>
      <c r="XD1" s="11" t="s">
        <v>861</v>
      </c>
      <c r="XE1" s="11" t="s">
        <v>862</v>
      </c>
      <c r="XF1" s="11" t="s">
        <v>863</v>
      </c>
      <c r="XG1" s="8" t="s">
        <v>864</v>
      </c>
      <c r="XH1" s="8" t="s">
        <v>865</v>
      </c>
      <c r="XI1" s="8" t="s">
        <v>383</v>
      </c>
      <c r="XJ1" s="13"/>
      <c r="XK1" s="1"/>
      <c r="XL1" s="14" t="s">
        <v>384</v>
      </c>
      <c r="XM1" s="1" t="str">
        <f t="shared" ref="XM1:XM6" si="0">AH1</f>
        <v>1.1_IF_EqualAverage</v>
      </c>
      <c r="XN1" s="1" t="str">
        <f t="shared" ref="XN1:XN6" si="1">AQ1</f>
        <v>1.2_NL_EqualAverage</v>
      </c>
      <c r="XO1" s="1" t="str">
        <f t="shared" ref="XO1:XO6" si="2">AW1</f>
        <v>1.3_PoA</v>
      </c>
      <c r="XP1" s="1" t="str">
        <f t="shared" ref="XP1:XP6" si="3">BC1</f>
        <v>1.4.4_Av</v>
      </c>
      <c r="XQ1" s="1" t="str">
        <f t="shared" ref="XQ1:XR6" si="4">CC1</f>
        <v>1.5_Average</v>
      </c>
      <c r="XR1" s="1" t="str">
        <f t="shared" si="4"/>
        <v>1.5_Ave_Wt</v>
      </c>
      <c r="XS1" s="1" t="str">
        <f t="shared" ref="XS1:XT6" si="5">CO1</f>
        <v>2.1_Average</v>
      </c>
      <c r="XT1" s="1" t="str">
        <f t="shared" si="5"/>
        <v>2.1_Ave_Wt</v>
      </c>
      <c r="XU1" s="1" t="str">
        <f t="shared" ref="XU1:XV6" si="6">DF1</f>
        <v>2.2_Average</v>
      </c>
      <c r="XV1" s="1" t="str">
        <f t="shared" si="6"/>
        <v>2.2_Ave_Wt</v>
      </c>
      <c r="XW1" s="1" t="str">
        <f t="shared" ref="XW1:XX6" si="7">DW1</f>
        <v>2.3_Average</v>
      </c>
      <c r="XX1" s="1" t="str">
        <f t="shared" si="7"/>
        <v>2.3_Ave_Wt</v>
      </c>
      <c r="XY1" s="1" t="str">
        <f t="shared" ref="XY1:XZ6" si="8">EH1</f>
        <v>2.4_Average</v>
      </c>
      <c r="XZ1" s="1" t="str">
        <f t="shared" si="8"/>
        <v>2.4_Ave_Wt</v>
      </c>
      <c r="YA1" s="1" t="str">
        <f t="shared" ref="YA1:YB6" si="9">EU1</f>
        <v>3.1_Average</v>
      </c>
      <c r="YB1" s="1" t="str">
        <f t="shared" si="9"/>
        <v>3.1_Ave_Wt</v>
      </c>
      <c r="YC1" s="1" t="str">
        <f t="shared" ref="YC1:YD6" si="10">FQ1</f>
        <v>3.2_Average</v>
      </c>
      <c r="YD1" s="1" t="str">
        <f t="shared" si="10"/>
        <v>3.2_Ave_Wt</v>
      </c>
      <c r="YE1" s="1" t="str">
        <f t="shared" ref="YE1:YF6" si="11">PV1</f>
        <v>3.3_Average</v>
      </c>
      <c r="YF1" s="1" t="str">
        <f t="shared" si="11"/>
        <v>3.3_Ave_Wt</v>
      </c>
      <c r="YG1" s="1" t="str">
        <f t="shared" ref="YG1:YH6" si="12">QT1</f>
        <v>4.1_Average</v>
      </c>
      <c r="YH1" s="11" t="str">
        <f t="shared" si="12"/>
        <v>4.1_Ave_Wt</v>
      </c>
      <c r="YI1" s="11" t="str">
        <f t="shared" ref="YI1:YI6" si="13">RA1</f>
        <v>4.2_Average</v>
      </c>
      <c r="YJ1" s="1" t="str">
        <f t="shared" ref="YJ1:YK6" si="14">VT1</f>
        <v>4.3_Average</v>
      </c>
      <c r="YK1" s="1" t="str">
        <f t="shared" si="14"/>
        <v>4.3_Ave_Wt</v>
      </c>
      <c r="YL1" s="1" t="str">
        <f t="shared" ref="YL1:YM6" si="15">WC1</f>
        <v>5.1_Average</v>
      </c>
      <c r="YM1" s="1" t="str">
        <f t="shared" si="15"/>
        <v>5.1_Ave_Wt</v>
      </c>
      <c r="YN1" s="1" t="str">
        <f t="shared" ref="YN1:YO6" si="16">WK1</f>
        <v>5.2_Average</v>
      </c>
      <c r="YO1" s="1" t="str">
        <f t="shared" si="16"/>
        <v>5.2_Ave_Wt</v>
      </c>
      <c r="YP1" s="1" t="str">
        <f t="shared" ref="YP1:YP6" si="17">WR1</f>
        <v>5.3_Average</v>
      </c>
      <c r="YQ1" s="1" t="str">
        <f t="shared" ref="YQ1:YR6" si="18">XG1</f>
        <v>5.4_Average</v>
      </c>
      <c r="YR1" s="1" t="str">
        <f t="shared" si="18"/>
        <v>5.4_Ave_Wt</v>
      </c>
      <c r="YT1" s="10" t="s">
        <v>89</v>
      </c>
      <c r="YU1" s="10" t="s">
        <v>992</v>
      </c>
      <c r="YV1" s="10" t="s">
        <v>1129</v>
      </c>
      <c r="YW1" s="10" t="s">
        <v>90</v>
      </c>
      <c r="YX1" s="10" t="s">
        <v>993</v>
      </c>
      <c r="YY1" s="10" t="s">
        <v>1130</v>
      </c>
      <c r="YZ1" s="10" t="s">
        <v>91</v>
      </c>
      <c r="ZA1" s="10" t="s">
        <v>994</v>
      </c>
      <c r="ZB1" s="10" t="s">
        <v>1131</v>
      </c>
      <c r="ZC1" s="10" t="s">
        <v>92</v>
      </c>
      <c r="ZD1" s="10" t="s">
        <v>995</v>
      </c>
      <c r="ZE1" s="10" t="s">
        <v>1132</v>
      </c>
      <c r="ZF1" s="10" t="s">
        <v>93</v>
      </c>
      <c r="ZG1" s="10" t="s">
        <v>997</v>
      </c>
      <c r="ZH1" s="10" t="s">
        <v>1133</v>
      </c>
      <c r="ZI1" s="10" t="s">
        <v>385</v>
      </c>
      <c r="ZJ1" s="10" t="s">
        <v>996</v>
      </c>
      <c r="ZK1" s="1" t="s">
        <v>1134</v>
      </c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</row>
    <row r="2" spans="1:710" ht="60" x14ac:dyDescent="0.25">
      <c r="A2" s="1" t="s">
        <v>392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997</v>
      </c>
      <c r="S2" s="1">
        <v>997</v>
      </c>
      <c r="T2" s="1">
        <v>997</v>
      </c>
      <c r="U2" s="1">
        <v>997</v>
      </c>
      <c r="V2" s="1">
        <v>997</v>
      </c>
      <c r="W2" s="1">
        <v>1</v>
      </c>
      <c r="X2" s="1">
        <v>1</v>
      </c>
      <c r="Y2" s="1">
        <v>997</v>
      </c>
      <c r="Z2" s="1">
        <v>997</v>
      </c>
      <c r="AA2" s="1">
        <v>997</v>
      </c>
      <c r="AB2" s="1">
        <v>997</v>
      </c>
      <c r="AC2" s="1">
        <v>997</v>
      </c>
      <c r="AD2" s="1">
        <v>997</v>
      </c>
      <c r="AE2" s="1">
        <v>997</v>
      </c>
      <c r="AF2" s="1">
        <v>997</v>
      </c>
      <c r="AG2" s="1">
        <v>997</v>
      </c>
      <c r="AH2" s="6">
        <f>AVERAGE(B2:Q2,W2:X2)</f>
        <v>1</v>
      </c>
      <c r="AI2" s="6">
        <v>1</v>
      </c>
      <c r="AJ2" s="1">
        <v>0.5</v>
      </c>
      <c r="AK2" s="1">
        <v>0.5</v>
      </c>
      <c r="AL2" s="1">
        <v>0</v>
      </c>
      <c r="AM2" s="1">
        <v>0</v>
      </c>
      <c r="AN2" s="1">
        <v>1</v>
      </c>
      <c r="AO2" s="1">
        <v>0</v>
      </c>
      <c r="AP2" s="1">
        <v>1</v>
      </c>
      <c r="AQ2" s="2">
        <f>AVERAGE(AJ2:AP2)</f>
        <v>0.42857142857142855</v>
      </c>
      <c r="AR2" s="2">
        <v>1</v>
      </c>
      <c r="AS2" s="1">
        <v>0</v>
      </c>
      <c r="AT2" s="1">
        <v>997</v>
      </c>
      <c r="AU2" s="1">
        <v>997</v>
      </c>
      <c r="AV2" s="3">
        <v>997</v>
      </c>
      <c r="AW2" s="4">
        <f>AVERAGE(AS2)</f>
        <v>0</v>
      </c>
      <c r="AX2" s="4">
        <v>1</v>
      </c>
      <c r="AY2" s="1">
        <v>1</v>
      </c>
      <c r="AZ2" s="1">
        <v>1</v>
      </c>
      <c r="BA2" s="13">
        <v>997</v>
      </c>
      <c r="BB2" s="13">
        <v>997</v>
      </c>
      <c r="BC2" s="2">
        <f>AVERAGE(AY2:AZ2)</f>
        <v>1</v>
      </c>
      <c r="BD2" s="2">
        <v>1</v>
      </c>
      <c r="BE2" s="3">
        <v>0.17</v>
      </c>
      <c r="BF2" s="3">
        <f>1-((1-BE2)*(((4.126583/3.99809))))</f>
        <v>0.14332496517086912</v>
      </c>
      <c r="BG2" s="3">
        <v>4.2999999999999997E-2</v>
      </c>
      <c r="BH2" s="3">
        <f>1-((1-BG2)*((1-(1-(4.126583/3.99809)))))</f>
        <v>1.224336345605026E-2</v>
      </c>
      <c r="BI2" s="3">
        <v>999</v>
      </c>
      <c r="BJ2" s="3">
        <v>999</v>
      </c>
      <c r="BK2" s="3">
        <v>999</v>
      </c>
      <c r="BL2" s="3">
        <v>999</v>
      </c>
      <c r="BM2" s="3">
        <v>999</v>
      </c>
      <c r="BN2" s="3">
        <v>999</v>
      </c>
      <c r="BO2" s="3">
        <v>999</v>
      </c>
      <c r="BP2" s="3">
        <v>999</v>
      </c>
      <c r="BQ2" s="3">
        <v>999</v>
      </c>
      <c r="BR2" s="3">
        <v>999</v>
      </c>
      <c r="BS2" s="3">
        <v>0.14180000000000001</v>
      </c>
      <c r="BT2" s="3">
        <f>1-((1-BS2)*((1-(1-(4.126583/3.99809)))))</f>
        <v>0.11421865675860221</v>
      </c>
      <c r="BU2" s="3">
        <v>999</v>
      </c>
      <c r="BV2" s="3">
        <v>999</v>
      </c>
      <c r="BW2" s="3">
        <v>999</v>
      </c>
      <c r="BX2" s="3">
        <v>999</v>
      </c>
      <c r="BY2" s="3">
        <v>999</v>
      </c>
      <c r="BZ2" s="3">
        <v>999</v>
      </c>
      <c r="CA2" s="3">
        <v>1</v>
      </c>
      <c r="CB2" s="3">
        <f>1-((1-CA2)*((1-(1-(4.126583/3.99809)))))</f>
        <v>1</v>
      </c>
      <c r="CC2" s="4">
        <f>AVERAGE(BE2,BG2,BS2,CA2)</f>
        <v>0.3387</v>
      </c>
      <c r="CD2" s="4">
        <f>AVERAGE(CB2,BT2,BH2,BF2,)</f>
        <v>0.25395739707710441</v>
      </c>
      <c r="CE2" s="4">
        <f>(COUNT(BE2,BG2,BS2,CA2))/12</f>
        <v>0.33333333333333331</v>
      </c>
      <c r="CF2" s="5">
        <v>997</v>
      </c>
      <c r="CG2" s="5">
        <v>997</v>
      </c>
      <c r="CH2" s="5">
        <v>997</v>
      </c>
      <c r="CI2" s="5"/>
      <c r="CJ2" s="5">
        <v>997</v>
      </c>
      <c r="CK2" s="5"/>
      <c r="CL2" s="5">
        <v>0.33300000000000002</v>
      </c>
      <c r="CM2" s="5">
        <f>0.0322*10</f>
        <v>0.32200000000000001</v>
      </c>
      <c r="CN2" s="3">
        <f>1-((1-CM2)*((1-(1-(4.126583/3.99809)))))</f>
        <v>0.3002100317901798</v>
      </c>
      <c r="CO2" s="6">
        <f>AVERAGE(CL2:CM2)</f>
        <v>0.32750000000000001</v>
      </c>
      <c r="CP2" s="6">
        <f>AVERAGE(CL2,CN2)</f>
        <v>0.31660501589508994</v>
      </c>
      <c r="CQ2" s="6">
        <v>1</v>
      </c>
      <c r="CR2" s="5">
        <v>997</v>
      </c>
      <c r="CS2" s="5">
        <v>997</v>
      </c>
      <c r="CT2" s="5">
        <v>997</v>
      </c>
      <c r="CU2" s="5"/>
      <c r="CV2" s="5">
        <v>997</v>
      </c>
      <c r="CW2" s="5"/>
      <c r="CX2" s="5">
        <v>997</v>
      </c>
      <c r="CY2" s="5">
        <v>997</v>
      </c>
      <c r="CZ2" s="1">
        <v>0.98</v>
      </c>
      <c r="DA2" s="3">
        <v>999</v>
      </c>
      <c r="DB2" s="3">
        <v>999</v>
      </c>
      <c r="DC2" s="3">
        <v>0.94</v>
      </c>
      <c r="DD2" s="3">
        <v>999</v>
      </c>
      <c r="DE2" s="3">
        <v>999</v>
      </c>
      <c r="DF2" s="4">
        <f>AVERAGE(CZ2,DC2)</f>
        <v>0.96</v>
      </c>
      <c r="DG2" s="4">
        <f>AVERAGE(CZ2,DC2)</f>
        <v>0.96</v>
      </c>
      <c r="DH2" s="4">
        <f>(COUNT(CZ2,DC2))/4</f>
        <v>0.5</v>
      </c>
      <c r="DI2" s="3">
        <v>0.95</v>
      </c>
      <c r="DJ2" s="3">
        <v>0.95</v>
      </c>
      <c r="DK2" s="3">
        <f>1-((1-DJ2)*((1-(1-(4.126583/3.99809)))))</f>
        <v>0.94839307019101615</v>
      </c>
      <c r="DL2" s="13">
        <v>997</v>
      </c>
      <c r="DM2" s="13">
        <v>997</v>
      </c>
      <c r="DN2" s="13">
        <v>997</v>
      </c>
      <c r="DO2" s="13"/>
      <c r="DP2" s="13">
        <v>997</v>
      </c>
      <c r="DQ2" s="13"/>
      <c r="DR2" s="1">
        <v>0.51300000000000001</v>
      </c>
      <c r="DS2" s="3">
        <f>10*0.0452</f>
        <v>0.45199999999999996</v>
      </c>
      <c r="DT2" s="3">
        <f>1-((1-DS2)*((1-(1-(4.126583/3.99809)))))</f>
        <v>0.43438804929353758</v>
      </c>
      <c r="DU2" s="11">
        <f>1/1.34</f>
        <v>0.74626865671641784</v>
      </c>
      <c r="DV2" s="3">
        <f>1-((1-DU2)*((1-(1-(4.126583/3.99809)))))</f>
        <v>0.7381140875365001</v>
      </c>
      <c r="DW2" s="4">
        <f>AVERAGE(DI2,DJ2,DU2)</f>
        <v>0.88208955223880592</v>
      </c>
      <c r="DX2" s="4">
        <f>AVERAGE(DI2,DK2,DV2)</f>
        <v>0.87883571924250548</v>
      </c>
      <c r="DY2" s="4">
        <f>(COUNT(DI2,DJ2,DU2))/3</f>
        <v>1</v>
      </c>
      <c r="DZ2" s="3">
        <v>997</v>
      </c>
      <c r="EA2" s="3">
        <v>997</v>
      </c>
      <c r="EB2" s="3">
        <v>997</v>
      </c>
      <c r="EC2" s="3"/>
      <c r="ED2" s="3">
        <v>997</v>
      </c>
      <c r="EE2" s="3">
        <f>1/5.3</f>
        <v>0.18867924528301888</v>
      </c>
      <c r="EF2" s="3">
        <f>1/6</f>
        <v>0.16666666666666666</v>
      </c>
      <c r="EG2" s="3">
        <f>1-((1-EF2)*(((4.126583/3.99809))))</f>
        <v>0.13988450318360346</v>
      </c>
      <c r="EH2" s="4">
        <f>AVERAGE(EE2:EF2)</f>
        <v>0.17767295597484278</v>
      </c>
      <c r="EI2" s="4">
        <f>AVERAGE(EE2,EG2)</f>
        <v>0.16428187423331117</v>
      </c>
      <c r="EJ2" s="4">
        <v>1</v>
      </c>
      <c r="EK2" s="3">
        <v>1</v>
      </c>
      <c r="EL2" s="3">
        <v>997</v>
      </c>
      <c r="EM2" s="3">
        <v>0.79100000000000004</v>
      </c>
      <c r="EN2" s="3">
        <v>0.79100000000000004</v>
      </c>
      <c r="EO2" s="3">
        <f>1-((1-EN2)*(((4.126583/3.99809))))</f>
        <v>0.78428303339844785</v>
      </c>
      <c r="EP2" s="3">
        <v>1</v>
      </c>
      <c r="EQ2" s="7">
        <v>2637.26</v>
      </c>
      <c r="ER2" s="7" t="s">
        <v>393</v>
      </c>
      <c r="ES2" s="3">
        <v>1</v>
      </c>
      <c r="ET2" s="3">
        <f>1-((1-ES2)*((1-(1-(4.126583/3.99809)))))</f>
        <v>1</v>
      </c>
      <c r="EU2" s="4">
        <f>AVERAGE(EK2,ES2,EM2,EN2,EP2,ES2)</f>
        <v>0.93033333333333335</v>
      </c>
      <c r="EV2" s="4">
        <f>AVERAGE(EK2,EM2,EO2,EP2,ET2)</f>
        <v>0.91505660667968947</v>
      </c>
      <c r="EW2" s="4">
        <f>COUNT(EK2,EM2,EP2,ES2,EN2)/5</f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0.33</v>
      </c>
      <c r="FP2" s="1">
        <v>1</v>
      </c>
      <c r="FQ2" s="2">
        <f>AVERAGE(EX2:FP2)</f>
        <v>0.96473684210526311</v>
      </c>
      <c r="FR2" s="2">
        <f>FQ2</f>
        <v>0.96473684210526311</v>
      </c>
      <c r="FS2" s="2">
        <v>1</v>
      </c>
      <c r="FT2" s="1">
        <v>0.997</v>
      </c>
      <c r="FU2" s="1">
        <v>1.012</v>
      </c>
      <c r="FV2" s="1">
        <v>0.98099999999999998</v>
      </c>
      <c r="FW2" s="1">
        <v>999</v>
      </c>
      <c r="FX2" s="1">
        <v>999</v>
      </c>
      <c r="FY2" s="1">
        <v>999</v>
      </c>
      <c r="FZ2" s="1">
        <v>999</v>
      </c>
      <c r="GA2" s="1">
        <v>999</v>
      </c>
      <c r="GB2" s="1">
        <v>999</v>
      </c>
      <c r="GC2" s="1">
        <v>999</v>
      </c>
      <c r="GD2" s="1">
        <v>999</v>
      </c>
      <c r="GE2" s="44">
        <f>FV2/FU2</f>
        <v>0.96936758893280628</v>
      </c>
      <c r="GF2" s="44" t="s">
        <v>1248</v>
      </c>
      <c r="GO2" s="1">
        <v>0.99</v>
      </c>
      <c r="GP2" s="3">
        <f>1-((1-GO2)*((1-(1-(4.126583/3.99809)))))</f>
        <v>0.98967861403820323</v>
      </c>
      <c r="GQ2" s="1">
        <v>0.98599999999999999</v>
      </c>
      <c r="GR2" s="3">
        <f>1-((1-GQ2)*((1-(1-(4.126583/3.99809)))))</f>
        <v>0.98555005965348452</v>
      </c>
      <c r="GS2" s="1">
        <v>0.995</v>
      </c>
      <c r="GT2" s="3">
        <f>1-((1-GS2)*((1-(1-(4.126583/3.99809)))))</f>
        <v>0.99483930701910162</v>
      </c>
      <c r="GU2" s="1">
        <v>999</v>
      </c>
      <c r="GV2" s="1">
        <v>999</v>
      </c>
      <c r="GW2" s="1"/>
      <c r="GX2" s="1">
        <v>999</v>
      </c>
      <c r="GY2" s="1">
        <v>999</v>
      </c>
      <c r="GZ2" s="1">
        <v>999</v>
      </c>
      <c r="HA2" s="1">
        <v>999</v>
      </c>
      <c r="HB2" s="1">
        <v>999</v>
      </c>
      <c r="HC2" s="1">
        <v>999</v>
      </c>
      <c r="HD2" s="44">
        <f>GS2/GQ2</f>
        <v>1.0091277890466532</v>
      </c>
      <c r="HE2" s="44" t="s">
        <v>1249</v>
      </c>
      <c r="HN2" s="1">
        <v>999</v>
      </c>
      <c r="HO2" s="1">
        <v>999</v>
      </c>
      <c r="HP2" s="1">
        <v>999</v>
      </c>
      <c r="HQ2" s="1"/>
      <c r="HR2" s="1">
        <v>999</v>
      </c>
      <c r="HS2" s="1"/>
      <c r="HT2" s="1">
        <v>999</v>
      </c>
      <c r="HU2" s="1"/>
      <c r="HV2" s="1">
        <v>999</v>
      </c>
      <c r="HW2" s="1"/>
      <c r="HX2" s="1">
        <v>999</v>
      </c>
      <c r="HY2" s="1"/>
      <c r="HZ2" s="1">
        <v>999</v>
      </c>
      <c r="IA2" s="1"/>
      <c r="IB2" s="1">
        <v>999</v>
      </c>
      <c r="IC2" s="1"/>
      <c r="ID2" s="1">
        <v>999</v>
      </c>
      <c r="IE2" s="1"/>
      <c r="IF2" s="1">
        <v>999</v>
      </c>
      <c r="IG2" s="1"/>
      <c r="IH2" s="1">
        <v>999</v>
      </c>
      <c r="IS2" s="1">
        <v>0.78700000000000003</v>
      </c>
      <c r="IT2" s="3">
        <f>1-((1-IS2)*((1-(1-(4.126583/3.99809)))))</f>
        <v>0.78015447901372914</v>
      </c>
      <c r="IU2" s="1">
        <v>0.746</v>
      </c>
      <c r="IV2" s="3">
        <f>1-((1-IU2)*((1-(1-(4.126583/3.99809)))))</f>
        <v>0.73783679657036227</v>
      </c>
      <c r="IW2" s="1">
        <v>0.82899999999999996</v>
      </c>
      <c r="IX2" s="3">
        <f>1-((1-IW2)*((1-(1-(4.126583/3.99809)))))</f>
        <v>0.82350430005327535</v>
      </c>
      <c r="IY2" s="1">
        <v>999</v>
      </c>
      <c r="IZ2" s="1"/>
      <c r="JA2" s="1">
        <v>999</v>
      </c>
      <c r="JB2" s="1"/>
      <c r="JC2" s="1">
        <v>999</v>
      </c>
      <c r="JD2" s="1"/>
      <c r="JE2" s="1">
        <v>999</v>
      </c>
      <c r="JF2" s="1"/>
      <c r="JG2" s="1">
        <v>999</v>
      </c>
      <c r="JH2" s="1"/>
      <c r="JI2" s="1">
        <v>999</v>
      </c>
      <c r="JJ2" s="1"/>
      <c r="JK2" s="1">
        <v>999</v>
      </c>
      <c r="JL2" s="1"/>
      <c r="JM2" s="1">
        <v>999</v>
      </c>
      <c r="JN2" s="44">
        <f>IW2/IU2</f>
        <v>1.1112600536193029</v>
      </c>
      <c r="JO2" s="44" t="s">
        <v>1249</v>
      </c>
      <c r="JX2" s="1">
        <v>0.92</v>
      </c>
      <c r="JY2" s="1">
        <v>0.91900000000000004</v>
      </c>
      <c r="JZ2" s="1">
        <v>0.92100000000000004</v>
      </c>
      <c r="KA2" s="1">
        <v>999</v>
      </c>
      <c r="KB2" s="1">
        <v>999</v>
      </c>
      <c r="KC2" s="1">
        <v>999</v>
      </c>
      <c r="KD2" s="1">
        <v>999</v>
      </c>
      <c r="KE2" s="1">
        <v>999</v>
      </c>
      <c r="KF2" s="1">
        <v>999</v>
      </c>
      <c r="KG2" s="1">
        <v>999</v>
      </c>
      <c r="KH2" s="1">
        <v>999</v>
      </c>
      <c r="KI2" s="44">
        <f>JZ2/JY2</f>
        <v>1.0021762785636561</v>
      </c>
      <c r="KJ2" s="44" t="s">
        <v>1249</v>
      </c>
      <c r="KS2" s="1">
        <v>0.873</v>
      </c>
      <c r="KT2" s="3">
        <f>1-((1-KS2)*((1-(1-(4.126583/3.99809)))))</f>
        <v>0.86891839828518114</v>
      </c>
      <c r="KU2" s="1">
        <v>0.86</v>
      </c>
      <c r="KV2" s="3">
        <f>1-((1-KU2)*((1-(1-(4.126583/3.99809)))))</f>
        <v>0.85550059653484534</v>
      </c>
      <c r="KW2" s="1">
        <v>0.88700000000000001</v>
      </c>
      <c r="KX2" s="3">
        <f>1-((1-KW2)*((1-(1-(4.126583/3.99809)))))</f>
        <v>0.88336833863169661</v>
      </c>
      <c r="KY2" s="1">
        <v>999</v>
      </c>
      <c r="KZ2" s="1">
        <v>999</v>
      </c>
      <c r="LA2" s="1">
        <v>999</v>
      </c>
      <c r="LB2" s="1">
        <v>999</v>
      </c>
      <c r="LC2" s="1">
        <v>999</v>
      </c>
      <c r="LD2" s="1">
        <v>999</v>
      </c>
      <c r="LE2" s="1">
        <v>999</v>
      </c>
      <c r="LF2" s="1">
        <v>999</v>
      </c>
      <c r="LG2" s="44">
        <f>KW2/KU2</f>
        <v>1.0313953488372094</v>
      </c>
      <c r="LH2" s="44" t="s">
        <v>1249</v>
      </c>
      <c r="LQ2" s="1">
        <v>0.97</v>
      </c>
      <c r="LR2" s="1">
        <v>0.97</v>
      </c>
      <c r="LS2" s="1">
        <v>0.96</v>
      </c>
      <c r="LT2" s="1">
        <v>999</v>
      </c>
      <c r="LU2" s="1">
        <v>999</v>
      </c>
      <c r="LV2" s="1">
        <v>999</v>
      </c>
      <c r="LW2" s="1">
        <v>999</v>
      </c>
      <c r="LX2" s="1">
        <v>999</v>
      </c>
      <c r="LY2" s="1">
        <v>999</v>
      </c>
      <c r="LZ2" s="1">
        <v>999</v>
      </c>
      <c r="MA2" s="1">
        <v>999</v>
      </c>
      <c r="MB2" s="44">
        <f>LS2/LR2</f>
        <v>0.98969072164948457</v>
      </c>
      <c r="MC2" s="44" t="s">
        <v>1248</v>
      </c>
      <c r="ML2" s="1">
        <v>0.93</v>
      </c>
      <c r="MM2" s="3">
        <f>1-((1-ML2)*((1-(1-(4.126583/3.99809)))))</f>
        <v>0.92775029826742272</v>
      </c>
      <c r="MN2" s="1">
        <v>0.92</v>
      </c>
      <c r="MO2" s="3">
        <f>1-((1-MN2)*((1-(1-(4.126583/3.99809)))))</f>
        <v>0.91742891230562595</v>
      </c>
      <c r="MP2" s="1">
        <v>0.94</v>
      </c>
      <c r="MQ2" s="3">
        <f>1-((1-MP2)*((1-(1-(4.126583/3.99809)))))</f>
        <v>0.93807168422921938</v>
      </c>
      <c r="MR2" s="1">
        <v>999</v>
      </c>
      <c r="MS2" s="1"/>
      <c r="MT2" s="1">
        <v>999</v>
      </c>
      <c r="MU2" s="1"/>
      <c r="MV2" s="1">
        <v>999</v>
      </c>
      <c r="MW2" s="1"/>
      <c r="MX2" s="1">
        <v>999</v>
      </c>
      <c r="MY2" s="1"/>
      <c r="MZ2" s="1">
        <v>999</v>
      </c>
      <c r="NA2" s="1"/>
      <c r="NB2" s="1">
        <v>999</v>
      </c>
      <c r="NC2" s="1"/>
      <c r="ND2" s="1">
        <v>999</v>
      </c>
      <c r="NE2" s="1"/>
      <c r="NF2" s="1">
        <v>999</v>
      </c>
      <c r="NG2" s="1"/>
      <c r="NH2" s="44">
        <f>MP2/MN2</f>
        <v>1.0217391304347825</v>
      </c>
      <c r="NI2" s="44" t="s">
        <v>1249</v>
      </c>
      <c r="NR2" s="1">
        <v>999</v>
      </c>
      <c r="NS2" s="1">
        <v>999</v>
      </c>
      <c r="NT2" s="1">
        <v>999</v>
      </c>
      <c r="NU2" s="1"/>
      <c r="NV2" s="1">
        <v>999</v>
      </c>
      <c r="NW2" s="1"/>
      <c r="NX2" s="1">
        <v>999</v>
      </c>
      <c r="NY2" s="1"/>
      <c r="NZ2" s="1">
        <v>999</v>
      </c>
      <c r="OA2" s="1"/>
      <c r="OB2" s="1">
        <v>999</v>
      </c>
      <c r="OC2" s="1">
        <v>999</v>
      </c>
      <c r="OD2" s="1">
        <v>999</v>
      </c>
      <c r="OE2" s="1">
        <v>999</v>
      </c>
      <c r="OF2" s="1">
        <v>999</v>
      </c>
      <c r="OG2" s="1">
        <v>999</v>
      </c>
      <c r="OH2" s="1"/>
      <c r="OS2" s="1">
        <v>0.25</v>
      </c>
      <c r="OT2" s="3">
        <f>1-((1-OS2)*((1-(1-(4.126583/3.99809)))))</f>
        <v>0.22589605286524317</v>
      </c>
      <c r="OU2" s="1">
        <v>0.21</v>
      </c>
      <c r="OV2" s="3">
        <f>1-((1-OU2)*((1-(1-(4.126583/3.99809)))))</f>
        <v>0.18461050901805609</v>
      </c>
      <c r="OW2" s="1">
        <v>0.28000000000000003</v>
      </c>
      <c r="OX2" s="3">
        <f>1-((1-OW2)*((1-(1-(4.126583/3.99809)))))</f>
        <v>0.25686021075063337</v>
      </c>
      <c r="OY2" s="1">
        <v>999</v>
      </c>
      <c r="OZ2" s="1"/>
      <c r="PA2" s="1">
        <v>999</v>
      </c>
      <c r="PB2" s="1"/>
      <c r="PC2" s="1">
        <v>999</v>
      </c>
      <c r="PD2" s="1"/>
      <c r="PE2" s="1">
        <v>999</v>
      </c>
      <c r="PF2" s="1">
        <v>999</v>
      </c>
      <c r="PG2" s="1"/>
      <c r="PH2" s="1">
        <v>999</v>
      </c>
      <c r="PI2" s="1">
        <v>999</v>
      </c>
      <c r="PJ2" s="1"/>
      <c r="PK2" s="1">
        <v>999</v>
      </c>
      <c r="PL2" s="44">
        <f>OW2/OU2</f>
        <v>1.3333333333333335</v>
      </c>
      <c r="PM2" s="44" t="s">
        <v>1255</v>
      </c>
      <c r="PV2" s="2">
        <f>AVERAGE(ML2,MN2,MP2,LQ2:LS2,KS2,KU2,KW2,JX2:JZ2,IS2,IU2,IW2,GO2,GQ2,GS2,FT2:FV2,OS2,OU2,OW2,NH2,PL2,MB2,LG2,KI2,JN2,HD2,GE2,)</f>
        <v>0.86669970437627963</v>
      </c>
      <c r="PW2" s="2">
        <f>AVERAGE(MM2,MO2,MQ2,LQ2:LS2,KT2,KV2,KX2,JX2:JZ2,IT2,IV2,IX2,GP2,GR2,GT2,FT2:FV2,OT2,OV2,OX2,PL2,MB2,LG2,KI2,JN2,HD2,GE2)</f>
        <v>0.88601031197479097</v>
      </c>
      <c r="PX2" s="4">
        <f>(COUNT(OW2,OU2,OS2,MP2,MN2,ML2,LQ2:LS2,KW2,KU2,KS2,JX2:JZ2,IS2,IU2,IW2,GO2,GQ2,GS2,FT2:FV2))/110</f>
        <v>0.21818181818181817</v>
      </c>
      <c r="PY2" s="1">
        <v>1</v>
      </c>
      <c r="PZ2" s="1">
        <v>1</v>
      </c>
      <c r="QA2" s="1">
        <v>1</v>
      </c>
      <c r="QB2" s="1">
        <v>1</v>
      </c>
      <c r="QC2" s="1">
        <v>1</v>
      </c>
      <c r="QD2" s="1">
        <v>1</v>
      </c>
      <c r="QE2" s="1">
        <v>1</v>
      </c>
      <c r="QF2" s="1">
        <v>1</v>
      </c>
      <c r="QG2" s="1">
        <v>1</v>
      </c>
      <c r="QH2" s="1">
        <v>1</v>
      </c>
      <c r="QI2" s="1">
        <v>0</v>
      </c>
      <c r="QJ2" s="1">
        <v>0</v>
      </c>
      <c r="QK2" s="1">
        <v>0</v>
      </c>
      <c r="QL2" s="1">
        <v>0</v>
      </c>
      <c r="QM2" s="1">
        <v>0</v>
      </c>
      <c r="QN2" s="1">
        <v>0</v>
      </c>
      <c r="QO2" s="1">
        <v>1</v>
      </c>
      <c r="QP2" s="1">
        <v>1</v>
      </c>
      <c r="QQ2" s="1">
        <v>1</v>
      </c>
      <c r="QR2" s="3">
        <v>0</v>
      </c>
      <c r="QS2" s="3">
        <v>0</v>
      </c>
      <c r="QT2" s="8">
        <f>AVERAGE(PY2:QR2)</f>
        <v>0.65</v>
      </c>
      <c r="QU2" s="8">
        <f>AVERAGE(PY2:QQ2,QS2)</f>
        <v>0.65</v>
      </c>
      <c r="QV2" s="8">
        <f>(COUNT(PY2:QR2))/20</f>
        <v>1</v>
      </c>
      <c r="QW2" s="1">
        <v>1</v>
      </c>
      <c r="QX2" s="1"/>
      <c r="QY2" s="1">
        <v>1</v>
      </c>
      <c r="QZ2" s="1">
        <v>0.33</v>
      </c>
      <c r="RA2" s="9">
        <f>AVERAGE(QW2:QZ2)</f>
        <v>0.77666666666666673</v>
      </c>
      <c r="RB2" s="9">
        <v>1</v>
      </c>
      <c r="RC2" s="1">
        <v>997</v>
      </c>
      <c r="RD2" s="1">
        <v>997</v>
      </c>
      <c r="RE2" s="1">
        <v>997</v>
      </c>
      <c r="RF2" s="1">
        <v>997</v>
      </c>
      <c r="RG2" s="1">
        <v>997</v>
      </c>
      <c r="RH2" s="1">
        <v>997</v>
      </c>
      <c r="RI2" s="1">
        <v>997</v>
      </c>
      <c r="RJ2" s="1">
        <v>997</v>
      </c>
      <c r="RK2" s="1">
        <v>999</v>
      </c>
      <c r="RL2" s="1">
        <v>999</v>
      </c>
      <c r="RM2" s="1">
        <v>999</v>
      </c>
      <c r="RN2" s="1">
        <v>999</v>
      </c>
      <c r="RO2" s="1">
        <v>999</v>
      </c>
      <c r="RP2" s="1">
        <v>999</v>
      </c>
      <c r="RQ2" s="1">
        <v>999</v>
      </c>
      <c r="RR2" s="1">
        <v>999</v>
      </c>
      <c r="RS2" s="1">
        <v>999</v>
      </c>
      <c r="RT2" s="1">
        <v>999</v>
      </c>
      <c r="RU2" s="1">
        <v>999</v>
      </c>
      <c r="RV2" s="1">
        <v>999</v>
      </c>
      <c r="RW2" s="1">
        <v>999</v>
      </c>
      <c r="RX2" s="1">
        <v>999</v>
      </c>
      <c r="RY2" s="1">
        <v>999</v>
      </c>
      <c r="RZ2" s="1">
        <v>999</v>
      </c>
      <c r="SA2" s="1">
        <v>999</v>
      </c>
      <c r="SB2" s="1">
        <v>999</v>
      </c>
      <c r="SC2" s="1">
        <v>999</v>
      </c>
      <c r="SD2" s="1">
        <v>999</v>
      </c>
      <c r="SE2" s="1">
        <v>999</v>
      </c>
      <c r="SF2" s="1">
        <v>999</v>
      </c>
      <c r="SG2" s="1">
        <v>999</v>
      </c>
      <c r="SH2" s="1">
        <v>999</v>
      </c>
      <c r="SI2" s="1">
        <v>999</v>
      </c>
      <c r="SJ2" s="1">
        <v>999</v>
      </c>
      <c r="SK2" s="1">
        <v>999</v>
      </c>
      <c r="SL2" s="1">
        <v>999</v>
      </c>
      <c r="SM2" s="1">
        <v>999</v>
      </c>
      <c r="SN2" s="1">
        <v>999</v>
      </c>
      <c r="SO2" s="1">
        <v>999</v>
      </c>
      <c r="SP2" s="1">
        <v>999</v>
      </c>
      <c r="SQ2" s="1">
        <v>999</v>
      </c>
      <c r="SR2" s="1">
        <v>999</v>
      </c>
      <c r="SS2" s="1">
        <v>999</v>
      </c>
      <c r="ST2" s="1">
        <v>999</v>
      </c>
      <c r="SU2" s="1">
        <v>999</v>
      </c>
      <c r="SV2" s="1">
        <v>999</v>
      </c>
      <c r="SW2" s="1">
        <v>999</v>
      </c>
      <c r="SX2" s="1">
        <v>999</v>
      </c>
      <c r="SY2" s="1">
        <v>999</v>
      </c>
      <c r="SZ2" s="1">
        <v>999</v>
      </c>
      <c r="TA2" s="1">
        <v>999</v>
      </c>
      <c r="TB2" s="1">
        <v>999</v>
      </c>
      <c r="TC2" s="1">
        <v>999</v>
      </c>
      <c r="TD2" s="1">
        <v>999</v>
      </c>
      <c r="TE2" s="1">
        <v>999</v>
      </c>
      <c r="TF2" s="1">
        <v>999</v>
      </c>
      <c r="TG2" s="1">
        <v>999</v>
      </c>
      <c r="TH2" s="1">
        <v>999</v>
      </c>
      <c r="TI2" s="1"/>
      <c r="TJ2" s="1">
        <v>999</v>
      </c>
      <c r="TK2" s="1"/>
      <c r="TL2" s="1">
        <v>999</v>
      </c>
      <c r="TM2" s="1"/>
      <c r="TN2" s="1">
        <v>999</v>
      </c>
      <c r="TO2" s="1"/>
      <c r="TP2" s="1">
        <v>999</v>
      </c>
      <c r="TQ2" s="1"/>
      <c r="TR2" s="1">
        <v>999</v>
      </c>
      <c r="TS2" s="1"/>
      <c r="TT2" s="1">
        <v>999</v>
      </c>
      <c r="TU2" s="1"/>
      <c r="TV2" s="1">
        <v>999</v>
      </c>
      <c r="TW2" s="1"/>
      <c r="TX2" s="1">
        <v>999</v>
      </c>
      <c r="TY2" s="1"/>
      <c r="TZ2" s="1">
        <v>999</v>
      </c>
      <c r="UA2" s="1"/>
      <c r="UB2" s="1">
        <v>999</v>
      </c>
      <c r="UC2" s="1">
        <v>999</v>
      </c>
      <c r="UD2" s="1">
        <v>999</v>
      </c>
      <c r="UE2" s="1"/>
      <c r="UF2" s="1">
        <v>999</v>
      </c>
      <c r="UG2" s="1"/>
      <c r="UH2" s="1">
        <v>999</v>
      </c>
      <c r="UI2" s="1"/>
      <c r="UJ2" s="1">
        <v>999</v>
      </c>
      <c r="UK2" s="1"/>
      <c r="UL2" s="1">
        <v>999</v>
      </c>
      <c r="UM2" s="1"/>
      <c r="UN2" s="1">
        <v>999</v>
      </c>
      <c r="UO2" s="1"/>
      <c r="UP2" s="1">
        <v>999</v>
      </c>
      <c r="UQ2" s="1"/>
      <c r="UR2" s="1">
        <v>999</v>
      </c>
      <c r="US2" s="1"/>
      <c r="UT2" s="1">
        <v>999</v>
      </c>
      <c r="UU2" s="1"/>
      <c r="UV2" s="1">
        <v>999</v>
      </c>
      <c r="UW2" s="1"/>
      <c r="UX2" s="1">
        <v>0.98899999999999999</v>
      </c>
      <c r="UY2" s="1">
        <v>0.98899999999999999</v>
      </c>
      <c r="UZ2" s="1">
        <v>0.98899999999999999</v>
      </c>
      <c r="VA2" s="1">
        <v>999</v>
      </c>
      <c r="VB2" s="1">
        <v>999</v>
      </c>
      <c r="VC2" s="1">
        <v>999</v>
      </c>
      <c r="VD2" s="1">
        <v>999</v>
      </c>
      <c r="VE2" s="1">
        <v>999</v>
      </c>
      <c r="VF2" s="1">
        <v>999</v>
      </c>
      <c r="VG2" s="1">
        <v>999</v>
      </c>
      <c r="VH2" s="1">
        <v>999</v>
      </c>
      <c r="VI2" s="1">
        <v>0.96699999999999997</v>
      </c>
      <c r="VJ2" s="1">
        <v>0.96899999999999997</v>
      </c>
      <c r="VK2" s="1">
        <v>0.96530000000000005</v>
      </c>
      <c r="VL2" s="1">
        <v>0.97499999999999998</v>
      </c>
      <c r="VM2" s="1">
        <v>0.91269999999999996</v>
      </c>
      <c r="VN2" s="1">
        <v>0.93230000000000002</v>
      </c>
      <c r="VO2" s="1">
        <v>0.96089999999999998</v>
      </c>
      <c r="VP2" s="1">
        <v>0.96550000000000002</v>
      </c>
      <c r="VQ2" s="1">
        <v>0.98229999999999995</v>
      </c>
      <c r="VR2" s="1">
        <v>0.99580000000000002</v>
      </c>
      <c r="VS2" s="1">
        <v>0.80359999999999998</v>
      </c>
      <c r="VT2" s="2">
        <f>AVERAGE(VI2:VS2,UX2:UZ2,)</f>
        <v>0.89309333333333329</v>
      </c>
      <c r="VU2" s="2">
        <f>AVERAGE(VI2:VS2,UX2:UZ2,)</f>
        <v>0.89309333333333329</v>
      </c>
      <c r="VV2" s="4">
        <f>(COUNT(VI2:VS2,UX2:UZ2))/88</f>
        <v>0.15909090909090909</v>
      </c>
      <c r="VW2" s="1">
        <v>1</v>
      </c>
      <c r="VX2" s="3">
        <v>0.33</v>
      </c>
      <c r="VY2" s="3">
        <v>0.09</v>
      </c>
      <c r="VZ2" s="3">
        <f>1-((1-VY2)*((1-(1-(4.126583/3.99809)))))</f>
        <v>6.0753877476494966E-2</v>
      </c>
      <c r="WA2" s="3">
        <v>999</v>
      </c>
      <c r="WB2" s="3">
        <v>999</v>
      </c>
      <c r="WC2" s="8">
        <f>AVERAGE(VW2:VY2)</f>
        <v>0.47333333333333338</v>
      </c>
      <c r="WD2" s="8">
        <f>AVERAGE(VW2:VX2,VZ2)</f>
        <v>0.46358462582549836</v>
      </c>
      <c r="WE2" s="8">
        <f>(COUNT(VW2:VY2))/5</f>
        <v>0.6</v>
      </c>
      <c r="WF2" s="1">
        <v>0</v>
      </c>
      <c r="WG2" s="1">
        <v>1</v>
      </c>
      <c r="WH2" s="1">
        <v>999</v>
      </c>
      <c r="WI2" s="1">
        <v>0.996</v>
      </c>
      <c r="WJ2" s="3">
        <f>1-((1-WI2)*((1-(1-(4.126583/3.99809)))))</f>
        <v>0.99587144561528129</v>
      </c>
      <c r="WK2" s="9">
        <f>AVERAGE(WF2:WG2,WI2)</f>
        <v>0.66533333333333333</v>
      </c>
      <c r="WL2" s="9">
        <f>AVERAGE(WF2:WG2,WJ2)</f>
        <v>0.66529048187176043</v>
      </c>
      <c r="WM2" s="9">
        <f>(COUNT(WF2,WG2,WI2))/4</f>
        <v>0.75</v>
      </c>
      <c r="WN2" s="1">
        <v>999</v>
      </c>
      <c r="WO2" s="1">
        <v>999</v>
      </c>
      <c r="WP2" s="1">
        <v>0.66</v>
      </c>
      <c r="WQ2" s="1">
        <v>0</v>
      </c>
      <c r="WR2" s="9">
        <f>AVERAGE(WP2,WQ2)</f>
        <v>0.33</v>
      </c>
      <c r="WS2" s="9">
        <f>(COUNT(WP2,WQ2)/3)</f>
        <v>0.66666666666666663</v>
      </c>
      <c r="WT2" s="3">
        <v>0</v>
      </c>
      <c r="WU2" s="3">
        <v>0</v>
      </c>
      <c r="WV2" s="3">
        <v>0.9919</v>
      </c>
      <c r="WW2" s="3">
        <f>1-((1-WV2)*((1-(1-(4.126583/3.99809)))))</f>
        <v>0.99163967737094461</v>
      </c>
      <c r="WX2" s="3">
        <v>1</v>
      </c>
      <c r="WY2" s="3">
        <f>1-((1-WX2)*((1-(1-(4.126583/3.99809)))))</f>
        <v>1</v>
      </c>
      <c r="WZ2" s="3">
        <v>1</v>
      </c>
      <c r="XA2" s="3">
        <f>1-((1-WZ2)*((1-(1-(4.126583/3.99809)))))</f>
        <v>1</v>
      </c>
      <c r="XB2" s="3">
        <v>0.96199999999999997</v>
      </c>
      <c r="XC2" s="3">
        <v>1</v>
      </c>
      <c r="XD2" s="3">
        <f>1-((1-XC2)*((1-(1-(4.126583/3.99809)))))</f>
        <v>1</v>
      </c>
      <c r="XE2" s="3">
        <v>1</v>
      </c>
      <c r="XF2" s="3">
        <f>1-((1-XE2)*((1-(1-(4.126583/3.99809)))))</f>
        <v>1</v>
      </c>
      <c r="XG2" s="9">
        <f>AVERAGE(WT2,WV2,WX2,WZ2,XB2,XC2,XE2)</f>
        <v>0.8505571428571429</v>
      </c>
      <c r="XH2" s="9">
        <f>AVERAGE(WU2,WW2,WY2,XB2,XA2,XD2,XF2)</f>
        <v>0.85051995391013491</v>
      </c>
      <c r="XI2" s="9">
        <v>1</v>
      </c>
      <c r="XJ2" s="1"/>
      <c r="XK2" s="1"/>
      <c r="XL2" s="10"/>
      <c r="XM2" s="1">
        <f t="shared" si="0"/>
        <v>1</v>
      </c>
      <c r="XN2" s="1">
        <f t="shared" si="1"/>
        <v>0.42857142857142855</v>
      </c>
      <c r="XO2" s="1">
        <f t="shared" si="2"/>
        <v>0</v>
      </c>
      <c r="XP2" s="1">
        <f t="shared" si="3"/>
        <v>1</v>
      </c>
      <c r="XQ2" s="1">
        <f t="shared" si="4"/>
        <v>0.3387</v>
      </c>
      <c r="XR2" s="1">
        <f t="shared" si="4"/>
        <v>0.25395739707710441</v>
      </c>
      <c r="XS2" s="1">
        <f t="shared" si="5"/>
        <v>0.32750000000000001</v>
      </c>
      <c r="XT2" s="1">
        <f t="shared" si="5"/>
        <v>0.31660501589508994</v>
      </c>
      <c r="XU2" s="1">
        <f t="shared" si="6"/>
        <v>0.96</v>
      </c>
      <c r="XV2" s="1">
        <f t="shared" si="6"/>
        <v>0.96</v>
      </c>
      <c r="XW2" s="1">
        <f t="shared" si="7"/>
        <v>0.88208955223880592</v>
      </c>
      <c r="XX2" s="1">
        <f t="shared" si="7"/>
        <v>0.87883571924250548</v>
      </c>
      <c r="XY2" s="1">
        <f t="shared" si="8"/>
        <v>0.17767295597484278</v>
      </c>
      <c r="XZ2" s="1">
        <f t="shared" si="8"/>
        <v>0.16428187423331117</v>
      </c>
      <c r="YA2" s="1">
        <f t="shared" si="9"/>
        <v>0.93033333333333335</v>
      </c>
      <c r="YB2" s="11">
        <f t="shared" si="9"/>
        <v>0.91505660667968947</v>
      </c>
      <c r="YC2" s="11">
        <f t="shared" si="10"/>
        <v>0.96473684210526311</v>
      </c>
      <c r="YD2" s="1">
        <f t="shared" si="10"/>
        <v>0.96473684210526311</v>
      </c>
      <c r="YE2" s="1">
        <f t="shared" si="11"/>
        <v>0.86669970437627963</v>
      </c>
      <c r="YF2" s="1">
        <f t="shared" si="11"/>
        <v>0.88601031197479097</v>
      </c>
      <c r="YG2" s="1">
        <f t="shared" si="12"/>
        <v>0.65</v>
      </c>
      <c r="YH2" s="11">
        <f t="shared" si="12"/>
        <v>0.65</v>
      </c>
      <c r="YI2" s="11">
        <f t="shared" si="13"/>
        <v>0.77666666666666673</v>
      </c>
      <c r="YJ2" s="1">
        <f t="shared" si="14"/>
        <v>0.89309333333333329</v>
      </c>
      <c r="YK2" s="1">
        <f t="shared" si="14"/>
        <v>0.89309333333333329</v>
      </c>
      <c r="YL2" s="1">
        <f t="shared" si="15"/>
        <v>0.47333333333333338</v>
      </c>
      <c r="YM2" s="1">
        <f t="shared" si="15"/>
        <v>0.46358462582549836</v>
      </c>
      <c r="YN2" s="1">
        <f t="shared" si="16"/>
        <v>0.66533333333333333</v>
      </c>
      <c r="YO2" s="1">
        <f t="shared" si="16"/>
        <v>0.66529048187176043</v>
      </c>
      <c r="YP2" s="1">
        <f t="shared" si="17"/>
        <v>0.33</v>
      </c>
      <c r="YQ2" s="1">
        <f t="shared" si="18"/>
        <v>0.8505571428571429</v>
      </c>
      <c r="YR2" s="1">
        <f t="shared" si="18"/>
        <v>0.85051995391013491</v>
      </c>
      <c r="YT2" s="10">
        <f>AVERAGE(XM2:XQ2)</f>
        <v>0.55345428571428579</v>
      </c>
      <c r="YU2" s="10">
        <f>AVERAGE(XM2:XP2,XR2)</f>
        <v>0.5365057651297066</v>
      </c>
      <c r="YV2" s="10">
        <f>YU2*(32/40)</f>
        <v>0.42920461210376532</v>
      </c>
      <c r="YW2" s="10">
        <f>AVERAGE(XS2,XU2,XW2,XY2)</f>
        <v>0.58681562705341217</v>
      </c>
      <c r="YX2" s="10">
        <f>AVERAGE(XT2,XV2,XX2,XZ2)</f>
        <v>0.57993065234272656</v>
      </c>
      <c r="YY2" s="10">
        <f>YX2*(11/13)</f>
        <v>0.49071055198230706</v>
      </c>
      <c r="YZ2" s="10">
        <f>AVERAGE(YA2,YC2,YE2)</f>
        <v>0.92058995993829207</v>
      </c>
      <c r="ZA2" s="10">
        <f>AVERAGE(YB2,YD2,YF2)</f>
        <v>0.92193458691991459</v>
      </c>
      <c r="ZB2" s="10">
        <f>ZA2*(48/48)</f>
        <v>0.92193458691991459</v>
      </c>
      <c r="ZC2" s="10">
        <f>AVERAGE(YG2,YI2,YJ2)</f>
        <v>0.77325333333333335</v>
      </c>
      <c r="ZD2" s="10">
        <f>AVERAGE(YH2,YI2,YK2)</f>
        <v>0.77325333333333335</v>
      </c>
      <c r="ZE2" s="10">
        <f>ZD2*(37/38)</f>
        <v>0.75290456140350881</v>
      </c>
      <c r="ZF2" s="10">
        <f>AVERAGE(YL2,YN2,YP2,YQ2,)</f>
        <v>0.46384476190476198</v>
      </c>
      <c r="ZG2" s="10">
        <f>AVERAGE(YM2,YO2,YP2,YR2)</f>
        <v>0.57734876540184843</v>
      </c>
      <c r="ZH2" s="10">
        <f>ZG2*(15/16)</f>
        <v>0.54126446756423285</v>
      </c>
      <c r="ZI2" s="10">
        <f t="shared" ref="ZI2:ZK6" si="19">AVERAGE(YT2,YW2,YZ2,ZC2,ZF2)</f>
        <v>0.65959159358881703</v>
      </c>
      <c r="ZJ2" s="10">
        <f t="shared" si="19"/>
        <v>0.67779462062550588</v>
      </c>
      <c r="ZK2" s="10">
        <f t="shared" si="19"/>
        <v>0.62720375599474565</v>
      </c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</row>
    <row r="3" spans="1:710" x14ac:dyDescent="0.25">
      <c r="A3" s="1" t="s">
        <v>395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997</v>
      </c>
      <c r="X3" s="1">
        <v>997</v>
      </c>
      <c r="Y3" s="1">
        <v>997</v>
      </c>
      <c r="Z3" s="1">
        <v>997</v>
      </c>
      <c r="AA3" s="1">
        <v>997</v>
      </c>
      <c r="AB3" s="1">
        <v>997</v>
      </c>
      <c r="AC3" s="1">
        <v>997</v>
      </c>
      <c r="AD3" s="1">
        <v>997</v>
      </c>
      <c r="AE3" s="1">
        <v>997</v>
      </c>
      <c r="AF3" s="1">
        <v>997</v>
      </c>
      <c r="AG3" s="1">
        <v>997</v>
      </c>
      <c r="AH3" s="6">
        <f>AVERAGE(B3:V3)</f>
        <v>1</v>
      </c>
      <c r="AI3" s="6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2">
        <f>AVERAGE(AJ3:AP3)</f>
        <v>1</v>
      </c>
      <c r="AR3" s="2">
        <v>1</v>
      </c>
      <c r="AS3" s="1">
        <v>1</v>
      </c>
      <c r="AT3" s="1">
        <v>1</v>
      </c>
      <c r="AU3" s="3">
        <v>1</v>
      </c>
      <c r="AV3" s="11">
        <f>1-((1-AU3)*((1-(1-(3.421653/3.999809)))))</f>
        <v>1</v>
      </c>
      <c r="AW3" s="4">
        <f>AVERAGE(AS3:AU3)</f>
        <v>1</v>
      </c>
      <c r="AX3" s="4">
        <v>1</v>
      </c>
      <c r="AY3" s="1">
        <v>1</v>
      </c>
      <c r="AZ3" s="1">
        <v>1</v>
      </c>
      <c r="BA3" s="13">
        <v>997</v>
      </c>
      <c r="BB3" s="13">
        <v>997</v>
      </c>
      <c r="BC3" s="2">
        <f>AVERAGE(AY3:AZ3)</f>
        <v>1</v>
      </c>
      <c r="BD3" s="2">
        <v>1</v>
      </c>
      <c r="BE3" s="3">
        <v>999</v>
      </c>
      <c r="BF3" s="11">
        <v>999</v>
      </c>
      <c r="BG3" s="11">
        <v>999</v>
      </c>
      <c r="BH3" s="3">
        <v>999</v>
      </c>
      <c r="BI3" s="3">
        <v>5.8999999999999999E-3</v>
      </c>
      <c r="BJ3" s="11">
        <f>1-((1-BI3)*((1-(1-(3.421653/3.999809)))))</f>
        <v>0.14959308124462944</v>
      </c>
      <c r="BK3" s="3">
        <v>999</v>
      </c>
      <c r="BL3" s="3">
        <v>999</v>
      </c>
      <c r="BM3" s="3">
        <v>999</v>
      </c>
      <c r="BN3" s="3">
        <v>999</v>
      </c>
      <c r="BO3" s="3">
        <v>999</v>
      </c>
      <c r="BP3" s="3">
        <v>999</v>
      </c>
      <c r="BQ3" s="3">
        <v>999</v>
      </c>
      <c r="BR3" s="3">
        <v>999</v>
      </c>
      <c r="BS3" s="3">
        <v>999</v>
      </c>
      <c r="BT3" s="3">
        <v>999</v>
      </c>
      <c r="BU3" s="3">
        <v>0.83</v>
      </c>
      <c r="BV3" s="11">
        <f>1-((1-BU3)*((1-(1-(3.421653/3.999809)))))</f>
        <v>0.85457280335135999</v>
      </c>
      <c r="BW3" s="3">
        <v>999</v>
      </c>
      <c r="BX3" s="3">
        <v>999</v>
      </c>
      <c r="BY3" s="3">
        <v>0.09</v>
      </c>
      <c r="BZ3" s="11">
        <f>1-((1-BY3)*((1-(1-(3.421653/3.999809)))))</f>
        <v>0.22153677088080959</v>
      </c>
      <c r="CA3" s="3">
        <v>0.85</v>
      </c>
      <c r="CB3" s="11">
        <f>1-((1-CA3)*((1-(1-(3.421653/3.999809)))))</f>
        <v>0.87168188531002355</v>
      </c>
      <c r="CC3" s="4">
        <f>AVERAGE(BI3,BU3,BY3,CA3)</f>
        <v>0.44397500000000001</v>
      </c>
      <c r="CD3" s="4">
        <f>AVERAGE(CB3,BZ3,BV3,BJ3)</f>
        <v>0.52434613519670559</v>
      </c>
      <c r="CE3" s="4">
        <f>(COUNT(BI3,BU3,BY3,CA3))/12</f>
        <v>0.33333333333333331</v>
      </c>
      <c r="CF3" s="5">
        <v>997</v>
      </c>
      <c r="CG3" s="5">
        <v>997</v>
      </c>
      <c r="CH3" s="5">
        <v>997</v>
      </c>
      <c r="CI3" s="5"/>
      <c r="CJ3" s="5">
        <v>997</v>
      </c>
      <c r="CK3" s="5"/>
      <c r="CL3" s="5">
        <v>0.25600000000000001</v>
      </c>
      <c r="CM3" s="5">
        <f>10*0.027</f>
        <v>0.27</v>
      </c>
      <c r="CN3" s="11">
        <f>1-((1-CM3)*((1-(1-(3.421653/3.999809)))))</f>
        <v>0.37551850850878132</v>
      </c>
      <c r="CO3" s="6">
        <f>AVERAGE(CL3:CM3)</f>
        <v>0.26300000000000001</v>
      </c>
      <c r="CP3" s="6">
        <f>AVERAGE(CL3,CN3)</f>
        <v>0.31575925425439066</v>
      </c>
      <c r="CQ3" s="6">
        <v>1</v>
      </c>
      <c r="CR3" s="5">
        <v>997</v>
      </c>
      <c r="CS3" s="5">
        <v>997</v>
      </c>
      <c r="CT3" s="5">
        <v>997</v>
      </c>
      <c r="CU3" s="5"/>
      <c r="CV3" s="5">
        <v>997</v>
      </c>
      <c r="CW3" s="5"/>
      <c r="CX3" s="5">
        <v>997</v>
      </c>
      <c r="CY3" s="5">
        <v>997</v>
      </c>
      <c r="CZ3" s="1">
        <v>0.32</v>
      </c>
      <c r="DA3" s="3">
        <v>0.32</v>
      </c>
      <c r="DB3" s="11">
        <f>1-((1-DA3)*((1-(1-(3.421653/3.999809)))))</f>
        <v>0.41829121340544018</v>
      </c>
      <c r="DC3" s="3">
        <v>0.67</v>
      </c>
      <c r="DD3" s="3">
        <v>0.67</v>
      </c>
      <c r="DE3" s="11">
        <f>1-((1-DD3)*((1-(1-(3.421653/3.999809)))))</f>
        <v>0.71770014768205193</v>
      </c>
      <c r="DF3" s="4">
        <f>AVERAGE(CZ3,DA3,DD3,DC3)</f>
        <v>0.495</v>
      </c>
      <c r="DG3" s="4">
        <f>AVERAGE(CZ3,DB3,DC3,DE3)</f>
        <v>0.53149784027187308</v>
      </c>
      <c r="DH3" s="4">
        <f>(COUNT(CZ3,DA3,DC3,DD3))/4</f>
        <v>1</v>
      </c>
      <c r="DI3" s="3">
        <v>0.60589999999999999</v>
      </c>
      <c r="DJ3" s="3">
        <v>0.37680000000000002</v>
      </c>
      <c r="DK3" s="11">
        <f>1-((1-DJ3)*((1-(1-(3.421653/3.999809)))))</f>
        <v>0.46688100616804451</v>
      </c>
      <c r="DL3" s="13">
        <v>997</v>
      </c>
      <c r="DM3" s="13">
        <v>997</v>
      </c>
      <c r="DN3" s="13">
        <v>997</v>
      </c>
      <c r="DO3" s="13"/>
      <c r="DP3" s="13">
        <v>997</v>
      </c>
      <c r="DQ3" s="13"/>
      <c r="DR3" s="1">
        <v>0.14299999999999999</v>
      </c>
      <c r="DS3" s="3">
        <f>10*0.0126</f>
        <v>0.126</v>
      </c>
      <c r="DT3" s="11">
        <f>1-((1-DS3)*((1-(1-(3.421653/3.999809)))))</f>
        <v>0.25233311840640393</v>
      </c>
      <c r="DU3" s="11">
        <v>999</v>
      </c>
      <c r="DV3" s="11">
        <v>999</v>
      </c>
      <c r="DW3" s="4">
        <f>AVERAGE(DI3,DJ3)</f>
        <v>0.49135000000000001</v>
      </c>
      <c r="DX3" s="4">
        <f>AVERAGE(DI3,DK3)</f>
        <v>0.53639050308402225</v>
      </c>
      <c r="DY3" s="4">
        <f>(COUNT(DI3,DJ3,DU3))/3</f>
        <v>1</v>
      </c>
      <c r="DZ3" s="3">
        <v>997</v>
      </c>
      <c r="EA3" s="3">
        <v>997</v>
      </c>
      <c r="EB3" s="3">
        <v>997</v>
      </c>
      <c r="EC3" s="3"/>
      <c r="ED3" s="3">
        <v>997</v>
      </c>
      <c r="EE3" s="3">
        <v>1</v>
      </c>
      <c r="EF3" s="3">
        <v>999</v>
      </c>
      <c r="EG3" s="11">
        <v>999</v>
      </c>
      <c r="EH3" s="4">
        <f>AVERAGE(EE3)</f>
        <v>1</v>
      </c>
      <c r="EI3" s="4">
        <f>AVERAGE(EE3)</f>
        <v>1</v>
      </c>
      <c r="EJ3" s="4">
        <v>0.5</v>
      </c>
      <c r="EK3" s="3">
        <v>1</v>
      </c>
      <c r="EL3" s="3">
        <v>997</v>
      </c>
      <c r="EM3" s="3">
        <v>0.94799999999999995</v>
      </c>
      <c r="EN3" s="3">
        <v>999</v>
      </c>
      <c r="EO3" s="11">
        <v>999</v>
      </c>
      <c r="EP3" s="3">
        <v>1</v>
      </c>
      <c r="EQ3" s="7">
        <v>999</v>
      </c>
      <c r="ER3" s="7">
        <v>999</v>
      </c>
      <c r="ES3" s="3">
        <v>0</v>
      </c>
      <c r="ET3" s="11">
        <v>0</v>
      </c>
      <c r="EU3" s="4">
        <f>AVERAGE(EK3,ES3,EM3,EP3,ES3)</f>
        <v>0.58960000000000001</v>
      </c>
      <c r="EV3" s="4">
        <f>AVERAGE(EK3,EM3,EP3,ET3)</f>
        <v>0.73699999999999999</v>
      </c>
      <c r="EW3" s="4">
        <f>COUNT(EK3,EM3,EP3,ES3)/5</f>
        <v>0.8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0</v>
      </c>
      <c r="FO3" s="1">
        <v>0.33</v>
      </c>
      <c r="FP3" s="1">
        <v>1</v>
      </c>
      <c r="FQ3" s="2">
        <f>AVERAGE(EX3:FP3)</f>
        <v>0.91210526315789464</v>
      </c>
      <c r="FR3" s="2">
        <f>FQ3</f>
        <v>0.91210526315789464</v>
      </c>
      <c r="FS3" s="2">
        <v>1</v>
      </c>
      <c r="FT3" s="1">
        <v>0.76580000000000004</v>
      </c>
      <c r="FU3" s="1">
        <v>0.78879999999999995</v>
      </c>
      <c r="FV3" s="1">
        <v>0.74180000000000001</v>
      </c>
      <c r="FW3" s="1">
        <v>999</v>
      </c>
      <c r="FX3" s="1">
        <v>999</v>
      </c>
      <c r="FY3" s="1">
        <v>999</v>
      </c>
      <c r="FZ3" s="1">
        <v>999</v>
      </c>
      <c r="GA3" s="1">
        <v>999</v>
      </c>
      <c r="GB3" s="1">
        <v>999</v>
      </c>
      <c r="GC3" s="1">
        <v>999</v>
      </c>
      <c r="GD3" s="1">
        <v>999</v>
      </c>
      <c r="GE3" s="44">
        <f t="shared" ref="GE3:GE10" si="20">FV3/FU3</f>
        <v>0.94041582150101433</v>
      </c>
      <c r="GF3" s="44" t="s">
        <v>1248</v>
      </c>
      <c r="GO3" s="1">
        <v>0.438</v>
      </c>
      <c r="GP3" s="11">
        <f>1-((1-GO3)*((1-(1-(3.421653/3.999809)))))</f>
        <v>0.51923479696155495</v>
      </c>
      <c r="GQ3" s="1">
        <v>0.46400000000000002</v>
      </c>
      <c r="GR3" s="11">
        <f>1-((1-GQ3)*((1-(1-(3.421653/3.999809)))))</f>
        <v>0.54147660350781757</v>
      </c>
      <c r="GS3" s="1">
        <v>0.41199999999999998</v>
      </c>
      <c r="GT3" s="11">
        <f>1-((1-GS3)*((1-(1-(3.421653/3.999809)))))</f>
        <v>0.49699299041529232</v>
      </c>
      <c r="GU3" s="1">
        <v>999</v>
      </c>
      <c r="GV3" s="1">
        <v>999</v>
      </c>
      <c r="GW3" s="1"/>
      <c r="GX3" s="1">
        <v>999</v>
      </c>
      <c r="GY3" s="1">
        <v>999</v>
      </c>
      <c r="GZ3" s="1">
        <v>999</v>
      </c>
      <c r="HA3" s="1">
        <v>999</v>
      </c>
      <c r="HB3" s="1">
        <v>999</v>
      </c>
      <c r="HC3" s="1">
        <v>999</v>
      </c>
      <c r="HD3" s="44">
        <f t="shared" ref="HD3:HD10" si="21">GS3/GQ3</f>
        <v>0.88793103448275856</v>
      </c>
      <c r="HE3" s="44" t="s">
        <v>1248</v>
      </c>
      <c r="HN3" s="1">
        <v>999</v>
      </c>
      <c r="HO3" s="1">
        <v>999</v>
      </c>
      <c r="HP3" s="1">
        <v>999</v>
      </c>
      <c r="HQ3" s="1"/>
      <c r="HR3" s="1">
        <v>999</v>
      </c>
      <c r="HS3" s="1"/>
      <c r="HT3" s="1">
        <v>999</v>
      </c>
      <c r="HU3" s="1"/>
      <c r="HV3" s="1">
        <v>999</v>
      </c>
      <c r="HW3" s="1"/>
      <c r="HX3" s="1">
        <v>999</v>
      </c>
      <c r="HY3" s="1"/>
      <c r="HZ3" s="1">
        <v>999</v>
      </c>
      <c r="IA3" s="1"/>
      <c r="IB3" s="1">
        <v>999</v>
      </c>
      <c r="IC3" s="1"/>
      <c r="ID3" s="1">
        <v>999</v>
      </c>
      <c r="IE3" s="1"/>
      <c r="IF3" s="1">
        <v>999</v>
      </c>
      <c r="IG3" s="1"/>
      <c r="IH3" s="1">
        <v>999</v>
      </c>
      <c r="IS3" s="1">
        <v>0.10299999999999999</v>
      </c>
      <c r="IT3" s="11">
        <f>1-((1-IS3)*((1-(1-(3.421653/3.999809)))))</f>
        <v>0.2326576741539409</v>
      </c>
      <c r="IU3" s="1">
        <v>0.1207</v>
      </c>
      <c r="IV3" s="11">
        <f>1-((1-IU3)*((1-(1-(3.421653/3.999809)))))</f>
        <v>0.24779921168735808</v>
      </c>
      <c r="IW3" s="1">
        <v>8.6599999999999996E-2</v>
      </c>
      <c r="IX3" s="11">
        <f>1-((1-IW3)*((1-(1-(3.421653/3.999809)))))</f>
        <v>0.21862822694783679</v>
      </c>
      <c r="IY3" s="1">
        <v>999</v>
      </c>
      <c r="IZ3" s="1"/>
      <c r="JA3" s="1">
        <v>999</v>
      </c>
      <c r="JB3" s="1"/>
      <c r="JC3" s="1">
        <v>999</v>
      </c>
      <c r="JD3" s="1"/>
      <c r="JE3" s="1">
        <v>999</v>
      </c>
      <c r="JF3" s="1"/>
      <c r="JG3" s="1">
        <v>999</v>
      </c>
      <c r="JH3" s="1"/>
      <c r="JI3" s="1">
        <v>999</v>
      </c>
      <c r="JJ3" s="1"/>
      <c r="JK3" s="1">
        <v>999</v>
      </c>
      <c r="JL3" s="1"/>
      <c r="JM3" s="1">
        <v>999</v>
      </c>
      <c r="JN3" s="44">
        <f t="shared" ref="JN3:JN10" si="22">IW3/IU3</f>
        <v>0.71748135874067931</v>
      </c>
      <c r="JO3" s="44" t="s">
        <v>1248</v>
      </c>
      <c r="JX3" s="1">
        <v>0.63900000000000001</v>
      </c>
      <c r="JY3" s="1">
        <v>0.69410000000000005</v>
      </c>
      <c r="JZ3" s="1">
        <v>0.58130000000000004</v>
      </c>
      <c r="KA3" s="1">
        <v>999</v>
      </c>
      <c r="KB3" s="1">
        <v>999</v>
      </c>
      <c r="KC3" s="1">
        <v>999</v>
      </c>
      <c r="KD3" s="1">
        <v>999</v>
      </c>
      <c r="KE3" s="1">
        <v>999</v>
      </c>
      <c r="KF3" s="1">
        <v>999</v>
      </c>
      <c r="KG3" s="1">
        <v>999</v>
      </c>
      <c r="KH3" s="1">
        <v>999</v>
      </c>
      <c r="KI3" s="44">
        <f t="shared" ref="KI3:KI10" si="23">JZ3/JY3</f>
        <v>0.83748739374729864</v>
      </c>
      <c r="KJ3" s="44" t="s">
        <v>1248</v>
      </c>
      <c r="KS3" s="1">
        <v>999</v>
      </c>
      <c r="KT3" s="1">
        <v>999</v>
      </c>
      <c r="KU3" s="1">
        <v>999</v>
      </c>
      <c r="KV3" s="1">
        <v>999</v>
      </c>
      <c r="KW3" s="1">
        <v>999</v>
      </c>
      <c r="KX3" s="1">
        <v>999</v>
      </c>
      <c r="KY3" s="1">
        <v>999</v>
      </c>
      <c r="KZ3" s="1">
        <v>999</v>
      </c>
      <c r="LA3" s="1">
        <v>999</v>
      </c>
      <c r="LB3" s="1">
        <v>999</v>
      </c>
      <c r="LC3" s="1">
        <v>999</v>
      </c>
      <c r="LD3" s="1">
        <v>999</v>
      </c>
      <c r="LE3" s="1">
        <v>999</v>
      </c>
      <c r="LF3" s="1">
        <v>999</v>
      </c>
      <c r="LQ3" s="1">
        <v>0.74399999999999999</v>
      </c>
      <c r="LR3" s="1">
        <v>0.7</v>
      </c>
      <c r="LS3" s="1">
        <v>0.81399999999999995</v>
      </c>
      <c r="LT3" s="1">
        <v>0.84399999999999997</v>
      </c>
      <c r="LU3" s="1">
        <v>0.69699999999999995</v>
      </c>
      <c r="LV3" s="1">
        <v>999</v>
      </c>
      <c r="LW3" s="1">
        <v>999</v>
      </c>
      <c r="LX3" s="1">
        <v>999</v>
      </c>
      <c r="LY3" s="1">
        <v>999</v>
      </c>
      <c r="LZ3" s="1">
        <v>999</v>
      </c>
      <c r="MA3" s="1">
        <v>999</v>
      </c>
      <c r="MB3" s="44">
        <f t="shared" ref="MB3:MB10" si="24">LS3/LR3</f>
        <v>1.1628571428571428</v>
      </c>
      <c r="MC3" s="44" t="s">
        <v>1249</v>
      </c>
      <c r="MD3" s="44">
        <f>LT3/LU3</f>
        <v>1.2109038737446198</v>
      </c>
      <c r="ME3" s="44" t="s">
        <v>1252</v>
      </c>
      <c r="ML3" s="1">
        <v>999</v>
      </c>
      <c r="MM3" s="1">
        <v>999</v>
      </c>
      <c r="MN3" s="1">
        <v>999</v>
      </c>
      <c r="MO3" s="1">
        <v>999</v>
      </c>
      <c r="MP3" s="1">
        <v>999</v>
      </c>
      <c r="MQ3" s="1">
        <v>999</v>
      </c>
      <c r="MR3" s="1">
        <v>999</v>
      </c>
      <c r="MS3" s="1"/>
      <c r="MT3" s="1">
        <v>999</v>
      </c>
      <c r="MU3" s="1"/>
      <c r="MV3" s="1">
        <v>999</v>
      </c>
      <c r="MW3" s="1"/>
      <c r="MX3" s="1">
        <v>999</v>
      </c>
      <c r="MY3" s="1"/>
      <c r="MZ3" s="1">
        <v>999</v>
      </c>
      <c r="NA3" s="1"/>
      <c r="NB3" s="1">
        <v>999</v>
      </c>
      <c r="NC3" s="1"/>
      <c r="ND3" s="1">
        <v>999</v>
      </c>
      <c r="NE3" s="1"/>
      <c r="NF3" s="1">
        <v>999</v>
      </c>
      <c r="NG3" s="1"/>
      <c r="NR3" s="1">
        <v>999</v>
      </c>
      <c r="NS3" s="1">
        <v>999</v>
      </c>
      <c r="NT3" s="1">
        <v>999</v>
      </c>
      <c r="NU3" s="1"/>
      <c r="NV3" s="1">
        <v>999</v>
      </c>
      <c r="NW3" s="1"/>
      <c r="NX3" s="1">
        <v>999</v>
      </c>
      <c r="NY3" s="1"/>
      <c r="NZ3" s="1">
        <v>999</v>
      </c>
      <c r="OA3" s="1"/>
      <c r="OB3" s="1">
        <v>999</v>
      </c>
      <c r="OC3" s="1">
        <v>999</v>
      </c>
      <c r="OD3" s="1">
        <v>999</v>
      </c>
      <c r="OE3" s="1">
        <v>999</v>
      </c>
      <c r="OF3" s="1">
        <v>999</v>
      </c>
      <c r="OG3" s="1">
        <v>999</v>
      </c>
      <c r="OH3" s="1"/>
      <c r="OS3" s="1">
        <v>999</v>
      </c>
      <c r="OT3" s="1">
        <v>999</v>
      </c>
      <c r="OU3" s="1">
        <v>999</v>
      </c>
      <c r="OV3" s="1">
        <v>999</v>
      </c>
      <c r="OW3" s="1">
        <v>999</v>
      </c>
      <c r="OX3" s="1">
        <v>999</v>
      </c>
      <c r="OY3" s="1">
        <v>999</v>
      </c>
      <c r="OZ3" s="1"/>
      <c r="PA3" s="1">
        <v>999</v>
      </c>
      <c r="PB3" s="1"/>
      <c r="PC3" s="1">
        <v>999</v>
      </c>
      <c r="PD3" s="1"/>
      <c r="PE3" s="1">
        <v>999</v>
      </c>
      <c r="PF3" s="1">
        <v>999</v>
      </c>
      <c r="PG3" s="1"/>
      <c r="PH3" s="1">
        <v>999</v>
      </c>
      <c r="PI3" s="1">
        <v>999</v>
      </c>
      <c r="PJ3" s="1"/>
      <c r="PK3" s="1">
        <v>999</v>
      </c>
      <c r="PV3" s="2">
        <f>AVERAGE(LQ3:LU3,JX3:JZ3,IS3,IU3,GO3,GQ3,GS3,IW3,FT3:FV3,MD3,MB3,KI3,JN3,HD3,GE3,)</f>
        <v>0.64129902604472966</v>
      </c>
      <c r="PW3" s="2">
        <f>AVERAGE(LQ3:LU3,JX3:JZ3,IT3,IV3,GP3,GR3,GT3,IX3,FT3:FV3,MD3,MB3,KI3,JN3,HD3,GE3)</f>
        <v>0.69668113603249182</v>
      </c>
      <c r="PX3" s="4">
        <f>(COUNT(LQ3:LU3,JX3:JZ3,IW3,IU3,IS3,GO3,GQ3,GS3,FT3:FV3))/110</f>
        <v>0.15454545454545454</v>
      </c>
      <c r="PY3" s="1">
        <v>1</v>
      </c>
      <c r="PZ3" s="1">
        <v>1</v>
      </c>
      <c r="QA3" s="1">
        <v>1</v>
      </c>
      <c r="QB3" s="1">
        <v>1</v>
      </c>
      <c r="QC3" s="1">
        <v>999</v>
      </c>
      <c r="QD3" s="1">
        <v>1</v>
      </c>
      <c r="QE3" s="1">
        <v>1</v>
      </c>
      <c r="QF3" s="1">
        <v>1</v>
      </c>
      <c r="QG3" s="1">
        <v>1</v>
      </c>
      <c r="QH3" s="1">
        <v>1</v>
      </c>
      <c r="QI3" s="1">
        <v>1</v>
      </c>
      <c r="QJ3" s="1">
        <v>1</v>
      </c>
      <c r="QK3" s="1">
        <v>1</v>
      </c>
      <c r="QL3" s="1">
        <v>1</v>
      </c>
      <c r="QM3" s="1">
        <v>1</v>
      </c>
      <c r="QN3" s="1">
        <v>1</v>
      </c>
      <c r="QO3" s="1">
        <v>1</v>
      </c>
      <c r="QP3" s="1">
        <v>1</v>
      </c>
      <c r="QQ3" s="1">
        <v>1</v>
      </c>
      <c r="QR3" s="3">
        <v>0</v>
      </c>
      <c r="QS3" s="11">
        <f>1-((1-QR3)*((1-(1-(3.421653/3.999809)))))</f>
        <v>0.14454590206682372</v>
      </c>
      <c r="QT3" s="8">
        <f>AVERAGE(PY3:QB3,QD3:QR3)</f>
        <v>0.94736842105263153</v>
      </c>
      <c r="QU3" s="8">
        <f>AVERAGE(PY3:QB3,QD3:QQ3,QS3)</f>
        <v>0.9549761001087802</v>
      </c>
      <c r="QV3" s="8">
        <f>(COUNT(PY3:QB3,QD3:QR3))/20</f>
        <v>0.95</v>
      </c>
      <c r="QW3" s="1">
        <v>1</v>
      </c>
      <c r="QX3" s="1"/>
      <c r="QY3" s="1">
        <v>0</v>
      </c>
      <c r="QZ3" s="1">
        <v>0.33</v>
      </c>
      <c r="RA3" s="9">
        <f>AVERAGE(QW3:QZ3)</f>
        <v>0.44333333333333336</v>
      </c>
      <c r="RB3" s="9">
        <v>1</v>
      </c>
      <c r="RC3" s="1">
        <v>997</v>
      </c>
      <c r="RD3" s="1">
        <v>997</v>
      </c>
      <c r="RE3" s="1">
        <v>997</v>
      </c>
      <c r="RF3" s="1">
        <v>997</v>
      </c>
      <c r="RG3" s="1">
        <v>997</v>
      </c>
      <c r="RH3" s="1">
        <v>997</v>
      </c>
      <c r="RI3" s="1">
        <v>997</v>
      </c>
      <c r="RJ3" s="1">
        <v>997</v>
      </c>
      <c r="RK3" s="1">
        <v>999</v>
      </c>
      <c r="RL3" s="1">
        <v>999</v>
      </c>
      <c r="RM3" s="1">
        <v>999</v>
      </c>
      <c r="RN3" s="1">
        <v>999</v>
      </c>
      <c r="RO3" s="1">
        <v>999</v>
      </c>
      <c r="RP3" s="1">
        <v>999</v>
      </c>
      <c r="RQ3" s="1">
        <v>999</v>
      </c>
      <c r="RR3" s="1">
        <v>999</v>
      </c>
      <c r="RS3" s="1">
        <v>999</v>
      </c>
      <c r="RT3" s="1">
        <v>999</v>
      </c>
      <c r="RU3" s="1">
        <v>999</v>
      </c>
      <c r="RV3" s="1">
        <v>999</v>
      </c>
      <c r="RW3" s="1">
        <v>999</v>
      </c>
      <c r="RX3" s="1">
        <v>999</v>
      </c>
      <c r="RY3" s="1">
        <v>999</v>
      </c>
      <c r="RZ3" s="1">
        <v>999</v>
      </c>
      <c r="SA3" s="1">
        <v>999</v>
      </c>
      <c r="SB3" s="1">
        <v>999</v>
      </c>
      <c r="SC3" s="1">
        <v>999</v>
      </c>
      <c r="SD3" s="1">
        <v>999</v>
      </c>
      <c r="SE3" s="1">
        <v>999</v>
      </c>
      <c r="SF3" s="1">
        <v>999</v>
      </c>
      <c r="SG3" s="1">
        <v>999</v>
      </c>
      <c r="SH3" s="1">
        <v>999</v>
      </c>
      <c r="SI3" s="1">
        <v>999</v>
      </c>
      <c r="SJ3" s="1">
        <v>999</v>
      </c>
      <c r="SK3" s="1">
        <v>999</v>
      </c>
      <c r="SL3" s="1">
        <v>999</v>
      </c>
      <c r="SM3" s="1">
        <v>999</v>
      </c>
      <c r="SN3" s="1">
        <v>999</v>
      </c>
      <c r="SO3" s="1">
        <v>999</v>
      </c>
      <c r="SP3" s="1">
        <v>999</v>
      </c>
      <c r="SQ3" s="1">
        <v>999</v>
      </c>
      <c r="SR3" s="1">
        <v>0.31280000000000002</v>
      </c>
      <c r="SS3" s="11">
        <f>1-((1-SR3)*((1-(1-(3.421653/3.999809)))))</f>
        <v>0.41213194390032126</v>
      </c>
      <c r="ST3" s="1">
        <v>999</v>
      </c>
      <c r="SU3" s="1">
        <v>999</v>
      </c>
      <c r="SV3" s="1">
        <v>999</v>
      </c>
      <c r="SW3" s="1">
        <v>999</v>
      </c>
      <c r="SX3" s="1">
        <v>999</v>
      </c>
      <c r="SY3" s="1">
        <v>999</v>
      </c>
      <c r="SZ3" s="1">
        <v>999</v>
      </c>
      <c r="TA3" s="1">
        <v>999</v>
      </c>
      <c r="TB3" s="1">
        <v>999</v>
      </c>
      <c r="TC3" s="1">
        <v>999</v>
      </c>
      <c r="TD3" s="1">
        <v>999</v>
      </c>
      <c r="TE3" s="1">
        <v>999</v>
      </c>
      <c r="TF3" s="1">
        <v>999</v>
      </c>
      <c r="TG3" s="1">
        <v>999</v>
      </c>
      <c r="TH3" s="1">
        <v>999</v>
      </c>
      <c r="TI3" s="1"/>
      <c r="TJ3" s="1">
        <v>999</v>
      </c>
      <c r="TK3" s="1"/>
      <c r="TL3" s="1">
        <v>999</v>
      </c>
      <c r="TM3" s="1"/>
      <c r="TN3" s="1">
        <v>999</v>
      </c>
      <c r="TO3" s="1"/>
      <c r="TP3" s="1">
        <v>999</v>
      </c>
      <c r="TQ3" s="1"/>
      <c r="TR3" s="1">
        <v>999</v>
      </c>
      <c r="TS3" s="1"/>
      <c r="TT3" s="1">
        <v>999</v>
      </c>
      <c r="TU3" s="1"/>
      <c r="TV3" s="1">
        <v>999</v>
      </c>
      <c r="TW3" s="1"/>
      <c r="TX3" s="1">
        <v>999</v>
      </c>
      <c r="TY3" s="1"/>
      <c r="TZ3" s="1">
        <v>999</v>
      </c>
      <c r="UA3" s="1"/>
      <c r="UB3" s="1">
        <v>999</v>
      </c>
      <c r="UC3" s="1">
        <v>999</v>
      </c>
      <c r="UD3" s="1">
        <v>999</v>
      </c>
      <c r="UE3" s="1"/>
      <c r="UF3" s="1">
        <v>999</v>
      </c>
      <c r="UG3" s="1"/>
      <c r="UH3" s="1">
        <v>999</v>
      </c>
      <c r="UI3" s="1"/>
      <c r="UJ3" s="1">
        <v>999</v>
      </c>
      <c r="UK3" s="1"/>
      <c r="UL3" s="1">
        <v>999</v>
      </c>
      <c r="UM3" s="1"/>
      <c r="UN3" s="1">
        <v>999</v>
      </c>
      <c r="UO3" s="1"/>
      <c r="UP3" s="1">
        <v>999</v>
      </c>
      <c r="UQ3" s="1"/>
      <c r="UR3" s="1">
        <v>999</v>
      </c>
      <c r="US3" s="1"/>
      <c r="UT3" s="1">
        <v>999</v>
      </c>
      <c r="UU3" s="1"/>
      <c r="UV3" s="1">
        <v>999</v>
      </c>
      <c r="UW3" s="1"/>
      <c r="UX3" s="1">
        <v>0.85599999999999998</v>
      </c>
      <c r="UY3" s="1">
        <v>0.89400000000000002</v>
      </c>
      <c r="UZ3" s="1">
        <v>0.81599999999999995</v>
      </c>
      <c r="VA3" s="1">
        <v>0.94299999999999995</v>
      </c>
      <c r="VB3" s="1">
        <v>0.81299999999999994</v>
      </c>
      <c r="VC3" s="1">
        <v>999</v>
      </c>
      <c r="VD3" s="1">
        <v>999</v>
      </c>
      <c r="VE3" s="1">
        <v>999</v>
      </c>
      <c r="VF3" s="1">
        <v>999</v>
      </c>
      <c r="VG3" s="1">
        <v>999</v>
      </c>
      <c r="VH3" s="1">
        <v>999</v>
      </c>
      <c r="VI3" s="1">
        <v>0.71599999999999997</v>
      </c>
      <c r="VJ3" s="1">
        <v>0.79300000000000004</v>
      </c>
      <c r="VK3" s="1">
        <v>0.63700000000000001</v>
      </c>
      <c r="VL3" s="1">
        <v>0.83</v>
      </c>
      <c r="VM3" s="1">
        <v>0.65500000000000003</v>
      </c>
      <c r="VN3" s="1">
        <v>999</v>
      </c>
      <c r="VO3" s="1">
        <v>999</v>
      </c>
      <c r="VP3" s="1">
        <v>999</v>
      </c>
      <c r="VQ3" s="1">
        <v>999</v>
      </c>
      <c r="VR3" s="1">
        <v>999</v>
      </c>
      <c r="VS3" s="1">
        <v>999</v>
      </c>
      <c r="VT3" s="2">
        <f>AVERAGE(VI3:VM3,UX3:VB3,SR3,)</f>
        <v>0.68881666666666652</v>
      </c>
      <c r="VU3" s="2">
        <f>AVERAGE(VI3:VM3,UX3:VB3,SS3,)</f>
        <v>0.69709432865836007</v>
      </c>
      <c r="VV3" s="4">
        <f>(COUNT(VI3:VM3,UX3:VB3,SR3))/88</f>
        <v>0.125</v>
      </c>
      <c r="VW3" s="1">
        <v>1</v>
      </c>
      <c r="VX3" s="3">
        <v>0.33</v>
      </c>
      <c r="VY3" s="3">
        <v>999</v>
      </c>
      <c r="VZ3" s="3">
        <v>999</v>
      </c>
      <c r="WA3" s="3">
        <v>999</v>
      </c>
      <c r="WB3" s="3">
        <v>999</v>
      </c>
      <c r="WC3" s="8">
        <f>AVERAGE(VW3:VX3)</f>
        <v>0.66500000000000004</v>
      </c>
      <c r="WD3" s="8">
        <f>AVERAGE(VW3:VX3)</f>
        <v>0.66500000000000004</v>
      </c>
      <c r="WE3" s="8">
        <f>(COUNT(VW3:VX3))/5</f>
        <v>0.4</v>
      </c>
      <c r="WF3" s="1">
        <v>1</v>
      </c>
      <c r="WG3" s="1">
        <v>1</v>
      </c>
      <c r="WH3" s="1">
        <v>0.78200000000000003</v>
      </c>
      <c r="WI3" s="1">
        <v>999</v>
      </c>
      <c r="WJ3" s="1">
        <v>999</v>
      </c>
      <c r="WK3" s="9">
        <f>AVERAGE(WF3:WH3)</f>
        <v>0.92733333333333334</v>
      </c>
      <c r="WL3" s="9">
        <f>AVERAGE(WF3:WH3)</f>
        <v>0.92733333333333334</v>
      </c>
      <c r="WM3" s="9">
        <f>(COUNT(WF3:WH3))/4</f>
        <v>0.75</v>
      </c>
      <c r="WN3" s="1">
        <v>0.66</v>
      </c>
      <c r="WO3" s="1">
        <v>999</v>
      </c>
      <c r="WP3" s="1">
        <v>0.66</v>
      </c>
      <c r="WQ3" s="1">
        <v>999</v>
      </c>
      <c r="WR3" s="9">
        <f>AVERAGE(WN3,WP3)</f>
        <v>0.66</v>
      </c>
      <c r="WS3" s="9">
        <f>(COUNT(WP3,WN3)/3)</f>
        <v>0.66666666666666663</v>
      </c>
      <c r="WT3" s="3">
        <v>1</v>
      </c>
      <c r="WU3" s="11">
        <f>1-((1-WT3)*((1-(1-(3.421653/3.999809)))))</f>
        <v>1</v>
      </c>
      <c r="WV3" s="3">
        <v>0.51</v>
      </c>
      <c r="WW3" s="11">
        <f>1-((1-WV3)*((1-(1-(3.421653/3.999809)))))</f>
        <v>0.58082749201274364</v>
      </c>
      <c r="WX3" s="3">
        <v>1</v>
      </c>
      <c r="WY3" s="11">
        <f>1-((1-WX3)*((1-(1-(3.421653/3.999809)))))</f>
        <v>1</v>
      </c>
      <c r="WZ3" s="3">
        <v>1</v>
      </c>
      <c r="XA3" s="11">
        <f>1-((1-WZ3)*((1-(1-(3.421653/3.999809)))))</f>
        <v>1</v>
      </c>
      <c r="XB3" s="3">
        <v>0.68899999999999995</v>
      </c>
      <c r="XC3" s="3">
        <v>1</v>
      </c>
      <c r="XD3" s="11">
        <f>1-((1-XC3)*((1-(1-(3.421653/3.999809)))))</f>
        <v>1</v>
      </c>
      <c r="XE3" s="3">
        <v>1</v>
      </c>
      <c r="XF3" s="11">
        <f>1-((1-XE3)*((1-(1-(3.421653/3.999809)))))</f>
        <v>1</v>
      </c>
      <c r="XG3" s="9">
        <f>AVERAGE(WT3,WV3,WX3,WZ3,XB3,XC3,XE3)</f>
        <v>0.88557142857142856</v>
      </c>
      <c r="XH3" s="9">
        <f>AVERAGE(WU3,WW3,WY3,XB3,XA3,XD3,XF3)</f>
        <v>0.89568964171610621</v>
      </c>
      <c r="XI3" s="9">
        <v>1</v>
      </c>
      <c r="XJ3" s="1"/>
      <c r="XK3" s="1"/>
      <c r="XL3" s="10"/>
      <c r="XM3" s="1">
        <f t="shared" si="0"/>
        <v>1</v>
      </c>
      <c r="XN3" s="1">
        <f t="shared" si="1"/>
        <v>1</v>
      </c>
      <c r="XO3" s="1">
        <f t="shared" si="2"/>
        <v>1</v>
      </c>
      <c r="XP3" s="1">
        <f t="shared" si="3"/>
        <v>1</v>
      </c>
      <c r="XQ3" s="1">
        <f t="shared" si="4"/>
        <v>0.44397500000000001</v>
      </c>
      <c r="XR3" s="1">
        <f t="shared" si="4"/>
        <v>0.52434613519670559</v>
      </c>
      <c r="XS3" s="1">
        <f t="shared" si="5"/>
        <v>0.26300000000000001</v>
      </c>
      <c r="XT3" s="1">
        <f t="shared" si="5"/>
        <v>0.31575925425439066</v>
      </c>
      <c r="XU3" s="1">
        <f t="shared" si="6"/>
        <v>0.495</v>
      </c>
      <c r="XV3" s="1">
        <f t="shared" si="6"/>
        <v>0.53149784027187308</v>
      </c>
      <c r="XW3" s="1">
        <f t="shared" si="7"/>
        <v>0.49135000000000001</v>
      </c>
      <c r="XX3" s="1">
        <f t="shared" si="7"/>
        <v>0.53639050308402225</v>
      </c>
      <c r="XY3" s="1">
        <f t="shared" si="8"/>
        <v>1</v>
      </c>
      <c r="XZ3" s="1">
        <f t="shared" si="8"/>
        <v>1</v>
      </c>
      <c r="YA3" s="1">
        <f t="shared" si="9"/>
        <v>0.58960000000000001</v>
      </c>
      <c r="YB3" s="1">
        <f t="shared" si="9"/>
        <v>0.73699999999999999</v>
      </c>
      <c r="YC3" s="1">
        <f t="shared" si="10"/>
        <v>0.91210526315789464</v>
      </c>
      <c r="YD3" s="1">
        <f t="shared" si="10"/>
        <v>0.91210526315789464</v>
      </c>
      <c r="YE3" s="1">
        <f t="shared" si="11"/>
        <v>0.64129902604472966</v>
      </c>
      <c r="YF3" s="1">
        <f t="shared" si="11"/>
        <v>0.69668113603249182</v>
      </c>
      <c r="YG3" s="1">
        <f t="shared" si="12"/>
        <v>0.94736842105263153</v>
      </c>
      <c r="YH3" s="11">
        <f t="shared" si="12"/>
        <v>0.9549761001087802</v>
      </c>
      <c r="YI3" s="11">
        <f t="shared" si="13"/>
        <v>0.44333333333333336</v>
      </c>
      <c r="YJ3" s="1">
        <f t="shared" si="14"/>
        <v>0.68881666666666652</v>
      </c>
      <c r="YK3" s="1">
        <f t="shared" si="14"/>
        <v>0.69709432865836007</v>
      </c>
      <c r="YL3" s="1">
        <f t="shared" si="15"/>
        <v>0.66500000000000004</v>
      </c>
      <c r="YM3" s="1">
        <f t="shared" si="15"/>
        <v>0.66500000000000004</v>
      </c>
      <c r="YN3" s="1">
        <f t="shared" si="16"/>
        <v>0.92733333333333334</v>
      </c>
      <c r="YO3" s="1">
        <f t="shared" si="16"/>
        <v>0.92733333333333334</v>
      </c>
      <c r="YP3" s="1">
        <f t="shared" si="17"/>
        <v>0.66</v>
      </c>
      <c r="YQ3" s="1">
        <f t="shared" si="18"/>
        <v>0.88557142857142856</v>
      </c>
      <c r="YR3" s="1">
        <f t="shared" si="18"/>
        <v>0.89568964171610621</v>
      </c>
      <c r="YT3" s="10">
        <f>AVERAGE(XM3:XQ3)</f>
        <v>0.888795</v>
      </c>
      <c r="YU3" s="10">
        <f>AVERAGE(XM3:XP3,XR3)</f>
        <v>0.90486922703934114</v>
      </c>
      <c r="YV3" s="10">
        <f>YU3*(37/45)</f>
        <v>0.74400358667679156</v>
      </c>
      <c r="YW3" s="10">
        <f t="shared" ref="YW3:YX6" si="25">AVERAGE(XS3,XU3,XW3,XY3)</f>
        <v>0.56233749999999993</v>
      </c>
      <c r="YX3" s="10">
        <f t="shared" si="25"/>
        <v>0.5959118994025715</v>
      </c>
      <c r="YY3" s="10">
        <f>YX3*(11/13)</f>
        <v>0.50423314564832977</v>
      </c>
      <c r="YZ3" s="10">
        <f t="shared" ref="YZ3:ZA6" si="26">AVERAGE(YA3,YC3,YE3)</f>
        <v>0.71433476306754151</v>
      </c>
      <c r="ZA3" s="10">
        <f t="shared" si="26"/>
        <v>0.78192879973012885</v>
      </c>
      <c r="ZB3" s="10">
        <f>ZA3*(40/48)</f>
        <v>0.65160733310844077</v>
      </c>
      <c r="ZC3" s="10">
        <f>AVERAGE(YG3,YI3,YJ3)</f>
        <v>0.69317280701754369</v>
      </c>
      <c r="ZD3" s="10">
        <f>AVERAGE(YH3,YI3,YK3)</f>
        <v>0.69846792070015784</v>
      </c>
      <c r="ZE3" s="10">
        <f>ZD3*(33/38)</f>
        <v>0.60656424692382127</v>
      </c>
      <c r="ZF3" s="10">
        <f>AVERAGE(YL3,YN3,YP3,YQ3,)</f>
        <v>0.62758095238095246</v>
      </c>
      <c r="ZG3" s="10">
        <f>AVERAGE(YM3,YO3,YP3,YR3)</f>
        <v>0.78700574376235988</v>
      </c>
      <c r="ZH3" s="10">
        <f>ZG3*(14/16)</f>
        <v>0.68863002579206489</v>
      </c>
      <c r="ZI3" s="10">
        <f t="shared" si="19"/>
        <v>0.69724420449320745</v>
      </c>
      <c r="ZJ3" s="10">
        <f t="shared" si="19"/>
        <v>0.7536367181269118</v>
      </c>
      <c r="ZK3" s="10">
        <f t="shared" si="19"/>
        <v>0.63900766762988959</v>
      </c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</row>
    <row r="4" spans="1:710" ht="45" x14ac:dyDescent="0.25">
      <c r="A4" s="1" t="s">
        <v>396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1">
        <v>1</v>
      </c>
      <c r="O4" s="1">
        <v>1</v>
      </c>
      <c r="P4" s="1">
        <v>1</v>
      </c>
      <c r="Q4" s="1">
        <v>1</v>
      </c>
      <c r="R4" s="1">
        <v>997</v>
      </c>
      <c r="S4" s="1">
        <v>997</v>
      </c>
      <c r="T4" s="1">
        <v>997</v>
      </c>
      <c r="U4" s="1">
        <v>997</v>
      </c>
      <c r="V4" s="1">
        <v>997</v>
      </c>
      <c r="W4" s="1">
        <v>997</v>
      </c>
      <c r="X4" s="1">
        <v>997</v>
      </c>
      <c r="Y4" s="1">
        <v>997</v>
      </c>
      <c r="Z4" s="1">
        <v>997</v>
      </c>
      <c r="AA4" s="1">
        <v>997</v>
      </c>
      <c r="AB4" s="1">
        <v>997</v>
      </c>
      <c r="AC4" s="1">
        <v>997</v>
      </c>
      <c r="AD4" s="1">
        <v>997</v>
      </c>
      <c r="AE4" s="1">
        <v>997</v>
      </c>
      <c r="AF4" s="1">
        <v>997</v>
      </c>
      <c r="AG4" s="1">
        <v>997</v>
      </c>
      <c r="AH4" s="6">
        <f>AVERAGE(B4:Q4)</f>
        <v>0.9375</v>
      </c>
      <c r="AI4" s="6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2">
        <f>AVERAGE(AJ4:AP4)</f>
        <v>1</v>
      </c>
      <c r="AR4" s="2">
        <v>1</v>
      </c>
      <c r="AS4" s="1">
        <v>1</v>
      </c>
      <c r="AT4" s="1">
        <v>1</v>
      </c>
      <c r="AU4" s="3">
        <v>1</v>
      </c>
      <c r="AV4" s="3">
        <f>1-((1-AU4)*((1-(1-(3.462308/3.999809)))))</f>
        <v>1</v>
      </c>
      <c r="AW4" s="4">
        <f>AVERAGE(AS4:AU4)</f>
        <v>1</v>
      </c>
      <c r="AX4" s="4">
        <v>1</v>
      </c>
      <c r="AY4" s="1">
        <v>1</v>
      </c>
      <c r="AZ4" s="1">
        <v>1</v>
      </c>
      <c r="BA4" s="13">
        <v>997</v>
      </c>
      <c r="BB4" s="13">
        <v>997</v>
      </c>
      <c r="BC4" s="2">
        <f>AVERAGE(AY4:AZ4)</f>
        <v>1</v>
      </c>
      <c r="BD4" s="2">
        <v>1</v>
      </c>
      <c r="BE4" s="3">
        <v>9.2999999999999999E-2</v>
      </c>
      <c r="BF4" s="3">
        <f>1-((1-BE4)*(((3.462308/3.999809))))</f>
        <v>0.21488417171919949</v>
      </c>
      <c r="BG4" s="3">
        <v>2.5000000000000001E-2</v>
      </c>
      <c r="BH4" s="3">
        <f>1-((1-BG4)*((1-(1-(3.462308/3.999809)))))</f>
        <v>0.15602212505647139</v>
      </c>
      <c r="BI4" s="3">
        <v>2.3199999999999998E-2</v>
      </c>
      <c r="BJ4" s="3">
        <f>1-((1-BI4)*((1-(1-(3.462308/3.999809)))))</f>
        <v>0.15446401205657567</v>
      </c>
      <c r="BK4" s="3">
        <v>999</v>
      </c>
      <c r="BL4" s="3">
        <v>999</v>
      </c>
      <c r="BM4" s="3">
        <v>0.62990000000000002</v>
      </c>
      <c r="BN4" s="3">
        <f>1-((1-BM4)*((1-(1-(3.462308/3.999809)))))</f>
        <v>0.67963465485476937</v>
      </c>
      <c r="BO4" s="3">
        <v>0.2155</v>
      </c>
      <c r="BP4" s="3">
        <f>1-((1-BO4)*((1-(1-(3.462308/3.999809)))))</f>
        <v>0.32092241754543782</v>
      </c>
      <c r="BQ4" s="3">
        <v>9.7000000000000003E-3</v>
      </c>
      <c r="BR4" s="3">
        <f>1-((1-BQ4)*((1-(1-(3.462308/3.999809)))))</f>
        <v>0.14277816455735759</v>
      </c>
      <c r="BS4" s="3">
        <v>0.13</v>
      </c>
      <c r="BT4" s="3">
        <f>1-((1-BS4)*((1-(1-(3.462308/3.999809)))))</f>
        <v>0.24691205005038985</v>
      </c>
      <c r="BU4" s="3">
        <v>0.81340000000000001</v>
      </c>
      <c r="BV4" s="3">
        <f>1-((1-BU4)*((1-(1-(3.462308/3.999809)))))</f>
        <v>0.8384756190108078</v>
      </c>
      <c r="BW4" s="3">
        <v>0.127</v>
      </c>
      <c r="BX4" s="3">
        <f>1-((1-BW4)*((1-(1-(3.462308/3.999809)))))</f>
        <v>0.24431519505056365</v>
      </c>
      <c r="BY4" s="3">
        <v>0.59599999999999997</v>
      </c>
      <c r="BZ4" s="3">
        <f>1-((1-BY4)*((1-(1-(3.462308/3.999809)))))</f>
        <v>0.65029019335673277</v>
      </c>
      <c r="CA4" s="3">
        <v>0.96099999999999997</v>
      </c>
      <c r="CB4" s="3">
        <f>1-((1-CA4)*((1-(1-(3.462308/3.999809)))))</f>
        <v>0.9662408850022588</v>
      </c>
      <c r="CC4" s="4">
        <f>AVERAGE(BE4,BG4,BI4,BM4,BO4,BQ4,BS4,BU4,BW4,BY4,CA4)</f>
        <v>0.32942727272727274</v>
      </c>
      <c r="CD4" s="4">
        <f>AVERAGE(CB4,BT4,BH4,BZ4,BX4,BV4,BR4,BP4,BN4,BJ4,BF4,)</f>
        <v>0.3845782906883804</v>
      </c>
      <c r="CE4" s="4">
        <f>(COUNT(BE4,BG4,BI4,BM4,BO4,BQ4,BS4,BU4,BW4,BY4,CA4))/12</f>
        <v>0.91666666666666663</v>
      </c>
      <c r="CF4" s="5">
        <v>997</v>
      </c>
      <c r="CG4" s="5">
        <v>997</v>
      </c>
      <c r="CH4" s="5">
        <v>997</v>
      </c>
      <c r="CI4" s="5"/>
      <c r="CJ4" s="5">
        <v>997</v>
      </c>
      <c r="CK4" s="5"/>
      <c r="CL4" s="5">
        <v>0.13300000000000001</v>
      </c>
      <c r="CM4" s="5">
        <f>10*0.0135</f>
        <v>0.13500000000000001</v>
      </c>
      <c r="CN4" s="3">
        <f>1-((1-CM4)*((1-(1-(3.462308/3.999809)))))</f>
        <v>0.25124014171676701</v>
      </c>
      <c r="CO4" s="6">
        <f>AVERAGE(CL4:CM4)</f>
        <v>0.13400000000000001</v>
      </c>
      <c r="CP4" s="6">
        <f>AVERAGE(CL4,CN4)</f>
        <v>0.19212007085838351</v>
      </c>
      <c r="CQ4" s="6">
        <v>1</v>
      </c>
      <c r="CR4" s="5">
        <v>997</v>
      </c>
      <c r="CS4" s="5">
        <v>997</v>
      </c>
      <c r="CT4" s="5">
        <v>997</v>
      </c>
      <c r="CU4" s="5"/>
      <c r="CV4" s="5">
        <v>997</v>
      </c>
      <c r="CW4" s="5"/>
      <c r="CX4" s="5">
        <v>997</v>
      </c>
      <c r="CY4" s="5">
        <v>997</v>
      </c>
      <c r="CZ4" s="1">
        <v>0.96699999999999997</v>
      </c>
      <c r="DA4" s="3">
        <v>0.96699999999999997</v>
      </c>
      <c r="DB4" s="3">
        <f>1-((1-DA4)*((1-(1-(3.462308/3.999809)))))</f>
        <v>0.97143459500191132</v>
      </c>
      <c r="DC4" s="3">
        <v>0.8</v>
      </c>
      <c r="DD4" s="3">
        <v>0.8</v>
      </c>
      <c r="DE4" s="3">
        <f>1-((1-DD4)*((1-(1-(3.462308/3.999809)))))</f>
        <v>0.82687633334491728</v>
      </c>
      <c r="DF4" s="4">
        <f>AVERAGE(CZ4,DA4,DD4,DC4)</f>
        <v>0.88349999999999995</v>
      </c>
      <c r="DG4" s="4">
        <f>AVERAGE(CZ4,DB4,DC4,DE4)</f>
        <v>0.89132773208670724</v>
      </c>
      <c r="DH4" s="4">
        <f>(COUNT(CZ4,DA4,DC4,DD4))/4</f>
        <v>1</v>
      </c>
      <c r="DI4" s="3">
        <v>999</v>
      </c>
      <c r="DJ4" s="3">
        <v>999</v>
      </c>
      <c r="DK4" s="3">
        <v>999</v>
      </c>
      <c r="DL4" s="13">
        <v>997</v>
      </c>
      <c r="DM4" s="13">
        <v>997</v>
      </c>
      <c r="DN4" s="13">
        <v>997</v>
      </c>
      <c r="DO4" s="13"/>
      <c r="DP4" s="13">
        <v>997</v>
      </c>
      <c r="DQ4" s="13"/>
      <c r="DR4" s="1">
        <v>0.26300000000000001</v>
      </c>
      <c r="DS4" s="3">
        <f>10*0.0263</f>
        <v>0.26300000000000001</v>
      </c>
      <c r="DT4" s="3">
        <f>1-((1-DS4)*((1-(1-(3.462308/3.999809)))))</f>
        <v>0.36203928837601995</v>
      </c>
      <c r="DU4" s="11">
        <f>1/(AVERAGE(1.68, 0.9))</f>
        <v>0.77519379844961234</v>
      </c>
      <c r="DV4" s="3">
        <f>1-((1-DU4)*((1-(1-(3.462308/3.999809)))))</f>
        <v>0.80540363050397668</v>
      </c>
      <c r="DW4" s="4">
        <f>AVERAGE(DU4)</f>
        <v>0.77519379844961234</v>
      </c>
      <c r="DX4" s="4">
        <f>AVERAGE(DV4)</f>
        <v>0.80540363050397668</v>
      </c>
      <c r="DY4" s="4">
        <f>(COUNT(DI4,DJ4,DU4))/3</f>
        <v>1</v>
      </c>
      <c r="DZ4" s="3">
        <v>997</v>
      </c>
      <c r="EA4" s="3">
        <v>997</v>
      </c>
      <c r="EB4" s="3">
        <v>997</v>
      </c>
      <c r="EC4" s="3"/>
      <c r="ED4" s="3">
        <v>997</v>
      </c>
      <c r="EE4" s="3">
        <v>1</v>
      </c>
      <c r="EF4" s="3">
        <v>1</v>
      </c>
      <c r="EG4" s="3">
        <f>1-((1-EF4)*(((2899.4/9995.6))/5))</f>
        <v>1</v>
      </c>
      <c r="EH4" s="4">
        <f>AVERAGE(EE4:EF4)</f>
        <v>1</v>
      </c>
      <c r="EI4" s="4">
        <f>AVERAGE(EE4,EG4)</f>
        <v>1</v>
      </c>
      <c r="EJ4" s="4">
        <v>1</v>
      </c>
      <c r="EK4" s="3">
        <v>1</v>
      </c>
      <c r="EL4" s="3">
        <v>997</v>
      </c>
      <c r="EM4" s="3">
        <v>0.96099999999999997</v>
      </c>
      <c r="EN4" s="3">
        <v>0.95899999999999996</v>
      </c>
      <c r="EO4" s="3">
        <f>1-((1-EN4)*(((2899.4/9995.6))/5))</f>
        <v>0.99762144543599185</v>
      </c>
      <c r="EP4" s="3">
        <v>1</v>
      </c>
      <c r="EQ4" s="7">
        <v>9.83</v>
      </c>
      <c r="ER4" s="7" t="s">
        <v>397</v>
      </c>
      <c r="ES4" s="3">
        <v>1</v>
      </c>
      <c r="ET4" s="3">
        <f>1-((1-ES4)*((1-(1-(3.462308/3.999809)))))</f>
        <v>1</v>
      </c>
      <c r="EU4" s="4">
        <f>AVERAGE(EK4,ES4,EM4,EN4,EP4,ES4)</f>
        <v>0.98666666666666669</v>
      </c>
      <c r="EV4" s="4">
        <f>AVERAGE(EK4,EM4,EO4,EP4,ET4)</f>
        <v>0.99172428908719823</v>
      </c>
      <c r="EW4" s="4">
        <f>COUNT(EK4,EM4,EP4,ES4,EN4)/5</f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0.66</v>
      </c>
      <c r="FP4" s="1">
        <v>1</v>
      </c>
      <c r="FQ4" s="2">
        <f>AVERAGE(EX4:FP4)</f>
        <v>0.9821052631578947</v>
      </c>
      <c r="FR4" s="2">
        <f>FQ4</f>
        <v>0.9821052631578947</v>
      </c>
      <c r="FS4" s="2">
        <v>1</v>
      </c>
      <c r="FT4" s="1">
        <v>1.07</v>
      </c>
      <c r="FU4" s="1">
        <v>999</v>
      </c>
      <c r="FV4" s="1">
        <v>999</v>
      </c>
      <c r="FW4" s="1">
        <v>999</v>
      </c>
      <c r="FX4" s="1">
        <v>999</v>
      </c>
      <c r="FY4" s="1">
        <v>999</v>
      </c>
      <c r="FZ4" s="1">
        <v>999</v>
      </c>
      <c r="GA4" s="1">
        <v>999</v>
      </c>
      <c r="GB4" s="1">
        <v>999</v>
      </c>
      <c r="GC4" s="1">
        <v>999</v>
      </c>
      <c r="GD4" s="1">
        <v>999</v>
      </c>
      <c r="GO4" s="1">
        <v>0.85299999999999998</v>
      </c>
      <c r="GP4" s="3">
        <f>1-((1-GO4)*((1-(1-(3.462308/3.999809)))))</f>
        <v>0.87275410500851414</v>
      </c>
      <c r="GQ4" s="1">
        <v>999</v>
      </c>
      <c r="GR4" s="1">
        <v>999</v>
      </c>
      <c r="GS4" s="1">
        <v>999</v>
      </c>
      <c r="GT4" s="1">
        <v>999</v>
      </c>
      <c r="GU4" s="1">
        <v>999</v>
      </c>
      <c r="GV4" s="1">
        <v>999</v>
      </c>
      <c r="GW4" s="1"/>
      <c r="GX4" s="1">
        <v>999</v>
      </c>
      <c r="GY4" s="1">
        <v>999</v>
      </c>
      <c r="GZ4" s="1">
        <v>999</v>
      </c>
      <c r="HA4" s="1">
        <v>999</v>
      </c>
      <c r="HB4" s="1">
        <v>999</v>
      </c>
      <c r="HC4" s="1">
        <v>999</v>
      </c>
      <c r="HN4" s="1">
        <v>7.0000000000000001E-3</v>
      </c>
      <c r="HO4" s="3">
        <f>1-((1-HN4)*((1-(1-(3.462308/3.999809)))))</f>
        <v>0.14044099505751395</v>
      </c>
      <c r="HP4" s="1">
        <v>999</v>
      </c>
      <c r="HQ4" s="1"/>
      <c r="HR4" s="1">
        <v>999</v>
      </c>
      <c r="HS4" s="1"/>
      <c r="HT4" s="1">
        <v>999</v>
      </c>
      <c r="HU4" s="1"/>
      <c r="HV4" s="1">
        <v>999</v>
      </c>
      <c r="HW4" s="1"/>
      <c r="HX4" s="1">
        <v>999</v>
      </c>
      <c r="HY4" s="1"/>
      <c r="HZ4" s="1">
        <v>999</v>
      </c>
      <c r="IA4" s="1"/>
      <c r="IB4" s="1">
        <v>999</v>
      </c>
      <c r="IC4" s="1"/>
      <c r="ID4" s="1">
        <v>999</v>
      </c>
      <c r="IE4" s="1"/>
      <c r="IF4" s="1">
        <v>999</v>
      </c>
      <c r="IG4" s="1"/>
      <c r="IH4" s="1">
        <v>999</v>
      </c>
      <c r="IS4" s="1">
        <v>0.34</v>
      </c>
      <c r="IT4" s="3">
        <f>1-((1-IS4)*((1-(1-(3.462308/3.999809)))))</f>
        <v>0.42869190003822688</v>
      </c>
      <c r="IU4" s="1">
        <v>999</v>
      </c>
      <c r="IV4" s="1">
        <v>999</v>
      </c>
      <c r="IW4" s="1">
        <v>999</v>
      </c>
      <c r="IX4" s="1">
        <v>999</v>
      </c>
      <c r="IY4" s="1">
        <v>999</v>
      </c>
      <c r="IZ4" s="1"/>
      <c r="JA4" s="1">
        <v>999</v>
      </c>
      <c r="JB4" s="1"/>
      <c r="JC4" s="1">
        <v>999</v>
      </c>
      <c r="JD4" s="1"/>
      <c r="JE4" s="1">
        <v>999</v>
      </c>
      <c r="JF4" s="1"/>
      <c r="JG4" s="1">
        <v>999</v>
      </c>
      <c r="JH4" s="1"/>
      <c r="JI4" s="1">
        <v>999</v>
      </c>
      <c r="JJ4" s="1"/>
      <c r="JK4" s="1">
        <v>999</v>
      </c>
      <c r="JL4" s="1"/>
      <c r="JM4" s="1">
        <v>999</v>
      </c>
      <c r="JX4" s="1">
        <v>0.94499999999999995</v>
      </c>
      <c r="JY4" s="1">
        <v>999</v>
      </c>
      <c r="JZ4" s="1">
        <v>999</v>
      </c>
      <c r="KA4" s="1">
        <v>999</v>
      </c>
      <c r="KB4" s="1">
        <v>999</v>
      </c>
      <c r="KC4" s="1">
        <v>999</v>
      </c>
      <c r="KD4" s="1">
        <v>999</v>
      </c>
      <c r="KE4" s="1">
        <v>999</v>
      </c>
      <c r="KF4" s="1">
        <v>999</v>
      </c>
      <c r="KG4" s="1">
        <v>999</v>
      </c>
      <c r="KH4" s="1">
        <v>999</v>
      </c>
      <c r="KS4" s="1">
        <v>0.86199999999999999</v>
      </c>
      <c r="KT4" s="3">
        <f>1-((1-KS4)*((1-(1-(3.462308/3.999809)))))</f>
        <v>0.88054467000799286</v>
      </c>
      <c r="KU4" s="1">
        <v>999</v>
      </c>
      <c r="KV4" s="1">
        <v>999</v>
      </c>
      <c r="KW4" s="1">
        <v>999</v>
      </c>
      <c r="KX4" s="1">
        <v>999</v>
      </c>
      <c r="KY4" s="1">
        <v>999</v>
      </c>
      <c r="KZ4" s="1">
        <v>999</v>
      </c>
      <c r="LA4" s="1">
        <v>999</v>
      </c>
      <c r="LB4" s="1">
        <v>999</v>
      </c>
      <c r="LC4" s="1">
        <v>999</v>
      </c>
      <c r="LD4" s="1">
        <v>999</v>
      </c>
      <c r="LE4" s="1">
        <v>999</v>
      </c>
      <c r="LF4" s="1">
        <v>999</v>
      </c>
      <c r="LQ4" s="1">
        <v>0.79</v>
      </c>
      <c r="LR4" s="1">
        <v>999</v>
      </c>
      <c r="LS4" s="1">
        <v>999</v>
      </c>
      <c r="LT4" s="1">
        <v>999</v>
      </c>
      <c r="LU4" s="1">
        <v>999</v>
      </c>
      <c r="LV4" s="1">
        <v>999</v>
      </c>
      <c r="LW4" s="1">
        <v>999</v>
      </c>
      <c r="LX4" s="1">
        <v>999</v>
      </c>
      <c r="LY4" s="1">
        <v>999</v>
      </c>
      <c r="LZ4" s="1">
        <v>999</v>
      </c>
      <c r="MA4" s="1">
        <v>999</v>
      </c>
      <c r="ML4" s="1">
        <v>0.75</v>
      </c>
      <c r="MM4" s="3">
        <f>1-((1-ML4)*((1-(1-(3.462308/3.999809)))))</f>
        <v>0.78359541668114652</v>
      </c>
      <c r="MN4" s="1">
        <v>999</v>
      </c>
      <c r="MO4" s="1">
        <v>999</v>
      </c>
      <c r="MP4" s="1">
        <v>999</v>
      </c>
      <c r="MQ4" s="1">
        <v>999</v>
      </c>
      <c r="MR4" s="1">
        <v>999</v>
      </c>
      <c r="MS4" s="1"/>
      <c r="MT4" s="1">
        <v>999</v>
      </c>
      <c r="MU4" s="1"/>
      <c r="MV4" s="1">
        <v>999</v>
      </c>
      <c r="MW4" s="1"/>
      <c r="MX4" s="1">
        <v>999</v>
      </c>
      <c r="MY4" s="1"/>
      <c r="MZ4" s="1">
        <v>999</v>
      </c>
      <c r="NA4" s="1"/>
      <c r="NB4" s="1">
        <v>999</v>
      </c>
      <c r="NC4" s="1"/>
      <c r="ND4" s="1">
        <v>999</v>
      </c>
      <c r="NE4" s="1"/>
      <c r="NF4" s="1">
        <v>999</v>
      </c>
      <c r="NG4" s="1"/>
      <c r="NR4" s="1">
        <v>0.91</v>
      </c>
      <c r="NS4" s="3">
        <f>1-((1-NR4)*((1-(1-(3.462308/3.999809)))))</f>
        <v>0.92209435000521278</v>
      </c>
      <c r="NT4" s="1">
        <v>999</v>
      </c>
      <c r="NU4" s="1"/>
      <c r="NV4" s="1">
        <v>999</v>
      </c>
      <c r="NW4" s="1"/>
      <c r="NX4" s="1">
        <v>999</v>
      </c>
      <c r="NY4" s="1"/>
      <c r="NZ4" s="1">
        <v>999</v>
      </c>
      <c r="OA4" s="1"/>
      <c r="OB4" s="1">
        <v>999</v>
      </c>
      <c r="OC4" s="1">
        <v>999</v>
      </c>
      <c r="OD4" s="1">
        <v>999</v>
      </c>
      <c r="OE4" s="1">
        <v>999</v>
      </c>
      <c r="OF4" s="1">
        <v>999</v>
      </c>
      <c r="OG4" s="1">
        <v>999</v>
      </c>
      <c r="OH4" s="1"/>
      <c r="OS4" s="1">
        <v>0.5675</v>
      </c>
      <c r="OT4" s="3">
        <f>1-((1-OS4)*((1-(1-(3.462308/3.999809)))))</f>
        <v>0.62562007085838345</v>
      </c>
      <c r="OU4" s="1">
        <v>999</v>
      </c>
      <c r="OV4" s="1">
        <v>999</v>
      </c>
      <c r="OW4" s="1">
        <v>999</v>
      </c>
      <c r="OX4" s="1">
        <v>999</v>
      </c>
      <c r="OY4" s="1">
        <v>999</v>
      </c>
      <c r="OZ4" s="1"/>
      <c r="PA4" s="1">
        <v>999</v>
      </c>
      <c r="PB4" s="1"/>
      <c r="PC4" s="1">
        <v>999</v>
      </c>
      <c r="PD4" s="1"/>
      <c r="PE4" s="1">
        <v>999</v>
      </c>
      <c r="PF4" s="1">
        <v>999</v>
      </c>
      <c r="PG4" s="1"/>
      <c r="PH4" s="1">
        <v>999</v>
      </c>
      <c r="PI4" s="1">
        <v>999</v>
      </c>
      <c r="PJ4" s="1"/>
      <c r="PK4" s="1">
        <v>999</v>
      </c>
      <c r="PV4" s="2">
        <f>AVERAGE(OS4,NR4,ML4,LQ4,KS4,JX4,IS4,HN4,GO4,FT4,)</f>
        <v>0.64495454545454545</v>
      </c>
      <c r="PW4" s="2">
        <f>AVERAGE(OT4,NS4,MM4,LQ4,KT4,JX4,IT4,HO4,GP4,FT4)</f>
        <v>0.74587415076569907</v>
      </c>
      <c r="PX4" s="4">
        <f>(COUNT(OS4,NR4,ML4,LQ4,KS4,JX4,IS4,HN4,GO4,FT4))/110</f>
        <v>9.0909090909090912E-2</v>
      </c>
      <c r="PY4" s="1">
        <v>1</v>
      </c>
      <c r="PZ4" s="1">
        <v>1</v>
      </c>
      <c r="QA4" s="1">
        <v>1</v>
      </c>
      <c r="QB4" s="1">
        <v>1</v>
      </c>
      <c r="QC4" s="1">
        <v>1</v>
      </c>
      <c r="QD4" s="1">
        <v>1</v>
      </c>
      <c r="QE4" s="1">
        <v>1</v>
      </c>
      <c r="QF4" s="1">
        <v>1</v>
      </c>
      <c r="QG4" s="1">
        <v>1</v>
      </c>
      <c r="QH4" s="1">
        <v>1</v>
      </c>
      <c r="QI4" s="1">
        <v>1</v>
      </c>
      <c r="QJ4" s="1">
        <v>1</v>
      </c>
      <c r="QK4" s="1">
        <v>1</v>
      </c>
      <c r="QL4" s="1">
        <v>1</v>
      </c>
      <c r="QM4" s="1">
        <v>1</v>
      </c>
      <c r="QN4" s="1">
        <v>1</v>
      </c>
      <c r="QO4" s="1">
        <v>1</v>
      </c>
      <c r="QP4" s="1">
        <v>1</v>
      </c>
      <c r="QQ4" s="1">
        <v>1</v>
      </c>
      <c r="QR4" s="3">
        <v>0</v>
      </c>
      <c r="QS4" s="3">
        <f>1-((1-QR4)*((1-(1-(3.462308/3.999809)))))</f>
        <v>0.13438166672458607</v>
      </c>
      <c r="QT4" s="8">
        <f>AVERAGE(PY4:QR4)</f>
        <v>0.95</v>
      </c>
      <c r="QU4" s="8">
        <f>AVERAGE(PY4:QQ4,QS4)</f>
        <v>0.95671908333622935</v>
      </c>
      <c r="QV4" s="8">
        <f>(COUNT(PY4:QR4))/20</f>
        <v>1</v>
      </c>
      <c r="QW4" s="1">
        <v>1</v>
      </c>
      <c r="QX4" s="1"/>
      <c r="QY4" s="1">
        <v>1</v>
      </c>
      <c r="QZ4" s="1">
        <v>0.33</v>
      </c>
      <c r="RA4" s="9">
        <f>AVERAGE(QW4:QZ4)</f>
        <v>0.77666666666666673</v>
      </c>
      <c r="RB4" s="9">
        <v>1</v>
      </c>
      <c r="RC4" s="1">
        <v>997</v>
      </c>
      <c r="RD4" s="1">
        <v>997</v>
      </c>
      <c r="RE4" s="1">
        <v>997</v>
      </c>
      <c r="RF4" s="1">
        <v>997</v>
      </c>
      <c r="RG4" s="1">
        <v>997</v>
      </c>
      <c r="RH4" s="1">
        <v>997</v>
      </c>
      <c r="RI4" s="1">
        <v>997</v>
      </c>
      <c r="RJ4" s="1">
        <v>997</v>
      </c>
      <c r="RK4" s="1">
        <v>0.7</v>
      </c>
      <c r="RL4" s="1">
        <v>0.67200000000000004</v>
      </c>
      <c r="RM4" s="1">
        <v>0.70599999999999996</v>
      </c>
      <c r="RN4" s="1">
        <v>999</v>
      </c>
      <c r="RO4" s="1">
        <v>999</v>
      </c>
      <c r="RP4" s="1">
        <v>999</v>
      </c>
      <c r="RQ4" s="1">
        <v>999</v>
      </c>
      <c r="RR4" s="1">
        <v>999</v>
      </c>
      <c r="RS4" s="1">
        <v>999</v>
      </c>
      <c r="RT4" s="1">
        <v>999</v>
      </c>
      <c r="RU4" s="1">
        <v>999</v>
      </c>
      <c r="RV4" s="1">
        <v>0.67120000000000002</v>
      </c>
      <c r="RW4" s="1">
        <v>999</v>
      </c>
      <c r="RX4" s="1">
        <v>999</v>
      </c>
      <c r="RY4" s="1">
        <v>999</v>
      </c>
      <c r="RZ4" s="1">
        <v>999</v>
      </c>
      <c r="SA4" s="1">
        <v>999</v>
      </c>
      <c r="SB4" s="1">
        <v>999</v>
      </c>
      <c r="SC4" s="1">
        <v>999</v>
      </c>
      <c r="SD4" s="1">
        <v>999</v>
      </c>
      <c r="SE4" s="1">
        <v>999</v>
      </c>
      <c r="SF4" s="1">
        <v>999</v>
      </c>
      <c r="SG4" s="1">
        <v>0.69030000000000002</v>
      </c>
      <c r="SH4" s="1">
        <v>999</v>
      </c>
      <c r="SI4" s="1">
        <v>999</v>
      </c>
      <c r="SJ4" s="1">
        <v>999</v>
      </c>
      <c r="SK4" s="1">
        <v>999</v>
      </c>
      <c r="SL4" s="1">
        <v>999</v>
      </c>
      <c r="SM4" s="1">
        <v>999</v>
      </c>
      <c r="SN4" s="1">
        <v>999</v>
      </c>
      <c r="SO4" s="1">
        <v>999</v>
      </c>
      <c r="SP4" s="1">
        <v>999</v>
      </c>
      <c r="SQ4" s="1">
        <v>999</v>
      </c>
      <c r="SR4" s="1">
        <v>0.54</v>
      </c>
      <c r="SS4" s="3">
        <f>1-((1-SR4)*((1-(1-(3.462308/3.999809)))))</f>
        <v>0.6018155666933096</v>
      </c>
      <c r="ST4" s="1">
        <v>0.49</v>
      </c>
      <c r="SU4" s="3">
        <f>1-((1-ST4)*((1-(1-(3.462308/3.999809)))))</f>
        <v>0.55853465002953895</v>
      </c>
      <c r="SV4" s="1">
        <v>0.53500000000000003</v>
      </c>
      <c r="SW4" s="3">
        <f>1-((1-SV4)*((1-(1-(3.462308/3.999809)))))</f>
        <v>0.59748747502693256</v>
      </c>
      <c r="SX4" s="1">
        <v>999</v>
      </c>
      <c r="SY4" s="1">
        <v>999</v>
      </c>
      <c r="SZ4" s="1">
        <v>999</v>
      </c>
      <c r="TA4" s="1">
        <v>999</v>
      </c>
      <c r="TB4" s="1">
        <v>999</v>
      </c>
      <c r="TC4" s="1">
        <v>999</v>
      </c>
      <c r="TD4" s="1">
        <v>999</v>
      </c>
      <c r="TE4" s="1">
        <v>999</v>
      </c>
      <c r="TF4" s="1">
        <v>0.53990000000000005</v>
      </c>
      <c r="TG4" s="3">
        <f>1-((1-TF4)*((1-(1-(3.462308/3.999809)))))</f>
        <v>0.60172900485998215</v>
      </c>
      <c r="TH4" s="1">
        <v>999</v>
      </c>
      <c r="TI4" s="1"/>
      <c r="TJ4" s="1">
        <v>999</v>
      </c>
      <c r="TK4" s="1"/>
      <c r="TL4" s="1">
        <v>999</v>
      </c>
      <c r="TM4" s="1"/>
      <c r="TN4" s="1">
        <v>999</v>
      </c>
      <c r="TO4" s="1"/>
      <c r="TP4" s="1">
        <v>999</v>
      </c>
      <c r="TQ4" s="1"/>
      <c r="TR4" s="1">
        <v>999</v>
      </c>
      <c r="TS4" s="1"/>
      <c r="TT4" s="1">
        <v>999</v>
      </c>
      <c r="TU4" s="1"/>
      <c r="TV4" s="1">
        <v>999</v>
      </c>
      <c r="TW4" s="1"/>
      <c r="TX4" s="1">
        <v>999</v>
      </c>
      <c r="TY4" s="1"/>
      <c r="TZ4" s="1">
        <v>999</v>
      </c>
      <c r="UA4" s="1"/>
      <c r="UB4" s="1">
        <v>0.46829999999999999</v>
      </c>
      <c r="UC4" s="3">
        <f>1-((1-UB4)*((1-(1-(3.462308/3.999809)))))</f>
        <v>0.53975073219746239</v>
      </c>
      <c r="UD4" s="1">
        <v>999</v>
      </c>
      <c r="UE4" s="1"/>
      <c r="UF4" s="1">
        <v>999</v>
      </c>
      <c r="UG4" s="1"/>
      <c r="UH4" s="1">
        <v>999</v>
      </c>
      <c r="UI4" s="1"/>
      <c r="UJ4" s="1">
        <v>999</v>
      </c>
      <c r="UK4" s="1"/>
      <c r="UL4" s="1">
        <v>999</v>
      </c>
      <c r="UM4" s="1"/>
      <c r="UN4" s="1">
        <v>999</v>
      </c>
      <c r="UO4" s="1"/>
      <c r="UP4" s="1">
        <v>999</v>
      </c>
      <c r="UQ4" s="1"/>
      <c r="UR4" s="1">
        <v>999</v>
      </c>
      <c r="US4" s="1"/>
      <c r="UT4" s="1">
        <v>999</v>
      </c>
      <c r="UU4" s="1"/>
      <c r="UV4" s="1">
        <v>999</v>
      </c>
      <c r="UW4" s="1"/>
      <c r="UX4" s="1">
        <v>0.97750000000000004</v>
      </c>
      <c r="UY4" s="1">
        <v>0.97019999999999995</v>
      </c>
      <c r="UZ4" s="1">
        <v>0.9849</v>
      </c>
      <c r="VA4" s="1">
        <v>999</v>
      </c>
      <c r="VB4" s="1">
        <v>999</v>
      </c>
      <c r="VC4" s="1">
        <v>999</v>
      </c>
      <c r="VD4" s="1">
        <v>999</v>
      </c>
      <c r="VE4" s="1">
        <v>999</v>
      </c>
      <c r="VF4" s="1">
        <v>999</v>
      </c>
      <c r="VG4" s="1">
        <v>999</v>
      </c>
      <c r="VH4" s="1">
        <v>999</v>
      </c>
      <c r="VI4" s="1">
        <v>0.95420000000000005</v>
      </c>
      <c r="VJ4" s="1">
        <v>0.95009999999999994</v>
      </c>
      <c r="VK4" s="1">
        <v>0.95830000000000004</v>
      </c>
      <c r="VL4" s="1">
        <v>999</v>
      </c>
      <c r="VM4" s="1">
        <v>999</v>
      </c>
      <c r="VN4" s="1">
        <v>999</v>
      </c>
      <c r="VO4" s="1">
        <v>999</v>
      </c>
      <c r="VP4" s="1">
        <v>999</v>
      </c>
      <c r="VQ4" s="1">
        <v>999</v>
      </c>
      <c r="VR4" s="1">
        <v>999</v>
      </c>
      <c r="VS4" s="1">
        <v>999</v>
      </c>
      <c r="VT4" s="2">
        <f>AVERAGE(VI4:VK4,UX4:UZ4,UB4,TF4,SV4,ST4,SR4,SG4,RK4:RM4,)</f>
        <v>0.69604375000000007</v>
      </c>
      <c r="VU4" s="2">
        <f>AVERAGE(VI4:VK4,UX4:UZ4,UC4,TG4,SW4,SU4,SS4,SG4,RV4,RK4:RM4,)</f>
        <v>0.71376573110630748</v>
      </c>
      <c r="VV4" s="4">
        <f>(COUNT(VI4:VK4,UX4:UZ4,UB4,TF4,SV4,ST4,SR4,SG4,RK4:RM4))/88</f>
        <v>0.17045454545454544</v>
      </c>
      <c r="VW4" s="1">
        <v>1</v>
      </c>
      <c r="VX4" s="3">
        <v>0.66</v>
      </c>
      <c r="VY4" s="3">
        <v>3.5999999999999999E-3</v>
      </c>
      <c r="VZ4" s="3">
        <f>1-((1-VY4)*((1-(1-(3.462308/3.999809)))))</f>
        <v>0.13749789272437762</v>
      </c>
      <c r="WA4" s="3">
        <v>999</v>
      </c>
      <c r="WB4" s="3">
        <v>999</v>
      </c>
      <c r="WC4" s="8">
        <f>AVERAGE(VW4:VY4)</f>
        <v>0.55453333333333343</v>
      </c>
      <c r="WD4" s="8">
        <f>AVERAGE(VW4:VX4,VZ4)</f>
        <v>0.59916596424145929</v>
      </c>
      <c r="WE4" s="8">
        <f>(COUNT(VW4:VY4))/5</f>
        <v>0.6</v>
      </c>
      <c r="WF4" s="1">
        <v>999</v>
      </c>
      <c r="WG4" s="1">
        <v>1</v>
      </c>
      <c r="WH4" s="1">
        <v>0.96</v>
      </c>
      <c r="WI4" s="1">
        <v>999</v>
      </c>
      <c r="WJ4" s="1">
        <v>999</v>
      </c>
      <c r="WK4" s="9">
        <f>AVERAGE(WG4:WH4)</f>
        <v>0.98</v>
      </c>
      <c r="WL4" s="9">
        <f>AVERAGE(WG4:WH4)</f>
        <v>0.98</v>
      </c>
      <c r="WM4" s="9">
        <f>(COUNT(WG4,WH4))/4</f>
        <v>0.5</v>
      </c>
      <c r="WN4" s="1">
        <v>0</v>
      </c>
      <c r="WO4" s="1">
        <v>999</v>
      </c>
      <c r="WP4" s="1">
        <v>0.33</v>
      </c>
      <c r="WQ4" s="1">
        <v>999</v>
      </c>
      <c r="WR4" s="9">
        <f>AVERAGE(WN4,WP4)</f>
        <v>0.16500000000000001</v>
      </c>
      <c r="WS4" s="9">
        <f>(COUNT(WP4,WN4)/3)</f>
        <v>0.66666666666666663</v>
      </c>
      <c r="WT4" s="3">
        <v>1</v>
      </c>
      <c r="WU4" s="3">
        <f>1-((1-WT4)*((1-(1-(3.462308/3.999809)))))</f>
        <v>1</v>
      </c>
      <c r="WV4" s="3">
        <v>0.85</v>
      </c>
      <c r="WW4" s="3">
        <f>1-((1-WV4)*((1-(1-(3.462308/3.999809)))))</f>
        <v>0.87015725000868793</v>
      </c>
      <c r="WX4" s="3">
        <v>1</v>
      </c>
      <c r="WY4" s="3">
        <f>1-((1-WX4)*((1-(1-(3.462308/3.999809)))))</f>
        <v>1</v>
      </c>
      <c r="WZ4" s="3">
        <v>1</v>
      </c>
      <c r="XA4" s="3">
        <f>1-((1-WZ4)*((1-(1-(3.462308/3.999809)))))</f>
        <v>1</v>
      </c>
      <c r="XB4" s="3">
        <v>0.96599999999999997</v>
      </c>
      <c r="XC4" s="3">
        <v>1</v>
      </c>
      <c r="XD4" s="3">
        <f>1-((1-XC4)*((1-(1-(3.462308/3.999809)))))</f>
        <v>1</v>
      </c>
      <c r="XE4" s="3">
        <v>0.66</v>
      </c>
      <c r="XF4" s="3">
        <f>1-((1-XE4)*((1-(1-(3.462308/3.999809)))))</f>
        <v>0.7056897666863593</v>
      </c>
      <c r="XG4" s="9">
        <f>AVERAGE(WT4,WV4,WX4,WZ4,XB4,XC4,XE4)</f>
        <v>0.92514285714285716</v>
      </c>
      <c r="XH4" s="9">
        <f>AVERAGE(WU4,WW4,WY4,XB4,XA4,XD4,XF4)</f>
        <v>0.93454957381357817</v>
      </c>
      <c r="XI4" s="9">
        <v>1</v>
      </c>
      <c r="XJ4" s="1"/>
      <c r="XK4" s="1"/>
      <c r="XL4" s="10"/>
      <c r="XM4" s="1">
        <f t="shared" si="0"/>
        <v>0.9375</v>
      </c>
      <c r="XN4" s="1">
        <f t="shared" si="1"/>
        <v>1</v>
      </c>
      <c r="XO4" s="1">
        <f t="shared" si="2"/>
        <v>1</v>
      </c>
      <c r="XP4" s="1">
        <f t="shared" si="3"/>
        <v>1</v>
      </c>
      <c r="XQ4" s="1">
        <f t="shared" si="4"/>
        <v>0.32942727272727274</v>
      </c>
      <c r="XR4" s="1">
        <f t="shared" si="4"/>
        <v>0.3845782906883804</v>
      </c>
      <c r="XS4" s="1">
        <f t="shared" si="5"/>
        <v>0.13400000000000001</v>
      </c>
      <c r="XT4" s="1">
        <f t="shared" si="5"/>
        <v>0.19212007085838351</v>
      </c>
      <c r="XU4" s="1">
        <f t="shared" si="6"/>
        <v>0.88349999999999995</v>
      </c>
      <c r="XV4" s="1">
        <f t="shared" si="6"/>
        <v>0.89132773208670724</v>
      </c>
      <c r="XW4" s="1">
        <f t="shared" si="7"/>
        <v>0.77519379844961234</v>
      </c>
      <c r="XX4" s="1">
        <f t="shared" si="7"/>
        <v>0.80540363050397668</v>
      </c>
      <c r="XY4" s="1">
        <f t="shared" si="8"/>
        <v>1</v>
      </c>
      <c r="XZ4" s="1">
        <f t="shared" si="8"/>
        <v>1</v>
      </c>
      <c r="YA4" s="1">
        <f t="shared" si="9"/>
        <v>0.98666666666666669</v>
      </c>
      <c r="YB4" s="1">
        <f t="shared" si="9"/>
        <v>0.99172428908719823</v>
      </c>
      <c r="YC4" s="1">
        <f t="shared" si="10"/>
        <v>0.9821052631578947</v>
      </c>
      <c r="YD4" s="1">
        <f t="shared" si="10"/>
        <v>0.9821052631578947</v>
      </c>
      <c r="YE4" s="1">
        <f t="shared" si="11"/>
        <v>0.64495454545454545</v>
      </c>
      <c r="YF4" s="1">
        <f t="shared" si="11"/>
        <v>0.74587415076569907</v>
      </c>
      <c r="YG4" s="1">
        <f t="shared" si="12"/>
        <v>0.95</v>
      </c>
      <c r="YH4" s="11">
        <f t="shared" si="12"/>
        <v>0.95671908333622935</v>
      </c>
      <c r="YI4" s="11">
        <f t="shared" si="13"/>
        <v>0.77666666666666673</v>
      </c>
      <c r="YJ4" s="1">
        <f t="shared" si="14"/>
        <v>0.69604375000000007</v>
      </c>
      <c r="YK4" s="1">
        <f t="shared" si="14"/>
        <v>0.71376573110630748</v>
      </c>
      <c r="YL4" s="1">
        <f t="shared" si="15"/>
        <v>0.55453333333333343</v>
      </c>
      <c r="YM4" s="1">
        <f t="shared" si="15"/>
        <v>0.59916596424145929</v>
      </c>
      <c r="YN4" s="1">
        <f t="shared" si="16"/>
        <v>0.98</v>
      </c>
      <c r="YO4" s="1">
        <f t="shared" si="16"/>
        <v>0.98</v>
      </c>
      <c r="YP4" s="1">
        <f t="shared" si="17"/>
        <v>0.16500000000000001</v>
      </c>
      <c r="YQ4" s="1">
        <f t="shared" si="18"/>
        <v>0.92514285714285716</v>
      </c>
      <c r="YR4" s="1">
        <f t="shared" si="18"/>
        <v>0.93454957381357817</v>
      </c>
      <c r="YT4" s="10">
        <f>AVERAGE(XM4:XQ4)</f>
        <v>0.85338545454545456</v>
      </c>
      <c r="YU4" s="10">
        <f>AVERAGE(XM4:XP4,XR4)</f>
        <v>0.86441565813767607</v>
      </c>
      <c r="YV4" s="10">
        <f>YU4*(39/40)</f>
        <v>0.84280526668423417</v>
      </c>
      <c r="YW4" s="10">
        <f t="shared" si="25"/>
        <v>0.69817344961240313</v>
      </c>
      <c r="YX4" s="10">
        <f t="shared" si="25"/>
        <v>0.7222128583622669</v>
      </c>
      <c r="YY4" s="10">
        <f>YX4*(11/13)</f>
        <v>0.61110318784499507</v>
      </c>
      <c r="YZ4" s="10">
        <f t="shared" si="26"/>
        <v>0.87124215842636898</v>
      </c>
      <c r="ZA4" s="10">
        <f t="shared" si="26"/>
        <v>0.90656790100359741</v>
      </c>
      <c r="ZB4" s="10">
        <f>ZA4*(34/48)</f>
        <v>0.64215226321088148</v>
      </c>
      <c r="ZC4" s="10">
        <f>AVERAGE(YG4,YI4,YJ4)</f>
        <v>0.80757013888888896</v>
      </c>
      <c r="ZD4" s="10">
        <f>AVERAGE(YH4,YI4,YK4)</f>
        <v>0.81571716036973452</v>
      </c>
      <c r="ZE4" s="10">
        <f>ZD4*(38/38)</f>
        <v>0.81571716036973452</v>
      </c>
      <c r="ZF4" s="10">
        <f>AVERAGE(YL4,YN4,YP4,YQ4,)</f>
        <v>0.52493523809523812</v>
      </c>
      <c r="ZG4" s="10">
        <f>AVERAGE(YM4,YO4,YP4,YR4)</f>
        <v>0.66967888451375934</v>
      </c>
      <c r="ZH4" s="10">
        <f>ZG4*(14/16)</f>
        <v>0.58596902394953942</v>
      </c>
      <c r="ZI4" s="10">
        <f t="shared" si="19"/>
        <v>0.75106128791367066</v>
      </c>
      <c r="ZJ4" s="10">
        <f t="shared" si="19"/>
        <v>0.79571849247740689</v>
      </c>
      <c r="ZK4" s="10">
        <f t="shared" si="19"/>
        <v>0.69954938041187698</v>
      </c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</row>
    <row r="5" spans="1:710" ht="30" x14ac:dyDescent="0.25">
      <c r="A5" s="1" t="s">
        <v>398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0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997</v>
      </c>
      <c r="X5" s="1">
        <v>997</v>
      </c>
      <c r="Y5" s="1">
        <v>997</v>
      </c>
      <c r="Z5" s="1">
        <v>997</v>
      </c>
      <c r="AA5" s="1">
        <v>997</v>
      </c>
      <c r="AB5" s="1">
        <v>997</v>
      </c>
      <c r="AC5" s="1">
        <v>997</v>
      </c>
      <c r="AD5" s="1">
        <v>997</v>
      </c>
      <c r="AE5" s="1">
        <v>997</v>
      </c>
      <c r="AF5" s="1">
        <v>997</v>
      </c>
      <c r="AG5" s="1">
        <v>997</v>
      </c>
      <c r="AH5" s="6">
        <f>AVERAGE(B5:V5)</f>
        <v>0.8571428571428571</v>
      </c>
      <c r="AI5" s="6">
        <v>1</v>
      </c>
      <c r="AJ5" s="1">
        <v>0.5</v>
      </c>
      <c r="AK5" s="1">
        <v>0.5</v>
      </c>
      <c r="AL5" s="1">
        <v>0.5</v>
      </c>
      <c r="AM5" s="1">
        <v>0.5</v>
      </c>
      <c r="AN5" s="1">
        <v>1</v>
      </c>
      <c r="AO5" s="1">
        <v>1</v>
      </c>
      <c r="AP5" s="1">
        <v>1</v>
      </c>
      <c r="AQ5" s="2">
        <f>AVERAGE(AJ5:AP5)</f>
        <v>0.7142857142857143</v>
      </c>
      <c r="AR5" s="2">
        <v>1</v>
      </c>
      <c r="AS5" s="1">
        <v>1</v>
      </c>
      <c r="AT5" s="1">
        <v>1</v>
      </c>
      <c r="AU5" s="3">
        <v>1</v>
      </c>
      <c r="AV5" s="3">
        <f>1-((1-AU5)*((1-(1-(2.936966/3.999809)))))</f>
        <v>1</v>
      </c>
      <c r="AW5" s="4">
        <f>AVERAGE(AS5:AU5)</f>
        <v>1</v>
      </c>
      <c r="AX5" s="4">
        <v>1</v>
      </c>
      <c r="AY5" s="1">
        <v>1</v>
      </c>
      <c r="AZ5" s="1">
        <v>1</v>
      </c>
      <c r="BA5" s="13">
        <v>997</v>
      </c>
      <c r="BB5" s="13">
        <v>997</v>
      </c>
      <c r="BC5" s="2">
        <f>AVERAGE(AY5:AZ5)</f>
        <v>1</v>
      </c>
      <c r="BD5" s="2">
        <v>1</v>
      </c>
      <c r="BE5" s="3">
        <v>8.3000000000000004E-2</v>
      </c>
      <c r="BF5" s="3">
        <f>1-((1-BE5)*(((2.936966/3.999809))))</f>
        <v>0.32666839291576166</v>
      </c>
      <c r="BG5" s="3">
        <v>3.5400000000000001E-2</v>
      </c>
      <c r="BH5" s="3">
        <f>1-((1-BG5)*((1-(1-(2.936966/3.999809)))))</f>
        <v>0.29171682857856462</v>
      </c>
      <c r="BI5" s="3">
        <v>5.91E-2</v>
      </c>
      <c r="BJ5" s="3">
        <f>1-((1-BI5)*((1-(1-(2.936966/3.999809)))))</f>
        <v>0.30911918309099262</v>
      </c>
      <c r="BK5" s="3">
        <v>999</v>
      </c>
      <c r="BL5" s="3">
        <v>999</v>
      </c>
      <c r="BM5" s="3">
        <v>0.55500000000000005</v>
      </c>
      <c r="BN5" s="3">
        <f>1-((1-BM5)*((1-(1-(2.936966/3.999809)))))</f>
        <v>0.67324693004090941</v>
      </c>
      <c r="BO5" s="3">
        <v>0.155</v>
      </c>
      <c r="BP5" s="3">
        <f>1-((1-BO5)*((1-(1-(2.936966/3.999809)))))</f>
        <v>0.37953630535858085</v>
      </c>
      <c r="BQ5" s="3">
        <v>1.7000000000000001E-2</v>
      </c>
      <c r="BR5" s="3">
        <f>1-((1-BQ5)*((1-(1-(2.936966/3.999809)))))</f>
        <v>0.27820613984317755</v>
      </c>
      <c r="BS5" s="3">
        <v>0.27300000000000002</v>
      </c>
      <c r="BT5" s="3">
        <f>1-((1-BS5)*((1-(1-(2.936966/3.999809)))))</f>
        <v>0.46618093963986784</v>
      </c>
      <c r="BU5" s="3">
        <v>999</v>
      </c>
      <c r="BV5" s="3">
        <v>999</v>
      </c>
      <c r="BW5" s="3">
        <v>999</v>
      </c>
      <c r="BX5" s="3">
        <v>999</v>
      </c>
      <c r="BY5" s="3">
        <v>0.16</v>
      </c>
      <c r="BZ5" s="3">
        <f>1-((1-BY5)*((1-(1-(2.936966/3.999809)))))</f>
        <v>0.38320768816711004</v>
      </c>
      <c r="CA5" s="3">
        <v>0.96</v>
      </c>
      <c r="CB5" s="3">
        <f>1-((1-CA5)*((1-(1-(2.936966/3.999809)))))</f>
        <v>0.97062893753176716</v>
      </c>
      <c r="CC5" s="4">
        <f>AVERAGE(BE5,BG5,BI5,BM5,BO5,BQ5,BS5,BY5,CA5)</f>
        <v>0.25527777777777783</v>
      </c>
      <c r="CD5" s="4">
        <f>AVERAGE(CB5,BT5,BH5,BZ5,BR5,BP5,BN5,BJ5,BF5,)</f>
        <v>0.40785113451667315</v>
      </c>
      <c r="CE5" s="4">
        <f>(COUNT(BE5,BG5,BI5,BM5,BO5,BQ5,BS5,BY5,CA5))/12</f>
        <v>0.75</v>
      </c>
      <c r="CF5" s="5">
        <v>997</v>
      </c>
      <c r="CG5" s="5">
        <v>997</v>
      </c>
      <c r="CH5" s="5">
        <v>997</v>
      </c>
      <c r="CI5" s="5"/>
      <c r="CJ5" s="5">
        <v>997</v>
      </c>
      <c r="CK5" s="5"/>
      <c r="CL5" s="5">
        <v>0.13900000000000001</v>
      </c>
      <c r="CM5" s="5">
        <f>10*0.0256</f>
        <v>0.25600000000000001</v>
      </c>
      <c r="CN5" s="3">
        <f>1-((1-CM5)*((1-(1-(2.936966/3.999809)))))</f>
        <v>0.45369823809086884</v>
      </c>
      <c r="CO5" s="6">
        <f>AVERAGE(CL5:CM5)</f>
        <v>0.19750000000000001</v>
      </c>
      <c r="CP5" s="6">
        <f>AVERAGE(CL5,CN5)</f>
        <v>0.29634911904543443</v>
      </c>
      <c r="CQ5" s="6">
        <v>1</v>
      </c>
      <c r="CR5" s="5">
        <v>997</v>
      </c>
      <c r="CS5" s="5">
        <v>997</v>
      </c>
      <c r="CT5" s="5">
        <v>997</v>
      </c>
      <c r="CU5" s="5"/>
      <c r="CV5" s="5">
        <v>997</v>
      </c>
      <c r="CW5" s="5"/>
      <c r="CX5" s="5">
        <v>997</v>
      </c>
      <c r="CY5" s="5">
        <v>997</v>
      </c>
      <c r="CZ5" s="1">
        <v>1</v>
      </c>
      <c r="DA5" s="3">
        <v>1</v>
      </c>
      <c r="DB5" s="3">
        <f>1-((1-DA5)*((1-(1-(2.936966/3.999809)))))</f>
        <v>1</v>
      </c>
      <c r="DC5" s="3">
        <v>0.436</v>
      </c>
      <c r="DD5" s="3">
        <v>0.436</v>
      </c>
      <c r="DE5" s="3">
        <f>1-((1-DD5)*((1-(1-(2.936966/3.999809)))))</f>
        <v>0.58586801919791665</v>
      </c>
      <c r="DF5" s="4">
        <f>AVERAGE(CZ5,DA5,DD5,DC5)</f>
        <v>0.71799999999999997</v>
      </c>
      <c r="DG5" s="4">
        <f>AVERAGE(CZ5,DB5,DC5,DE5)</f>
        <v>0.75546700479947915</v>
      </c>
      <c r="DH5" s="4">
        <f>(COUNT(CZ5,DA5,DC5,DD5))/4</f>
        <v>1</v>
      </c>
      <c r="DI5" s="3">
        <v>0.98899999999999999</v>
      </c>
      <c r="DJ5" s="3">
        <v>0.89200000000000002</v>
      </c>
      <c r="DK5" s="3">
        <f>1-((1-DJ5)*((1-(1-(2.936966/3.999809)))))</f>
        <v>0.92069813133577127</v>
      </c>
      <c r="DL5" s="13">
        <v>997</v>
      </c>
      <c r="DM5" s="13">
        <v>997</v>
      </c>
      <c r="DN5" s="13">
        <v>997</v>
      </c>
      <c r="DO5" s="13"/>
      <c r="DP5" s="13">
        <v>997</v>
      </c>
      <c r="DQ5" s="13"/>
      <c r="DR5" s="1">
        <v>0.22700000000000001</v>
      </c>
      <c r="DS5" s="3">
        <f>10*0.0357</f>
        <v>0.35700000000000004</v>
      </c>
      <c r="DT5" s="3">
        <f>1-((1-DS5)*((1-(1-(2.936966/3.999809)))))</f>
        <v>0.52786017082315673</v>
      </c>
      <c r="DU5" s="11">
        <v>0.5</v>
      </c>
      <c r="DV5" s="3">
        <f>1-((1-DU5)*((1-(1-(2.936966/3.999809)))))</f>
        <v>0.63286171914708933</v>
      </c>
      <c r="DW5" s="4">
        <f>AVERAGE(DI5,DJ5,DU5)</f>
        <v>0.79366666666666674</v>
      </c>
      <c r="DX5" s="4">
        <f>AVERAGE(DI5,DK5,DV5)</f>
        <v>0.84751995016095361</v>
      </c>
      <c r="DY5" s="4">
        <f>(COUNT(DI5,DJ5,DU5))/3</f>
        <v>1</v>
      </c>
      <c r="DZ5" s="3">
        <v>997</v>
      </c>
      <c r="EA5" s="3">
        <v>997</v>
      </c>
      <c r="EB5" s="3">
        <v>997</v>
      </c>
      <c r="EC5" s="3"/>
      <c r="ED5" s="3">
        <v>997</v>
      </c>
      <c r="EE5" s="3">
        <v>0.27</v>
      </c>
      <c r="EF5" s="3">
        <v>0.5</v>
      </c>
      <c r="EG5" s="3">
        <f>1-((1-EF5)*(((2.936966/3.999809))))</f>
        <v>0.63286171914708933</v>
      </c>
      <c r="EH5" s="4">
        <f>AVERAGE(EE5:EF5)</f>
        <v>0.38500000000000001</v>
      </c>
      <c r="EI5" s="4">
        <f>AVERAGE(EE5,EG5)</f>
        <v>0.45143085957354467</v>
      </c>
      <c r="EJ5" s="4">
        <v>1</v>
      </c>
      <c r="EK5" s="3">
        <v>1</v>
      </c>
      <c r="EL5" s="3">
        <v>997</v>
      </c>
      <c r="EM5" s="3">
        <v>0.98109999999999997</v>
      </c>
      <c r="EN5" s="3">
        <v>0.98109999999999997</v>
      </c>
      <c r="EO5" s="3">
        <f>1-((1-EN5)*(((2.936966/3.999809))))</f>
        <v>0.98612217298375993</v>
      </c>
      <c r="EP5" s="3">
        <v>1</v>
      </c>
      <c r="EQ5" s="7">
        <v>692.44</v>
      </c>
      <c r="ER5" s="7" t="s">
        <v>399</v>
      </c>
      <c r="ES5" s="3">
        <v>0</v>
      </c>
      <c r="ET5" s="3">
        <v>0</v>
      </c>
      <c r="EU5" s="4">
        <f>AVERAGE(EK5,ES5,EM5,EN5,EP5,ES5)</f>
        <v>0.66036666666666666</v>
      </c>
      <c r="EV5" s="4">
        <f>AVERAGE(EK5,EM5,EO5,EP5,ET5)</f>
        <v>0.79344443459675207</v>
      </c>
      <c r="EW5" s="4">
        <f>COUNT(EK5,EM5,EP5,ES5,EN5)/5</f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0</v>
      </c>
      <c r="FO5" s="1">
        <v>0</v>
      </c>
      <c r="FP5" s="1">
        <v>1</v>
      </c>
      <c r="FQ5" s="2">
        <f>AVERAGE(EX5:FP5)</f>
        <v>0.89473684210526316</v>
      </c>
      <c r="FR5" s="2">
        <f>FQ5</f>
        <v>0.89473684210526316</v>
      </c>
      <c r="FS5" s="2">
        <v>1</v>
      </c>
      <c r="FT5" s="1">
        <v>0.96199999999999997</v>
      </c>
      <c r="FU5" s="1">
        <v>0.95099999999999996</v>
      </c>
      <c r="FV5" s="1">
        <v>0.97199999999999998</v>
      </c>
      <c r="FW5" s="1">
        <v>999</v>
      </c>
      <c r="FX5" s="1">
        <v>999</v>
      </c>
      <c r="FY5" s="1">
        <v>999</v>
      </c>
      <c r="FZ5" s="1">
        <v>999</v>
      </c>
      <c r="GA5" s="1">
        <v>999</v>
      </c>
      <c r="GB5" s="1">
        <v>999</v>
      </c>
      <c r="GC5" s="1">
        <v>999</v>
      </c>
      <c r="GD5" s="1">
        <v>999</v>
      </c>
      <c r="GE5" s="44">
        <f t="shared" si="20"/>
        <v>1.0220820189274449</v>
      </c>
      <c r="GF5" s="44" t="s">
        <v>1249</v>
      </c>
      <c r="GO5" s="1">
        <v>0.45500000000000002</v>
      </c>
      <c r="GP5" s="3">
        <f>1-((1-GO5)*((1-(1-(2.936966/3.999809)))))</f>
        <v>0.59981927387032741</v>
      </c>
      <c r="GQ5" s="1">
        <v>0.47199999999999998</v>
      </c>
      <c r="GR5" s="3">
        <f>1-((1-GQ5)*((1-(1-(2.936966/3.999809)))))</f>
        <v>0.61230197541932618</v>
      </c>
      <c r="GS5" s="1">
        <v>0.438</v>
      </c>
      <c r="GT5" s="3">
        <f>1-((1-GS5)*((1-(1-(2.936966/3.999809)))))</f>
        <v>0.5873365723213283</v>
      </c>
      <c r="GU5" s="1">
        <v>999</v>
      </c>
      <c r="GV5" s="1">
        <v>999</v>
      </c>
      <c r="GW5" s="1"/>
      <c r="GX5" s="1">
        <v>999</v>
      </c>
      <c r="GY5" s="1">
        <v>999</v>
      </c>
      <c r="GZ5" s="1">
        <v>999</v>
      </c>
      <c r="HA5" s="1">
        <v>999</v>
      </c>
      <c r="HB5" s="1">
        <v>999</v>
      </c>
      <c r="HC5" s="1">
        <v>999</v>
      </c>
      <c r="HD5" s="44">
        <f t="shared" si="21"/>
        <v>0.92796610169491534</v>
      </c>
      <c r="HE5" s="44" t="s">
        <v>1248</v>
      </c>
      <c r="HN5" s="1">
        <v>999</v>
      </c>
      <c r="HO5" s="1">
        <v>999</v>
      </c>
      <c r="HP5" s="1">
        <v>999</v>
      </c>
      <c r="HQ5" s="1"/>
      <c r="HR5" s="1">
        <v>999</v>
      </c>
      <c r="HS5" s="1"/>
      <c r="HT5" s="1">
        <v>999</v>
      </c>
      <c r="HU5" s="1"/>
      <c r="HV5" s="1">
        <v>999</v>
      </c>
      <c r="HW5" s="1"/>
      <c r="HX5" s="1">
        <v>999</v>
      </c>
      <c r="HY5" s="1"/>
      <c r="HZ5" s="1">
        <v>999</v>
      </c>
      <c r="IA5" s="1"/>
      <c r="IB5" s="1">
        <v>999</v>
      </c>
      <c r="IC5" s="1"/>
      <c r="ID5" s="1">
        <v>999</v>
      </c>
      <c r="IE5" s="1"/>
      <c r="IF5" s="1">
        <v>999</v>
      </c>
      <c r="IG5" s="1"/>
      <c r="IH5" s="1">
        <v>999</v>
      </c>
      <c r="IS5" s="1">
        <v>5.5E-2</v>
      </c>
      <c r="IT5" s="3">
        <f>1-((1-IS5)*((1-(1-(2.936966/3.999809)))))</f>
        <v>0.30610864918799874</v>
      </c>
      <c r="IU5" s="1">
        <v>7.9000000000000001E-2</v>
      </c>
      <c r="IV5" s="3">
        <f>1-((1-IU5)*((1-(1-(2.936966/3.999809)))))</f>
        <v>0.32373128666893847</v>
      </c>
      <c r="IW5" s="1">
        <v>3.5000000000000003E-2</v>
      </c>
      <c r="IX5" s="3">
        <f>1-((1-IW5)*((1-(1-(2.936966/3.999809)))))</f>
        <v>0.29142311795388232</v>
      </c>
      <c r="IY5" s="1">
        <v>999</v>
      </c>
      <c r="IZ5" s="1"/>
      <c r="JA5" s="1">
        <v>999</v>
      </c>
      <c r="JB5" s="1"/>
      <c r="JC5" s="1">
        <v>999</v>
      </c>
      <c r="JD5" s="1"/>
      <c r="JE5" s="1">
        <v>999</v>
      </c>
      <c r="JF5" s="1"/>
      <c r="JG5" s="1">
        <v>999</v>
      </c>
      <c r="JH5" s="1"/>
      <c r="JI5" s="1">
        <v>999</v>
      </c>
      <c r="JJ5" s="1"/>
      <c r="JK5" s="1">
        <v>999</v>
      </c>
      <c r="JL5" s="1"/>
      <c r="JM5" s="1">
        <v>999</v>
      </c>
      <c r="JN5" s="44">
        <f t="shared" si="22"/>
        <v>0.44303797468354433</v>
      </c>
      <c r="JO5" s="44" t="s">
        <v>1248</v>
      </c>
      <c r="JX5" s="1">
        <v>0.89700000000000002</v>
      </c>
      <c r="JY5" s="1">
        <v>0.89100000000000001</v>
      </c>
      <c r="JZ5" s="1">
        <v>0.90300000000000002</v>
      </c>
      <c r="KA5" s="1">
        <v>999</v>
      </c>
      <c r="KB5" s="1">
        <v>999</v>
      </c>
      <c r="KC5" s="1">
        <v>999</v>
      </c>
      <c r="KD5" s="1">
        <v>999</v>
      </c>
      <c r="KE5" s="1">
        <v>999</v>
      </c>
      <c r="KF5" s="1">
        <v>999</v>
      </c>
      <c r="KG5" s="1">
        <v>999</v>
      </c>
      <c r="KH5" s="1">
        <v>999</v>
      </c>
      <c r="KI5" s="44">
        <f t="shared" si="23"/>
        <v>1.0134680134680134</v>
      </c>
      <c r="KJ5" s="44" t="s">
        <v>1249</v>
      </c>
      <c r="KS5" s="1">
        <v>0.33700000000000002</v>
      </c>
      <c r="KT5" s="3">
        <f>1-((1-KS5)*((1-(1-(2.936966/3.999809)))))</f>
        <v>0.51317463958904042</v>
      </c>
      <c r="KU5" s="1">
        <v>0.33700000000000002</v>
      </c>
      <c r="KV5" s="3">
        <f>1-((1-KU5)*((1-(1-(2.936966/3.999809)))))</f>
        <v>0.51317463958904042</v>
      </c>
      <c r="KW5" s="1">
        <v>0.33700000000000002</v>
      </c>
      <c r="KX5" s="3">
        <f>1-((1-KW5)*((1-(1-(2.936966/3.999809)))))</f>
        <v>0.51317463958904042</v>
      </c>
      <c r="KY5" s="1">
        <v>999</v>
      </c>
      <c r="KZ5" s="1">
        <v>999</v>
      </c>
      <c r="LA5" s="1">
        <v>999</v>
      </c>
      <c r="LB5" s="1">
        <v>999</v>
      </c>
      <c r="LC5" s="1">
        <v>999</v>
      </c>
      <c r="LD5" s="1">
        <v>999</v>
      </c>
      <c r="LE5" s="1">
        <v>999</v>
      </c>
      <c r="LF5" s="1">
        <v>999</v>
      </c>
      <c r="LQ5" s="1">
        <v>0.872</v>
      </c>
      <c r="LR5" s="1">
        <v>0.83399999999999996</v>
      </c>
      <c r="LS5" s="1">
        <v>0.90900000000000003</v>
      </c>
      <c r="LT5" s="1">
        <v>999</v>
      </c>
      <c r="LU5" s="1">
        <v>999</v>
      </c>
      <c r="LV5" s="1">
        <v>999</v>
      </c>
      <c r="LW5" s="1">
        <v>999</v>
      </c>
      <c r="LX5" s="1">
        <v>999</v>
      </c>
      <c r="LY5" s="1">
        <v>999</v>
      </c>
      <c r="LZ5" s="1">
        <v>999</v>
      </c>
      <c r="MA5" s="1">
        <v>999</v>
      </c>
      <c r="MB5" s="44">
        <f t="shared" si="24"/>
        <v>1.0899280575539569</v>
      </c>
      <c r="MC5" s="44" t="s">
        <v>1249</v>
      </c>
      <c r="ML5" s="1">
        <v>0.42399999999999999</v>
      </c>
      <c r="MM5" s="3">
        <f>1-((1-ML5)*((1-(1-(2.936966/3.999809)))))</f>
        <v>0.57705670045744673</v>
      </c>
      <c r="MN5" s="1">
        <v>0.46500000000000002</v>
      </c>
      <c r="MO5" s="3">
        <f>1-((1-MN5)*((1-(1-(2.936966/3.999809)))))</f>
        <v>0.60716203948738556</v>
      </c>
      <c r="MP5" s="1">
        <v>0.38500000000000001</v>
      </c>
      <c r="MQ5" s="3">
        <f>1-((1-MP5)*((1-(1-(2.936966/3.999809)))))</f>
        <v>0.54841991455091987</v>
      </c>
      <c r="MR5" s="1">
        <v>999</v>
      </c>
      <c r="MS5" s="1"/>
      <c r="MT5" s="1">
        <v>999</v>
      </c>
      <c r="MU5" s="1"/>
      <c r="MV5" s="1">
        <v>999</v>
      </c>
      <c r="MW5" s="1"/>
      <c r="MX5" s="1">
        <v>999</v>
      </c>
      <c r="MY5" s="1"/>
      <c r="MZ5" s="1">
        <v>999</v>
      </c>
      <c r="NA5" s="1"/>
      <c r="NB5" s="1">
        <v>999</v>
      </c>
      <c r="NC5" s="1"/>
      <c r="ND5" s="1">
        <v>999</v>
      </c>
      <c r="NE5" s="1"/>
      <c r="NF5" s="1">
        <v>999</v>
      </c>
      <c r="NG5" s="1"/>
      <c r="NH5" s="44">
        <f t="shared" ref="NH5:NH10" si="27">MP5/MN5</f>
        <v>0.82795698924731176</v>
      </c>
      <c r="NI5" s="44" t="s">
        <v>1248</v>
      </c>
      <c r="NR5" s="1">
        <v>999</v>
      </c>
      <c r="NS5" s="1">
        <v>999</v>
      </c>
      <c r="NT5" s="1">
        <v>999</v>
      </c>
      <c r="NU5" s="1"/>
      <c r="NV5" s="1">
        <v>999</v>
      </c>
      <c r="NW5" s="1"/>
      <c r="NX5" s="1">
        <v>999</v>
      </c>
      <c r="NY5" s="1"/>
      <c r="NZ5" s="1">
        <v>999</v>
      </c>
      <c r="OA5" s="1"/>
      <c r="OB5" s="1">
        <v>999</v>
      </c>
      <c r="OC5" s="1">
        <v>999</v>
      </c>
      <c r="OD5" s="1">
        <v>999</v>
      </c>
      <c r="OE5" s="1">
        <v>999</v>
      </c>
      <c r="OF5" s="1">
        <v>999</v>
      </c>
      <c r="OG5" s="1">
        <v>999</v>
      </c>
      <c r="OH5" s="1"/>
      <c r="OS5" s="1">
        <v>999</v>
      </c>
      <c r="OT5" s="1">
        <v>999</v>
      </c>
      <c r="OU5" s="1">
        <v>999</v>
      </c>
      <c r="OV5" s="1">
        <v>999</v>
      </c>
      <c r="OW5" s="1">
        <v>999</v>
      </c>
      <c r="OX5" s="1">
        <v>999</v>
      </c>
      <c r="OY5" s="1">
        <v>999</v>
      </c>
      <c r="OZ5" s="1"/>
      <c r="PA5" s="1">
        <v>999</v>
      </c>
      <c r="PB5" s="1"/>
      <c r="PC5" s="1">
        <v>999</v>
      </c>
      <c r="PD5" s="1"/>
      <c r="PE5" s="1">
        <v>999</v>
      </c>
      <c r="PF5" s="1">
        <v>999</v>
      </c>
      <c r="PG5" s="1"/>
      <c r="PH5" s="1">
        <v>999</v>
      </c>
      <c r="PI5" s="1">
        <v>999</v>
      </c>
      <c r="PJ5" s="1"/>
      <c r="PK5" s="1">
        <v>999</v>
      </c>
      <c r="PV5" s="2">
        <f>AVERAGE(MP5,MN5,ML5,LQ5:LS5,KW5,KU5,KS5,JX5:JZ5,IW5,IU5,IS5,GS5,GQ5,GO5,FT5:FV5,NH5,MB5,KI5,JN5,HD5,GE5,)</f>
        <v>0.61908711269911376</v>
      </c>
      <c r="PW5" s="2">
        <f>AVERAGE(MQ5,MO5,MM5,LQ5:LS5,KX5,KV5,KT5,JX5:JZ5,IX5,IV5,IT5,GT5,GR5,GP5,FT5:FV5,NH5,MB5,KI5,JN5,HD5,GE5)</f>
        <v>0.72253046682443955</v>
      </c>
      <c r="PX5" s="4">
        <f>(COUNT(MP5,MN5,ML5,LQ5:LS5,KW5,KU5,KS5,JX5:JZ5,IS5,IU5,IW5,GO5,GQ5,GS5,FT5:FV5))/110</f>
        <v>0.19090909090909092</v>
      </c>
      <c r="PY5" s="1">
        <v>1</v>
      </c>
      <c r="PZ5" s="1">
        <v>1</v>
      </c>
      <c r="QA5" s="1">
        <v>1</v>
      </c>
      <c r="QB5" s="1">
        <v>1</v>
      </c>
      <c r="QC5" s="1">
        <v>999</v>
      </c>
      <c r="QD5" s="1">
        <v>1</v>
      </c>
      <c r="QE5" s="1">
        <v>1</v>
      </c>
      <c r="QF5" s="1">
        <v>1</v>
      </c>
      <c r="QG5" s="1">
        <v>1</v>
      </c>
      <c r="QH5" s="1">
        <v>1</v>
      </c>
      <c r="QI5" s="1">
        <v>1</v>
      </c>
      <c r="QJ5" s="1">
        <v>1</v>
      </c>
      <c r="QK5" s="1">
        <v>1</v>
      </c>
      <c r="QL5" s="1">
        <v>1</v>
      </c>
      <c r="QM5" s="1">
        <v>1</v>
      </c>
      <c r="QN5" s="1">
        <v>1</v>
      </c>
      <c r="QO5" s="1">
        <v>1</v>
      </c>
      <c r="QP5" s="1">
        <v>1</v>
      </c>
      <c r="QQ5" s="1">
        <v>1</v>
      </c>
      <c r="QR5" s="3">
        <v>0</v>
      </c>
      <c r="QS5" s="3">
        <f>1-((1-QR5)*((1-(1-(2.936966/3.999809)))))</f>
        <v>0.26572343829417855</v>
      </c>
      <c r="QT5" s="8">
        <f>AVERAGE(PY5:QB5,QD5:QR5)</f>
        <v>0.94736842105263153</v>
      </c>
      <c r="QU5" s="8">
        <f>AVERAGE(PY5:QB5,QD5:QQ5,QS5)</f>
        <v>0.96135386517337773</v>
      </c>
      <c r="QV5" s="8">
        <f>(COUNT(PY5:QB5,QD5:QR5))/20</f>
        <v>0.95</v>
      </c>
      <c r="QW5" s="1">
        <v>1</v>
      </c>
      <c r="QX5" s="1"/>
      <c r="QY5" s="1">
        <v>0</v>
      </c>
      <c r="QZ5" s="1">
        <v>0</v>
      </c>
      <c r="RA5" s="9">
        <f>AVERAGE(QW5:QZ5)</f>
        <v>0.33333333333333331</v>
      </c>
      <c r="RB5" s="9">
        <v>1</v>
      </c>
      <c r="RC5" s="1">
        <v>997</v>
      </c>
      <c r="RD5" s="1">
        <v>997</v>
      </c>
      <c r="RE5" s="1">
        <v>997</v>
      </c>
      <c r="RF5" s="1">
        <v>997</v>
      </c>
      <c r="RG5" s="1">
        <v>997</v>
      </c>
      <c r="RH5" s="1">
        <v>997</v>
      </c>
      <c r="RI5" s="1">
        <v>997</v>
      </c>
      <c r="RJ5" s="1">
        <v>997</v>
      </c>
      <c r="RK5" s="1">
        <v>0.56899999999999995</v>
      </c>
      <c r="RL5" s="1">
        <v>0.60799999999999998</v>
      </c>
      <c r="RM5" s="1">
        <v>0.54600000000000004</v>
      </c>
      <c r="RN5" s="1">
        <v>999</v>
      </c>
      <c r="RO5" s="1">
        <v>999</v>
      </c>
      <c r="RP5" s="1">
        <v>999</v>
      </c>
      <c r="RQ5" s="1">
        <v>999</v>
      </c>
      <c r="RR5" s="1">
        <v>999</v>
      </c>
      <c r="RS5" s="1">
        <v>999</v>
      </c>
      <c r="RT5" s="1">
        <v>999</v>
      </c>
      <c r="RU5" s="1">
        <v>999</v>
      </c>
      <c r="RV5" s="1">
        <v>999</v>
      </c>
      <c r="RW5" s="1">
        <v>999</v>
      </c>
      <c r="RX5" s="1">
        <v>999</v>
      </c>
      <c r="RY5" s="1">
        <v>999</v>
      </c>
      <c r="RZ5" s="1">
        <v>999</v>
      </c>
      <c r="SA5" s="1">
        <v>999</v>
      </c>
      <c r="SB5" s="1">
        <v>999</v>
      </c>
      <c r="SC5" s="1">
        <v>999</v>
      </c>
      <c r="SD5" s="1">
        <v>999</v>
      </c>
      <c r="SE5" s="1">
        <v>999</v>
      </c>
      <c r="SF5" s="1">
        <v>999</v>
      </c>
      <c r="SG5" s="1">
        <v>999</v>
      </c>
      <c r="SH5" s="1">
        <v>999</v>
      </c>
      <c r="SI5" s="1">
        <v>999</v>
      </c>
      <c r="SJ5" s="1">
        <v>999</v>
      </c>
      <c r="SK5" s="1">
        <v>999</v>
      </c>
      <c r="SL5" s="1">
        <v>999</v>
      </c>
      <c r="SM5" s="1">
        <v>999</v>
      </c>
      <c r="SN5" s="1">
        <v>999</v>
      </c>
      <c r="SO5" s="1">
        <v>999</v>
      </c>
      <c r="SP5" s="1">
        <v>999</v>
      </c>
      <c r="SQ5" s="1">
        <v>999</v>
      </c>
      <c r="SR5" s="1">
        <v>0.69799999999999995</v>
      </c>
      <c r="SS5" s="3">
        <f>1-((1-SR5)*((1-(1-(2.936966/3.999809)))))</f>
        <v>0.7782484783648419</v>
      </c>
      <c r="ST5" s="1">
        <v>0.7702</v>
      </c>
      <c r="SU5" s="3">
        <f>1-((1-ST5)*((1-(1-(2.936966/3.999809)))))</f>
        <v>0.83126324612000224</v>
      </c>
      <c r="SV5" s="1">
        <v>0.69399999999999995</v>
      </c>
      <c r="SW5" s="3">
        <f>1-((1-SV5)*((1-(1-(2.936966/3.999809)))))</f>
        <v>0.77531137211801859</v>
      </c>
      <c r="SX5" s="1">
        <v>999</v>
      </c>
      <c r="SY5" s="1">
        <v>999</v>
      </c>
      <c r="SZ5" s="1">
        <v>999</v>
      </c>
      <c r="TA5" s="1">
        <v>999</v>
      </c>
      <c r="TB5" s="1">
        <v>999</v>
      </c>
      <c r="TC5" s="1">
        <v>999</v>
      </c>
      <c r="TD5" s="1">
        <v>999</v>
      </c>
      <c r="TE5" s="1">
        <v>999</v>
      </c>
      <c r="TF5" s="1">
        <v>999</v>
      </c>
      <c r="TG5" s="1">
        <v>999</v>
      </c>
      <c r="TH5" s="1">
        <v>999</v>
      </c>
      <c r="TI5" s="1"/>
      <c r="TJ5" s="1">
        <v>999</v>
      </c>
      <c r="TK5" s="1"/>
      <c r="TL5" s="1">
        <v>999</v>
      </c>
      <c r="TM5" s="1"/>
      <c r="TN5" s="1">
        <v>999</v>
      </c>
      <c r="TO5" s="1"/>
      <c r="TP5" s="1">
        <v>999</v>
      </c>
      <c r="TQ5" s="1"/>
      <c r="TR5" s="1">
        <v>999</v>
      </c>
      <c r="TS5" s="1"/>
      <c r="TT5" s="1">
        <v>999</v>
      </c>
      <c r="TU5" s="1"/>
      <c r="TV5" s="1">
        <v>999</v>
      </c>
      <c r="TW5" s="1"/>
      <c r="TX5" s="1">
        <v>999</v>
      </c>
      <c r="TY5" s="1"/>
      <c r="TZ5" s="1">
        <v>999</v>
      </c>
      <c r="UA5" s="1"/>
      <c r="UB5" s="1">
        <v>999</v>
      </c>
      <c r="UC5" s="1">
        <v>999</v>
      </c>
      <c r="UD5" s="1">
        <v>999</v>
      </c>
      <c r="UE5" s="1"/>
      <c r="UF5" s="1">
        <v>999</v>
      </c>
      <c r="UG5" s="1"/>
      <c r="UH5" s="1">
        <v>999</v>
      </c>
      <c r="UI5" s="1"/>
      <c r="UJ5" s="1">
        <v>999</v>
      </c>
      <c r="UK5" s="1"/>
      <c r="UL5" s="1">
        <v>999</v>
      </c>
      <c r="UM5" s="1"/>
      <c r="UN5" s="1">
        <v>999</v>
      </c>
      <c r="UO5" s="1"/>
      <c r="UP5" s="1">
        <v>999</v>
      </c>
      <c r="UQ5" s="1"/>
      <c r="UR5" s="1">
        <v>999</v>
      </c>
      <c r="US5" s="1"/>
      <c r="UT5" s="1">
        <v>999</v>
      </c>
      <c r="UU5" s="1"/>
      <c r="UV5" s="1">
        <v>999</v>
      </c>
      <c r="UW5" s="1"/>
      <c r="UX5" s="1">
        <v>0.873</v>
      </c>
      <c r="UY5" s="1">
        <v>0.87450000000000006</v>
      </c>
      <c r="UZ5" s="1">
        <v>0.87160000000000004</v>
      </c>
      <c r="VA5" s="1">
        <v>999</v>
      </c>
      <c r="VB5" s="1">
        <v>999</v>
      </c>
      <c r="VC5" s="1">
        <v>999</v>
      </c>
      <c r="VD5" s="1">
        <v>999</v>
      </c>
      <c r="VE5" s="1">
        <v>999</v>
      </c>
      <c r="VF5" s="1">
        <v>999</v>
      </c>
      <c r="VG5" s="1">
        <v>999</v>
      </c>
      <c r="VH5" s="1">
        <v>999</v>
      </c>
      <c r="VI5" s="1">
        <v>0.80300000000000005</v>
      </c>
      <c r="VJ5" s="1">
        <v>0.84819999999999995</v>
      </c>
      <c r="VK5" s="1">
        <v>0.75870000000000004</v>
      </c>
      <c r="VL5" s="1">
        <v>999</v>
      </c>
      <c r="VM5" s="1">
        <v>999</v>
      </c>
      <c r="VN5" s="1">
        <v>999</v>
      </c>
      <c r="VO5" s="1">
        <v>999</v>
      </c>
      <c r="VP5" s="1">
        <v>999</v>
      </c>
      <c r="VQ5" s="1">
        <v>999</v>
      </c>
      <c r="VR5" s="1">
        <v>999</v>
      </c>
      <c r="VS5" s="1">
        <v>999</v>
      </c>
      <c r="VT5" s="2">
        <f>AVERAGE(VI5:VK5,UX5:UZ5,SV5,ST5,SR5,RK5:RM5,)</f>
        <v>0.68570769230769224</v>
      </c>
      <c r="VU5" s="2">
        <f>AVERAGE(VI5:VK5,UX5:UZ5,SW5,SU5,SS5,RK5:RM5,)</f>
        <v>0.70283254589252786</v>
      </c>
      <c r="VV5" s="4">
        <f>(COUNT(VI5:VK5,UX5:UZ5,ST5,SV5,SR5,RK5:RM5))/88</f>
        <v>0.13636363636363635</v>
      </c>
      <c r="VW5" s="1">
        <v>1</v>
      </c>
      <c r="VX5" s="3">
        <v>0.33</v>
      </c>
      <c r="VY5" s="3">
        <v>999</v>
      </c>
      <c r="VZ5" s="3">
        <v>999</v>
      </c>
      <c r="WA5" s="3">
        <v>999</v>
      </c>
      <c r="WB5" s="3">
        <v>999</v>
      </c>
      <c r="WC5" s="8">
        <f>AVERAGE(VW5:VX5)</f>
        <v>0.66500000000000004</v>
      </c>
      <c r="WD5" s="8">
        <f>AVERAGE(VW5:VX5)</f>
        <v>0.66500000000000004</v>
      </c>
      <c r="WE5" s="8">
        <f>(COUNT(VW5:VX5))/5</f>
        <v>0.4</v>
      </c>
      <c r="WF5" s="1">
        <v>0</v>
      </c>
      <c r="WG5" s="1">
        <v>0</v>
      </c>
      <c r="WH5" s="1">
        <v>0.99</v>
      </c>
      <c r="WI5" s="1">
        <v>0.01</v>
      </c>
      <c r="WJ5" s="3">
        <f>1-((1-WI5)*((1-(1-(2.936966/3.999809)))))</f>
        <v>0.27306620391123682</v>
      </c>
      <c r="WK5" s="9">
        <f>AVERAGE(WF5:WI5)</f>
        <v>0.25</v>
      </c>
      <c r="WL5" s="9">
        <f>AVERAGE(WF5:WH5,WJ5)</f>
        <v>0.3157665509778092</v>
      </c>
      <c r="WM5" s="9">
        <f>(COUNT(WF5:WI5))/4</f>
        <v>1</v>
      </c>
      <c r="WN5" s="1">
        <v>1</v>
      </c>
      <c r="WO5" s="1">
        <v>999</v>
      </c>
      <c r="WP5" s="1">
        <v>0</v>
      </c>
      <c r="WQ5" s="1">
        <v>0</v>
      </c>
      <c r="WR5" s="9">
        <f>AVERAGE(WN5,WP5,WQ5)</f>
        <v>0.33333333333333331</v>
      </c>
      <c r="WS5" s="9">
        <f>(COUNT(WP5,WQ5,WN5)/3)</f>
        <v>1</v>
      </c>
      <c r="WT5" s="3">
        <v>0</v>
      </c>
      <c r="WU5" s="3">
        <v>0</v>
      </c>
      <c r="WV5" s="3">
        <v>0.621</v>
      </c>
      <c r="WW5" s="3">
        <f>1-((1-WV5)*((1-(1-(2.936966/3.999809)))))</f>
        <v>0.72170918311349364</v>
      </c>
      <c r="WX5" s="3">
        <v>1</v>
      </c>
      <c r="WY5" s="3">
        <f>1-((1-WX5)*((1-(1-(2.936966/3.999809)))))</f>
        <v>1</v>
      </c>
      <c r="WZ5" s="3">
        <v>1</v>
      </c>
      <c r="XA5" s="3">
        <f>1-((1-WZ5)*((1-(1-(2.936966/3.999809)))))</f>
        <v>1</v>
      </c>
      <c r="XB5" s="3">
        <v>0.76900000000000002</v>
      </c>
      <c r="XC5" s="3">
        <v>1</v>
      </c>
      <c r="XD5" s="3">
        <f>1-((1-XC5)*((1-(1-(2.936966/3.999809)))))</f>
        <v>1</v>
      </c>
      <c r="XE5" s="3">
        <v>1</v>
      </c>
      <c r="XF5" s="3">
        <f>1-((1-XE5)*((1-(1-(2.936966/3.999809)))))</f>
        <v>1</v>
      </c>
      <c r="XG5" s="9">
        <f>AVERAGE(WT5,WV5,WX5,WZ5,XB5,XC5,XE5)</f>
        <v>0.77000000000000013</v>
      </c>
      <c r="XH5" s="9">
        <f>AVERAGE(WU5,WW5,WY5,XB5,XA5,XD5,XF5)</f>
        <v>0.78438702615907041</v>
      </c>
      <c r="XI5" s="9">
        <v>1</v>
      </c>
      <c r="XJ5" s="1"/>
      <c r="XK5" s="1"/>
      <c r="XL5" s="10"/>
      <c r="XM5" s="1">
        <f t="shared" si="0"/>
        <v>0.8571428571428571</v>
      </c>
      <c r="XN5" s="1">
        <f t="shared" si="1"/>
        <v>0.7142857142857143</v>
      </c>
      <c r="XO5" s="1">
        <f t="shared" si="2"/>
        <v>1</v>
      </c>
      <c r="XP5" s="1">
        <f t="shared" si="3"/>
        <v>1</v>
      </c>
      <c r="XQ5" s="1">
        <f t="shared" si="4"/>
        <v>0.25527777777777783</v>
      </c>
      <c r="XR5" s="1">
        <f t="shared" si="4"/>
        <v>0.40785113451667315</v>
      </c>
      <c r="XS5" s="1">
        <f t="shared" si="5"/>
        <v>0.19750000000000001</v>
      </c>
      <c r="XT5" s="1">
        <f t="shared" si="5"/>
        <v>0.29634911904543443</v>
      </c>
      <c r="XU5" s="1">
        <f t="shared" si="6"/>
        <v>0.71799999999999997</v>
      </c>
      <c r="XV5" s="1">
        <f t="shared" si="6"/>
        <v>0.75546700479947915</v>
      </c>
      <c r="XW5" s="1">
        <f t="shared" si="7"/>
        <v>0.79366666666666674</v>
      </c>
      <c r="XX5" s="1">
        <f t="shared" si="7"/>
        <v>0.84751995016095361</v>
      </c>
      <c r="XY5" s="1">
        <f t="shared" si="8"/>
        <v>0.38500000000000001</v>
      </c>
      <c r="XZ5" s="1">
        <f t="shared" si="8"/>
        <v>0.45143085957354467</v>
      </c>
      <c r="YA5" s="1">
        <f t="shared" si="9"/>
        <v>0.66036666666666666</v>
      </c>
      <c r="YB5" s="1">
        <f t="shared" si="9"/>
        <v>0.79344443459675207</v>
      </c>
      <c r="YC5" s="1">
        <f t="shared" si="10"/>
        <v>0.89473684210526316</v>
      </c>
      <c r="YD5" s="1">
        <f t="shared" si="10"/>
        <v>0.89473684210526316</v>
      </c>
      <c r="YE5" s="1">
        <f t="shared" si="11"/>
        <v>0.61908711269911376</v>
      </c>
      <c r="YF5" s="1">
        <f t="shared" si="11"/>
        <v>0.72253046682443955</v>
      </c>
      <c r="YG5" s="1">
        <f t="shared" si="12"/>
        <v>0.94736842105263153</v>
      </c>
      <c r="YH5" s="11">
        <f t="shared" si="12"/>
        <v>0.96135386517337773</v>
      </c>
      <c r="YI5" s="11">
        <f t="shared" si="13"/>
        <v>0.33333333333333331</v>
      </c>
      <c r="YJ5" s="1">
        <f t="shared" si="14"/>
        <v>0.68570769230769224</v>
      </c>
      <c r="YK5" s="1">
        <f t="shared" si="14"/>
        <v>0.70283254589252786</v>
      </c>
      <c r="YL5" s="1">
        <f t="shared" si="15"/>
        <v>0.66500000000000004</v>
      </c>
      <c r="YM5" s="1">
        <f t="shared" si="15"/>
        <v>0.66500000000000004</v>
      </c>
      <c r="YN5" s="1">
        <f t="shared" si="16"/>
        <v>0.25</v>
      </c>
      <c r="YO5" s="1">
        <f t="shared" si="16"/>
        <v>0.3157665509778092</v>
      </c>
      <c r="YP5" s="1">
        <f t="shared" si="17"/>
        <v>0.33333333333333331</v>
      </c>
      <c r="YQ5" s="1">
        <f t="shared" si="18"/>
        <v>0.77000000000000013</v>
      </c>
      <c r="YR5" s="1">
        <f t="shared" si="18"/>
        <v>0.78438702615907041</v>
      </c>
      <c r="YT5" s="10">
        <f>AVERAGE(XM5:XQ5)</f>
        <v>0.76534126984126982</v>
      </c>
      <c r="YU5" s="10">
        <f>AVERAGE(XM5:XP5,XR5)</f>
        <v>0.7958559411890489</v>
      </c>
      <c r="YV5" s="10">
        <f>YU5*(42/45)</f>
        <v>0.74279887844311232</v>
      </c>
      <c r="YW5" s="10">
        <f t="shared" si="25"/>
        <v>0.52354166666666668</v>
      </c>
      <c r="YX5" s="10">
        <f t="shared" si="25"/>
        <v>0.58769173339485292</v>
      </c>
      <c r="YY5" s="10">
        <f>YX5*(13/13)</f>
        <v>0.58769173339485292</v>
      </c>
      <c r="YZ5" s="10">
        <f t="shared" si="26"/>
        <v>0.72473020715701464</v>
      </c>
      <c r="ZA5" s="10">
        <f t="shared" si="26"/>
        <v>0.80357058117548485</v>
      </c>
      <c r="ZB5" s="10">
        <f>ZA5*(45/48)</f>
        <v>0.75334741985201703</v>
      </c>
      <c r="ZC5" s="10">
        <f>AVERAGE(YG5,YI5,YJ5)</f>
        <v>0.65546981556455242</v>
      </c>
      <c r="ZD5" s="10">
        <f>AVERAGE(YH5,YI5,YK5)</f>
        <v>0.66583991479974625</v>
      </c>
      <c r="ZE5" s="10">
        <f>ZD5*(34/38)</f>
        <v>0.59575150271556243</v>
      </c>
      <c r="ZF5" s="10">
        <f>AVERAGE(YL5,YN5,YP5,YQ5,)</f>
        <v>0.40366666666666673</v>
      </c>
      <c r="ZG5" s="10">
        <f>AVERAGE(YM5,YO5,YP5,YR5)</f>
        <v>0.52462172761755321</v>
      </c>
      <c r="ZH5" s="10">
        <f>ZG5*((16/16))</f>
        <v>0.52462172761755321</v>
      </c>
      <c r="ZI5" s="10">
        <f t="shared" si="19"/>
        <v>0.61454992517923412</v>
      </c>
      <c r="ZJ5" s="10">
        <f t="shared" si="19"/>
        <v>0.67551597963533716</v>
      </c>
      <c r="ZK5" s="10">
        <f t="shared" si="19"/>
        <v>0.64084225240461956</v>
      </c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</row>
    <row r="6" spans="1:710" x14ac:dyDescent="0.25">
      <c r="A6" s="1" t="s">
        <v>400</v>
      </c>
      <c r="B6" s="1">
        <v>1</v>
      </c>
      <c r="C6" s="1">
        <v>1</v>
      </c>
      <c r="D6" s="1">
        <v>1</v>
      </c>
      <c r="E6" s="1">
        <v>1</v>
      </c>
      <c r="F6" s="1">
        <v>0</v>
      </c>
      <c r="G6" s="1">
        <v>0.5</v>
      </c>
      <c r="H6" s="1">
        <v>0.5</v>
      </c>
      <c r="I6" s="1">
        <v>1</v>
      </c>
      <c r="J6" s="1">
        <v>1</v>
      </c>
      <c r="K6" s="1">
        <v>1</v>
      </c>
      <c r="L6" s="1">
        <v>1</v>
      </c>
      <c r="M6" s="1">
        <v>0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997</v>
      </c>
      <c r="X6" s="1">
        <v>997</v>
      </c>
      <c r="Y6" s="1">
        <v>997</v>
      </c>
      <c r="Z6" s="1">
        <v>997</v>
      </c>
      <c r="AA6" s="1">
        <v>997</v>
      </c>
      <c r="AB6" s="1">
        <v>997</v>
      </c>
      <c r="AC6" s="1">
        <v>997</v>
      </c>
      <c r="AD6" s="1">
        <v>997</v>
      </c>
      <c r="AE6" s="1">
        <v>997</v>
      </c>
      <c r="AF6" s="1">
        <v>997</v>
      </c>
      <c r="AG6" s="1">
        <v>997</v>
      </c>
      <c r="AH6" s="6">
        <f>AVERAGE(B6:V6)</f>
        <v>0.8571428571428571</v>
      </c>
      <c r="AI6" s="6">
        <v>1</v>
      </c>
      <c r="AJ6" s="1">
        <v>0.5</v>
      </c>
      <c r="AK6" s="1">
        <v>0.5</v>
      </c>
      <c r="AL6" s="1">
        <v>0.5</v>
      </c>
      <c r="AM6" s="1">
        <v>0.5</v>
      </c>
      <c r="AN6" s="1">
        <v>1</v>
      </c>
      <c r="AO6" s="1">
        <v>1</v>
      </c>
      <c r="AP6" s="1">
        <v>1</v>
      </c>
      <c r="AQ6" s="2">
        <f>AVERAGE(AJ6:AP6)</f>
        <v>0.7142857142857143</v>
      </c>
      <c r="AR6" s="2">
        <v>1</v>
      </c>
      <c r="AS6" s="1">
        <v>0</v>
      </c>
      <c r="AT6" s="1">
        <v>997</v>
      </c>
      <c r="AU6" s="3">
        <v>1</v>
      </c>
      <c r="AV6" s="3">
        <f>1-((1-AU6)*((1-(1-(2.949585/3.999809)))))</f>
        <v>1</v>
      </c>
      <c r="AW6" s="4">
        <f>AVERAGE(AS6,AU6)</f>
        <v>0.5</v>
      </c>
      <c r="AX6" s="4">
        <v>1</v>
      </c>
      <c r="AY6" s="1">
        <v>1</v>
      </c>
      <c r="AZ6" s="1">
        <v>1</v>
      </c>
      <c r="BA6" s="13">
        <v>997</v>
      </c>
      <c r="BB6" s="13">
        <v>997</v>
      </c>
      <c r="BC6" s="2">
        <f>AVERAGE(AY6:AZ6)</f>
        <v>1</v>
      </c>
      <c r="BD6" s="2">
        <v>1</v>
      </c>
      <c r="BE6" s="3">
        <v>999</v>
      </c>
      <c r="BF6" s="3">
        <v>999</v>
      </c>
      <c r="BG6" s="3">
        <v>1.9699999999999999E-2</v>
      </c>
      <c r="BH6" s="3">
        <f>1-((1-BG6)*((1-(1-(2.949585/3.999809)))))</f>
        <v>0.27709593745601357</v>
      </c>
      <c r="BI6" s="3">
        <v>6.4699999999999994E-2</v>
      </c>
      <c r="BJ6" s="3">
        <f>1-((1-BI6)*((1-(1-(2.949585/3.999809)))))</f>
        <v>0.31028035326186831</v>
      </c>
      <c r="BK6" s="3">
        <v>999</v>
      </c>
      <c r="BL6" s="3">
        <v>999</v>
      </c>
      <c r="BM6" s="3">
        <v>0.51580000000000004</v>
      </c>
      <c r="BN6" s="3">
        <f>1-((1-BM6)*((1-(1-(2.949585/3.999809)))))</f>
        <v>0.64293568592900319</v>
      </c>
      <c r="BO6" s="3">
        <v>0.25600000000000001</v>
      </c>
      <c r="BP6" s="3">
        <f>1-((1-BO6)*((1-(1-(2.949585/3.999809)))))</f>
        <v>0.4513509920098685</v>
      </c>
      <c r="BQ6" s="3">
        <v>999</v>
      </c>
      <c r="BR6" s="3">
        <v>999</v>
      </c>
      <c r="BS6" s="3">
        <v>0.22819999999999999</v>
      </c>
      <c r="BT6" s="3">
        <f>1-((1-BS6)*((1-(1-(2.949585/3.999809)))))</f>
        <v>0.43085039735647379</v>
      </c>
      <c r="BU6" s="3">
        <v>0.96</v>
      </c>
      <c r="BV6" s="3">
        <f>1-((1-BU6)*((1-(1-(2.949585/3.999809)))))</f>
        <v>0.97050274150590687</v>
      </c>
      <c r="BW6" s="3">
        <v>999</v>
      </c>
      <c r="BX6" s="3">
        <v>999</v>
      </c>
      <c r="BY6" s="3">
        <v>999</v>
      </c>
      <c r="BZ6" s="3">
        <v>999</v>
      </c>
      <c r="CA6" s="3">
        <v>999</v>
      </c>
      <c r="CB6" s="3">
        <v>999</v>
      </c>
      <c r="CC6" s="4">
        <f>AVERAGE(BG6,BI6,BM6,BO6,BS6,BU6,)</f>
        <v>0.29205714285714285</v>
      </c>
      <c r="CD6" s="4">
        <f>AVERAGE(BT6,BH6,BV6,BP6,BN6,BJ6,)</f>
        <v>0.44043087250273355</v>
      </c>
      <c r="CE6" s="4">
        <f>(COUNT(BG6,BI6,BM6,BO6,BS6,BU6))/12</f>
        <v>0.5</v>
      </c>
      <c r="CF6" s="5">
        <v>997</v>
      </c>
      <c r="CG6" s="5">
        <v>997</v>
      </c>
      <c r="CH6" s="5">
        <v>997</v>
      </c>
      <c r="CI6" s="5"/>
      <c r="CJ6" s="5">
        <v>997</v>
      </c>
      <c r="CK6" s="5"/>
      <c r="CL6" s="5">
        <v>0.23499999999999999</v>
      </c>
      <c r="CM6" s="5">
        <f>10*0.0216</f>
        <v>0.21600000000000003</v>
      </c>
      <c r="CN6" s="3">
        <f>1-((1-CM6)*((1-(1-(2.949585/3.999809)))))</f>
        <v>0.42185373351577538</v>
      </c>
      <c r="CO6" s="6">
        <f>AVERAGE(CL6:CM6)</f>
        <v>0.22550000000000001</v>
      </c>
      <c r="CP6" s="6">
        <f>AVERAGE(CL6,CN6)</f>
        <v>0.32842686675788768</v>
      </c>
      <c r="CQ6" s="6">
        <v>1</v>
      </c>
      <c r="CR6" s="5">
        <v>997</v>
      </c>
      <c r="CS6" s="5">
        <v>997</v>
      </c>
      <c r="CT6" s="5">
        <v>997</v>
      </c>
      <c r="CU6" s="5"/>
      <c r="CV6" s="5">
        <v>997</v>
      </c>
      <c r="CW6" s="5"/>
      <c r="CX6" s="5">
        <v>997</v>
      </c>
      <c r="CY6" s="5">
        <v>997</v>
      </c>
      <c r="CZ6" s="1">
        <v>1</v>
      </c>
      <c r="DA6" s="3">
        <v>999</v>
      </c>
      <c r="DB6" s="3">
        <v>999</v>
      </c>
      <c r="DC6" s="3">
        <v>0.82</v>
      </c>
      <c r="DD6" s="3">
        <v>0.85699999999999998</v>
      </c>
      <c r="DE6" s="3">
        <f>1-((1-DD6)*((1-(1-(2.949585/3.999809)))))</f>
        <v>0.89454730088361722</v>
      </c>
      <c r="DF6" s="4">
        <f>AVERAGE(CZ6,DD6,DC6)</f>
        <v>0.89233333333333331</v>
      </c>
      <c r="DG6" s="4">
        <f>AVERAGE(CZ6,DC6,DE6)</f>
        <v>0.90484910029453902</v>
      </c>
      <c r="DH6" s="4">
        <f>(COUNT(CZ6,DC6,DD6))/4</f>
        <v>0.75</v>
      </c>
      <c r="DI6" s="3">
        <v>0.85860000000000003</v>
      </c>
      <c r="DJ6" s="3">
        <v>0.73</v>
      </c>
      <c r="DK6" s="3">
        <f>1-((1-DJ6)*((1-(1-(2.949585/3.999809)))))</f>
        <v>0.80089350516487157</v>
      </c>
      <c r="DL6" s="13">
        <v>997</v>
      </c>
      <c r="DM6" s="13">
        <v>997</v>
      </c>
      <c r="DN6" s="13">
        <v>997</v>
      </c>
      <c r="DO6" s="13"/>
      <c r="DP6" s="13">
        <v>997</v>
      </c>
      <c r="DQ6" s="13"/>
      <c r="DR6" s="1">
        <v>0.23799999999999999</v>
      </c>
      <c r="DS6" s="3">
        <f>10*0.0323</f>
        <v>0.32300000000000001</v>
      </c>
      <c r="DT6" s="3">
        <f>1-((1-DS6)*((1-(1-(2.949585/3.999809)))))</f>
        <v>0.50075889998747436</v>
      </c>
      <c r="DU6" s="11">
        <f>1/1.58</f>
        <v>0.63291139240506322</v>
      </c>
      <c r="DV6" s="3">
        <f>1-((1-DU6)*((1-(1-(2.949585/3.999809)))))</f>
        <v>0.72929731128838615</v>
      </c>
      <c r="DW6" s="4">
        <f>AVERAGE(DI6,DJ6,DU6)</f>
        <v>0.74050379746835437</v>
      </c>
      <c r="DX6" s="4">
        <f>AVERAGE(DI6,DK6,DV6)</f>
        <v>0.79626360548441921</v>
      </c>
      <c r="DY6" s="4">
        <f>(COUNT(DI6,DJ6,DU6))/3</f>
        <v>1</v>
      </c>
      <c r="DZ6" s="3">
        <v>997</v>
      </c>
      <c r="EA6" s="3">
        <v>997</v>
      </c>
      <c r="EB6" s="3">
        <v>997</v>
      </c>
      <c r="EC6" s="3"/>
      <c r="ED6" s="3">
        <v>997</v>
      </c>
      <c r="EE6" s="3">
        <f>1/1.3</f>
        <v>0.76923076923076916</v>
      </c>
      <c r="EF6" s="3">
        <v>0.95</v>
      </c>
      <c r="EG6" s="3">
        <f>1-((1-EF6)*(((2.949585/3.999809))))</f>
        <v>0.96312842688238365</v>
      </c>
      <c r="EH6" s="4">
        <f>AVERAGE(EE6:EF6)</f>
        <v>0.85961538461538456</v>
      </c>
      <c r="EI6" s="4">
        <f>AVERAGE(EE6,EG6)</f>
        <v>0.86617959805657641</v>
      </c>
      <c r="EJ6" s="4">
        <v>1</v>
      </c>
      <c r="EK6" s="3">
        <v>0.5</v>
      </c>
      <c r="EL6" s="3">
        <v>997</v>
      </c>
      <c r="EM6" s="3">
        <v>0.96199999999999997</v>
      </c>
      <c r="EN6" s="3">
        <v>0.96199999999999997</v>
      </c>
      <c r="EO6" s="3">
        <f>1-((1-EN6)*(((2.949585/3.999809))))</f>
        <v>0.97197760443061154</v>
      </c>
      <c r="EP6" s="3">
        <v>1</v>
      </c>
      <c r="EQ6" s="7">
        <v>400</v>
      </c>
      <c r="ER6" s="7" t="s">
        <v>401</v>
      </c>
      <c r="ES6" s="3">
        <v>1</v>
      </c>
      <c r="ET6" s="3">
        <f>1-((1-ES6)*((1-(1-(2.949585/3.999809)))))</f>
        <v>1</v>
      </c>
      <c r="EU6" s="4">
        <f>AVERAGE(EK6,ES6,EM6,EN6,EP6,ES6)</f>
        <v>0.90399999999999991</v>
      </c>
      <c r="EV6" s="4">
        <f>AVERAGE(EK6,EM6,EO6,EP6,ET6)</f>
        <v>0.88679552088612223</v>
      </c>
      <c r="EW6" s="4">
        <f>COUNT(EK6,EM6,EP6,ES6,EN6)/5</f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0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0</v>
      </c>
      <c r="FQ6" s="2">
        <f>AVERAGE(EX6:FP6)</f>
        <v>0.89473684210526316</v>
      </c>
      <c r="FR6" s="2">
        <f>FQ6</f>
        <v>0.89473684210526316</v>
      </c>
      <c r="FS6" s="2">
        <v>1</v>
      </c>
      <c r="FT6" s="1">
        <v>1.091</v>
      </c>
      <c r="FU6" s="1">
        <v>1.105</v>
      </c>
      <c r="FV6" s="1">
        <v>1.077</v>
      </c>
      <c r="FW6" s="1">
        <v>999</v>
      </c>
      <c r="FX6" s="1">
        <v>999</v>
      </c>
      <c r="FY6" s="1">
        <v>999</v>
      </c>
      <c r="FZ6" s="1">
        <v>999</v>
      </c>
      <c r="GA6" s="1">
        <v>999</v>
      </c>
      <c r="GB6" s="1">
        <v>999</v>
      </c>
      <c r="GC6" s="1">
        <v>999</v>
      </c>
      <c r="GD6" s="1">
        <v>999</v>
      </c>
      <c r="GE6" s="44">
        <f t="shared" si="20"/>
        <v>0.97466063348416287</v>
      </c>
      <c r="GF6" s="44" t="s">
        <v>1248</v>
      </c>
      <c r="GO6" s="1">
        <v>0.52100000000000002</v>
      </c>
      <c r="GP6" s="3">
        <f>1-((1-GO6)*((1-(1-(2.949585/3.999809)))))</f>
        <v>0.64677032953323521</v>
      </c>
      <c r="GQ6" s="1">
        <v>0.52600000000000002</v>
      </c>
      <c r="GR6" s="3">
        <f>1-((1-GQ6)*((1-(1-(2.949585/3.999809)))))</f>
        <v>0.65045748684499682</v>
      </c>
      <c r="GS6" s="1">
        <v>0.51700000000000002</v>
      </c>
      <c r="GT6" s="3">
        <f>1-((1-GS6)*((1-(1-(2.949585/3.999809)))))</f>
        <v>0.64382060368382588</v>
      </c>
      <c r="GU6" s="1">
        <v>999</v>
      </c>
      <c r="GV6" s="1">
        <v>999</v>
      </c>
      <c r="GW6" s="1"/>
      <c r="GX6" s="1">
        <v>999</v>
      </c>
      <c r="GY6" s="1">
        <v>999</v>
      </c>
      <c r="GZ6" s="1">
        <v>999</v>
      </c>
      <c r="HA6" s="1">
        <v>999</v>
      </c>
      <c r="HB6" s="1">
        <v>999</v>
      </c>
      <c r="HC6" s="1">
        <v>999</v>
      </c>
      <c r="HD6" s="44">
        <f t="shared" si="21"/>
        <v>0.9828897338403042</v>
      </c>
      <c r="HE6" s="44" t="s">
        <v>1248</v>
      </c>
      <c r="HN6" s="1">
        <v>999</v>
      </c>
      <c r="HO6" s="1">
        <v>999</v>
      </c>
      <c r="HP6" s="1">
        <v>999</v>
      </c>
      <c r="HQ6" s="1"/>
      <c r="HR6" s="1">
        <v>999</v>
      </c>
      <c r="HS6" s="1"/>
      <c r="HT6" s="1">
        <v>999</v>
      </c>
      <c r="HU6" s="1"/>
      <c r="HV6" s="1">
        <v>999</v>
      </c>
      <c r="HW6" s="1"/>
      <c r="HX6" s="1">
        <v>999</v>
      </c>
      <c r="HY6" s="1"/>
      <c r="HZ6" s="1">
        <v>999</v>
      </c>
      <c r="IA6" s="1"/>
      <c r="IB6" s="1">
        <v>999</v>
      </c>
      <c r="IC6" s="1"/>
      <c r="ID6" s="1">
        <v>999</v>
      </c>
      <c r="IE6" s="1"/>
      <c r="IF6" s="1">
        <v>999</v>
      </c>
      <c r="IG6" s="1"/>
      <c r="IH6" s="1">
        <v>999</v>
      </c>
      <c r="IS6" s="1">
        <v>5.8299999999999998E-2</v>
      </c>
      <c r="IT6" s="3">
        <f>1-((1-IS6)*((1-(1-(2.949585/3.999809)))))</f>
        <v>0.30556079190281338</v>
      </c>
      <c r="IU6" s="1">
        <v>6.2899999999999998E-2</v>
      </c>
      <c r="IV6" s="3">
        <f>1-((1-IU6)*((1-(1-(2.949585/3.999809)))))</f>
        <v>0.30895297662963406</v>
      </c>
      <c r="IW6" s="1">
        <v>5.3600000000000002E-2</v>
      </c>
      <c r="IX6" s="3">
        <f>1-((1-IW6)*((1-(1-(2.949585/3.999809)))))</f>
        <v>0.30209486402975749</v>
      </c>
      <c r="IY6" s="1">
        <v>999</v>
      </c>
      <c r="IZ6" s="1"/>
      <c r="JA6" s="1">
        <v>999</v>
      </c>
      <c r="JB6" s="1"/>
      <c r="JC6" s="1">
        <v>999</v>
      </c>
      <c r="JD6" s="1"/>
      <c r="JE6" s="1">
        <v>999</v>
      </c>
      <c r="JF6" s="1"/>
      <c r="JG6" s="1">
        <v>999</v>
      </c>
      <c r="JH6" s="1"/>
      <c r="JI6" s="1">
        <v>999</v>
      </c>
      <c r="JJ6" s="1"/>
      <c r="JK6" s="1">
        <v>999</v>
      </c>
      <c r="JL6" s="1"/>
      <c r="JM6" s="1">
        <v>999</v>
      </c>
      <c r="JN6" s="44">
        <f t="shared" si="22"/>
        <v>0.85214626391096981</v>
      </c>
      <c r="JO6" s="44" t="s">
        <v>1248</v>
      </c>
      <c r="JX6" s="1">
        <v>0.93700000000000006</v>
      </c>
      <c r="JY6" s="1">
        <v>0.93400000000000005</v>
      </c>
      <c r="JZ6" s="1">
        <v>0.94</v>
      </c>
      <c r="KA6" s="1">
        <v>999</v>
      </c>
      <c r="KB6" s="1">
        <v>999</v>
      </c>
      <c r="KC6" s="1">
        <v>999</v>
      </c>
      <c r="KD6" s="1">
        <v>999</v>
      </c>
      <c r="KE6" s="1">
        <v>999</v>
      </c>
      <c r="KF6" s="1">
        <v>999</v>
      </c>
      <c r="KG6" s="1">
        <v>999</v>
      </c>
      <c r="KH6" s="1">
        <v>999</v>
      </c>
      <c r="KI6" s="44">
        <f t="shared" si="23"/>
        <v>1.0064239828693788</v>
      </c>
      <c r="KJ6" s="44" t="s">
        <v>1249</v>
      </c>
      <c r="KS6" s="1">
        <v>0.51500000000000001</v>
      </c>
      <c r="KT6" s="3">
        <f>1-((1-KS6)*((1-(1-(2.949585/3.999809)))))</f>
        <v>0.64234574075912132</v>
      </c>
      <c r="KU6" s="1">
        <v>0.52100000000000002</v>
      </c>
      <c r="KV6" s="3">
        <f>1-((1-KU6)*((1-(1-(2.949585/3.999809)))))</f>
        <v>0.64677032953323521</v>
      </c>
      <c r="KW6" s="1">
        <v>0.50900000000000001</v>
      </c>
      <c r="KX6" s="3">
        <f>1-((1-KW6)*((1-(1-(2.949585/3.999809)))))</f>
        <v>0.63792115198500732</v>
      </c>
      <c r="KY6" s="1">
        <v>999</v>
      </c>
      <c r="KZ6" s="1">
        <v>999</v>
      </c>
      <c r="LA6" s="1">
        <v>999</v>
      </c>
      <c r="LB6" s="1">
        <v>999</v>
      </c>
      <c r="LC6" s="1">
        <v>999</v>
      </c>
      <c r="LD6" s="1">
        <v>999</v>
      </c>
      <c r="LE6" s="1">
        <v>999</v>
      </c>
      <c r="LF6" s="1">
        <v>999</v>
      </c>
      <c r="LG6" s="44">
        <f>KW6/KU6</f>
        <v>0.97696737044145876</v>
      </c>
      <c r="LH6" s="44" t="s">
        <v>1248</v>
      </c>
      <c r="LQ6" s="1">
        <v>0.77439999999999998</v>
      </c>
      <c r="LR6" s="1">
        <v>0.76329999999999998</v>
      </c>
      <c r="LS6" s="1">
        <v>0.78580000000000005</v>
      </c>
      <c r="LT6" s="1">
        <v>999</v>
      </c>
      <c r="LU6" s="1">
        <v>999</v>
      </c>
      <c r="LV6" s="1">
        <v>999</v>
      </c>
      <c r="LW6" s="1">
        <v>999</v>
      </c>
      <c r="LX6" s="1">
        <v>999</v>
      </c>
      <c r="LY6" s="1">
        <v>999</v>
      </c>
      <c r="LZ6" s="1">
        <v>999</v>
      </c>
      <c r="MA6" s="1">
        <v>999</v>
      </c>
      <c r="MB6" s="44">
        <f t="shared" si="24"/>
        <v>1.0294772697497709</v>
      </c>
      <c r="MC6" s="44" t="s">
        <v>1249</v>
      </c>
      <c r="ML6" s="1">
        <v>0.63249999999999995</v>
      </c>
      <c r="MM6" s="3">
        <f>1-((1-ML6)*((1-(1-(2.949585/3.999809)))))</f>
        <v>0.72899393758551967</v>
      </c>
      <c r="MN6" s="1">
        <v>0.65680000000000005</v>
      </c>
      <c r="MO6" s="3">
        <f>1-((1-MN6)*((1-(1-(2.949585/3.999809)))))</f>
        <v>0.74691352212068129</v>
      </c>
      <c r="MP6" s="1">
        <v>0.60799999999999998</v>
      </c>
      <c r="MQ6" s="3">
        <f>1-((1-MP6)*((1-(1-(2.949585/3.999809)))))</f>
        <v>0.71092686675788763</v>
      </c>
      <c r="MR6" s="1">
        <v>999</v>
      </c>
      <c r="MS6" s="1"/>
      <c r="MT6" s="1">
        <v>999</v>
      </c>
      <c r="MU6" s="1"/>
      <c r="MV6" s="1">
        <v>999</v>
      </c>
      <c r="MW6" s="1"/>
      <c r="MX6" s="1">
        <v>999</v>
      </c>
      <c r="MY6" s="1"/>
      <c r="MZ6" s="1">
        <v>999</v>
      </c>
      <c r="NA6" s="1"/>
      <c r="NB6" s="1">
        <v>999</v>
      </c>
      <c r="NC6" s="1"/>
      <c r="ND6" s="1">
        <v>999</v>
      </c>
      <c r="NE6" s="1"/>
      <c r="NF6" s="1">
        <v>999</v>
      </c>
      <c r="NG6" s="1"/>
      <c r="NH6" s="44">
        <f t="shared" si="27"/>
        <v>0.92570036540803891</v>
      </c>
      <c r="NI6" s="44" t="s">
        <v>1248</v>
      </c>
      <c r="NR6" s="1">
        <v>999</v>
      </c>
      <c r="NS6" s="1">
        <v>999</v>
      </c>
      <c r="NT6" s="1">
        <v>999</v>
      </c>
      <c r="NU6" s="1"/>
      <c r="NV6" s="1">
        <v>999</v>
      </c>
      <c r="NW6" s="1"/>
      <c r="NX6" s="1">
        <v>999</v>
      </c>
      <c r="NY6" s="1"/>
      <c r="NZ6" s="1">
        <v>999</v>
      </c>
      <c r="OA6" s="1"/>
      <c r="OB6" s="1">
        <v>999</v>
      </c>
      <c r="OC6" s="1">
        <v>999</v>
      </c>
      <c r="OD6" s="1">
        <v>999</v>
      </c>
      <c r="OE6" s="1">
        <v>999</v>
      </c>
      <c r="OF6" s="1">
        <v>999</v>
      </c>
      <c r="OG6" s="1">
        <v>999</v>
      </c>
      <c r="OH6" s="1"/>
      <c r="OS6" s="1">
        <v>999</v>
      </c>
      <c r="OT6" s="1">
        <v>999</v>
      </c>
      <c r="OU6" s="1">
        <v>999</v>
      </c>
      <c r="OV6" s="1">
        <v>999</v>
      </c>
      <c r="OW6" s="1">
        <v>999</v>
      </c>
      <c r="OX6" s="1">
        <v>999</v>
      </c>
      <c r="OY6" s="1">
        <v>999</v>
      </c>
      <c r="OZ6" s="1"/>
      <c r="PA6" s="1">
        <v>999</v>
      </c>
      <c r="PB6" s="1"/>
      <c r="PC6" s="1">
        <v>999</v>
      </c>
      <c r="PD6" s="1"/>
      <c r="PE6" s="1">
        <v>999</v>
      </c>
      <c r="PF6" s="1">
        <v>999</v>
      </c>
      <c r="PG6" s="1"/>
      <c r="PH6" s="1">
        <v>999</v>
      </c>
      <c r="PI6" s="1">
        <v>999</v>
      </c>
      <c r="PJ6" s="1"/>
      <c r="PK6" s="1">
        <v>999</v>
      </c>
      <c r="PV6" s="2">
        <f>AVERAGE(MP6,MN6,ML6,LQ6:LS6,KW6,KU6,KS6,JX6:JZ6,IW6,IU6,IS6,GS6,GQ6,GO6,FT6:FV6,NH6,MB6,LG6,KI6,JN6,HD6,GE6,)</f>
        <v>0.70127122826565813</v>
      </c>
      <c r="PW6" s="2">
        <f>AVERAGE(MQ6,MO6,MM6,LQ6:LS6,KX6,KV6,KT6,JX6:JZ6,IX6,IV6,IT6,GT6,GR6,GP6,FT6:FV6,NH6,MB6,LG6,KI6,JN6,HD6,GE6)</f>
        <v>0.79026050789535007</v>
      </c>
      <c r="PX6" s="4">
        <f>(COUNT(MP6,MN6,ML6,LQ6:LS6,KW6,KU6,KS6,JX6:JZ6,IS6,IU6,IW6,GO6,GQ6,GS6,FT6:FV6))/110</f>
        <v>0.19090909090909092</v>
      </c>
      <c r="PY6" s="1">
        <v>1</v>
      </c>
      <c r="PZ6" s="1">
        <v>1</v>
      </c>
      <c r="QA6" s="1">
        <v>1</v>
      </c>
      <c r="QB6" s="1">
        <v>1</v>
      </c>
      <c r="QC6" s="1">
        <v>0</v>
      </c>
      <c r="QD6" s="1">
        <v>1</v>
      </c>
      <c r="QE6" s="1">
        <v>1</v>
      </c>
      <c r="QF6" s="1">
        <v>1</v>
      </c>
      <c r="QG6" s="1">
        <v>1</v>
      </c>
      <c r="QH6" s="1">
        <v>1</v>
      </c>
      <c r="QI6" s="1">
        <v>1</v>
      </c>
      <c r="QJ6" s="1">
        <v>1</v>
      </c>
      <c r="QK6" s="1">
        <v>1</v>
      </c>
      <c r="QL6" s="1">
        <v>1</v>
      </c>
      <c r="QM6" s="1">
        <v>1</v>
      </c>
      <c r="QN6" s="1">
        <v>1</v>
      </c>
      <c r="QO6" s="1">
        <v>1</v>
      </c>
      <c r="QP6" s="1">
        <v>1</v>
      </c>
      <c r="QQ6" s="1">
        <v>1</v>
      </c>
      <c r="QR6" s="3">
        <v>0</v>
      </c>
      <c r="QS6" s="3">
        <f>1-((1-QR6)*((1-(1-(2.949585/3.999809)))))</f>
        <v>0.26256853764767274</v>
      </c>
      <c r="QT6" s="8">
        <f>AVERAGE(PY6:QR6)</f>
        <v>0.9</v>
      </c>
      <c r="QU6" s="8">
        <f>AVERAGE(PY6:QQ6,QS6)</f>
        <v>0.91312842688238371</v>
      </c>
      <c r="QV6" s="8">
        <f>(COUNT(PY6:QR6))/20</f>
        <v>1</v>
      </c>
      <c r="QW6" s="1">
        <v>1</v>
      </c>
      <c r="QX6" s="1"/>
      <c r="QY6" s="1">
        <v>1</v>
      </c>
      <c r="QZ6" s="1">
        <v>0</v>
      </c>
      <c r="RA6" s="9">
        <f>AVERAGE(QW6:QZ6)</f>
        <v>0.66666666666666663</v>
      </c>
      <c r="RB6" s="9">
        <v>1</v>
      </c>
      <c r="RC6" s="1">
        <v>997</v>
      </c>
      <c r="RD6" s="1">
        <v>997</v>
      </c>
      <c r="RE6" s="1">
        <v>997</v>
      </c>
      <c r="RF6" s="1">
        <v>997</v>
      </c>
      <c r="RG6" s="1">
        <v>997</v>
      </c>
      <c r="RH6" s="1">
        <v>997</v>
      </c>
      <c r="RI6" s="1">
        <v>997</v>
      </c>
      <c r="RJ6" s="1">
        <v>997</v>
      </c>
      <c r="RK6" s="1">
        <v>0.496</v>
      </c>
      <c r="RL6" s="1">
        <v>0.46700000000000003</v>
      </c>
      <c r="RM6" s="1">
        <v>0.56399999999999995</v>
      </c>
      <c r="RN6" s="1">
        <v>999</v>
      </c>
      <c r="RO6" s="1">
        <v>999</v>
      </c>
      <c r="RP6" s="1">
        <v>999</v>
      </c>
      <c r="RQ6" s="1">
        <v>999</v>
      </c>
      <c r="RR6" s="1">
        <v>999</v>
      </c>
      <c r="RS6" s="1">
        <v>999</v>
      </c>
      <c r="RT6" s="1">
        <v>999</v>
      </c>
      <c r="RU6" s="1">
        <v>999</v>
      </c>
      <c r="RV6" s="1">
        <v>999</v>
      </c>
      <c r="RW6" s="1">
        <v>999</v>
      </c>
      <c r="RX6" s="1">
        <v>999</v>
      </c>
      <c r="RY6" s="1">
        <v>999</v>
      </c>
      <c r="RZ6" s="1">
        <v>999</v>
      </c>
      <c r="SA6" s="1">
        <v>999</v>
      </c>
      <c r="SB6" s="1">
        <v>999</v>
      </c>
      <c r="SC6" s="1">
        <v>999</v>
      </c>
      <c r="SD6" s="1">
        <v>999</v>
      </c>
      <c r="SE6" s="1">
        <v>999</v>
      </c>
      <c r="SF6" s="1">
        <v>999</v>
      </c>
      <c r="SG6" s="1">
        <v>0.52200000000000002</v>
      </c>
      <c r="SH6" s="1">
        <v>999</v>
      </c>
      <c r="SI6" s="1">
        <v>999</v>
      </c>
      <c r="SJ6" s="1">
        <v>999</v>
      </c>
      <c r="SK6" s="1">
        <v>999</v>
      </c>
      <c r="SL6" s="1">
        <v>999</v>
      </c>
      <c r="SM6" s="1">
        <v>999</v>
      </c>
      <c r="SN6" s="1">
        <v>999</v>
      </c>
      <c r="SO6" s="1">
        <v>999</v>
      </c>
      <c r="SP6" s="1">
        <v>999</v>
      </c>
      <c r="SQ6" s="1">
        <v>999</v>
      </c>
      <c r="SR6" s="1">
        <v>0.21</v>
      </c>
      <c r="SS6" s="3">
        <f>1-((1-SR6)*((1-(1-(2.949585/3.999809)))))</f>
        <v>0.41742914474166148</v>
      </c>
      <c r="ST6" s="1">
        <v>0.22700000000000001</v>
      </c>
      <c r="SU6" s="3">
        <f>1-((1-ST6)*((1-(1-(2.949585/3.999809)))))</f>
        <v>0.42996547960165099</v>
      </c>
      <c r="SV6" s="1">
        <v>0.193</v>
      </c>
      <c r="SW6" s="3">
        <f>1-((1-SV6)*((1-(1-(2.949585/3.999809)))))</f>
        <v>0.40489280988167198</v>
      </c>
      <c r="SX6" s="1">
        <v>999</v>
      </c>
      <c r="SY6" s="1">
        <v>999</v>
      </c>
      <c r="SZ6" s="1">
        <v>999</v>
      </c>
      <c r="TA6" s="1">
        <v>999</v>
      </c>
      <c r="TB6" s="1">
        <v>999</v>
      </c>
      <c r="TC6" s="1">
        <v>999</v>
      </c>
      <c r="TD6" s="1">
        <v>999</v>
      </c>
      <c r="TE6" s="1">
        <v>999</v>
      </c>
      <c r="TF6" s="1">
        <v>999</v>
      </c>
      <c r="TG6" s="1">
        <v>999</v>
      </c>
      <c r="TH6" s="1">
        <v>999</v>
      </c>
      <c r="TI6" s="1"/>
      <c r="TJ6" s="1">
        <v>999</v>
      </c>
      <c r="TK6" s="1"/>
      <c r="TL6" s="1">
        <v>999</v>
      </c>
      <c r="TM6" s="1"/>
      <c r="TN6" s="1">
        <v>999</v>
      </c>
      <c r="TO6" s="1"/>
      <c r="TP6" s="1">
        <v>999</v>
      </c>
      <c r="TQ6" s="1"/>
      <c r="TR6" s="1">
        <v>999</v>
      </c>
      <c r="TS6" s="1"/>
      <c r="TT6" s="1">
        <v>999</v>
      </c>
      <c r="TU6" s="1"/>
      <c r="TV6" s="1">
        <v>999</v>
      </c>
      <c r="TW6" s="1"/>
      <c r="TX6" s="1">
        <v>999</v>
      </c>
      <c r="TY6" s="1"/>
      <c r="TZ6" s="1">
        <v>999</v>
      </c>
      <c r="UA6" s="1"/>
      <c r="UB6" s="1">
        <v>999</v>
      </c>
      <c r="UC6" s="1">
        <v>999</v>
      </c>
      <c r="UD6" s="1">
        <v>999</v>
      </c>
      <c r="UE6" s="1"/>
      <c r="UF6" s="1">
        <v>999</v>
      </c>
      <c r="UG6" s="1"/>
      <c r="UH6" s="1">
        <v>999</v>
      </c>
      <c r="UI6" s="1"/>
      <c r="UJ6" s="1">
        <v>999</v>
      </c>
      <c r="UK6" s="1"/>
      <c r="UL6" s="1">
        <v>999</v>
      </c>
      <c r="UM6" s="1"/>
      <c r="UN6" s="1">
        <v>999</v>
      </c>
      <c r="UO6" s="1"/>
      <c r="UP6" s="1">
        <v>999</v>
      </c>
      <c r="UQ6" s="1"/>
      <c r="UR6" s="1">
        <v>999</v>
      </c>
      <c r="US6" s="1"/>
      <c r="UT6" s="1">
        <v>999</v>
      </c>
      <c r="UU6" s="1"/>
      <c r="UV6" s="1">
        <v>999</v>
      </c>
      <c r="UW6" s="1"/>
      <c r="UX6" s="1">
        <v>0.9093</v>
      </c>
      <c r="UY6" s="1">
        <v>0.89590000000000003</v>
      </c>
      <c r="UZ6" s="1">
        <v>0.92120000000000002</v>
      </c>
      <c r="VA6" s="1">
        <v>999</v>
      </c>
      <c r="VB6" s="1">
        <v>999</v>
      </c>
      <c r="VC6" s="1">
        <v>999</v>
      </c>
      <c r="VD6" s="1">
        <v>999</v>
      </c>
      <c r="VE6" s="1">
        <v>999</v>
      </c>
      <c r="VF6" s="1">
        <v>999</v>
      </c>
      <c r="VG6" s="1">
        <v>999</v>
      </c>
      <c r="VH6" s="1">
        <v>999</v>
      </c>
      <c r="VI6" s="1">
        <v>0.83579999999999999</v>
      </c>
      <c r="VJ6" s="1">
        <v>0.87760000000000005</v>
      </c>
      <c r="VK6" s="1">
        <v>0.80069999999999997</v>
      </c>
      <c r="VL6" s="1">
        <v>999</v>
      </c>
      <c r="VM6" s="1">
        <v>999</v>
      </c>
      <c r="VN6" s="1">
        <v>999</v>
      </c>
      <c r="VO6" s="1">
        <v>999</v>
      </c>
      <c r="VP6" s="1">
        <v>999</v>
      </c>
      <c r="VQ6" s="1">
        <v>999</v>
      </c>
      <c r="VR6" s="1">
        <v>999</v>
      </c>
      <c r="VS6" s="1">
        <v>999</v>
      </c>
      <c r="VT6" s="2">
        <f>AVERAGE(VI6:VK6,UX6:UZ6,SV6,ST6,SR6,RK6:RM6,)</f>
        <v>0.56903846153846149</v>
      </c>
      <c r="VU6" s="2">
        <f>AVERAGE(VI6:VK6,UX6:UZ6,SW6,SU6,SS6,SG6,RK6:RM6,)</f>
        <v>0.61012767387321321</v>
      </c>
      <c r="VV6" s="4">
        <f>(COUNT(VI6:VK6,UX6:UZ6,ST6,SV6,SR6,RK6:RM6))/88</f>
        <v>0.13636363636363635</v>
      </c>
      <c r="VW6" s="1">
        <v>1</v>
      </c>
      <c r="VX6" s="3">
        <v>0.33</v>
      </c>
      <c r="VY6" s="3">
        <v>999</v>
      </c>
      <c r="VZ6" s="3">
        <v>999</v>
      </c>
      <c r="WA6" s="3">
        <v>999</v>
      </c>
      <c r="WB6" s="3">
        <v>999</v>
      </c>
      <c r="WC6" s="8">
        <f>AVERAGE(VW6:VX6)</f>
        <v>0.66500000000000004</v>
      </c>
      <c r="WD6" s="8">
        <f>AVERAGE(VW6:VX6)</f>
        <v>0.66500000000000004</v>
      </c>
      <c r="WE6" s="8">
        <f>(COUNT(VW6:VX6))/5</f>
        <v>0.4</v>
      </c>
      <c r="WF6" s="1">
        <v>999</v>
      </c>
      <c r="WG6" s="1">
        <v>1</v>
      </c>
      <c r="WH6" s="1">
        <v>999</v>
      </c>
      <c r="WI6" s="1">
        <v>999</v>
      </c>
      <c r="WJ6" s="1">
        <v>999</v>
      </c>
      <c r="WK6" s="9">
        <f>AVERAGE(WG6)</f>
        <v>1</v>
      </c>
      <c r="WL6" s="9">
        <f>AVERAGE(WG6)</f>
        <v>1</v>
      </c>
      <c r="WM6" s="9">
        <f>(COUNT(WG6))/4</f>
        <v>0.25</v>
      </c>
      <c r="WN6" s="1">
        <v>0.33</v>
      </c>
      <c r="WO6" s="1">
        <v>999</v>
      </c>
      <c r="WP6" s="1">
        <v>0.66</v>
      </c>
      <c r="WQ6" s="1">
        <v>0</v>
      </c>
      <c r="WR6" s="9">
        <f>AVERAGE(WN6,WP6,WQ6)</f>
        <v>0.33</v>
      </c>
      <c r="WS6" s="9">
        <f>(COUNT(WP6,WQ6,WN6)/3)</f>
        <v>1</v>
      </c>
      <c r="WT6" s="3">
        <v>0</v>
      </c>
      <c r="WU6" s="3">
        <v>0</v>
      </c>
      <c r="WV6" s="3">
        <v>0.755</v>
      </c>
      <c r="WW6" s="3">
        <f>1-((1-WV6)*((1-(1-(2.949585/3.999809)))))</f>
        <v>0.81932929172367985</v>
      </c>
      <c r="WX6" s="3">
        <v>1</v>
      </c>
      <c r="WY6" s="3">
        <f>1-((1-WX6)*((1-(1-(2.949585/3.999809)))))</f>
        <v>1</v>
      </c>
      <c r="WZ6" s="3">
        <v>1</v>
      </c>
      <c r="XA6" s="3">
        <f>1-((1-WZ6)*((1-(1-(2.949585/3.999809)))))</f>
        <v>1</v>
      </c>
      <c r="XB6" s="3">
        <v>0.9526</v>
      </c>
      <c r="XC6" s="3">
        <v>1</v>
      </c>
      <c r="XD6" s="3">
        <f>1-((1-XC6)*((1-(1-(2.949585/3.999809)))))</f>
        <v>1</v>
      </c>
      <c r="XE6" s="3">
        <v>1</v>
      </c>
      <c r="XF6" s="3">
        <f>1-((1-XE6)*((1-(1-(2.949585/3.999809)))))</f>
        <v>1</v>
      </c>
      <c r="XG6" s="9">
        <f>AVERAGE(WT6,WV6,WX6,WZ6,XB6,XC6,XE6)</f>
        <v>0.81537142857142852</v>
      </c>
      <c r="XH6" s="9">
        <f>AVERAGE(WU6,WW6,WY6,XB6,XA6,XD6,XF6)</f>
        <v>0.82456132738909715</v>
      </c>
      <c r="XI6" s="9">
        <v>1</v>
      </c>
      <c r="XJ6" s="1"/>
      <c r="XK6" s="1"/>
      <c r="XL6" s="10"/>
      <c r="XM6" s="1">
        <f t="shared" si="0"/>
        <v>0.8571428571428571</v>
      </c>
      <c r="XN6" s="1">
        <f t="shared" si="1"/>
        <v>0.7142857142857143</v>
      </c>
      <c r="XO6" s="1">
        <f t="shared" si="2"/>
        <v>0.5</v>
      </c>
      <c r="XP6" s="1">
        <f t="shared" si="3"/>
        <v>1</v>
      </c>
      <c r="XQ6" s="1">
        <f t="shared" si="4"/>
        <v>0.29205714285714285</v>
      </c>
      <c r="XR6" s="1">
        <f t="shared" si="4"/>
        <v>0.44043087250273355</v>
      </c>
      <c r="XS6" s="1">
        <f t="shared" si="5"/>
        <v>0.22550000000000001</v>
      </c>
      <c r="XT6" s="1">
        <f t="shared" si="5"/>
        <v>0.32842686675788768</v>
      </c>
      <c r="XU6" s="1">
        <f t="shared" si="6"/>
        <v>0.89233333333333331</v>
      </c>
      <c r="XV6" s="1">
        <f t="shared" si="6"/>
        <v>0.90484910029453902</v>
      </c>
      <c r="XW6" s="1">
        <f t="shared" si="7"/>
        <v>0.74050379746835437</v>
      </c>
      <c r="XX6" s="1">
        <f t="shared" si="7"/>
        <v>0.79626360548441921</v>
      </c>
      <c r="XY6" s="1">
        <f t="shared" si="8"/>
        <v>0.85961538461538456</v>
      </c>
      <c r="XZ6" s="1">
        <f t="shared" si="8"/>
        <v>0.86617959805657641</v>
      </c>
      <c r="YA6" s="1">
        <f t="shared" si="9"/>
        <v>0.90399999999999991</v>
      </c>
      <c r="YB6" s="1">
        <f t="shared" si="9"/>
        <v>0.88679552088612223</v>
      </c>
      <c r="YC6" s="1">
        <f t="shared" si="10"/>
        <v>0.89473684210526316</v>
      </c>
      <c r="YD6" s="1">
        <f t="shared" si="10"/>
        <v>0.89473684210526316</v>
      </c>
      <c r="YE6" s="1">
        <f t="shared" si="11"/>
        <v>0.70127122826565813</v>
      </c>
      <c r="YF6" s="1">
        <f t="shared" si="11"/>
        <v>0.79026050789535007</v>
      </c>
      <c r="YG6" s="1">
        <f t="shared" si="12"/>
        <v>0.9</v>
      </c>
      <c r="YH6" s="11">
        <f t="shared" si="12"/>
        <v>0.91312842688238371</v>
      </c>
      <c r="YI6" s="11">
        <f t="shared" si="13"/>
        <v>0.66666666666666663</v>
      </c>
      <c r="YJ6" s="1">
        <f t="shared" si="14"/>
        <v>0.56903846153846149</v>
      </c>
      <c r="YK6" s="1">
        <f t="shared" si="14"/>
        <v>0.61012767387321321</v>
      </c>
      <c r="YL6" s="1">
        <f t="shared" si="15"/>
        <v>0.66500000000000004</v>
      </c>
      <c r="YM6" s="1">
        <f t="shared" si="15"/>
        <v>0.66500000000000004</v>
      </c>
      <c r="YN6" s="1">
        <f t="shared" si="16"/>
        <v>1</v>
      </c>
      <c r="YO6" s="1">
        <f t="shared" si="16"/>
        <v>1</v>
      </c>
      <c r="YP6" s="1">
        <f t="shared" si="17"/>
        <v>0.33</v>
      </c>
      <c r="YQ6" s="1">
        <f t="shared" si="18"/>
        <v>0.81537142857142852</v>
      </c>
      <c r="YR6" s="1">
        <f t="shared" si="18"/>
        <v>0.82456132738909715</v>
      </c>
      <c r="YT6" s="10">
        <f>AVERAGE(XM6:XQ6)</f>
        <v>0.67269714285714277</v>
      </c>
      <c r="YU6" s="10">
        <f>AVERAGE(XM6:XP6,XR6)</f>
        <v>0.702371888786261</v>
      </c>
      <c r="YV6" s="10">
        <f>YU6*(38/44)</f>
        <v>0.60659390395177082</v>
      </c>
      <c r="YW6" s="10">
        <f t="shared" si="25"/>
        <v>0.67948812885426801</v>
      </c>
      <c r="YX6" s="10">
        <f t="shared" si="25"/>
        <v>0.72392979264835566</v>
      </c>
      <c r="YY6" s="10">
        <f>YX6*(12/13)</f>
        <v>0.66824288552155908</v>
      </c>
      <c r="YZ6" s="10">
        <f t="shared" si="26"/>
        <v>0.83333602345697377</v>
      </c>
      <c r="ZA6" s="10">
        <f t="shared" si="26"/>
        <v>0.85726429029557849</v>
      </c>
      <c r="ZB6" s="10">
        <f>ZA6*(45/48)</f>
        <v>0.80368527215210483</v>
      </c>
      <c r="ZC6" s="10">
        <f>AVERAGE(YG6,YI6,YJ6)</f>
        <v>0.71190170940170938</v>
      </c>
      <c r="ZD6" s="10">
        <f>AVERAGE(YH6,YI6,YK6)</f>
        <v>0.72997425580742126</v>
      </c>
      <c r="ZE6" s="10">
        <f>ZD6*(35/38)</f>
        <v>0.67234470929630907</v>
      </c>
      <c r="ZF6" s="10">
        <f>AVERAGE(YL6,YN6,YP6,YQ6,)</f>
        <v>0.56207428571428575</v>
      </c>
      <c r="ZG6" s="10">
        <f>AVERAGE(YM6,YO6,YP6,YR6)</f>
        <v>0.70489033184727434</v>
      </c>
      <c r="ZH6" s="10">
        <f>ZG6*(13/16)</f>
        <v>0.57272339462591038</v>
      </c>
      <c r="ZI6" s="10">
        <f t="shared" si="19"/>
        <v>0.69189945805687592</v>
      </c>
      <c r="ZJ6" s="10">
        <f t="shared" si="19"/>
        <v>0.7436861118769782</v>
      </c>
      <c r="ZK6" s="10">
        <f t="shared" si="19"/>
        <v>0.66471803310953093</v>
      </c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</row>
    <row r="7" spans="1:710" s="36" customFormat="1" x14ac:dyDescent="0.25">
      <c r="A7" s="36" t="s">
        <v>26</v>
      </c>
      <c r="B7" s="36" t="s">
        <v>94</v>
      </c>
      <c r="C7" s="36" t="s">
        <v>95</v>
      </c>
      <c r="D7" s="36" t="s">
        <v>96</v>
      </c>
      <c r="E7" s="36" t="s">
        <v>97</v>
      </c>
      <c r="F7" s="36" t="s">
        <v>998</v>
      </c>
      <c r="G7" s="36" t="s">
        <v>98</v>
      </c>
      <c r="H7" s="36" t="s">
        <v>99</v>
      </c>
      <c r="I7" s="36" t="s">
        <v>999</v>
      </c>
      <c r="J7" s="36" t="s">
        <v>100</v>
      </c>
      <c r="K7" s="36" t="s">
        <v>101</v>
      </c>
      <c r="L7" s="36" t="s">
        <v>102</v>
      </c>
      <c r="M7" s="36" t="s">
        <v>103</v>
      </c>
      <c r="N7" s="36" t="s">
        <v>104</v>
      </c>
      <c r="O7" s="36" t="s">
        <v>105</v>
      </c>
      <c r="P7" s="36" t="s">
        <v>106</v>
      </c>
      <c r="Q7" s="36" t="s">
        <v>107</v>
      </c>
      <c r="R7" s="36" t="s">
        <v>108</v>
      </c>
      <c r="S7" s="36" t="s">
        <v>1000</v>
      </c>
      <c r="T7" s="36" t="s">
        <v>109</v>
      </c>
      <c r="U7" s="36" t="s">
        <v>110</v>
      </c>
      <c r="V7" s="36" t="s">
        <v>111</v>
      </c>
      <c r="W7" s="36" t="s">
        <v>112</v>
      </c>
      <c r="X7" s="36" t="s">
        <v>113</v>
      </c>
      <c r="Y7" s="36" t="s">
        <v>114</v>
      </c>
      <c r="Z7" s="36" t="s">
        <v>115</v>
      </c>
      <c r="AA7" s="36" t="s">
        <v>116</v>
      </c>
      <c r="AB7" s="36" t="s">
        <v>117</v>
      </c>
      <c r="AC7" s="36" t="s">
        <v>118</v>
      </c>
      <c r="AD7" s="36" t="s">
        <v>119</v>
      </c>
      <c r="AE7" s="36" t="s">
        <v>1001</v>
      </c>
      <c r="AF7" s="36" t="s">
        <v>120</v>
      </c>
      <c r="AG7" s="36" t="s">
        <v>121</v>
      </c>
      <c r="AH7" s="37"/>
      <c r="AI7" s="37"/>
      <c r="AJ7" s="36" t="s">
        <v>122</v>
      </c>
      <c r="AK7" s="36" t="s">
        <v>123</v>
      </c>
      <c r="AL7" s="36" t="s">
        <v>124</v>
      </c>
      <c r="AM7" s="36" t="s">
        <v>125</v>
      </c>
      <c r="AN7" s="36" t="s">
        <v>33</v>
      </c>
      <c r="AO7" s="36" t="s">
        <v>34</v>
      </c>
      <c r="AP7" s="36" t="s">
        <v>35</v>
      </c>
      <c r="AS7" s="36" t="s">
        <v>36</v>
      </c>
      <c r="AT7" s="36" t="s">
        <v>37</v>
      </c>
      <c r="AU7" s="36" t="s">
        <v>38</v>
      </c>
      <c r="AY7" s="36" t="s">
        <v>39</v>
      </c>
      <c r="AZ7" s="36" t="s">
        <v>40</v>
      </c>
      <c r="BA7" s="36" t="s">
        <v>1002</v>
      </c>
      <c r="BB7" s="36" t="s">
        <v>41</v>
      </c>
      <c r="BE7" s="36" t="s">
        <v>42</v>
      </c>
      <c r="BG7" s="36" t="s">
        <v>43</v>
      </c>
      <c r="BI7" s="36" t="s">
        <v>44</v>
      </c>
      <c r="BK7" s="36" t="s">
        <v>45</v>
      </c>
      <c r="BM7" s="36" t="s">
        <v>1003</v>
      </c>
      <c r="BO7" s="36" t="s">
        <v>1004</v>
      </c>
      <c r="BQ7" s="36" t="s">
        <v>1005</v>
      </c>
      <c r="BS7" s="36" t="s">
        <v>1006</v>
      </c>
      <c r="BU7" s="36" t="s">
        <v>131</v>
      </c>
      <c r="BW7" s="36" t="s">
        <v>132</v>
      </c>
      <c r="BY7" s="36" t="s">
        <v>133</v>
      </c>
      <c r="CA7" s="36" t="s">
        <v>1007</v>
      </c>
      <c r="CF7" s="36" t="s">
        <v>1008</v>
      </c>
      <c r="CG7" s="36" t="s">
        <v>1009</v>
      </c>
      <c r="CH7" s="36" t="s">
        <v>1010</v>
      </c>
      <c r="CJ7" s="36" t="s">
        <v>1011</v>
      </c>
      <c r="CL7" s="36" t="s">
        <v>1012</v>
      </c>
      <c r="CM7" s="36" t="s">
        <v>1013</v>
      </c>
      <c r="CR7" s="36" t="s">
        <v>1014</v>
      </c>
      <c r="CS7" s="36" t="s">
        <v>1015</v>
      </c>
      <c r="CT7" s="36" t="s">
        <v>1016</v>
      </c>
      <c r="CV7" s="36" t="s">
        <v>1017</v>
      </c>
      <c r="CX7" s="36" t="s">
        <v>1018</v>
      </c>
      <c r="CY7" s="36" t="s">
        <v>1019</v>
      </c>
      <c r="CZ7" s="36" t="s">
        <v>1020</v>
      </c>
      <c r="DA7" s="36" t="s">
        <v>1021</v>
      </c>
      <c r="DC7" s="36" t="s">
        <v>1022</v>
      </c>
      <c r="DD7" s="36" t="s">
        <v>1023</v>
      </c>
      <c r="DI7" s="36" t="s">
        <v>1024</v>
      </c>
      <c r="DJ7" s="36" t="s">
        <v>1025</v>
      </c>
      <c r="DL7" s="36" t="s">
        <v>137</v>
      </c>
      <c r="DM7" s="36" t="s">
        <v>1026</v>
      </c>
      <c r="DN7" s="36" t="s">
        <v>138</v>
      </c>
      <c r="DP7" s="36" t="s">
        <v>139</v>
      </c>
      <c r="DR7" s="36" t="s">
        <v>1027</v>
      </c>
      <c r="DS7" s="36" t="s">
        <v>1028</v>
      </c>
      <c r="DU7" s="36" t="s">
        <v>54</v>
      </c>
      <c r="DZ7" s="36" t="s">
        <v>1029</v>
      </c>
      <c r="EA7" s="36" t="s">
        <v>1030</v>
      </c>
      <c r="EB7" s="36" t="s">
        <v>1031</v>
      </c>
      <c r="ED7" s="36" t="s">
        <v>1032</v>
      </c>
      <c r="EE7" s="36" t="s">
        <v>1033</v>
      </c>
      <c r="EF7" s="36" t="s">
        <v>1034</v>
      </c>
      <c r="EK7" s="36" t="s">
        <v>56</v>
      </c>
      <c r="EL7" s="36" t="s">
        <v>1035</v>
      </c>
      <c r="EM7" s="36" t="s">
        <v>57</v>
      </c>
      <c r="EN7" s="36" t="s">
        <v>58</v>
      </c>
      <c r="EP7" s="36" t="s">
        <v>142</v>
      </c>
      <c r="ER7" s="32" t="s">
        <v>1036</v>
      </c>
      <c r="ES7" s="36" t="s">
        <v>60</v>
      </c>
      <c r="EX7" s="36" t="s">
        <v>144</v>
      </c>
      <c r="EY7" s="36" t="s">
        <v>145</v>
      </c>
      <c r="EZ7" s="36" t="s">
        <v>146</v>
      </c>
      <c r="FA7" s="36" t="s">
        <v>147</v>
      </c>
      <c r="FB7" s="36" t="s">
        <v>148</v>
      </c>
      <c r="FC7" s="36" t="s">
        <v>149</v>
      </c>
      <c r="FD7" s="36" t="s">
        <v>150</v>
      </c>
      <c r="FE7" s="36" t="s">
        <v>1037</v>
      </c>
      <c r="FF7" s="36" t="s">
        <v>151</v>
      </c>
      <c r="FG7" s="36" t="s">
        <v>152</v>
      </c>
      <c r="FH7" s="36" t="s">
        <v>153</v>
      </c>
      <c r="FI7" s="36" t="s">
        <v>154</v>
      </c>
      <c r="FJ7" s="36" t="s">
        <v>155</v>
      </c>
      <c r="FK7" s="36" t="s">
        <v>156</v>
      </c>
      <c r="FL7" s="36" t="s">
        <v>157</v>
      </c>
      <c r="FM7" s="36" t="s">
        <v>158</v>
      </c>
      <c r="FN7" s="36" t="s">
        <v>62</v>
      </c>
      <c r="FO7" s="36" t="s">
        <v>63</v>
      </c>
      <c r="FP7" s="36" t="s">
        <v>64</v>
      </c>
      <c r="FT7" s="36" t="s">
        <v>160</v>
      </c>
      <c r="FU7" s="36" t="s">
        <v>161</v>
      </c>
      <c r="FV7" s="36" t="s">
        <v>162</v>
      </c>
      <c r="FW7" s="36" t="s">
        <v>163</v>
      </c>
      <c r="FX7" s="36" t="s">
        <v>164</v>
      </c>
      <c r="FY7" s="36" t="s">
        <v>165</v>
      </c>
      <c r="FZ7" s="36" t="s">
        <v>166</v>
      </c>
      <c r="GA7" s="36" t="s">
        <v>167</v>
      </c>
      <c r="GB7" s="36" t="s">
        <v>168</v>
      </c>
      <c r="GC7" s="36" t="s">
        <v>169</v>
      </c>
      <c r="GD7" s="36" t="s">
        <v>170</v>
      </c>
      <c r="GE7" s="44"/>
      <c r="GF7" s="44"/>
      <c r="GG7" s="44"/>
      <c r="GH7" s="44"/>
      <c r="GI7" s="44"/>
      <c r="GJ7" s="44"/>
      <c r="GK7" s="44"/>
      <c r="GL7" s="44"/>
      <c r="GM7" s="44"/>
      <c r="GN7" s="44"/>
      <c r="GO7" s="36" t="s">
        <v>171</v>
      </c>
      <c r="GQ7" s="36" t="s">
        <v>172</v>
      </c>
      <c r="GS7" s="36" t="s">
        <v>173</v>
      </c>
      <c r="GU7" s="36" t="s">
        <v>174</v>
      </c>
      <c r="GW7" s="36" t="s">
        <v>175</v>
      </c>
      <c r="GX7" s="36" t="s">
        <v>176</v>
      </c>
      <c r="GY7" s="36" t="s">
        <v>177</v>
      </c>
      <c r="GZ7" s="36" t="s">
        <v>178</v>
      </c>
      <c r="HA7" s="36" t="s">
        <v>179</v>
      </c>
      <c r="HB7" s="36" t="s">
        <v>180</v>
      </c>
      <c r="HC7" s="36" t="s">
        <v>181</v>
      </c>
      <c r="HD7" s="44"/>
      <c r="HE7" s="44"/>
      <c r="HF7" s="44"/>
      <c r="HG7" s="44"/>
      <c r="HH7" s="44"/>
      <c r="HI7" s="44"/>
      <c r="HJ7" s="44"/>
      <c r="HK7" s="44"/>
      <c r="HL7" s="44"/>
      <c r="HM7" s="44"/>
      <c r="HN7" s="36" t="s">
        <v>182</v>
      </c>
      <c r="HP7" s="36" t="s">
        <v>183</v>
      </c>
      <c r="HR7" s="36" t="s">
        <v>184</v>
      </c>
      <c r="HT7" s="36" t="s">
        <v>185</v>
      </c>
      <c r="HV7" s="36" t="s">
        <v>186</v>
      </c>
      <c r="HX7" s="36" t="s">
        <v>187</v>
      </c>
      <c r="HZ7" s="36" t="s">
        <v>188</v>
      </c>
      <c r="IB7" s="36" t="s">
        <v>189</v>
      </c>
      <c r="ID7" s="36" t="s">
        <v>190</v>
      </c>
      <c r="IF7" s="36" t="s">
        <v>191</v>
      </c>
      <c r="IH7" s="36" t="s">
        <v>192</v>
      </c>
      <c r="II7" s="44"/>
      <c r="IJ7" s="44"/>
      <c r="IK7" s="44"/>
      <c r="IL7" s="44"/>
      <c r="IM7" s="44"/>
      <c r="IN7" s="44"/>
      <c r="IO7" s="44"/>
      <c r="IP7" s="44"/>
      <c r="IQ7" s="44"/>
      <c r="IR7" s="44"/>
      <c r="IS7" s="36" t="s">
        <v>193</v>
      </c>
      <c r="IU7" s="36" t="s">
        <v>194</v>
      </c>
      <c r="IW7" s="36" t="s">
        <v>195</v>
      </c>
      <c r="IY7" s="36" t="s">
        <v>196</v>
      </c>
      <c r="JA7" s="36" t="s">
        <v>197</v>
      </c>
      <c r="JC7" s="36" t="s">
        <v>198</v>
      </c>
      <c r="JE7" s="36" t="s">
        <v>199</v>
      </c>
      <c r="JG7" s="36" t="s">
        <v>200</v>
      </c>
      <c r="JI7" s="36" t="s">
        <v>201</v>
      </c>
      <c r="JK7" s="36" t="s">
        <v>202</v>
      </c>
      <c r="JM7" s="36" t="s">
        <v>203</v>
      </c>
      <c r="JN7" s="44"/>
      <c r="JO7" s="44"/>
      <c r="JP7" s="44"/>
      <c r="JQ7" s="44"/>
      <c r="JR7" s="44"/>
      <c r="JS7" s="44"/>
      <c r="JT7" s="44"/>
      <c r="JU7" s="44"/>
      <c r="JV7" s="44"/>
      <c r="JW7" s="44"/>
      <c r="JX7" s="36" t="s">
        <v>204</v>
      </c>
      <c r="JY7" s="36" t="s">
        <v>205</v>
      </c>
      <c r="JZ7" s="36" t="s">
        <v>206</v>
      </c>
      <c r="KA7" s="36" t="s">
        <v>207</v>
      </c>
      <c r="KB7" s="36" t="s">
        <v>208</v>
      </c>
      <c r="KC7" s="36" t="s">
        <v>209</v>
      </c>
      <c r="KD7" s="36" t="s">
        <v>210</v>
      </c>
      <c r="KE7" s="36" t="s">
        <v>211</v>
      </c>
      <c r="KF7" s="36" t="s">
        <v>212</v>
      </c>
      <c r="KG7" s="36" t="s">
        <v>213</v>
      </c>
      <c r="KH7" s="36" t="s">
        <v>214</v>
      </c>
      <c r="KI7" s="44"/>
      <c r="KJ7" s="44"/>
      <c r="KK7" s="44"/>
      <c r="KL7" s="44"/>
      <c r="KM7" s="44"/>
      <c r="KN7" s="44"/>
      <c r="KO7" s="44"/>
      <c r="KP7" s="44"/>
      <c r="KQ7" s="44"/>
      <c r="KR7" s="44"/>
      <c r="KS7" s="36" t="s">
        <v>215</v>
      </c>
      <c r="KU7" s="36" t="s">
        <v>216</v>
      </c>
      <c r="KW7" s="36" t="s">
        <v>217</v>
      </c>
      <c r="KY7" s="36" t="s">
        <v>218</v>
      </c>
      <c r="KZ7" s="36" t="s">
        <v>219</v>
      </c>
      <c r="LA7" s="36" t="s">
        <v>220</v>
      </c>
      <c r="LB7" s="36" t="s">
        <v>221</v>
      </c>
      <c r="LC7" s="36" t="s">
        <v>222</v>
      </c>
      <c r="LD7" s="36" t="s">
        <v>223</v>
      </c>
      <c r="LE7" s="36" t="s">
        <v>224</v>
      </c>
      <c r="LF7" s="36" t="s">
        <v>225</v>
      </c>
      <c r="LG7" s="44"/>
      <c r="LH7" s="44"/>
      <c r="LI7" s="44"/>
      <c r="LJ7" s="44"/>
      <c r="LK7" s="44"/>
      <c r="LL7" s="44"/>
      <c r="LM7" s="44"/>
      <c r="LN7" s="44"/>
      <c r="LO7" s="44"/>
      <c r="LP7" s="44"/>
      <c r="LQ7" s="36" t="s">
        <v>226</v>
      </c>
      <c r="LR7" s="36" t="s">
        <v>227</v>
      </c>
      <c r="LS7" s="36" t="s">
        <v>228</v>
      </c>
      <c r="LT7" s="36" t="s">
        <v>229</v>
      </c>
      <c r="LU7" s="36" t="s">
        <v>230</v>
      </c>
      <c r="LV7" s="36" t="s">
        <v>231</v>
      </c>
      <c r="LW7" s="36" t="s">
        <v>232</v>
      </c>
      <c r="LX7" s="36" t="s">
        <v>233</v>
      </c>
      <c r="LY7" s="36" t="s">
        <v>234</v>
      </c>
      <c r="LZ7" s="36" t="s">
        <v>235</v>
      </c>
      <c r="MA7" s="36" t="s">
        <v>236</v>
      </c>
      <c r="MB7" s="44"/>
      <c r="MC7" s="44"/>
      <c r="MD7" s="44"/>
      <c r="ME7" s="44"/>
      <c r="MF7" s="44"/>
      <c r="MG7" s="44"/>
      <c r="MH7" s="44"/>
      <c r="MI7" s="44"/>
      <c r="MJ7" s="44"/>
      <c r="MK7" s="44"/>
      <c r="ML7" s="36" t="s">
        <v>237</v>
      </c>
      <c r="MN7" s="36" t="s">
        <v>238</v>
      </c>
      <c r="MP7" s="36" t="s">
        <v>239</v>
      </c>
      <c r="MR7" s="36" t="s">
        <v>240</v>
      </c>
      <c r="MT7" s="36" t="s">
        <v>241</v>
      </c>
      <c r="MV7" s="36" t="s">
        <v>242</v>
      </c>
      <c r="MX7" s="36" t="s">
        <v>243</v>
      </c>
      <c r="MZ7" s="36" t="s">
        <v>244</v>
      </c>
      <c r="NB7" s="36" t="s">
        <v>245</v>
      </c>
      <c r="ND7" s="36" t="s">
        <v>246</v>
      </c>
      <c r="NF7" s="36" t="s">
        <v>247</v>
      </c>
      <c r="NH7" s="44"/>
      <c r="NI7" s="44"/>
      <c r="NJ7" s="44"/>
      <c r="NK7" s="44"/>
      <c r="NL7" s="44"/>
      <c r="NM7" s="44"/>
      <c r="NN7" s="44"/>
      <c r="NO7" s="44"/>
      <c r="NP7" s="44"/>
      <c r="NQ7" s="44"/>
      <c r="NR7" s="36" t="s">
        <v>248</v>
      </c>
      <c r="NT7" s="36" t="s">
        <v>249</v>
      </c>
      <c r="NV7" s="36" t="s">
        <v>250</v>
      </c>
      <c r="NX7" s="36" t="s">
        <v>251</v>
      </c>
      <c r="NZ7" s="36" t="s">
        <v>252</v>
      </c>
      <c r="OB7" s="36" t="s">
        <v>253</v>
      </c>
      <c r="OC7" s="36" t="s">
        <v>254</v>
      </c>
      <c r="OD7" s="36" t="s">
        <v>255</v>
      </c>
      <c r="OE7" s="36" t="s">
        <v>256</v>
      </c>
      <c r="OF7" s="36" t="s">
        <v>257</v>
      </c>
      <c r="OG7" s="36" t="s">
        <v>258</v>
      </c>
      <c r="OI7" s="44"/>
      <c r="OJ7" s="44"/>
      <c r="OK7" s="44"/>
      <c r="OL7" s="44"/>
      <c r="OM7" s="44"/>
      <c r="ON7" s="44"/>
      <c r="OO7" s="44"/>
      <c r="OP7" s="44"/>
      <c r="OQ7" s="44"/>
      <c r="OR7" s="44"/>
      <c r="OS7" s="36" t="s">
        <v>259</v>
      </c>
      <c r="OU7" s="36" t="s">
        <v>260</v>
      </c>
      <c r="OW7" s="36" t="s">
        <v>261</v>
      </c>
      <c r="OY7" s="36" t="s">
        <v>262</v>
      </c>
      <c r="PA7" s="36" t="s">
        <v>263</v>
      </c>
      <c r="PC7" s="36" t="s">
        <v>264</v>
      </c>
      <c r="PE7" s="36" t="s">
        <v>265</v>
      </c>
      <c r="PF7" s="36" t="s">
        <v>266</v>
      </c>
      <c r="PH7" s="36" t="s">
        <v>267</v>
      </c>
      <c r="PI7" s="36" t="s">
        <v>268</v>
      </c>
      <c r="PK7" s="36" t="s">
        <v>269</v>
      </c>
      <c r="PL7" s="44"/>
      <c r="PM7" s="44"/>
      <c r="PN7" s="44"/>
      <c r="PO7" s="44"/>
      <c r="PP7" s="44"/>
      <c r="PQ7" s="44"/>
      <c r="PR7" s="44"/>
      <c r="PS7" s="44"/>
      <c r="PT7" s="44"/>
      <c r="PU7" s="44"/>
      <c r="PX7" s="36">
        <v>110</v>
      </c>
      <c r="PY7" s="36" t="s">
        <v>271</v>
      </c>
      <c r="PZ7" s="36" t="s">
        <v>272</v>
      </c>
      <c r="QA7" s="36" t="s">
        <v>273</v>
      </c>
      <c r="QB7" s="36" t="s">
        <v>1038</v>
      </c>
      <c r="QC7" s="36" t="s">
        <v>274</v>
      </c>
      <c r="QD7" s="36" t="s">
        <v>275</v>
      </c>
      <c r="QE7" s="36" t="s">
        <v>276</v>
      </c>
      <c r="QF7" s="36" t="s">
        <v>277</v>
      </c>
      <c r="QG7" s="36" t="s">
        <v>1039</v>
      </c>
      <c r="QH7" s="36" t="s">
        <v>278</v>
      </c>
      <c r="QI7" s="36" t="s">
        <v>279</v>
      </c>
      <c r="QJ7" s="36" t="s">
        <v>280</v>
      </c>
      <c r="QK7" s="36" t="s">
        <v>281</v>
      </c>
      <c r="QL7" s="36" t="s">
        <v>1040</v>
      </c>
      <c r="QM7" s="36" t="s">
        <v>282</v>
      </c>
      <c r="QN7" s="36" t="s">
        <v>70</v>
      </c>
      <c r="QO7" s="36" t="s">
        <v>283</v>
      </c>
      <c r="QP7" s="36" t="s">
        <v>284</v>
      </c>
      <c r="QQ7" s="36" t="s">
        <v>285</v>
      </c>
      <c r="QR7" s="36" t="s">
        <v>1041</v>
      </c>
      <c r="QV7" s="36">
        <v>20</v>
      </c>
      <c r="QW7" s="36" t="s">
        <v>72</v>
      </c>
      <c r="QX7" s="36" t="s">
        <v>1042</v>
      </c>
      <c r="QY7" s="36" t="s">
        <v>73</v>
      </c>
      <c r="QZ7" s="36" t="s">
        <v>74</v>
      </c>
      <c r="RC7" s="36" t="s">
        <v>1043</v>
      </c>
      <c r="RD7" s="36" t="s">
        <v>1044</v>
      </c>
      <c r="RE7" s="36" t="s">
        <v>1045</v>
      </c>
      <c r="RF7" s="36" t="s">
        <v>1046</v>
      </c>
      <c r="RG7" s="36" t="s">
        <v>1047</v>
      </c>
      <c r="RH7" s="36" t="s">
        <v>1048</v>
      </c>
      <c r="RI7" s="36" t="s">
        <v>1049</v>
      </c>
      <c r="RJ7" s="36" t="s">
        <v>1050</v>
      </c>
      <c r="RK7" s="36" t="s">
        <v>288</v>
      </c>
      <c r="RL7" s="36" t="s">
        <v>289</v>
      </c>
      <c r="RM7" s="36" t="s">
        <v>290</v>
      </c>
      <c r="RN7" s="36" t="s">
        <v>291</v>
      </c>
      <c r="RO7" s="36" t="s">
        <v>292</v>
      </c>
      <c r="RP7" s="36" t="s">
        <v>293</v>
      </c>
      <c r="RQ7" s="36" t="s">
        <v>294</v>
      </c>
      <c r="RR7" s="36" t="s">
        <v>295</v>
      </c>
      <c r="RS7" s="36" t="s">
        <v>296</v>
      </c>
      <c r="RT7" s="36" t="s">
        <v>297</v>
      </c>
      <c r="RU7" s="36" t="s">
        <v>298</v>
      </c>
      <c r="RV7" s="36" t="s">
        <v>299</v>
      </c>
      <c r="RW7" s="36" t="s">
        <v>300</v>
      </c>
      <c r="RX7" s="36" t="s">
        <v>301</v>
      </c>
      <c r="RY7" s="36" t="s">
        <v>302</v>
      </c>
      <c r="RZ7" s="36" t="s">
        <v>303</v>
      </c>
      <c r="SA7" s="36" t="s">
        <v>304</v>
      </c>
      <c r="SB7" s="36" t="s">
        <v>305</v>
      </c>
      <c r="SC7" s="36" t="s">
        <v>306</v>
      </c>
      <c r="SD7" s="36" t="s">
        <v>307</v>
      </c>
      <c r="SE7" s="36" t="s">
        <v>308</v>
      </c>
      <c r="SF7" s="36" t="s">
        <v>309</v>
      </c>
      <c r="SG7" s="36" t="s">
        <v>310</v>
      </c>
      <c r="SH7" s="36" t="s">
        <v>311</v>
      </c>
      <c r="SI7" s="36" t="s">
        <v>312</v>
      </c>
      <c r="SJ7" s="36" t="s">
        <v>313</v>
      </c>
      <c r="SK7" s="36" t="s">
        <v>314</v>
      </c>
      <c r="SL7" s="36" t="s">
        <v>315</v>
      </c>
      <c r="SM7" s="36" t="s">
        <v>316</v>
      </c>
      <c r="SN7" s="36" t="s">
        <v>317</v>
      </c>
      <c r="SO7" s="36" t="s">
        <v>318</v>
      </c>
      <c r="SP7" s="36" t="s">
        <v>319</v>
      </c>
      <c r="SQ7" s="36" t="s">
        <v>320</v>
      </c>
      <c r="SR7" s="36" t="s">
        <v>321</v>
      </c>
      <c r="ST7" s="36" t="s">
        <v>322</v>
      </c>
      <c r="SV7" s="36" t="s">
        <v>323</v>
      </c>
      <c r="SX7" s="36" t="s">
        <v>324</v>
      </c>
      <c r="SY7" s="36" t="s">
        <v>325</v>
      </c>
      <c r="SZ7" s="36" t="s">
        <v>326</v>
      </c>
      <c r="TA7" s="36" t="s">
        <v>327</v>
      </c>
      <c r="TB7" s="36" t="s">
        <v>328</v>
      </c>
      <c r="TC7" s="36" t="s">
        <v>329</v>
      </c>
      <c r="TD7" s="36" t="s">
        <v>330</v>
      </c>
      <c r="TE7" s="36" t="s">
        <v>331</v>
      </c>
      <c r="TF7" s="36" t="s">
        <v>332</v>
      </c>
      <c r="TH7" s="36" t="s">
        <v>333</v>
      </c>
      <c r="TJ7" s="36" t="s">
        <v>334</v>
      </c>
      <c r="TL7" s="36" t="s">
        <v>335</v>
      </c>
      <c r="TN7" s="36" t="s">
        <v>336</v>
      </c>
      <c r="TP7" s="36" t="s">
        <v>337</v>
      </c>
      <c r="TR7" s="36" t="s">
        <v>338</v>
      </c>
      <c r="TT7" s="36" t="s">
        <v>339</v>
      </c>
      <c r="TV7" s="36" t="s">
        <v>340</v>
      </c>
      <c r="TX7" s="36" t="s">
        <v>341</v>
      </c>
      <c r="TZ7" s="36" t="s">
        <v>342</v>
      </c>
      <c r="UB7" s="36" t="s">
        <v>343</v>
      </c>
      <c r="UD7" s="36" t="s">
        <v>344</v>
      </c>
      <c r="UF7" s="36" t="s">
        <v>345</v>
      </c>
      <c r="UH7" s="36" t="s">
        <v>346</v>
      </c>
      <c r="UJ7" s="36" t="s">
        <v>347</v>
      </c>
      <c r="UL7" s="36" t="s">
        <v>348</v>
      </c>
      <c r="UN7" s="36" t="s">
        <v>349</v>
      </c>
      <c r="UP7" s="36" t="s">
        <v>350</v>
      </c>
      <c r="UR7" s="36" t="s">
        <v>351</v>
      </c>
      <c r="UT7" s="36" t="s">
        <v>352</v>
      </c>
      <c r="UV7" s="36" t="s">
        <v>353</v>
      </c>
      <c r="UX7" s="36" t="s">
        <v>354</v>
      </c>
      <c r="UY7" s="36" t="s">
        <v>355</v>
      </c>
      <c r="UZ7" s="36" t="s">
        <v>356</v>
      </c>
      <c r="VA7" s="36" t="s">
        <v>357</v>
      </c>
      <c r="VB7" s="36" t="s">
        <v>358</v>
      </c>
      <c r="VC7" s="36" t="s">
        <v>359</v>
      </c>
      <c r="VD7" s="36" t="s">
        <v>360</v>
      </c>
      <c r="VE7" s="36" t="s">
        <v>361</v>
      </c>
      <c r="VF7" s="36" t="s">
        <v>362</v>
      </c>
      <c r="VG7" s="36" t="s">
        <v>363</v>
      </c>
      <c r="VH7" s="36" t="s">
        <v>364</v>
      </c>
      <c r="VI7" s="36" t="s">
        <v>365</v>
      </c>
      <c r="VJ7" s="36" t="s">
        <v>366</v>
      </c>
      <c r="VK7" s="36" t="s">
        <v>367</v>
      </c>
      <c r="VL7" s="36" t="s">
        <v>368</v>
      </c>
      <c r="VM7" s="36" t="s">
        <v>369</v>
      </c>
      <c r="VN7" s="36" t="s">
        <v>370</v>
      </c>
      <c r="VO7" s="36" t="s">
        <v>371</v>
      </c>
      <c r="VP7" s="36" t="s">
        <v>372</v>
      </c>
      <c r="VQ7" s="36" t="s">
        <v>373</v>
      </c>
      <c r="VR7" s="36" t="s">
        <v>374</v>
      </c>
      <c r="VS7" s="36" t="s">
        <v>375</v>
      </c>
      <c r="VV7" s="36">
        <v>96</v>
      </c>
      <c r="VW7" s="36" t="s">
        <v>77</v>
      </c>
      <c r="VX7" s="36" t="s">
        <v>78</v>
      </c>
      <c r="VY7" s="36" t="s">
        <v>377</v>
      </c>
      <c r="WA7" s="36" t="s">
        <v>378</v>
      </c>
      <c r="WB7" s="36" t="s">
        <v>379</v>
      </c>
      <c r="WF7" s="36" t="s">
        <v>79</v>
      </c>
      <c r="WG7" s="36" t="s">
        <v>80</v>
      </c>
      <c r="WH7" s="36" t="s">
        <v>380</v>
      </c>
      <c r="WI7" s="36" t="s">
        <v>381</v>
      </c>
      <c r="WN7" s="36" t="s">
        <v>82</v>
      </c>
      <c r="WO7" s="36" t="s">
        <v>1051</v>
      </c>
      <c r="WP7" s="36" t="s">
        <v>83</v>
      </c>
      <c r="WQ7" s="36" t="s">
        <v>84</v>
      </c>
      <c r="WT7" s="36" t="s">
        <v>85</v>
      </c>
      <c r="WV7" s="36" t="s">
        <v>1052</v>
      </c>
      <c r="WX7" s="36" t="s">
        <v>86</v>
      </c>
      <c r="WZ7" s="36" t="s">
        <v>87</v>
      </c>
      <c r="XB7" s="36" t="s">
        <v>1053</v>
      </c>
      <c r="XC7" s="36" t="s">
        <v>88</v>
      </c>
      <c r="XE7" s="36" t="s">
        <v>1054</v>
      </c>
      <c r="XI7" s="36">
        <v>7</v>
      </c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1"/>
      <c r="YI7" s="11"/>
      <c r="YJ7" s="1"/>
      <c r="YK7" s="1"/>
      <c r="YL7" s="1"/>
      <c r="YM7" s="1"/>
      <c r="YN7" s="1"/>
      <c r="YO7" s="1"/>
      <c r="YP7" s="1"/>
      <c r="YQ7" s="1"/>
      <c r="YR7" s="1"/>
    </row>
    <row r="8" spans="1:710" x14ac:dyDescent="0.25">
      <c r="A8" t="s">
        <v>1055</v>
      </c>
      <c r="B8">
        <v>1</v>
      </c>
      <c r="C8">
        <v>0.5</v>
      </c>
      <c r="D8">
        <v>0.5</v>
      </c>
      <c r="E8">
        <v>1</v>
      </c>
      <c r="F8">
        <v>0</v>
      </c>
      <c r="G8">
        <v>1</v>
      </c>
      <c r="H8">
        <v>0.5</v>
      </c>
      <c r="I8">
        <v>0.5</v>
      </c>
      <c r="J8">
        <v>1</v>
      </c>
      <c r="K8">
        <v>0</v>
      </c>
      <c r="L8">
        <v>1</v>
      </c>
      <c r="M8">
        <v>0</v>
      </c>
      <c r="N8">
        <v>0.5</v>
      </c>
      <c r="O8">
        <v>0.5</v>
      </c>
      <c r="P8">
        <v>0.5</v>
      </c>
      <c r="Q8">
        <v>1</v>
      </c>
      <c r="R8">
        <v>997</v>
      </c>
      <c r="S8">
        <v>997</v>
      </c>
      <c r="T8">
        <v>997</v>
      </c>
      <c r="U8">
        <v>997</v>
      </c>
      <c r="V8">
        <v>997</v>
      </c>
      <c r="W8">
        <v>997</v>
      </c>
      <c r="X8">
        <v>997</v>
      </c>
      <c r="Y8">
        <v>997</v>
      </c>
      <c r="Z8">
        <v>997</v>
      </c>
      <c r="AA8">
        <v>997</v>
      </c>
      <c r="AB8">
        <v>997</v>
      </c>
      <c r="AC8">
        <v>997</v>
      </c>
      <c r="AD8">
        <v>997</v>
      </c>
      <c r="AE8">
        <v>997</v>
      </c>
      <c r="AF8">
        <v>997</v>
      </c>
      <c r="AG8">
        <v>997</v>
      </c>
      <c r="AH8" s="38">
        <f>AVERAGE(B8:Q8)</f>
        <v>0.59375</v>
      </c>
      <c r="AI8" s="6">
        <v>1</v>
      </c>
      <c r="AJ8">
        <v>1</v>
      </c>
      <c r="AK8">
        <v>1</v>
      </c>
      <c r="AL8">
        <v>0</v>
      </c>
      <c r="AM8">
        <v>0</v>
      </c>
      <c r="AN8">
        <v>1</v>
      </c>
      <c r="AO8">
        <v>1</v>
      </c>
      <c r="AP8">
        <v>1</v>
      </c>
      <c r="AQ8" s="2">
        <f>AVERAGE(AJ8:AP8)</f>
        <v>0.7142857142857143</v>
      </c>
      <c r="AR8" s="2">
        <v>1</v>
      </c>
      <c r="AS8">
        <v>997</v>
      </c>
      <c r="AT8">
        <v>997</v>
      </c>
      <c r="AU8">
        <v>1</v>
      </c>
      <c r="AV8" s="3">
        <f>1-((1-AU8)*((1-(1-(4.750722/3.999809)))))</f>
        <v>1</v>
      </c>
      <c r="AW8" s="39">
        <f>AVERAGE(AU8:AV8)</f>
        <v>1</v>
      </c>
      <c r="AX8" s="4">
        <v>1</v>
      </c>
      <c r="AY8">
        <v>1</v>
      </c>
      <c r="AZ8">
        <v>1</v>
      </c>
      <c r="BA8">
        <v>0.75</v>
      </c>
      <c r="BB8">
        <v>1</v>
      </c>
      <c r="BC8" s="2">
        <f>AVERAGE(AY8:BB8)</f>
        <v>0.9375</v>
      </c>
      <c r="BD8" s="2">
        <v>1</v>
      </c>
      <c r="BE8">
        <f>49.515979/100</f>
        <v>0.49515978999999999</v>
      </c>
      <c r="BF8" s="3">
        <f>1-((1-BE8)*((4.750722/3.999809)))</f>
        <v>0.40038249523124236</v>
      </c>
      <c r="BG8">
        <f>7.65816454/100</f>
        <v>7.6581645399999995E-2</v>
      </c>
      <c r="BH8" s="3">
        <v>0</v>
      </c>
      <c r="BI8">
        <v>0</v>
      </c>
      <c r="BJ8" s="3">
        <v>0</v>
      </c>
      <c r="BK8">
        <f>6.562/100</f>
        <v>6.5619999999999998E-2</v>
      </c>
      <c r="BL8" s="3">
        <v>0</v>
      </c>
      <c r="BQ8">
        <f>6.02/100</f>
        <v>6.0199999999999997E-2</v>
      </c>
      <c r="BR8" s="3">
        <v>0</v>
      </c>
      <c r="BS8">
        <f>26.92/100</f>
        <v>0.26919999999999999</v>
      </c>
      <c r="BT8" s="3">
        <f>1-((1-BS8)*((1-(1-(4.750722/3.999809)))))</f>
        <v>0.13200164367848566</v>
      </c>
      <c r="BU8">
        <f>49/100</f>
        <v>0.49</v>
      </c>
      <c r="BV8" s="3">
        <f>1-((1-BU8)*((1-(1-(4.750722/3.999809)))))</f>
        <v>0.39425402062948511</v>
      </c>
      <c r="BW8">
        <f>43.59/100</f>
        <v>0.43590000000000001</v>
      </c>
      <c r="BX8" s="3">
        <f>1-((1-BW8)*((1-(1-(4.750722/3.999809)))))</f>
        <v>0.32999743732763243</v>
      </c>
      <c r="BY8">
        <f>4.8/100</f>
        <v>4.8000000000000001E-2</v>
      </c>
      <c r="BZ8" s="3">
        <v>0</v>
      </c>
      <c r="CA8">
        <f>101.62/100</f>
        <v>1.0162</v>
      </c>
      <c r="CB8" s="3">
        <f>1-((1-CA8)*((1-(1-(4.750722/3.999809)))))</f>
        <v>1.0192413428741223</v>
      </c>
      <c r="CC8" s="4">
        <f>AVERAGE(BE8,BG8,BI8,BK8,BQ8,BU8,BW8,BY8,BS8,CA8)</f>
        <v>0.29568614354</v>
      </c>
      <c r="CD8" s="4">
        <f>AVERAGE(CB8,BT8,BH8,BJ8,BL8,BR8,BV8,BX8,BZ8,BF8,)</f>
        <v>0.20689790361281526</v>
      </c>
      <c r="CE8" s="39">
        <f>(COUNT(BE8,BG8,BI8,BK8,BQ8,BS8,BU8,BW8,BY8,CA8))/12</f>
        <v>0.83333333333333337</v>
      </c>
      <c r="CF8">
        <v>1</v>
      </c>
      <c r="CG8">
        <f>10*(1/24)</f>
        <v>0.41666666666666663</v>
      </c>
      <c r="CH8">
        <v>1</v>
      </c>
      <c r="CI8" s="3">
        <f>1-((1-CH8)*((1-(1-(4.750722/3.999809)))))</f>
        <v>1</v>
      </c>
      <c r="CJ8">
        <f>10*(1/29)</f>
        <v>0.34482758620689657</v>
      </c>
      <c r="CK8" s="3">
        <f>1-((1-CJ8)*((1-(1-(4.750722/3.999809)))))</f>
        <v>0.22182734225559275</v>
      </c>
      <c r="CL8">
        <f>(10*(1/23.58))/CG8</f>
        <v>1.0178117048346058</v>
      </c>
      <c r="CM8">
        <f>(10*(1/12))/CJ8</f>
        <v>2.4166666666666661</v>
      </c>
      <c r="CN8" s="3">
        <f>1-((1-CM8)*((1-(1-(4.750722/3.999809)))))</f>
        <v>2.6826277204736515</v>
      </c>
      <c r="CO8" s="6">
        <f>AVERAGE(CF8,CH8,CJ8,CL8:CM8)</f>
        <v>1.1558611915416337</v>
      </c>
      <c r="CP8" s="6">
        <f>AVERAGE(CF8:CG8,CI8,CK8,CL8,CN8)</f>
        <v>1.0564889057050861</v>
      </c>
      <c r="CQ8">
        <f>(COUNT(CF8,CH8,CL8,CM8))/4</f>
        <v>1</v>
      </c>
      <c r="CR8">
        <v>1</v>
      </c>
      <c r="CS8">
        <f>10*(1/(AVERAGE(10,25)))</f>
        <v>0.5714285714285714</v>
      </c>
      <c r="CT8">
        <v>1</v>
      </c>
      <c r="CU8" s="3">
        <f>1-((1-CT8)*((1-(1-(4.750722/3.999809)))))</f>
        <v>1</v>
      </c>
      <c r="CV8">
        <f>10*(1/(AVERAGE(10,25)))</f>
        <v>0.5714285714285714</v>
      </c>
      <c r="CW8" s="3">
        <f>1-((1-CV8)*((1-(1-(4.750722/3.999809)))))</f>
        <v>0.49096976523486136</v>
      </c>
      <c r="CX8">
        <f>(10*(1/(AVERAGE(10,25))))/CS8</f>
        <v>1</v>
      </c>
      <c r="CY8">
        <f>(10*(1/(AVERAGE(10,25))))/CV8</f>
        <v>1</v>
      </c>
      <c r="CZ8">
        <f>100/100</f>
        <v>1</v>
      </c>
      <c r="DA8">
        <f>100/100</f>
        <v>1</v>
      </c>
      <c r="DB8" s="3">
        <f>1-((1-DA8)*((1-(1-(4.750722/3.999809)))))</f>
        <v>1</v>
      </c>
      <c r="DC8">
        <f>100/100</f>
        <v>1</v>
      </c>
      <c r="DD8">
        <f>100/100</f>
        <v>1</v>
      </c>
      <c r="DE8" s="3">
        <f>1-((1-DD8)*((1-(1-(4.750722/3.999809)))))</f>
        <v>1</v>
      </c>
      <c r="DF8">
        <f>AVERAGE(CR8,CT8,CX8,CY8,CZ8,DA8,DC8,DD8)</f>
        <v>1</v>
      </c>
      <c r="DG8">
        <f>AVERAGE(CR8,CU8,CX8:CZ8,DB8:DC8,DE8)</f>
        <v>1</v>
      </c>
      <c r="DH8">
        <f>(COUNT(CR8,CT8,CX8:DA8,DC8:DD8))/8</f>
        <v>1</v>
      </c>
      <c r="DI8">
        <f>100/100</f>
        <v>1</v>
      </c>
      <c r="DJ8">
        <f>100/100</f>
        <v>1</v>
      </c>
      <c r="DK8" s="3">
        <f>1-((1-DJ8)*((1-(1-(4.750722/3.999809)))))</f>
        <v>1</v>
      </c>
      <c r="DL8">
        <v>1</v>
      </c>
      <c r="DM8">
        <f>10*(1/24)</f>
        <v>0.41666666666666663</v>
      </c>
      <c r="DN8">
        <v>1</v>
      </c>
      <c r="DO8" s="3">
        <f>1-((1-DN8)*((1-(1-(4.750722/3.999809)))))</f>
        <v>1</v>
      </c>
      <c r="DP8">
        <f>10*(1/29)</f>
        <v>0.34482758620689657</v>
      </c>
      <c r="DQ8" s="3">
        <f>1-((1-DP8)*((1-(1-(4.750722/3.999809)))))</f>
        <v>0.22182734225559275</v>
      </c>
      <c r="DR8">
        <f>(10*(1/23.58))/DM8</f>
        <v>1.0178117048346058</v>
      </c>
      <c r="DS8">
        <f>(10*(1/12))/DP8</f>
        <v>2.4166666666666661</v>
      </c>
      <c r="DT8" s="3">
        <f>1-((1-DS8)*((1-(1-(4.750722/3.999809)))))</f>
        <v>2.6826277204736515</v>
      </c>
      <c r="DU8">
        <v>0.8</v>
      </c>
      <c r="DV8" s="3">
        <f>1-((1-DU8)*((1-(1-(4.750722/3.999809)))))</f>
        <v>0.76245255710960202</v>
      </c>
      <c r="DW8" s="4">
        <f>AVERAGE(DI8,DJ8,DR8,DL8,DN8,DS8,DU8)</f>
        <v>1.1763540530716103</v>
      </c>
      <c r="DX8" s="4">
        <f>AVERAGE(DI8,DK8:DL8,DO8,DP8:DQ8,DT8,DV8)</f>
        <v>1.001466900755718</v>
      </c>
      <c r="DY8" s="4">
        <f>(COUNT(DI8,DJ8,DL8,DN8,DR8:DS8,DU8))/7</f>
        <v>1</v>
      </c>
      <c r="DZ8">
        <v>0</v>
      </c>
      <c r="EB8">
        <v>0</v>
      </c>
      <c r="EC8" s="3">
        <v>0</v>
      </c>
      <c r="EE8">
        <v>1</v>
      </c>
      <c r="EF8">
        <v>1</v>
      </c>
      <c r="EG8" s="3">
        <f>1-((1-EF8)*((1-(1-(4.750722/3.999809)))))</f>
        <v>1</v>
      </c>
      <c r="EH8" s="4">
        <f>AVERAGE(DZ8,EE8,EF8)</f>
        <v>0.66666666666666663</v>
      </c>
      <c r="EI8" s="4">
        <f>AVERAGE(EC8:EE8,EG8,DZ8:EA8)</f>
        <v>0.5</v>
      </c>
      <c r="EJ8" s="4">
        <f>(COUNT(DZ8:EB8,EE8:EF8))/6</f>
        <v>0.66666666666666663</v>
      </c>
      <c r="EK8">
        <v>1</v>
      </c>
      <c r="EL8">
        <v>1</v>
      </c>
      <c r="EM8">
        <f>1-(15.86/100)</f>
        <v>0.84140000000000004</v>
      </c>
      <c r="EN8">
        <f>1-(32.55/100)</f>
        <v>0.6745000000000001</v>
      </c>
      <c r="EO8" s="3">
        <f>1-((1-EN8)*((1-(1-(4.750722/3.999809)))))</f>
        <v>0.61339153669587732</v>
      </c>
      <c r="EP8">
        <v>0</v>
      </c>
      <c r="ER8" s="32" t="s">
        <v>1056</v>
      </c>
      <c r="ES8">
        <v>1</v>
      </c>
      <c r="ET8" s="3">
        <f>1-((1-ES8)*((1-(1-(4.750722/3.999809)))))</f>
        <v>1</v>
      </c>
      <c r="EU8" s="39">
        <f>AVERAGE(EK8:EM8,EN8,EP8,ES8)</f>
        <v>0.75265000000000004</v>
      </c>
      <c r="EV8" s="39">
        <f>AVERAGE(EK8:EM8,EO8,EP8,ET8)</f>
        <v>0.74246525611597958</v>
      </c>
      <c r="EW8" s="39">
        <f>(COUNT(EK8:EN8,EP8,ES8))/6</f>
        <v>1</v>
      </c>
      <c r="EX8">
        <v>1</v>
      </c>
      <c r="EY8">
        <v>1</v>
      </c>
      <c r="EZ8">
        <v>997</v>
      </c>
      <c r="FA8">
        <v>1</v>
      </c>
      <c r="FB8">
        <v>1</v>
      </c>
      <c r="FC8">
        <v>1</v>
      </c>
      <c r="FD8">
        <v>1</v>
      </c>
      <c r="FE8">
        <v>1</v>
      </c>
      <c r="FF8">
        <v>0</v>
      </c>
      <c r="FG8">
        <v>1</v>
      </c>
      <c r="FH8">
        <v>1</v>
      </c>
      <c r="FI8">
        <v>0</v>
      </c>
      <c r="FJ8">
        <v>1</v>
      </c>
      <c r="FK8">
        <v>1</v>
      </c>
      <c r="FL8">
        <v>1</v>
      </c>
      <c r="FM8">
        <v>1</v>
      </c>
      <c r="FN8">
        <v>997</v>
      </c>
      <c r="FO8">
        <v>1</v>
      </c>
      <c r="FP8">
        <v>0</v>
      </c>
      <c r="FQ8" s="2">
        <f>AVERAGE(EX8,EY8,FA8:FM8,FO8:FP8)</f>
        <v>0.82352941176470584</v>
      </c>
      <c r="FR8" s="2">
        <f>FQ8</f>
        <v>0.82352941176470584</v>
      </c>
      <c r="FS8" s="2">
        <v>1</v>
      </c>
      <c r="FT8" s="33">
        <f>106.57/100</f>
        <v>1.0656999999999999</v>
      </c>
      <c r="FU8">
        <f>106.88/100</f>
        <v>1.0688</v>
      </c>
      <c r="FV8">
        <f>106.24/100</f>
        <v>1.0624</v>
      </c>
      <c r="FW8" t="s">
        <v>1057</v>
      </c>
      <c r="FX8" t="s">
        <v>1058</v>
      </c>
      <c r="FY8" t="s">
        <v>1057</v>
      </c>
      <c r="FZ8" t="s">
        <v>1057</v>
      </c>
      <c r="GA8" t="s">
        <v>1057</v>
      </c>
      <c r="GB8" t="s">
        <v>1057</v>
      </c>
      <c r="GC8" t="s">
        <v>1057</v>
      </c>
      <c r="GD8" t="s">
        <v>1057</v>
      </c>
      <c r="GE8" s="44">
        <f t="shared" si="20"/>
        <v>0.99401197604790426</v>
      </c>
      <c r="GF8" s="44" t="s">
        <v>1248</v>
      </c>
      <c r="GO8">
        <f>137.58/100</f>
        <v>1.3758000000000001</v>
      </c>
      <c r="GP8" s="3">
        <f>1-((1-GO8)*((1-(1-(4.750722/3.999809)))))</f>
        <v>1.4463516451910581</v>
      </c>
      <c r="GQ8">
        <f>141.24/100</f>
        <v>1.4124000000000001</v>
      </c>
      <c r="GR8" s="3">
        <f>1-((1-GQ8)*((1-(1-(4.750722/3.999809)))))</f>
        <v>1.4898228272400007</v>
      </c>
      <c r="GS8">
        <f>133.67/100</f>
        <v>1.3366999999999998</v>
      </c>
      <c r="GT8" s="3">
        <f>1-((1-GS8)*((1-(1-(4.750722/3.999809)))))</f>
        <v>1.3999111201059848</v>
      </c>
      <c r="GU8" t="s">
        <v>1057</v>
      </c>
      <c r="GW8" t="s">
        <v>1057</v>
      </c>
      <c r="GX8" t="s">
        <v>1057</v>
      </c>
      <c r="GY8" t="s">
        <v>1057</v>
      </c>
      <c r="GZ8" t="s">
        <v>1057</v>
      </c>
      <c r="HA8" t="s">
        <v>1057</v>
      </c>
      <c r="HB8" t="s">
        <v>1057</v>
      </c>
      <c r="HC8" t="s">
        <v>1057</v>
      </c>
      <c r="HD8" s="44">
        <f t="shared" si="21"/>
        <v>0.94640328518833172</v>
      </c>
      <c r="HE8" s="44" t="s">
        <v>1248</v>
      </c>
      <c r="HN8">
        <f>19.6/100</f>
        <v>0.19600000000000001</v>
      </c>
      <c r="HO8" s="3">
        <f>1-((1-HN8)*((1-(1-(4.750722/3.999809)))))</f>
        <v>4.5059279580599965E-2</v>
      </c>
      <c r="HP8">
        <f>22.1/100</f>
        <v>0.221</v>
      </c>
      <c r="HQ8" s="3">
        <f>1-((1-HP8)*((1-(1-(4.750722/3.999809)))))</f>
        <v>7.4752709941899753E-2</v>
      </c>
      <c r="HR8">
        <f>17/100</f>
        <v>0.17</v>
      </c>
      <c r="HS8" s="3">
        <f>1-((1-HR8)*((1-(1-(4.750722/3.999809)))))</f>
        <v>1.4178112004848309E-2</v>
      </c>
      <c r="HT8">
        <f>15.7/100</f>
        <v>0.157</v>
      </c>
      <c r="HU8" s="45">
        <f>1-((1-HT8)*((1-(1-(4.750722/3.999809)))))</f>
        <v>-1.26247178302763E-3</v>
      </c>
      <c r="HV8">
        <f>24.95/100</f>
        <v>0.2495</v>
      </c>
      <c r="HW8" s="3">
        <f>1-((1-HV8)*((1-(1-(4.750722/3.999809)))))</f>
        <v>0.10860322055378158</v>
      </c>
      <c r="HX8">
        <f>28.2/100</f>
        <v>0.28199999999999997</v>
      </c>
      <c r="HY8" s="3">
        <f>1-((1-HX8)*((1-(1-(4.750722/3.999809)))))</f>
        <v>0.1472046800234712</v>
      </c>
      <c r="HZ8">
        <f>24/100</f>
        <v>0.24</v>
      </c>
      <c r="IA8" s="3">
        <f>1-((1-HZ8)*((1-(1-(4.750722/3.999809)))))</f>
        <v>9.7319717016487561E-2</v>
      </c>
      <c r="IB8">
        <f>18.8/100</f>
        <v>0.188</v>
      </c>
      <c r="IC8" s="3">
        <f>1-((1-IB8)*((1-(1-(4.750722/3.999809)))))</f>
        <v>3.5557381864984028E-2</v>
      </c>
      <c r="ID8">
        <f>16.3/100</f>
        <v>0.16300000000000001</v>
      </c>
      <c r="IE8" s="3">
        <f>1-((1-ID8)*((1-(1-(4.750722/3.999809)))))</f>
        <v>5.8639515036844614E-3</v>
      </c>
      <c r="IF8">
        <f>10.8/100</f>
        <v>0.10800000000000001</v>
      </c>
      <c r="IG8" s="3">
        <v>0</v>
      </c>
      <c r="IH8" t="s">
        <v>1057</v>
      </c>
      <c r="II8" s="44">
        <f>HR8/HP8</f>
        <v>0.76923076923076927</v>
      </c>
      <c r="IJ8" s="44" t="s">
        <v>1248</v>
      </c>
      <c r="IK8" s="44">
        <f>HV8/HT8</f>
        <v>1.589171974522293</v>
      </c>
      <c r="IL8" s="44" t="s">
        <v>1250</v>
      </c>
      <c r="IM8" s="44">
        <f>IB8/HY8</f>
        <v>1.2771333083297634</v>
      </c>
      <c r="IN8" s="44" t="s">
        <v>1251</v>
      </c>
      <c r="IO8" s="44">
        <f>IF8/IB8</f>
        <v>0.57446808510638303</v>
      </c>
      <c r="IP8" s="44" t="s">
        <v>1251</v>
      </c>
      <c r="IS8">
        <f>86.55/100</f>
        <v>0.86549999999999994</v>
      </c>
      <c r="IT8" s="3">
        <f>1-((1-IS8)*((1-(1-(4.750722/3.999809)))))</f>
        <v>0.84024934465620726</v>
      </c>
      <c r="IU8">
        <f>72.46/100</f>
        <v>0.72459999999999991</v>
      </c>
      <c r="IV8" s="3">
        <f>1-((1-IU8)*((1-(1-(4.750722/3.999809)))))</f>
        <v>0.67289717113992187</v>
      </c>
      <c r="IW8">
        <f>101.67/100</f>
        <v>1.0166999999999999</v>
      </c>
      <c r="IX8" s="3">
        <f>1-((1-IW8)*((1-(1-(4.750722/3.999809)))))</f>
        <v>1.0198352114813483</v>
      </c>
      <c r="IY8">
        <f>34.6/100</f>
        <v>0.34600000000000003</v>
      </c>
      <c r="IZ8" s="3">
        <f>1-((1-IY8)*((1-(1-(4.750722/3.999809)))))</f>
        <v>0.2232198617483987</v>
      </c>
      <c r="JA8">
        <f>6.7/100</f>
        <v>6.7000000000000004E-2</v>
      </c>
      <c r="JB8" s="3">
        <v>0</v>
      </c>
      <c r="JC8">
        <f>26.7/100</f>
        <v>0.26700000000000002</v>
      </c>
      <c r="JD8" s="3">
        <f>1-((1-JC8)*((1-(1-(4.750722/3.999809)))))</f>
        <v>0.12938862180669131</v>
      </c>
      <c r="JE8">
        <f>37.1/100</f>
        <v>0.371</v>
      </c>
      <c r="JF8" s="3">
        <f>1-((1-JE8)*((1-(1-(4.750722/3.999809)))))</f>
        <v>0.25291329210969826</v>
      </c>
      <c r="JG8">
        <f>43.9/100</f>
        <v>0.439</v>
      </c>
      <c r="JH8" s="3">
        <f>1-((1-JG8)*((1-(1-(4.750722/3.999809)))))</f>
        <v>0.33367942269243367</v>
      </c>
      <c r="JI8">
        <f>55.1/100</f>
        <v>0.55100000000000005</v>
      </c>
      <c r="JJ8" s="3">
        <f>1-((1-JI8)*((1-(1-(4.750722/3.999809)))))</f>
        <v>0.46670599071105656</v>
      </c>
      <c r="JK8">
        <f>67.2/100</f>
        <v>0.67200000000000004</v>
      </c>
      <c r="JL8" s="3">
        <f>1-((1-JK8)*((1-(1-(4.750722/3.999809)))))</f>
        <v>0.61042219365974737</v>
      </c>
      <c r="JM8" t="s">
        <v>1057</v>
      </c>
      <c r="JN8" s="44">
        <f t="shared" si="22"/>
        <v>1.4031189621860338</v>
      </c>
      <c r="JO8" s="44" t="s">
        <v>1249</v>
      </c>
      <c r="JP8" s="44">
        <f>IY8/JA8</f>
        <v>5.1641791044776122</v>
      </c>
      <c r="JQ8" s="44" t="s">
        <v>1252</v>
      </c>
      <c r="JR8" s="44">
        <f>JG8/JC8</f>
        <v>1.6441947565543071</v>
      </c>
      <c r="JS8" s="44" t="s">
        <v>1251</v>
      </c>
      <c r="JT8" s="44">
        <f>JK8/JG8</f>
        <v>1.530751708428246</v>
      </c>
      <c r="JU8" s="44" t="s">
        <v>1253</v>
      </c>
      <c r="JX8">
        <f>97.36/100</f>
        <v>0.97360000000000002</v>
      </c>
      <c r="JY8">
        <f>97.19/100</f>
        <v>0.97189999999999999</v>
      </c>
      <c r="JZ8">
        <f>97.53/100</f>
        <v>0.97530000000000006</v>
      </c>
      <c r="KA8" t="s">
        <v>1057</v>
      </c>
      <c r="KB8" t="s">
        <v>1057</v>
      </c>
      <c r="KC8" t="s">
        <v>1057</v>
      </c>
      <c r="KD8" t="s">
        <v>1057</v>
      </c>
      <c r="KE8" t="s">
        <v>1057</v>
      </c>
      <c r="KF8" t="s">
        <v>1057</v>
      </c>
      <c r="KG8" t="s">
        <v>1057</v>
      </c>
      <c r="KH8" t="s">
        <v>1057</v>
      </c>
      <c r="KI8" s="44">
        <f t="shared" si="23"/>
        <v>1.0034983022944748</v>
      </c>
      <c r="KJ8" s="44" t="s">
        <v>1249</v>
      </c>
      <c r="KS8">
        <f>86.83/100</f>
        <v>0.86829999999999996</v>
      </c>
      <c r="KT8" s="3">
        <f>1-((1-KS8)*((1-(1-(4.750722/3.999809)))))</f>
        <v>0.84357500885667291</v>
      </c>
      <c r="KU8">
        <f>85.57/100</f>
        <v>0.85569999999999991</v>
      </c>
      <c r="KV8" s="3">
        <f>1-((1-KU8)*((1-(1-(4.750722/3.999809)))))</f>
        <v>0.82860951995457777</v>
      </c>
      <c r="KW8">
        <f>88.18/100</f>
        <v>0.88180000000000003</v>
      </c>
      <c r="KX8" s="3">
        <f>1-((1-KW8)*((1-(1-(4.750722/3.999809)))))</f>
        <v>0.85960946125177484</v>
      </c>
      <c r="KY8" t="s">
        <v>1057</v>
      </c>
      <c r="KZ8" t="s">
        <v>1057</v>
      </c>
      <c r="LA8" t="s">
        <v>1057</v>
      </c>
      <c r="LB8" t="s">
        <v>1057</v>
      </c>
      <c r="LC8" t="s">
        <v>1057</v>
      </c>
      <c r="LD8" t="s">
        <v>1057</v>
      </c>
      <c r="LE8" t="s">
        <v>1057</v>
      </c>
      <c r="LF8" t="s">
        <v>1057</v>
      </c>
      <c r="LG8" s="44">
        <f>KW8/KU8</f>
        <v>1.0305013439289472</v>
      </c>
      <c r="LH8" s="44" t="s">
        <v>1249</v>
      </c>
      <c r="LQ8" t="s">
        <v>1057</v>
      </c>
      <c r="LR8" t="s">
        <v>1057</v>
      </c>
      <c r="LS8" t="s">
        <v>1057</v>
      </c>
      <c r="LT8" t="s">
        <v>1057</v>
      </c>
      <c r="LU8" t="s">
        <v>1057</v>
      </c>
      <c r="LV8" t="s">
        <v>1057</v>
      </c>
      <c r="LW8" t="s">
        <v>1057</v>
      </c>
      <c r="LX8" t="s">
        <v>1057</v>
      </c>
      <c r="LY8" t="s">
        <v>1057</v>
      </c>
      <c r="LZ8" t="s">
        <v>1057</v>
      </c>
      <c r="MA8" t="s">
        <v>1057</v>
      </c>
      <c r="ML8">
        <f>74/100</f>
        <v>0.74</v>
      </c>
      <c r="MM8" s="3">
        <f>1-((1-ML8)*((1-(1-(4.750722/3.999809)))))</f>
        <v>0.69118832424248255</v>
      </c>
      <c r="MN8">
        <f>69.5/100</f>
        <v>0.69499999999999995</v>
      </c>
      <c r="MO8" s="3">
        <f>1-((1-MN8)*((1-(1-(4.750722/3.999809)))))</f>
        <v>0.63774014959214298</v>
      </c>
      <c r="MP8">
        <f>78.5/100</f>
        <v>0.78500000000000003</v>
      </c>
      <c r="MQ8" s="3">
        <f>1-((1-MP8)*((1-(1-(4.750722/3.999809)))))</f>
        <v>0.74463649889282224</v>
      </c>
      <c r="MR8">
        <f>88.2/100</f>
        <v>0.88200000000000001</v>
      </c>
      <c r="MS8" s="3">
        <f>1-((1-MR8)*((1-(1-(4.750722/3.999809)))))</f>
        <v>0.85984700869466524</v>
      </c>
      <c r="MT8">
        <f>62.75/100</f>
        <v>0.62749999999999995</v>
      </c>
      <c r="MU8" s="3">
        <f>1-((1-MT8)*((1-(1-(4.750722/3.999809)))))</f>
        <v>0.55756788761663367</v>
      </c>
      <c r="MV8">
        <f>60.6/100</f>
        <v>0.60599999999999998</v>
      </c>
      <c r="MW8" s="3">
        <f>1-((1-MV8)*((1-(1-(4.750722/3.999809)))))</f>
        <v>0.53203153750591592</v>
      </c>
      <c r="MX8">
        <f>64.7/100</f>
        <v>0.64700000000000002</v>
      </c>
      <c r="MY8" s="3">
        <f>1-((1-MX8)*((1-(1-(4.750722/3.999809)))))</f>
        <v>0.58072876329844758</v>
      </c>
      <c r="MZ8">
        <f>69.5/100</f>
        <v>0.69499999999999995</v>
      </c>
      <c r="NA8" s="3">
        <f>1-((1-MZ8)*((1-(1-(4.750722/3.999809)))))</f>
        <v>0.63774014959214298</v>
      </c>
      <c r="NB8">
        <f>78.7/100</f>
        <v>0.78700000000000003</v>
      </c>
      <c r="NC8" s="3">
        <f>1-((1-NB8)*((1-(1-(4.750722/3.999809)))))</f>
        <v>0.7470119733217262</v>
      </c>
      <c r="ND8">
        <f>89.1/100</f>
        <v>0.8909999999999999</v>
      </c>
      <c r="NE8" s="3">
        <f>1-((1-ND8)*((1-(1-(4.750722/3.999809)))))</f>
        <v>0.87053664362473304</v>
      </c>
      <c r="NF8" t="s">
        <v>1057</v>
      </c>
      <c r="NG8" s="3"/>
      <c r="NH8" s="44">
        <f t="shared" si="27"/>
        <v>1.1294964028776979</v>
      </c>
      <c r="NI8" s="44" t="s">
        <v>1249</v>
      </c>
      <c r="NJ8" s="44">
        <f>MR8/MT8</f>
        <v>1.4055776892430281</v>
      </c>
      <c r="NK8" s="44" t="s">
        <v>1252</v>
      </c>
      <c r="NL8" s="44">
        <f>MZ8/MV8</f>
        <v>1.1468646864686469</v>
      </c>
      <c r="NM8" s="44" t="s">
        <v>1251</v>
      </c>
      <c r="NN8" s="44">
        <f>ND8/MZ8</f>
        <v>1.2820143884892086</v>
      </c>
      <c r="NO8" s="44" t="s">
        <v>1253</v>
      </c>
      <c r="NR8">
        <f>77.6/100</f>
        <v>0.77599999999999991</v>
      </c>
      <c r="NS8" s="3">
        <f>1-((1-NR8)*((1-(1-(4.750722/3.999809)))))</f>
        <v>0.73394686396275421</v>
      </c>
      <c r="NT8">
        <f>77.5/100</f>
        <v>0.77500000000000002</v>
      </c>
      <c r="NU8" s="3">
        <f>1-((1-NT8)*((1-(1-(4.750722/3.999809)))))</f>
        <v>0.73275912674830224</v>
      </c>
      <c r="NV8">
        <f>77.7/100</f>
        <v>0.77700000000000002</v>
      </c>
      <c r="NW8" s="3">
        <f>1-((1-NV8)*((1-(1-(4.750722/3.999809)))))</f>
        <v>0.73513460117720619</v>
      </c>
      <c r="NX8">
        <f>76.9/100</f>
        <v>0.76900000000000002</v>
      </c>
      <c r="NY8" s="3">
        <f>1-((1-NX8)*((1-(1-(4.750722/3.999809)))))</f>
        <v>0.72563270346159037</v>
      </c>
      <c r="NZ8">
        <f>78.3/100</f>
        <v>0.78299999999999992</v>
      </c>
      <c r="OA8" s="3">
        <f>1-((1-NZ8)*((1-(1-(4.750722/3.999809)))))</f>
        <v>0.74226102446391806</v>
      </c>
      <c r="OB8" t="s">
        <v>1057</v>
      </c>
      <c r="OC8" t="s">
        <v>1057</v>
      </c>
      <c r="OD8" t="s">
        <v>1057</v>
      </c>
      <c r="OE8" t="s">
        <v>1057</v>
      </c>
      <c r="OF8" t="s">
        <v>1057</v>
      </c>
      <c r="OG8">
        <f>71.4/100</f>
        <v>0.71400000000000008</v>
      </c>
      <c r="OH8" s="3">
        <f>1-((1-OG8)*((1-(1-(4.750722/3.999809)))))</f>
        <v>0.6603071566667309</v>
      </c>
      <c r="OI8" s="44">
        <f>NV8/NT8</f>
        <v>1.0025806451612904</v>
      </c>
      <c r="OJ8" s="44" t="s">
        <v>1249</v>
      </c>
      <c r="OK8" s="44">
        <f>NX8/NZ8</f>
        <v>0.98212005108556844</v>
      </c>
      <c r="OL8" s="44" t="s">
        <v>1250</v>
      </c>
      <c r="OQ8" s="44">
        <f>OG8/NR8</f>
        <v>0.92010309278350533</v>
      </c>
      <c r="OR8" s="44" t="s">
        <v>1254</v>
      </c>
      <c r="OS8">
        <f>73.6/100</f>
        <v>0.73599999999999999</v>
      </c>
      <c r="OT8" s="3">
        <f>1-((1-OS8)*((1-(1-(4.750722/3.999809)))))</f>
        <v>0.68643737538467464</v>
      </c>
      <c r="OU8">
        <f>70.9/100</f>
        <v>0.70900000000000007</v>
      </c>
      <c r="OV8" s="3">
        <f>1-((1-OU8)*((1-(1-(4.750722/3.999809)))))</f>
        <v>0.65436847059447101</v>
      </c>
      <c r="OW8">
        <f>75.5/100</f>
        <v>0.755</v>
      </c>
      <c r="OX8" s="3">
        <f>1-((1-OW8)*((1-(1-(4.750722/3.999809)))))</f>
        <v>0.70900438245926245</v>
      </c>
      <c r="OY8">
        <f>75/100</f>
        <v>0.75</v>
      </c>
      <c r="OZ8" s="3">
        <f>1-((1-OY8)*((1-(1-(4.750722/3.999809)))))</f>
        <v>0.70306569638700256</v>
      </c>
      <c r="PA8">
        <f>69.8/100</f>
        <v>0.69799999999999995</v>
      </c>
      <c r="PB8" s="3">
        <f>1-((1-PA8)*((1-(1-(4.750722/3.999809)))))</f>
        <v>0.64130336123549903</v>
      </c>
      <c r="PC8">
        <f>68.9/100</f>
        <v>0.68900000000000006</v>
      </c>
      <c r="PD8" s="3">
        <f>1-((1-PC8)*((1-(1-(4.750722/3.999809)))))</f>
        <v>0.63061372630543122</v>
      </c>
      <c r="PE8" t="s">
        <v>1057</v>
      </c>
      <c r="PF8">
        <f>72.6/100</f>
        <v>0.72599999999999998</v>
      </c>
      <c r="PG8" s="3">
        <f>1-((1-PF8)*((1-(1-(4.750722/3.999809)))))</f>
        <v>0.67456000324015464</v>
      </c>
      <c r="PH8" t="s">
        <v>1057</v>
      </c>
      <c r="PI8">
        <f>77.7/100</f>
        <v>0.77700000000000002</v>
      </c>
      <c r="PJ8" s="3">
        <f>1-((1-PI8)*((1-(1-(4.750722/3.999809)))))</f>
        <v>0.73513460117720619</v>
      </c>
      <c r="PK8" t="s">
        <v>1057</v>
      </c>
      <c r="PL8" s="44">
        <f>OW8/OU8</f>
        <v>1.0648801128349787</v>
      </c>
      <c r="PM8" s="44" t="s">
        <v>1255</v>
      </c>
      <c r="PN8" s="44">
        <f>OY8/PA8</f>
        <v>1.0744985673352436</v>
      </c>
      <c r="PO8" s="44" t="s">
        <v>1252</v>
      </c>
      <c r="PP8" s="44">
        <f>PF8/PC8</f>
        <v>1.0537010159651667</v>
      </c>
      <c r="PQ8" s="44" t="s">
        <v>1251</v>
      </c>
      <c r="PR8" s="44">
        <f>PI8/PF8</f>
        <v>1.0702479338842976</v>
      </c>
      <c r="PS8" s="44" t="s">
        <v>1253</v>
      </c>
      <c r="PV8" s="40">
        <f>AVERAGE(MP8,MN8,ML8,KW8,KU8,KS8,JX8:JZ8,IW8,IU8,IS8,GS8,GQ8,,HN8,HP8,HR8,HT8,HV8,HX8,HZ8,IB8,ID8,IF8,IY8,JA8,JC8,JE8,JG8,JI8,JK8,GO8,FT8:FV8,MT8,MR8,MV8,MX8,NB8,MZ8,ND8,NR8,NV8,NT8,NX8,NZ8,OG8,OS8,OU8,OW8,OY8,PA8,PC8,PF8,PI8,PR8,PP8,PN8,PL8,OQ8,OK8,OI8,NN8,NL8,NJ8,NH8,LG8,KI8,JT8,JR8,JP8,JN8,IO8,IM8,IK8,II8,HD8,GE8,)</f>
        <v>0.83939442175831713</v>
      </c>
      <c r="PW8" s="40">
        <f>AVERAGE(MQ8,MO8,MM8,KX8,KV8,KT8,JX8:JZ8,IX8,IV8,IT8,GT8,GR8,,HO8,HQ8,HS8,HU8,HW8,HY8,IA8,IC8,IE8,IG8,IZ8,JB8,JD8,JF8,JH8,JJ8,JL8,GP8,FT8:FV8,MU8,MS8,MW8,MY8,NC8,NA8,NE8,NS8,NW8,NU8,NY8,OA8,OH8,OT8,OV8,OX8,OZ8,PB8,PD8,PG8,PJ8,PR8,PP8,PN8,PL8,OQ8,OK8,OI8,NN8,NL8,NJ8,NH8,LG8,KI8,JT8,JR8,JP8,JN8,IO8,IM8,IK8,II8,HD8,GE8)</f>
        <v>0.80930591831727394</v>
      </c>
      <c r="PX8" s="4">
        <f>(COUNT(MP8,MN8,ML8,KW8,KU8,KS8,JX8:JZ8,IW8,IU8,IS8,GS8,GQ8,,HN8,HP8,HR8,HT8,HV8,HX8,HZ8,IB8,ID8,IF8,IY8,JA8,JC8,JE8,JG8,JI8,JK8,GO8,FT8:FV8,MT8,MR8,MV8,MX8,NB8,MZ8,ND8,NR8,NV8,NT8,NX8,NZ8,OG8,OS8,OU8,OW8,OY8,PA8,PC8,PF8,PI8))/110</f>
        <v>0.51818181818181819</v>
      </c>
      <c r="PY8">
        <v>1</v>
      </c>
      <c r="PZ8">
        <v>1</v>
      </c>
      <c r="QA8">
        <v>1</v>
      </c>
      <c r="QB8">
        <v>1</v>
      </c>
      <c r="QC8">
        <v>1</v>
      </c>
      <c r="QD8">
        <v>1</v>
      </c>
      <c r="QE8">
        <v>1</v>
      </c>
      <c r="QF8">
        <v>1</v>
      </c>
      <c r="QG8">
        <v>1</v>
      </c>
      <c r="QH8">
        <v>1</v>
      </c>
      <c r="QI8">
        <v>1</v>
      </c>
      <c r="QJ8">
        <v>1</v>
      </c>
      <c r="QK8">
        <v>1</v>
      </c>
      <c r="QL8">
        <v>1</v>
      </c>
      <c r="QM8">
        <v>1</v>
      </c>
      <c r="QN8">
        <v>0</v>
      </c>
      <c r="QO8">
        <v>1</v>
      </c>
      <c r="QP8">
        <v>1</v>
      </c>
      <c r="QQ8">
        <v>1</v>
      </c>
      <c r="QR8">
        <v>0</v>
      </c>
      <c r="QS8" s="3">
        <v>0</v>
      </c>
      <c r="QT8" s="8">
        <f>AVERAGE(PY8:QR8)</f>
        <v>0.9</v>
      </c>
      <c r="QU8" s="8">
        <f>AVERAGE(PY8:QQ8,QS8)</f>
        <v>0.9</v>
      </c>
      <c r="QV8" s="8">
        <f>(COUNT(PY8:QR8))/20</f>
        <v>1</v>
      </c>
      <c r="QX8">
        <v>1</v>
      </c>
      <c r="QZ8">
        <v>1</v>
      </c>
      <c r="RA8" s="9">
        <f>AVERAGE(QX8,QZ8)</f>
        <v>1</v>
      </c>
      <c r="RB8" s="9">
        <v>0.5</v>
      </c>
      <c r="RC8">
        <v>1</v>
      </c>
      <c r="RD8">
        <v>1</v>
      </c>
      <c r="RE8">
        <v>1</v>
      </c>
      <c r="RF8">
        <v>1</v>
      </c>
      <c r="RG8">
        <v>1</v>
      </c>
      <c r="RH8">
        <v>1</v>
      </c>
      <c r="RI8">
        <v>1</v>
      </c>
      <c r="RJ8">
        <v>1</v>
      </c>
      <c r="RK8" t="s">
        <v>1059</v>
      </c>
      <c r="RL8" t="s">
        <v>1059</v>
      </c>
      <c r="RM8" t="s">
        <v>1059</v>
      </c>
      <c r="RN8" t="s">
        <v>1059</v>
      </c>
      <c r="RO8" t="s">
        <v>1059</v>
      </c>
      <c r="RP8" t="s">
        <v>1059</v>
      </c>
      <c r="RQ8" t="s">
        <v>1059</v>
      </c>
      <c r="RR8" t="s">
        <v>1059</v>
      </c>
      <c r="RS8" t="s">
        <v>1059</v>
      </c>
      <c r="RT8" t="s">
        <v>1059</v>
      </c>
      <c r="RU8" t="s">
        <v>1059</v>
      </c>
      <c r="RV8">
        <f>93.3/100</f>
        <v>0.93299999999999994</v>
      </c>
      <c r="RW8">
        <f>91.7/100</f>
        <v>0.91700000000000004</v>
      </c>
      <c r="RX8">
        <f>95/100</f>
        <v>0.95</v>
      </c>
      <c r="RY8">
        <f>94.4/100</f>
        <v>0.94400000000000006</v>
      </c>
      <c r="RZ8">
        <f>84.6/100</f>
        <v>0.84599999999999997</v>
      </c>
      <c r="SA8">
        <f>82.6/100</f>
        <v>0.82599999999999996</v>
      </c>
      <c r="SB8">
        <f>89.7/100</f>
        <v>0.89700000000000002</v>
      </c>
      <c r="SC8">
        <f>94.1/100</f>
        <v>0.94099999999999995</v>
      </c>
      <c r="SD8">
        <f>96.7/100</f>
        <v>0.96700000000000008</v>
      </c>
      <c r="SE8">
        <f>98/100</f>
        <v>0.98</v>
      </c>
      <c r="SF8" t="s">
        <v>1057</v>
      </c>
      <c r="SG8">
        <f>95.1/100</f>
        <v>0.95099999999999996</v>
      </c>
      <c r="SH8">
        <f>94.5/100</f>
        <v>0.94499999999999995</v>
      </c>
      <c r="SI8">
        <f>95.7/100</f>
        <v>0.95700000000000007</v>
      </c>
      <c r="SJ8">
        <f>95.9/100</f>
        <v>0.95900000000000007</v>
      </c>
      <c r="SK8">
        <f>88.4/100</f>
        <v>0.88400000000000001</v>
      </c>
      <c r="SL8">
        <f>86.2/100</f>
        <v>0.86199999999999999</v>
      </c>
      <c r="SM8">
        <f>92.9/100</f>
        <v>0.92900000000000005</v>
      </c>
      <c r="SN8">
        <f>96.1/100</f>
        <v>0.96099999999999997</v>
      </c>
      <c r="SO8">
        <f>97.7/100</f>
        <v>0.97699999999999998</v>
      </c>
      <c r="SP8">
        <f>98.5/100</f>
        <v>0.98499999999999999</v>
      </c>
      <c r="SQ8" t="s">
        <v>1057</v>
      </c>
      <c r="SR8" t="s">
        <v>1060</v>
      </c>
      <c r="ST8" t="s">
        <v>1059</v>
      </c>
      <c r="SV8" t="s">
        <v>1059</v>
      </c>
      <c r="SX8" t="s">
        <v>1059</v>
      </c>
      <c r="SY8" t="s">
        <v>1059</v>
      </c>
      <c r="SZ8" t="s">
        <v>1059</v>
      </c>
      <c r="TA8" t="s">
        <v>1059</v>
      </c>
      <c r="TB8" t="s">
        <v>1059</v>
      </c>
      <c r="TC8" t="s">
        <v>1059</v>
      </c>
      <c r="TD8" t="s">
        <v>1059</v>
      </c>
      <c r="TE8" t="s">
        <v>1059</v>
      </c>
      <c r="TF8">
        <f>92.3/100</f>
        <v>0.92299999999999993</v>
      </c>
      <c r="TG8" s="3">
        <f>1-((1-TF8)*((1-(1-(4.750722/3.999809)))))</f>
        <v>0.90854423448719668</v>
      </c>
      <c r="TH8">
        <f>90.2/100</f>
        <v>0.90200000000000002</v>
      </c>
      <c r="TI8" s="3">
        <f>1-((1-TH8)*((1-(1-(4.750722/3.999809)))))</f>
        <v>0.88360175298370502</v>
      </c>
      <c r="TJ8">
        <f>94.6/100</f>
        <v>0.94599999999999995</v>
      </c>
      <c r="TK8" s="3">
        <f>1-((1-TJ8)*((1-(1-(4.750722/3.999809)))))</f>
        <v>0.93586219041959251</v>
      </c>
      <c r="TL8">
        <f>93.4/100</f>
        <v>0.93400000000000005</v>
      </c>
      <c r="TM8" s="3">
        <f>1-((1-TL8)*((1-(1-(4.750722/3.999809)))))</f>
        <v>0.92160934384616877</v>
      </c>
      <c r="TN8">
        <f>82.2/100</f>
        <v>0.82200000000000006</v>
      </c>
      <c r="TO8" s="3">
        <f>1-((1-TN8)*((1-(1-(4.750722/3.999809)))))</f>
        <v>0.78858277582754588</v>
      </c>
      <c r="TP8">
        <f>79.7/100</f>
        <v>0.79700000000000004</v>
      </c>
      <c r="TQ8" s="3">
        <f>1-((1-TP8)*((1-(1-(4.750722/3.999809)))))</f>
        <v>0.75888934546624609</v>
      </c>
      <c r="TR8">
        <f>88.2/100</f>
        <v>0.88200000000000001</v>
      </c>
      <c r="TS8" s="3">
        <f>1-((1-TR8)*((1-(1-(4.750722/3.999809)))))</f>
        <v>0.85984700869466524</v>
      </c>
      <c r="TT8">
        <f>93.1/100</f>
        <v>0.93099999999999994</v>
      </c>
      <c r="TU8" s="3">
        <f>1-((1-TT8)*((1-(1-(4.750722/3.999809)))))</f>
        <v>0.91804613220281261</v>
      </c>
      <c r="TV8">
        <f>96.1/100</f>
        <v>0.96099999999999997</v>
      </c>
      <c r="TW8" s="3">
        <f>1-((1-TV8)*((1-(1-(4.750722/3.999809)))))</f>
        <v>0.95367824863637241</v>
      </c>
      <c r="TX8">
        <f>97.8/100</f>
        <v>0.97799999999999998</v>
      </c>
      <c r="TY8" s="3">
        <f>1-((1-TX8)*((1-(1-(4.750722/3.999809)))))</f>
        <v>0.97386978128205615</v>
      </c>
      <c r="TZ8" t="s">
        <v>1057</v>
      </c>
      <c r="UA8" s="3"/>
      <c r="UB8">
        <f>95.7/100</f>
        <v>0.95700000000000007</v>
      </c>
      <c r="UC8" s="3">
        <f>1-((1-UB8)*((1-(1-(4.750722/3.999809)))))</f>
        <v>0.94892729977856449</v>
      </c>
      <c r="UD8">
        <f>95.4/100</f>
        <v>0.95400000000000007</v>
      </c>
      <c r="UE8" s="3">
        <f>1-((1-UD8)*((1-(1-(4.750722/3.999809)))))</f>
        <v>0.94536408813520856</v>
      </c>
      <c r="UF8">
        <f>95.9/100</f>
        <v>0.95900000000000007</v>
      </c>
      <c r="UG8" s="3">
        <f>1-((1-UF8)*((1-(1-(4.750722/3.999809)))))</f>
        <v>0.95130277420746845</v>
      </c>
      <c r="UH8">
        <f>96.2/100</f>
        <v>0.96200000000000008</v>
      </c>
      <c r="UI8" s="3">
        <f>1-((1-UH8)*((1-(1-(4.750722/3.999809)))))</f>
        <v>0.95486598585082449</v>
      </c>
      <c r="UJ8">
        <f>90.6/100</f>
        <v>0.90599999999999992</v>
      </c>
      <c r="UK8" s="3">
        <f>1-((1-UJ8)*((1-(1-(4.750722/3.999809)))))</f>
        <v>0.88835270184151283</v>
      </c>
      <c r="UL8">
        <f>87.1/100</f>
        <v>0.871</v>
      </c>
      <c r="UM8" s="3">
        <f>1-((1-UL8)*((1-(1-(4.750722/3.999809)))))</f>
        <v>0.84678189933569326</v>
      </c>
      <c r="UN8">
        <f>93.8/100</f>
        <v>0.93799999999999994</v>
      </c>
      <c r="UO8" s="3">
        <f>1-((1-UN8)*((1-(1-(4.750722/3.999809)))))</f>
        <v>0.92636029270397657</v>
      </c>
      <c r="UP8">
        <f>96.4/100</f>
        <v>0.96400000000000008</v>
      </c>
      <c r="UQ8" s="3">
        <f>1-((1-UP8)*((1-(1-(4.750722/3.999809)))))</f>
        <v>0.95724146027972845</v>
      </c>
      <c r="UR8">
        <f>97.9/100</f>
        <v>0.97900000000000009</v>
      </c>
      <c r="US8" s="3">
        <f>1-((1-UR8)*((1-(1-(4.750722/3.999809)))))</f>
        <v>0.97505751849650835</v>
      </c>
      <c r="UT8">
        <f>98.7/100</f>
        <v>0.98699999999999999</v>
      </c>
      <c r="UU8" s="3">
        <f>1-((1-UT8)*((1-(1-(4.750722/3.999809)))))</f>
        <v>0.98455941621212406</v>
      </c>
      <c r="UV8" t="s">
        <v>1057</v>
      </c>
      <c r="UX8">
        <f>99/100</f>
        <v>0.99</v>
      </c>
      <c r="UY8" t="s">
        <v>1057</v>
      </c>
      <c r="UZ8" t="s">
        <v>1057</v>
      </c>
      <c r="VA8" t="s">
        <v>1057</v>
      </c>
      <c r="VB8" t="s">
        <v>1057</v>
      </c>
      <c r="VC8" t="s">
        <v>1057</v>
      </c>
      <c r="VD8" t="s">
        <v>1057</v>
      </c>
      <c r="VE8" t="s">
        <v>1057</v>
      </c>
      <c r="VF8" t="s">
        <v>1057</v>
      </c>
      <c r="VG8" t="s">
        <v>1057</v>
      </c>
      <c r="VH8" t="s">
        <v>1057</v>
      </c>
      <c r="VI8">
        <f>96/100</f>
        <v>0.96</v>
      </c>
      <c r="VJ8">
        <f>96/100</f>
        <v>0.96</v>
      </c>
      <c r="VK8">
        <f>96/100</f>
        <v>0.96</v>
      </c>
      <c r="VS8" t="s">
        <v>1057</v>
      </c>
      <c r="VT8" s="2">
        <f>AVERAGE(VI8:VK8,UX8:UZ8,UB8,TF8,SV8,ST8,SR8,SG8,RK8:RM8,UT8,UR8,UP8,UN8,UL8,UJ8,UH8,UF8,UD8,TX8,TV8,TT8,TR8,TP8,TN8,TL8,TJ8,TH8,SH8:SP8,RV8:SD8,RC8:RJ8)</f>
        <v>0.94223529411764728</v>
      </c>
      <c r="VU8" s="2">
        <f>AVERAGE(VI8:VK8,UX8:UZ8,UC8,TG8,SW8,SU8,SS8,SG8,RV8,RK8:RM8,UU8,US8,UQ8,UO8,UM8,UK8,UI8,UG8,UE8,TY8,TW8,TU8,TS8,TQ8,TO8,TM8,TK8,TI8,SH8:SP8,RW8:SE8,RC8:RJ8)</f>
        <v>0.93773738943630702</v>
      </c>
      <c r="VV8" s="4">
        <f>(COUNT(VI8:VK8,UX8,UT8,UR8,UP8,UN8,UL8,UJ8,UH8,UF8,UD8,UB8,TX8,TV8,TT8,TR8,TP8,TN8,TL8,TJ8,TH8,TF8,SG8:SP8,RV8:SE8,RC8:RJ8))/96</f>
        <v>0.54166666666666663</v>
      </c>
      <c r="VW8">
        <v>1</v>
      </c>
      <c r="VX8">
        <v>1</v>
      </c>
      <c r="VY8">
        <f>8.22/100</f>
        <v>8.2200000000000009E-2</v>
      </c>
      <c r="VZ8" s="3">
        <v>0</v>
      </c>
      <c r="WC8" s="8">
        <f>AVERAGE(VW8:VY8)</f>
        <v>0.69406666666666661</v>
      </c>
      <c r="WD8" s="8">
        <f>AVERAGE(VW8:VX8,VZ8)</f>
        <v>0.66666666666666663</v>
      </c>
      <c r="WE8" s="8">
        <f>(COUNT(VW8:VY8))/5</f>
        <v>0.6</v>
      </c>
      <c r="WF8">
        <v>997</v>
      </c>
      <c r="WG8">
        <v>1</v>
      </c>
      <c r="WH8">
        <f>29.4/100</f>
        <v>0.29399999999999998</v>
      </c>
      <c r="WI8">
        <f>29.4/100</f>
        <v>0.29399999999999998</v>
      </c>
      <c r="WJ8" s="3">
        <f>1-((1-WI8)*((1-(1-(4.750722/3.999809)))))</f>
        <v>0.16145752659689516</v>
      </c>
      <c r="WK8" s="9">
        <f>AVERAGE(WG8:WI8)</f>
        <v>0.52933333333333332</v>
      </c>
      <c r="WL8" s="9">
        <f>AVERAGE(WG8:WH8,WJ8)</f>
        <v>0.48515250886563172</v>
      </c>
      <c r="WM8" s="9">
        <f>(COUNT(WG8,WH8:WI8))/4</f>
        <v>0.75</v>
      </c>
      <c r="WN8">
        <v>0.66</v>
      </c>
      <c r="WO8">
        <v>0</v>
      </c>
      <c r="WP8">
        <v>1</v>
      </c>
      <c r="WQ8">
        <v>1</v>
      </c>
      <c r="WR8" s="9">
        <f>AVERAGE(WN8:WO8,WP8:WQ8)</f>
        <v>0.66500000000000004</v>
      </c>
      <c r="WS8" s="9">
        <f>(COUNT(WN8:WQ8)/4)</f>
        <v>1</v>
      </c>
      <c r="WT8">
        <v>1</v>
      </c>
      <c r="WU8" s="3">
        <f>1-((1-WT8)*((1-(1-(4.750722/3.999809)))))</f>
        <v>1</v>
      </c>
      <c r="WV8">
        <f>1-(2.8/100)</f>
        <v>0.97199999999999998</v>
      </c>
      <c r="WW8" s="3">
        <f>1-((1-WV8)*((1-(1-(4.750722/3.999809)))))</f>
        <v>0.96674335799534428</v>
      </c>
      <c r="WX8">
        <v>0</v>
      </c>
      <c r="WY8" s="3">
        <v>0</v>
      </c>
      <c r="WZ8">
        <v>1</v>
      </c>
      <c r="XA8" s="3">
        <f>1-((1-WZ8)*((1-(1-(4.750722/3.999809)))))</f>
        <v>1</v>
      </c>
      <c r="XB8">
        <f>1-0</f>
        <v>1</v>
      </c>
      <c r="XC8">
        <v>1</v>
      </c>
      <c r="XD8" s="3">
        <f>1-((1-XC8)*((1-(1-(4.750722/3.999809)))))</f>
        <v>1</v>
      </c>
      <c r="XE8">
        <v>1</v>
      </c>
      <c r="XF8" s="3">
        <f>1-((1-XE8)*((1-(1-(4.750722/3.999809)))))</f>
        <v>1</v>
      </c>
      <c r="XG8" s="9">
        <f>AVERAGE(WT8,WV8,WX8,WZ8,XB8,XC8,XE8)</f>
        <v>0.85314285714285709</v>
      </c>
      <c r="XH8" s="9">
        <f>AVERAGE(WU8,WW8,WY8,XB8,XA8,XD8,XF8)</f>
        <v>0.85239190828504918</v>
      </c>
      <c r="XI8" s="9">
        <f>(COUNT(WT8,WV8,WX8,WZ8,XB8:XC8,XE8))/7</f>
        <v>1</v>
      </c>
      <c r="XM8" s="1">
        <f>AH8</f>
        <v>0.59375</v>
      </c>
      <c r="XN8" s="1">
        <f>AQ8</f>
        <v>0.7142857142857143</v>
      </c>
      <c r="XO8" s="1">
        <f>AW8</f>
        <v>1</v>
      </c>
      <c r="XP8" s="1">
        <f>BC8</f>
        <v>0.9375</v>
      </c>
      <c r="XQ8" s="1">
        <f t="shared" ref="XQ8:XR10" si="28">CC8</f>
        <v>0.29568614354</v>
      </c>
      <c r="XR8" s="1">
        <f t="shared" si="28"/>
        <v>0.20689790361281526</v>
      </c>
      <c r="XS8" s="1">
        <f t="shared" ref="XS8:XT10" si="29">CO8</f>
        <v>1.1558611915416337</v>
      </c>
      <c r="XT8" s="1">
        <f t="shared" si="29"/>
        <v>1.0564889057050861</v>
      </c>
      <c r="XU8" s="1">
        <f t="shared" ref="XU8:XV10" si="30">DF8</f>
        <v>1</v>
      </c>
      <c r="XV8" s="1">
        <f t="shared" si="30"/>
        <v>1</v>
      </c>
      <c r="XW8" s="1">
        <f t="shared" ref="XW8:XX10" si="31">DW8</f>
        <v>1.1763540530716103</v>
      </c>
      <c r="XX8" s="1">
        <f t="shared" si="31"/>
        <v>1.001466900755718</v>
      </c>
      <c r="XY8" s="1">
        <f t="shared" ref="XY8:XZ10" si="32">EH8</f>
        <v>0.66666666666666663</v>
      </c>
      <c r="XZ8" s="1">
        <f t="shared" si="32"/>
        <v>0.5</v>
      </c>
      <c r="YA8" s="1">
        <f t="shared" ref="YA8:YB10" si="33">EU8</f>
        <v>0.75265000000000004</v>
      </c>
      <c r="YB8" s="1">
        <f t="shared" si="33"/>
        <v>0.74246525611597958</v>
      </c>
      <c r="YC8" s="1">
        <f t="shared" ref="YC8:YD10" si="34">FQ8</f>
        <v>0.82352941176470584</v>
      </c>
      <c r="YD8" s="1">
        <f t="shared" si="34"/>
        <v>0.82352941176470584</v>
      </c>
      <c r="YE8" s="1">
        <f t="shared" ref="YE8:YF10" si="35">PV8</f>
        <v>0.83939442175831713</v>
      </c>
      <c r="YF8" s="1">
        <f t="shared" si="35"/>
        <v>0.80930591831727394</v>
      </c>
      <c r="YG8" s="1">
        <f t="shared" ref="YG8:YH10" si="36">QT8</f>
        <v>0.9</v>
      </c>
      <c r="YH8" s="11">
        <f t="shared" si="36"/>
        <v>0.9</v>
      </c>
      <c r="YI8" s="11">
        <f>RA8</f>
        <v>1</v>
      </c>
      <c r="YJ8" s="1">
        <f t="shared" ref="YJ8:YK10" si="37">VT8</f>
        <v>0.94223529411764728</v>
      </c>
      <c r="YK8" s="1">
        <f t="shared" si="37"/>
        <v>0.93773738943630702</v>
      </c>
      <c r="YL8" s="1">
        <f t="shared" ref="YL8:YM10" si="38">WC8</f>
        <v>0.69406666666666661</v>
      </c>
      <c r="YM8" s="1">
        <f t="shared" si="38"/>
        <v>0.66666666666666663</v>
      </c>
      <c r="YN8" s="1">
        <f t="shared" ref="YN8:YO10" si="39">WK8</f>
        <v>0.52933333333333332</v>
      </c>
      <c r="YO8" s="1">
        <f t="shared" si="39"/>
        <v>0.48515250886563172</v>
      </c>
      <c r="YP8" s="1">
        <f>WR8</f>
        <v>0.66500000000000004</v>
      </c>
      <c r="YQ8" s="1">
        <f t="shared" ref="YQ8:YR10" si="40">XG8</f>
        <v>0.85314285714285709</v>
      </c>
      <c r="YR8" s="1">
        <f t="shared" si="40"/>
        <v>0.85239190828504918</v>
      </c>
      <c r="YT8" s="10">
        <f>AVERAGE(XM8:XQ8)</f>
        <v>0.70824437156514297</v>
      </c>
      <c r="YU8" s="10">
        <f>AVERAGE(XM8:XP8,XR8)</f>
        <v>0.69048672357970597</v>
      </c>
      <c r="YV8" s="10">
        <f>YU8*(38/40)</f>
        <v>0.65596238740072066</v>
      </c>
      <c r="YW8" s="10">
        <f t="shared" ref="YW8:YX10" si="41">AVERAGE(XS8,XU8,XW8,XY8)</f>
        <v>0.99972047781997764</v>
      </c>
      <c r="YX8" s="10">
        <f t="shared" si="41"/>
        <v>0.88948895161520092</v>
      </c>
      <c r="YY8" s="10">
        <f>YX8*(29/29)</f>
        <v>0.88948895161520092</v>
      </c>
      <c r="YZ8" s="10">
        <f t="shared" ref="YZ8:ZA10" si="42">AVERAGE(YA8,YC8,YE8)</f>
        <v>0.80519127784100775</v>
      </c>
      <c r="ZA8" s="10">
        <f t="shared" si="42"/>
        <v>0.79176686206598645</v>
      </c>
      <c r="ZB8" s="10">
        <f>ZA8*(82/82)</f>
        <v>0.79176686206598645</v>
      </c>
      <c r="ZC8" s="10">
        <f>AVERAGE(YG8,YI8,YJ8)</f>
        <v>0.9474117647058824</v>
      </c>
      <c r="ZD8" s="10">
        <f>AVERAGE(YH8,YI8,YK8)</f>
        <v>0.94591246314543564</v>
      </c>
      <c r="ZE8" s="10">
        <f>ZD8*(74/74)</f>
        <v>0.94591246314543564</v>
      </c>
      <c r="ZF8" s="10">
        <f>AVERAGE(YL8,YN8,YP8,YQ8,)</f>
        <v>0.54830857142857137</v>
      </c>
      <c r="ZG8" s="10">
        <f>AVERAGE(YM8,YO8,YP8,YR8)</f>
        <v>0.66730277095433688</v>
      </c>
      <c r="ZH8" s="10">
        <f>ZG8*(17/17)</f>
        <v>0.66730277095433688</v>
      </c>
      <c r="ZI8" s="10">
        <f>AVERAGE(YT8,YW8,YZ8,ZC8,ZF8)</f>
        <v>0.80177529267211634</v>
      </c>
      <c r="ZJ8" s="10">
        <f t="shared" ref="ZJ8:ZK10" si="43">AVERAGE(YU8,YX8,ZA8,ZD8,ZG8)</f>
        <v>0.79699155427213308</v>
      </c>
      <c r="ZK8" s="10">
        <f t="shared" si="43"/>
        <v>0.79008668703633611</v>
      </c>
    </row>
    <row r="9" spans="1:710" x14ac:dyDescent="0.25">
      <c r="A9" t="s">
        <v>1061</v>
      </c>
      <c r="B9">
        <v>1</v>
      </c>
      <c r="C9">
        <v>0.5</v>
      </c>
      <c r="D9">
        <v>1</v>
      </c>
      <c r="E9">
        <v>0.5</v>
      </c>
      <c r="F9">
        <v>0</v>
      </c>
      <c r="G9">
        <v>0.5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1</v>
      </c>
      <c r="O9">
        <v>1</v>
      </c>
      <c r="P9">
        <v>0.5</v>
      </c>
      <c r="Q9">
        <v>0.5</v>
      </c>
      <c r="R9">
        <v>997</v>
      </c>
      <c r="S9">
        <v>997</v>
      </c>
      <c r="T9">
        <v>997</v>
      </c>
      <c r="U9">
        <v>997</v>
      </c>
      <c r="V9">
        <v>997</v>
      </c>
      <c r="W9">
        <v>1</v>
      </c>
      <c r="X9">
        <v>0</v>
      </c>
      <c r="Y9">
        <v>1</v>
      </c>
      <c r="Z9">
        <v>997</v>
      </c>
      <c r="AA9">
        <v>997</v>
      </c>
      <c r="AB9">
        <v>997</v>
      </c>
      <c r="AC9">
        <v>997</v>
      </c>
      <c r="AD9">
        <v>997</v>
      </c>
      <c r="AE9">
        <v>997</v>
      </c>
      <c r="AF9">
        <v>997</v>
      </c>
      <c r="AG9">
        <v>997</v>
      </c>
      <c r="AH9" s="38">
        <f>AVERAGE(B9:Q9,W9:Y9)</f>
        <v>0.60526315789473684</v>
      </c>
      <c r="AI9" s="6">
        <v>1</v>
      </c>
      <c r="AJ9">
        <v>1</v>
      </c>
      <c r="AK9">
        <v>1</v>
      </c>
      <c r="AL9">
        <v>0</v>
      </c>
      <c r="AM9">
        <v>0</v>
      </c>
      <c r="AN9">
        <v>1</v>
      </c>
      <c r="AO9">
        <v>1</v>
      </c>
      <c r="AP9">
        <v>1</v>
      </c>
      <c r="AQ9" s="2">
        <f>AVERAGE(AJ9:AP9)</f>
        <v>0.7142857142857143</v>
      </c>
      <c r="AR9" s="2">
        <v>1</v>
      </c>
      <c r="AS9">
        <v>997</v>
      </c>
      <c r="AT9">
        <v>997</v>
      </c>
      <c r="AU9">
        <v>997</v>
      </c>
      <c r="AV9" s="3">
        <v>997</v>
      </c>
      <c r="AW9" s="39"/>
      <c r="AX9" s="4">
        <v>1</v>
      </c>
      <c r="AY9">
        <v>0</v>
      </c>
      <c r="AZ9">
        <v>1</v>
      </c>
      <c r="BA9">
        <v>1</v>
      </c>
      <c r="BB9">
        <v>1</v>
      </c>
      <c r="BC9" s="2">
        <f>AVERAGE(AY9:BB9)</f>
        <v>0.75</v>
      </c>
      <c r="BD9" s="2">
        <v>1</v>
      </c>
      <c r="BE9">
        <f>25/100</f>
        <v>0.25</v>
      </c>
      <c r="BF9" s="3">
        <f>1-((1-BE9)*((4.635971/3.999809)))</f>
        <v>0.13071392909011414</v>
      </c>
      <c r="BG9">
        <f>6.4/100</f>
        <v>6.4000000000000001E-2</v>
      </c>
      <c r="BH9" s="3">
        <v>0</v>
      </c>
      <c r="BI9">
        <v>0</v>
      </c>
      <c r="BJ9" s="3">
        <v>0</v>
      </c>
      <c r="BK9">
        <v>2.5999999999999999E-2</v>
      </c>
      <c r="BL9" s="3">
        <v>0</v>
      </c>
      <c r="BQ9">
        <f>7.1/100</f>
        <v>7.0999999999999994E-2</v>
      </c>
      <c r="BR9" s="3">
        <v>0</v>
      </c>
      <c r="BS9">
        <f>27.5/100</f>
        <v>0.27500000000000002</v>
      </c>
      <c r="BT9" s="3">
        <f>1-((1-BS9)*((1-(1-(4.635971/3.999809)))))</f>
        <v>0.15969013145377708</v>
      </c>
      <c r="BU9">
        <f>43.6/100</f>
        <v>0.436</v>
      </c>
      <c r="BV9" s="3">
        <f>1-((1-BU9)*((1-(1-(4.635971/3.999809)))))</f>
        <v>0.34629687467576575</v>
      </c>
      <c r="BY9">
        <f>7/100</f>
        <v>7.0000000000000007E-2</v>
      </c>
      <c r="BZ9" s="3">
        <v>0</v>
      </c>
      <c r="CA9">
        <f>100/100</f>
        <v>1</v>
      </c>
      <c r="CB9" s="3">
        <f>1-((1-CA9)*((1-(1-(4.635971/3.999809)))))</f>
        <v>1</v>
      </c>
      <c r="CC9" s="4">
        <f>AVERAGE(BE9,BG9,BI9,BK9,BQ9,BU9,BY9,BS9,CA9)</f>
        <v>0.24355555555555558</v>
      </c>
      <c r="CD9" s="4">
        <f>AVERAGE(CB9,BT9,BH9,BJ9,BL9,BR9,BV9,BZ9,BF9,)</f>
        <v>0.16367009352196571</v>
      </c>
      <c r="CE9" s="39">
        <f>(COUNT(BE9,BG9,BI9,BK9,BQ9,BS9,BU9,BW9,BY9,CA9))/12</f>
        <v>0.75</v>
      </c>
      <c r="CF9">
        <v>0</v>
      </c>
      <c r="CH9">
        <v>0</v>
      </c>
      <c r="CI9" s="3">
        <v>0</v>
      </c>
      <c r="CK9" s="3"/>
      <c r="CM9">
        <f>10*(1/15.3)</f>
        <v>0.65359477124183007</v>
      </c>
      <c r="CN9" s="3">
        <f>1-((1-CM9)*((1-(1-(4.635971/3.999809)))))</f>
        <v>0.59849967966689377</v>
      </c>
      <c r="CO9" s="6">
        <f>AVERAGE(CF9:CH9,CJ9,CL9)</f>
        <v>0</v>
      </c>
      <c r="CP9" s="6">
        <f>AVERAGE(CF9:CG9,CI9,CK9,CL9)</f>
        <v>0</v>
      </c>
      <c r="CQ9">
        <v>0</v>
      </c>
      <c r="CR9">
        <v>1</v>
      </c>
      <c r="CS9" s="34">
        <f>10*(1/30)</f>
        <v>0.33333333333333331</v>
      </c>
      <c r="CT9">
        <v>1</v>
      </c>
      <c r="CU9" s="3">
        <f>1-((1-CT9)*((1-(1-(4.635971/3.999809)))))</f>
        <v>1</v>
      </c>
      <c r="CV9" s="34">
        <f>10*(1/30)</f>
        <v>0.33333333333333331</v>
      </c>
      <c r="CW9" s="3">
        <f>1-((1-CV9)*((1-(1-(4.635971/3.999809)))))</f>
        <v>0.22730127030232361</v>
      </c>
      <c r="DB9" s="3"/>
      <c r="DE9" s="3"/>
      <c r="DF9">
        <f>AVERAGE(CR9,CT9,CX9,CY9,CZ9,DA9,DC9,DD9)</f>
        <v>1</v>
      </c>
      <c r="DG9">
        <f>AVERAGE(CR9,CU9,CX9:CZ9,DB9:DC9,DE9)</f>
        <v>1</v>
      </c>
      <c r="DH9">
        <f>(COUNT(CR9,CT9,CX9:DA9,DC9:DD9))/8</f>
        <v>0.25</v>
      </c>
      <c r="DI9">
        <f>100/100</f>
        <v>1</v>
      </c>
      <c r="DJ9">
        <f>100/100</f>
        <v>1</v>
      </c>
      <c r="DK9" s="3">
        <f>1-((1-DJ9)*((1-(1-(4.635971/3.999809)))))</f>
        <v>1</v>
      </c>
      <c r="DL9">
        <v>0</v>
      </c>
      <c r="DM9"/>
      <c r="DN9">
        <v>0</v>
      </c>
      <c r="DO9" s="3">
        <v>0</v>
      </c>
      <c r="DP9"/>
      <c r="DQ9"/>
      <c r="DR9">
        <f>10*(1/14.1)</f>
        <v>0.70921985815602839</v>
      </c>
      <c r="DS9">
        <f>10*(1/14.1)</f>
        <v>0.70921985815602839</v>
      </c>
      <c r="DT9" s="3">
        <f>1-((1-DS9)*((1-(1-(4.635971/3.999809)))))</f>
        <v>0.66297183066377952</v>
      </c>
      <c r="DU9">
        <v>1.29</v>
      </c>
      <c r="DV9" s="3">
        <f>1-((1-DU9)*((1-(1-(4.635971/3.999809)))))</f>
        <v>1.3361239474184892</v>
      </c>
      <c r="DW9" s="4">
        <f>AVERAGE(DI9,DJ9,DL9,DN9,DU9)</f>
        <v>0.65800000000000003</v>
      </c>
      <c r="DX9" s="4">
        <f>AVERAGE(DI9,DK9:DM9,DO9,DQ9:DR9,DT9,DV9)</f>
        <v>0.67261651946261392</v>
      </c>
      <c r="DY9" s="4">
        <f>(COUNT(DI9,DJ9,DL9,DN9,DU9))/7</f>
        <v>0.7142857142857143</v>
      </c>
      <c r="DZ9">
        <v>0</v>
      </c>
      <c r="EB9">
        <v>0</v>
      </c>
      <c r="EC9" s="3">
        <v>0</v>
      </c>
      <c r="EG9" s="3"/>
      <c r="EH9" s="4">
        <f>AVERAGE(DZ9,EB9,EE9,EF9)</f>
        <v>0</v>
      </c>
      <c r="EI9" s="4">
        <f>AVERAGE(EC9:EE9,EG9,DZ9:EA9)</f>
        <v>0</v>
      </c>
      <c r="EJ9" s="4">
        <f>(COUNT(DZ9:EB9,EE9:EF9))/6</f>
        <v>0.33333333333333331</v>
      </c>
      <c r="EK9">
        <v>1</v>
      </c>
      <c r="EL9">
        <v>1</v>
      </c>
      <c r="EM9">
        <f>1-(0.66/100)</f>
        <v>0.99339999999999995</v>
      </c>
      <c r="EN9">
        <f>1-(0.66)</f>
        <v>0.33999999999999997</v>
      </c>
      <c r="EO9" s="3">
        <f>1-((1-EN9)*((1-(1-(4.635971/3.999809)))))</f>
        <v>0.23502825759930046</v>
      </c>
      <c r="EP9">
        <v>0</v>
      </c>
      <c r="ER9" s="32" t="s">
        <v>1062</v>
      </c>
      <c r="ES9">
        <v>1</v>
      </c>
      <c r="ET9" s="3">
        <f>1-((1-ES9)*((1-(1-(4.635971/3.999809)))))</f>
        <v>1</v>
      </c>
      <c r="EU9" s="39">
        <f>AVERAGE(EK9:EM9,EN9,EP9,ES9)</f>
        <v>0.72223333333333317</v>
      </c>
      <c r="EV9" s="39">
        <f>AVERAGE(EK9:EM9,EO9,EP9,ET9)</f>
        <v>0.70473804293321674</v>
      </c>
      <c r="EW9" s="39">
        <f>(COUNT(EK9:EN9,EP9,ES9))/6</f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0</v>
      </c>
      <c r="FQ9" s="2">
        <f>AVERAGE(EX9:FP9)</f>
        <v>0.94736842105263153</v>
      </c>
      <c r="FR9" s="2">
        <f>FQ9</f>
        <v>0.94736842105263153</v>
      </c>
      <c r="FS9" s="2">
        <v>1</v>
      </c>
      <c r="FT9">
        <f>100.57/100</f>
        <v>1.0057</v>
      </c>
      <c r="FU9">
        <f>100.05/100</f>
        <v>1.0004999999999999</v>
      </c>
      <c r="FV9">
        <f>101.12/100</f>
        <v>1.0112000000000001</v>
      </c>
      <c r="GE9" s="44">
        <f t="shared" si="20"/>
        <v>1.0106946526736633</v>
      </c>
      <c r="GF9" s="44" t="s">
        <v>1249</v>
      </c>
      <c r="GO9">
        <f>109.93/100</f>
        <v>1.0993000000000002</v>
      </c>
      <c r="GP9" s="3">
        <f>1-((1-GO9)*((1-(1-(4.635971/3.999809)))))</f>
        <v>1.1150934757884692</v>
      </c>
      <c r="GQ9">
        <f>109.83/100</f>
        <v>1.0983000000000001</v>
      </c>
      <c r="GR9" s="3">
        <f>1-((1-GQ9)*((1-(1-(4.635971/3.999809)))))</f>
        <v>1.1139344276939225</v>
      </c>
      <c r="GS9">
        <f>110.04/100</f>
        <v>1.1004</v>
      </c>
      <c r="GT9" s="3">
        <f>1-((1-GS9)*((1-(1-(4.635971/3.999809)))))</f>
        <v>1.11636842869247</v>
      </c>
      <c r="HD9" s="44">
        <f t="shared" si="21"/>
        <v>1.0019120458891013</v>
      </c>
      <c r="HE9" s="44" t="s">
        <v>1249</v>
      </c>
      <c r="HO9" s="3"/>
      <c r="HQ9" s="3"/>
      <c r="HS9" s="3"/>
      <c r="HU9" s="3"/>
      <c r="HW9" s="3"/>
      <c r="HY9" s="3"/>
      <c r="IA9" s="3"/>
      <c r="IC9" s="3"/>
      <c r="IE9" s="3"/>
      <c r="IG9" s="3"/>
      <c r="IS9">
        <f>7.5/100</f>
        <v>7.4999999999999997E-2</v>
      </c>
      <c r="IT9" s="3">
        <v>0</v>
      </c>
      <c r="IV9" s="3"/>
      <c r="IX9" s="3"/>
      <c r="IZ9" s="3"/>
      <c r="JB9" s="3"/>
      <c r="JD9" s="3"/>
      <c r="JF9" s="3"/>
      <c r="JH9" s="3"/>
      <c r="JJ9" s="3"/>
      <c r="JL9" s="3"/>
      <c r="JX9">
        <f>99.46/100</f>
        <v>0.99459999999999993</v>
      </c>
      <c r="JY9">
        <f>99.72/100</f>
        <v>0.99719999999999998</v>
      </c>
      <c r="JZ9">
        <f>99.85/100</f>
        <v>0.99849999999999994</v>
      </c>
      <c r="KI9" s="44">
        <f t="shared" si="23"/>
        <v>1.0013036502206176</v>
      </c>
      <c r="KJ9" s="44" t="s">
        <v>1249</v>
      </c>
      <c r="KS9">
        <f>99.88/100</f>
        <v>0.99879999999999991</v>
      </c>
      <c r="KT9" s="3">
        <f>1-((1-KS9)*((1-(1-(4.635971/3.999809)))))</f>
        <v>0.99860914228654407</v>
      </c>
      <c r="KV9" s="3"/>
      <c r="KX9" s="3"/>
      <c r="ML9">
        <f>81.6/100</f>
        <v>0.81599999999999995</v>
      </c>
      <c r="MM9" s="3">
        <f>1-((1-ML9)*((1-(1-(4.635971/3.999809)))))</f>
        <v>0.78673515060344124</v>
      </c>
      <c r="MN9">
        <f>77/100</f>
        <v>0.77</v>
      </c>
      <c r="MO9" s="3">
        <f>1-((1-MN9)*((1-(1-(4.635971/3.999809)))))</f>
        <v>0.73341893825430171</v>
      </c>
      <c r="MP9">
        <f>86/100</f>
        <v>0.86</v>
      </c>
      <c r="MQ9" s="3">
        <f>1-((1-MP9)*((1-(1-(4.635971/3.999809)))))</f>
        <v>0.83773326676348803</v>
      </c>
      <c r="MS9" s="3"/>
      <c r="MU9" s="3"/>
      <c r="MW9" s="3"/>
      <c r="MY9" s="3"/>
      <c r="NA9" s="3"/>
      <c r="NC9" s="3"/>
      <c r="NE9" s="3"/>
      <c r="NG9" s="3"/>
      <c r="NH9" s="44">
        <f t="shared" si="27"/>
        <v>1.1168831168831168</v>
      </c>
      <c r="NI9" s="44" t="s">
        <v>1249</v>
      </c>
      <c r="NR9">
        <f>64/100</f>
        <v>0.64</v>
      </c>
      <c r="NS9" s="3">
        <f>1-((1-NR9)*((1-(1-(4.635971/3.999809)))))</f>
        <v>0.58274268596325474</v>
      </c>
      <c r="OS9">
        <f>68/100</f>
        <v>0.68</v>
      </c>
      <c r="PV9" s="40">
        <f>AVERAGE(MP9,MN9,ML9,KW9,KU9,KS9,JX9:JZ9,IW9,IU9,IS9,GS9,GQ9,,HN9,HP9,HR9,HT9,HV9,HX9,HZ9,IB9,ID9,IF9,IY9,JA9,JC9,JE9,JG9,JI9,JK9,GO9,FT9:FV9,MT9,MR9,MV9,MX9,NB9,MZ9,ND9,NR9,NV9,NT9,NX9,NZ9,OG9,OS9,OU9,OW9,OY9,PA9,PC9,PF9,PI9,NH9,KI9,HD9,GE9,)</f>
        <v>0.8307406120757499</v>
      </c>
      <c r="PW9" s="40">
        <f>AVERAGE(MQ9,MO9,MM9,KX9,KV9,KT9,JX9:JZ9,IX9,IV9,IT9,GT9,GR9,,HO9,HQ9,HS9,HU9,HW9,HY9,IA9,IC9,IE9,IG9,IZ9,JB9,JD9,JF9,JH9,JJ9,JL9,GP9,FT9:FV9,MU9,MS9,MW9,MY9,NC9,NA9,NE9,NS9,NW9,NU9,NY9,OA9,OH9,OT9,OV9,OX9,OZ9,PB9,PD9,PG9,PJ9,NH9,KI9,HD9,GE9)</f>
        <v>0.8711564490856194</v>
      </c>
      <c r="PX9" s="4">
        <f>(COUNT(MP9,MN9,ML9,KW9,KU9,KS9,JX9:JZ9,IW9,IU9,IS9,GS9,GQ9,,HN9,HP9,HR9,HT9,HV9,HX9,HZ9,IB9,ID9,IF9,IY9,JA9,JC9,JE9,JG9,JI9,JK9,GO9,FT9:FV9,MT9,MR9,MV9,MX9,NB9,MZ9,ND9,NR9,NV9,NT9,NX9,NZ9,OG9,OS9,OU9,OW9,OY9,PA9,PC9,PF9,PI9))/110</f>
        <v>0.15454545454545454</v>
      </c>
      <c r="PY9">
        <v>997</v>
      </c>
      <c r="PZ9">
        <v>997</v>
      </c>
      <c r="QA9">
        <v>997</v>
      </c>
      <c r="QB9">
        <v>997</v>
      </c>
      <c r="QC9">
        <v>997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0</v>
      </c>
      <c r="QS9" s="3">
        <v>0</v>
      </c>
      <c r="QT9" s="8">
        <f>AVERAGE(,QD9:QR9)</f>
        <v>0.875</v>
      </c>
      <c r="QU9" s="8">
        <f>AVERAGE(QD9:QQ9,QS9)</f>
        <v>0.93333333333333335</v>
      </c>
      <c r="QV9" s="8">
        <f>(COUNT(QD9:QR9))/20</f>
        <v>0.75</v>
      </c>
      <c r="QW9">
        <v>1</v>
      </c>
      <c r="QY9">
        <v>1</v>
      </c>
      <c r="QZ9">
        <v>1</v>
      </c>
      <c r="RA9" s="9">
        <f>AVERAGE(QW9,QY9,QZ9)</f>
        <v>1</v>
      </c>
      <c r="RB9" s="9">
        <v>0.75</v>
      </c>
      <c r="RC9">
        <v>997</v>
      </c>
      <c r="RD9">
        <v>997</v>
      </c>
      <c r="RE9">
        <v>997</v>
      </c>
      <c r="RF9">
        <v>997</v>
      </c>
      <c r="RG9">
        <v>997</v>
      </c>
      <c r="RH9">
        <v>997</v>
      </c>
      <c r="RI9">
        <v>997</v>
      </c>
      <c r="RJ9">
        <v>997</v>
      </c>
      <c r="RV9">
        <f>88/100</f>
        <v>0.88</v>
      </c>
      <c r="RW9">
        <f>87/100</f>
        <v>0.87</v>
      </c>
      <c r="RX9">
        <f>91/100</f>
        <v>0.91</v>
      </c>
      <c r="SG9">
        <f>91/100</f>
        <v>0.91</v>
      </c>
      <c r="SH9">
        <f>92/100</f>
        <v>0.92</v>
      </c>
      <c r="SI9">
        <f>92/100</f>
        <v>0.92</v>
      </c>
      <c r="TF9">
        <f>90/100</f>
        <v>0.9</v>
      </c>
      <c r="TG9" s="3">
        <f>1-((1-TF9)*((1-(1-(4.635971/3.999809)))))</f>
        <v>0.88409519054534857</v>
      </c>
      <c r="TI9" s="3"/>
      <c r="TK9" s="3"/>
      <c r="TM9" s="3"/>
      <c r="TO9" s="3"/>
      <c r="TQ9" s="3"/>
      <c r="TS9" s="3"/>
      <c r="TU9" s="3"/>
      <c r="TW9" s="3"/>
      <c r="TY9" s="3"/>
      <c r="UA9" s="3"/>
      <c r="UB9">
        <f>86/100</f>
        <v>0.86</v>
      </c>
      <c r="UC9" s="3">
        <f>1-((1-UB9)*((1-(1-(4.635971/3.999809)))))</f>
        <v>0.83773326676348803</v>
      </c>
      <c r="UD9">
        <f>87/100</f>
        <v>0.87</v>
      </c>
      <c r="UE9" s="3">
        <f>1-((1-UD9)*((1-(1-(4.635971/3.999809)))))</f>
        <v>0.84932374770895314</v>
      </c>
      <c r="UF9">
        <f>86/100</f>
        <v>0.86</v>
      </c>
      <c r="UG9" s="3">
        <f>1-((1-UF9)*((1-(1-(4.635971/3.999809)))))</f>
        <v>0.83773326676348803</v>
      </c>
      <c r="UI9" s="3"/>
      <c r="UK9" s="3"/>
      <c r="UM9" s="3"/>
      <c r="UX9">
        <f>90.5/100</f>
        <v>0.90500000000000003</v>
      </c>
      <c r="VI9">
        <f>78.5/100</f>
        <v>0.78500000000000003</v>
      </c>
      <c r="VT9" s="2">
        <f>AVERAGE(VI9:VK9,UX9:UZ9,UB9,TF9,SV9,ST9,SR9,SG9,RK9:RM9,UT9,UR9,UP9,UN9,UL9,UJ9,UH9,UF9,UD9,TX9,TV9,TT9,TR9,TP9,TN9,TL9,TJ9,TH9,SH9:SP9,RV9:SD9)</f>
        <v>0.88249999999999995</v>
      </c>
      <c r="VU9" s="2">
        <f>AVERAGE(VI9:VK9,UX9:UZ9,UC9,TG9,SW9,SU9,SS9,SG9,RV9,RK9:RM9,UU9,US9,UQ9,UO9,UM9,UK9,UI9,UG9,UE9,TY9,TW9,TU9,TS9,TQ9,TO9,TM9,TK9,TI9,SH9:SP9,RW9:SE9)</f>
        <v>0.87574045598177319</v>
      </c>
      <c r="VV9" s="4">
        <f>(COUNT(VI9:VK9,UX9,UT9,UR9,UP9,UN9,UL9,UJ9,UH9,UF9,UD9,UB9,TX9,TV9,TT9,TR9,TP9,TN9,TL9,TJ9,TH9,TF9,SG9:SP9,RV9:SE9))/96</f>
        <v>0.125</v>
      </c>
      <c r="VW9">
        <v>1</v>
      </c>
      <c r="VX9">
        <v>1</v>
      </c>
      <c r="WC9" s="8">
        <f>AVERAGE(VW9:VX9)</f>
        <v>1</v>
      </c>
      <c r="WD9" s="8">
        <f>AVERAGE(VW9:VX9)</f>
        <v>1</v>
      </c>
      <c r="WE9" s="8">
        <f>(COUNT(VW9:VX9))/5</f>
        <v>0.4</v>
      </c>
      <c r="WF9">
        <v>0</v>
      </c>
      <c r="WG9">
        <v>1</v>
      </c>
      <c r="WH9" s="1">
        <v>0.13400000000000001</v>
      </c>
      <c r="WI9" s="1">
        <v>0.13400000000000001</v>
      </c>
      <c r="WJ9" s="3">
        <v>0</v>
      </c>
      <c r="WK9" s="9">
        <f>AVERAGE(WF9:WI9)</f>
        <v>0.31699999999999995</v>
      </c>
      <c r="WL9" s="9">
        <f>AVERAGE(WF9:WH9,WJ9)</f>
        <v>0.28349999999999997</v>
      </c>
      <c r="WM9" s="9">
        <f>(COUNT(WF9:WI9))/4</f>
        <v>1</v>
      </c>
      <c r="WN9">
        <v>1</v>
      </c>
      <c r="WO9">
        <v>1</v>
      </c>
      <c r="WP9">
        <v>1</v>
      </c>
      <c r="WQ9">
        <v>1</v>
      </c>
      <c r="WR9" s="9">
        <f>AVERAGE(WN9:WO9,WP9:WQ9)</f>
        <v>1</v>
      </c>
      <c r="WS9" s="9">
        <f>(COUNT(WN9:WQ9)/4)</f>
        <v>1</v>
      </c>
      <c r="WT9">
        <v>0</v>
      </c>
      <c r="WU9" s="3">
        <v>0</v>
      </c>
      <c r="WV9">
        <f>1-(0.6/100)</f>
        <v>0.99399999999999999</v>
      </c>
      <c r="WW9" s="3">
        <f>1-((1-WV9)*((1-(1-(4.635971/3.999809)))))</f>
        <v>0.99304571143272091</v>
      </c>
      <c r="WX9">
        <v>0</v>
      </c>
      <c r="WY9" s="3">
        <v>0</v>
      </c>
      <c r="WZ9">
        <v>1</v>
      </c>
      <c r="XA9" s="3">
        <f>1-((1-WZ9)*((1-(1-(4.635971/3.999809)))))</f>
        <v>1</v>
      </c>
      <c r="XC9">
        <v>1</v>
      </c>
      <c r="XD9" s="3">
        <f>1-((1-XC9)*((1-(1-(4.635971/3.999809)))))</f>
        <v>1</v>
      </c>
      <c r="XE9">
        <v>1</v>
      </c>
      <c r="XF9" s="3">
        <f>1-((1-XE9)*((1-(1-(4.635971/3.999809)))))</f>
        <v>1</v>
      </c>
      <c r="XG9" s="9">
        <f>AVERAGE(WT9,WV9,WX9,WZ9,XB9,XC9,XE9)</f>
        <v>0.66566666666666663</v>
      </c>
      <c r="XH9" s="9">
        <f>AVERAGE(WU9,WW9,WY9,XB9,XA9,XD9,XF9)</f>
        <v>0.66550761857212015</v>
      </c>
      <c r="XI9" s="9">
        <f>(COUNT(WT9,WV9,WX9,WZ9,XB9:XC9,XE9))/7</f>
        <v>0.8571428571428571</v>
      </c>
      <c r="XM9" s="1">
        <f>AH9</f>
        <v>0.60526315789473684</v>
      </c>
      <c r="XN9" s="1">
        <f>AQ9</f>
        <v>0.7142857142857143</v>
      </c>
      <c r="XO9" s="1">
        <f>AW9</f>
        <v>0</v>
      </c>
      <c r="XP9" s="1">
        <f>BC9</f>
        <v>0.75</v>
      </c>
      <c r="XQ9" s="1">
        <f t="shared" si="28"/>
        <v>0.24355555555555558</v>
      </c>
      <c r="XR9" s="1">
        <f t="shared" si="28"/>
        <v>0.16367009352196571</v>
      </c>
      <c r="XS9" s="1">
        <f t="shared" si="29"/>
        <v>0</v>
      </c>
      <c r="XT9" s="1">
        <f t="shared" si="29"/>
        <v>0</v>
      </c>
      <c r="XU9" s="1">
        <f t="shared" si="30"/>
        <v>1</v>
      </c>
      <c r="XV9" s="1">
        <f t="shared" si="30"/>
        <v>1</v>
      </c>
      <c r="XW9" s="1">
        <f t="shared" si="31"/>
        <v>0.65800000000000003</v>
      </c>
      <c r="XX9" s="1">
        <f t="shared" si="31"/>
        <v>0.67261651946261392</v>
      </c>
      <c r="XY9" s="1">
        <f t="shared" si="32"/>
        <v>0</v>
      </c>
      <c r="XZ9" s="1">
        <f t="shared" si="32"/>
        <v>0</v>
      </c>
      <c r="YA9" s="1">
        <f t="shared" si="33"/>
        <v>0.72223333333333317</v>
      </c>
      <c r="YB9" s="1">
        <f t="shared" si="33"/>
        <v>0.70473804293321674</v>
      </c>
      <c r="YC9" s="1">
        <f t="shared" si="34"/>
        <v>0.94736842105263153</v>
      </c>
      <c r="YD9" s="1">
        <f t="shared" si="34"/>
        <v>0.94736842105263153</v>
      </c>
      <c r="YE9" s="1">
        <f t="shared" si="35"/>
        <v>0.8307406120757499</v>
      </c>
      <c r="YF9" s="1">
        <f t="shared" si="35"/>
        <v>0.8711564490856194</v>
      </c>
      <c r="YG9" s="1">
        <f t="shared" si="36"/>
        <v>0.875</v>
      </c>
      <c r="YH9" s="11">
        <f t="shared" si="36"/>
        <v>0.93333333333333335</v>
      </c>
      <c r="YI9" s="11">
        <f>RA9</f>
        <v>1</v>
      </c>
      <c r="YJ9" s="1">
        <f t="shared" si="37"/>
        <v>0.88249999999999995</v>
      </c>
      <c r="YK9" s="1">
        <f t="shared" si="37"/>
        <v>0.87574045598177319</v>
      </c>
      <c r="YL9" s="1">
        <f t="shared" si="38"/>
        <v>1</v>
      </c>
      <c r="YM9" s="1">
        <f t="shared" si="38"/>
        <v>1</v>
      </c>
      <c r="YN9" s="1">
        <f t="shared" si="39"/>
        <v>0.31699999999999995</v>
      </c>
      <c r="YO9" s="1">
        <f t="shared" si="39"/>
        <v>0.28349999999999997</v>
      </c>
      <c r="YP9" s="1">
        <f>WR9</f>
        <v>1</v>
      </c>
      <c r="YQ9" s="1">
        <f t="shared" si="40"/>
        <v>0.66566666666666663</v>
      </c>
      <c r="YR9" s="1">
        <f t="shared" si="40"/>
        <v>0.66550761857212015</v>
      </c>
      <c r="YT9" s="10">
        <f>AVERAGE(XM9:XQ9)</f>
        <v>0.46262088554720132</v>
      </c>
      <c r="YU9" s="10">
        <f>AVERAGE(XM9:XP9,XR9)</f>
        <v>0.4466437931404833</v>
      </c>
      <c r="YV9" s="10">
        <f>YU9*(39/42)</f>
        <v>0.41474066505902024</v>
      </c>
      <c r="YW9" s="10">
        <f t="shared" si="41"/>
        <v>0.41449999999999998</v>
      </c>
      <c r="YX9" s="10">
        <f t="shared" si="41"/>
        <v>0.41815412986565348</v>
      </c>
      <c r="YY9" s="10">
        <f>YX9*(16/29)</f>
        <v>0.23070572682242951</v>
      </c>
      <c r="YZ9" s="10">
        <f t="shared" si="42"/>
        <v>0.8334474554872382</v>
      </c>
      <c r="ZA9" s="10">
        <f t="shared" si="42"/>
        <v>0.84108763769048922</v>
      </c>
      <c r="ZB9" s="10">
        <f>ZA9*(42/82)</f>
        <v>0.43080098515854326</v>
      </c>
      <c r="ZC9" s="10">
        <f>AVERAGE(YG9,YI9,YJ9)</f>
        <v>0.91916666666666658</v>
      </c>
      <c r="ZD9" s="10">
        <f>AVERAGE(YH9,YI9,YK9)</f>
        <v>0.93635792977170207</v>
      </c>
      <c r="ZE9" s="10">
        <f>ZD9*(30/74)</f>
        <v>0.379604566123663</v>
      </c>
      <c r="ZF9" s="10">
        <f>AVERAGE(YL9,YN9,YP9,YQ9,)</f>
        <v>0.59653333333333336</v>
      </c>
      <c r="ZG9" s="10">
        <f>AVERAGE(YM9,YO9,YP9,YR9)</f>
        <v>0.73725190464303003</v>
      </c>
      <c r="ZH9" s="10">
        <f>ZG9*(16/17)</f>
        <v>0.69388414554638123</v>
      </c>
      <c r="ZI9" s="10">
        <f>AVERAGE(YT9,YW9,YZ9,ZC9,ZF9)</f>
        <v>0.6452536682068879</v>
      </c>
      <c r="ZJ9" s="10">
        <f t="shared" si="43"/>
        <v>0.67589907902227153</v>
      </c>
      <c r="ZK9" s="10">
        <f t="shared" si="43"/>
        <v>0.4299472177420075</v>
      </c>
    </row>
    <row r="10" spans="1:710" x14ac:dyDescent="0.25">
      <c r="A10" t="s">
        <v>1063</v>
      </c>
      <c r="B10">
        <v>0</v>
      </c>
      <c r="C10">
        <v>0</v>
      </c>
      <c r="D10">
        <v>0.5</v>
      </c>
      <c r="E10">
        <v>0</v>
      </c>
      <c r="F10">
        <v>0</v>
      </c>
      <c r="G10">
        <v>0</v>
      </c>
      <c r="H10">
        <v>0.5</v>
      </c>
      <c r="I10">
        <v>0</v>
      </c>
      <c r="J10">
        <v>0</v>
      </c>
      <c r="K10">
        <v>0</v>
      </c>
      <c r="L10">
        <v>1</v>
      </c>
      <c r="M10">
        <v>0</v>
      </c>
      <c r="N10">
        <v>0.5</v>
      </c>
      <c r="O10">
        <v>0.5</v>
      </c>
      <c r="P10">
        <v>0</v>
      </c>
      <c r="Q10">
        <v>0</v>
      </c>
      <c r="R10">
        <v>997</v>
      </c>
      <c r="S10">
        <v>997</v>
      </c>
      <c r="T10">
        <v>997</v>
      </c>
      <c r="U10">
        <v>997</v>
      </c>
      <c r="V10">
        <v>997</v>
      </c>
      <c r="W10">
        <v>0.5</v>
      </c>
      <c r="X10">
        <v>0</v>
      </c>
      <c r="Y10">
        <v>997</v>
      </c>
      <c r="Z10">
        <v>997</v>
      </c>
      <c r="AA10">
        <v>997</v>
      </c>
      <c r="AB10">
        <v>997</v>
      </c>
      <c r="AC10">
        <v>997</v>
      </c>
      <c r="AD10">
        <v>997</v>
      </c>
      <c r="AE10">
        <v>997</v>
      </c>
      <c r="AF10">
        <v>997</v>
      </c>
      <c r="AG10">
        <v>997</v>
      </c>
      <c r="AH10" s="38">
        <f>AVERAGE(B10:Q10,W10:X10)</f>
        <v>0.19444444444444445</v>
      </c>
      <c r="AI10" s="6">
        <v>1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1</v>
      </c>
      <c r="AP10">
        <v>1</v>
      </c>
      <c r="AQ10" s="2">
        <f>AVERAGE(AJ10:AP10)</f>
        <v>0.42857142857142855</v>
      </c>
      <c r="AR10" s="2">
        <v>1</v>
      </c>
      <c r="AS10">
        <v>1</v>
      </c>
      <c r="AT10">
        <v>997</v>
      </c>
      <c r="AU10">
        <v>1</v>
      </c>
      <c r="AV10" s="3">
        <f>1-((1-AU10)*((1-(1-(4.746921/3.999809)))))</f>
        <v>1</v>
      </c>
      <c r="AW10" s="39">
        <f>AVERAGE(AS10,AU10:AV10)</f>
        <v>1</v>
      </c>
      <c r="AX10" s="4">
        <v>1</v>
      </c>
      <c r="AY10">
        <v>1</v>
      </c>
      <c r="AZ10">
        <v>1</v>
      </c>
      <c r="BA10">
        <v>1</v>
      </c>
      <c r="BB10">
        <v>1</v>
      </c>
      <c r="BC10" s="2">
        <f>AVERAGE(AY10:BB10)</f>
        <v>1</v>
      </c>
      <c r="BD10" s="2">
        <v>1</v>
      </c>
      <c r="BE10">
        <f>20.6/100</f>
        <v>0.20600000000000002</v>
      </c>
      <c r="BF10" s="3">
        <f>1-((1-BE10)*((4.746921/3.999809)))</f>
        <v>5.7691186254143489E-2</v>
      </c>
      <c r="BG10">
        <f>5.2/100</f>
        <v>5.2000000000000005E-2</v>
      </c>
      <c r="BH10" s="3">
        <v>0</v>
      </c>
      <c r="BI10">
        <v>0</v>
      </c>
      <c r="BJ10" s="3">
        <v>0</v>
      </c>
      <c r="BK10">
        <v>7.1999999999999995E-2</v>
      </c>
      <c r="BL10" s="3">
        <v>0</v>
      </c>
      <c r="BM10">
        <f>31.59/100</f>
        <v>0.31590000000000001</v>
      </c>
      <c r="BN10" s="3">
        <f>1-((1-BM10)*((1-(1-(4.746921/3.999809)))))</f>
        <v>0.18811906866052863</v>
      </c>
      <c r="BO10">
        <f>35.87/100</f>
        <v>0.35869999999999996</v>
      </c>
      <c r="BP10" s="3">
        <f>1-((1-BO10)*((1-(1-(4.746921/3.999809)))))</f>
        <v>0.23891354879695503</v>
      </c>
      <c r="BR10" s="3"/>
      <c r="BS10">
        <f>26.11/100</f>
        <v>0.2611</v>
      </c>
      <c r="BT10" s="3">
        <f>1-((1-BS10)*((1-(1-(4.746921/3.999809)))))</f>
        <v>0.12308314549519739</v>
      </c>
      <c r="BU10">
        <f>69.4/100</f>
        <v>0.69400000000000006</v>
      </c>
      <c r="BV10" s="3">
        <f>1-((1-BU10)*((1-(1-(4.746921/3.999809)))))</f>
        <v>0.63684320276293205</v>
      </c>
      <c r="BW10">
        <f>21.1/100</f>
        <v>0.21100000000000002</v>
      </c>
      <c r="BX10" s="3">
        <f>1-((1-BW10)*((1-(1-(4.746921/3.999809)))))</f>
        <v>6.3625120849520655E-2</v>
      </c>
      <c r="BY10">
        <f>9.6/100</f>
        <v>9.6000000000000002E-2</v>
      </c>
      <c r="BZ10" s="3">
        <v>0</v>
      </c>
      <c r="CC10" s="4">
        <f>AVERAGE(BE10,BG10,BI10,BK10,BM10,BO10,BU10,BW10,BY10,BS10)</f>
        <v>0.22666999999999998</v>
      </c>
      <c r="CD10" s="4">
        <f>AVERAGE(BN10,BP10,BT10,BH10,BJ10,BL10,BV10,BX10,BZ10,BF10,)</f>
        <v>0.11893411571084336</v>
      </c>
      <c r="CE10" s="39">
        <f>(COUNT(BE10,BG10,BI10,BK10,BM10,BO10,BQ10,BS10,BU10,BW10,BY10,CA10))/12</f>
        <v>0.83333333333333337</v>
      </c>
      <c r="CF10">
        <v>0</v>
      </c>
      <c r="CH10">
        <v>0</v>
      </c>
      <c r="CI10" s="3">
        <v>0</v>
      </c>
      <c r="CJ10" t="s">
        <v>1064</v>
      </c>
      <c r="CK10" s="3"/>
      <c r="CL10">
        <f>10*(1/21.6)</f>
        <v>0.46296296296296291</v>
      </c>
      <c r="CM10">
        <f>10*(1/16.7)</f>
        <v>0.5988023952095809</v>
      </c>
      <c r="CN10" s="3">
        <f>1-((1-CM10)*((1-(1-(4.746921/3.999809)))))</f>
        <v>0.52386393067035419</v>
      </c>
      <c r="CO10" s="6">
        <f>AVERAGE(CF10:CH10,CJ10)</f>
        <v>0</v>
      </c>
      <c r="CP10" s="6">
        <f>AVERAGE(CF10:CG10,CI10,CK10)</f>
        <v>0</v>
      </c>
      <c r="CQ10">
        <v>0</v>
      </c>
      <c r="CR10">
        <v>0</v>
      </c>
      <c r="CT10">
        <v>0</v>
      </c>
      <c r="CU10" s="3">
        <v>0</v>
      </c>
      <c r="CW10" s="3"/>
      <c r="DB10" s="3"/>
      <c r="DC10">
        <f>95/100</f>
        <v>0.95</v>
      </c>
      <c r="DD10">
        <f>94/100</f>
        <v>0.94</v>
      </c>
      <c r="DE10" s="3">
        <f>1-((1-DD10)*((1-(1-(4.746921/3.999809)))))</f>
        <v>0.92879278485547678</v>
      </c>
      <c r="DF10">
        <f>AVERAGE(CR10,CS10,CT10,CV10,CX10,CY10,CZ10,DA10,DC10,DD10)</f>
        <v>0.47249999999999998</v>
      </c>
      <c r="DG10">
        <f>AVERAGE(CR10:CS10,CU10,CV10,CX10:CZ10,DB10:DC10,DE10)</f>
        <v>0.46969819621386921</v>
      </c>
      <c r="DH10">
        <f>(COUNT(CR10,CT10,CX10:DA10,))/8</f>
        <v>0.375</v>
      </c>
      <c r="DI10">
        <f>97/100</f>
        <v>0.97</v>
      </c>
      <c r="DJ10">
        <f>97/100</f>
        <v>0.97</v>
      </c>
      <c r="DK10" s="3">
        <f>1-((1-DJ10)*((1-(1-(4.746921/3.999809)))))</f>
        <v>0.96439639242773834</v>
      </c>
      <c r="DL10">
        <v>0</v>
      </c>
      <c r="DM10"/>
      <c r="DN10">
        <v>0</v>
      </c>
      <c r="DO10" s="3">
        <v>0</v>
      </c>
      <c r="DP10"/>
      <c r="DQ10"/>
      <c r="DR10">
        <f>10*(1/14.94)</f>
        <v>0.66934404283801874</v>
      </c>
      <c r="DS10">
        <f>10*(1/15.15)</f>
        <v>0.66006600660066006</v>
      </c>
      <c r="DT10" s="3">
        <f>1-((1-DS10)*((1-(1-(4.746921/3.999809)))))</f>
        <v>0.59657078328460478</v>
      </c>
      <c r="DU10">
        <v>1.3</v>
      </c>
      <c r="DV10" s="3">
        <f>1-((1-DU10)*((1-(1-(4.746921/3.999809)))))</f>
        <v>1.3560360757226158</v>
      </c>
      <c r="DW10" s="4">
        <f>AVERAGE(DI10,DJ10,DL10:DN10,DU10)</f>
        <v>0.64800000000000002</v>
      </c>
      <c r="DX10" s="4">
        <f>AVERAGE(DI10,DK10:DM10,DO10,DQ10:DR10,DT10,DV10)</f>
        <v>0.65090675632471118</v>
      </c>
      <c r="DY10" s="4">
        <f>(COUNT(DI10,DJ10,DL10,DN10,DU10))/7</f>
        <v>0.7142857142857143</v>
      </c>
      <c r="DZ10">
        <v>0</v>
      </c>
      <c r="EB10">
        <v>0</v>
      </c>
      <c r="EC10" s="3">
        <v>0</v>
      </c>
      <c r="EG10" s="3"/>
      <c r="EH10" s="4">
        <f>AVERAGE(DZ10,EB10,EE10,EF10)</f>
        <v>0</v>
      </c>
      <c r="EI10" s="4">
        <f>AVERAGE(EC10:EE10,EG10,DZ10:EA10)</f>
        <v>0</v>
      </c>
      <c r="EJ10" s="4">
        <f>(COUNT(DZ10:EB10,EE10:EF10))/6</f>
        <v>0.33333333333333331</v>
      </c>
      <c r="EK10">
        <v>1</v>
      </c>
      <c r="EL10">
        <v>1</v>
      </c>
      <c r="EM10">
        <f>1-(18/100)</f>
        <v>0.82000000000000006</v>
      </c>
      <c r="EN10">
        <f>1-(18/100)</f>
        <v>0.82000000000000006</v>
      </c>
      <c r="EO10" s="3">
        <f>1-((1-EN10)*((1-(1-(4.746921/3.999809)))))</f>
        <v>0.78637835456643057</v>
      </c>
      <c r="EP10">
        <v>0</v>
      </c>
      <c r="ER10" s="35">
        <v>9410</v>
      </c>
      <c r="ES10">
        <v>1</v>
      </c>
      <c r="ET10" s="3">
        <f>1-((1-ES10)*((1-(1-(4.746921/3.999809)))))</f>
        <v>1</v>
      </c>
      <c r="EU10" s="39">
        <f>AVERAGE(EK10:EM10,EN10,EP10,ES10)</f>
        <v>0.77333333333333343</v>
      </c>
      <c r="EV10" s="39">
        <f>AVERAGE(EK10:EM10,EO10,EP10,ET10)</f>
        <v>0.76772972576107179</v>
      </c>
      <c r="EW10" s="39">
        <f>(COUNT(EK10:EN10,EP10,ES10))/6</f>
        <v>1</v>
      </c>
      <c r="EX10">
        <v>1</v>
      </c>
      <c r="EY10">
        <v>1</v>
      </c>
      <c r="EZ10">
        <v>0</v>
      </c>
      <c r="FA10">
        <v>1</v>
      </c>
      <c r="FB10">
        <v>0</v>
      </c>
      <c r="FC10">
        <v>1</v>
      </c>
      <c r="FD10">
        <v>0</v>
      </c>
      <c r="FE10">
        <v>0</v>
      </c>
      <c r="FF10">
        <v>0</v>
      </c>
      <c r="FG10">
        <v>1</v>
      </c>
      <c r="FH10">
        <v>1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1</v>
      </c>
      <c r="FO10">
        <v>0.66</v>
      </c>
      <c r="FP10">
        <v>1</v>
      </c>
      <c r="FQ10" s="2">
        <f>AVERAGE(EX10:FP10)</f>
        <v>0.45578947368421052</v>
      </c>
      <c r="FR10" s="2">
        <f>FQ10</f>
        <v>0.45578947368421052</v>
      </c>
      <c r="FS10" s="2">
        <v>1</v>
      </c>
      <c r="FT10">
        <f>99.42/100</f>
        <v>0.99419999999999997</v>
      </c>
      <c r="FU10">
        <f>99.91/100</f>
        <v>0.99909999999999999</v>
      </c>
      <c r="FV10">
        <f>98.91/100</f>
        <v>0.98909999999999998</v>
      </c>
      <c r="FW10" t="s">
        <v>1059</v>
      </c>
      <c r="FX10" t="s">
        <v>1059</v>
      </c>
      <c r="FY10" t="s">
        <v>1059</v>
      </c>
      <c r="FZ10" t="s">
        <v>1059</v>
      </c>
      <c r="GA10" t="s">
        <v>1059</v>
      </c>
      <c r="GB10" t="s">
        <v>1059</v>
      </c>
      <c r="GC10" t="s">
        <v>1059</v>
      </c>
      <c r="GD10" t="s">
        <v>1059</v>
      </c>
      <c r="GE10" s="44">
        <f t="shared" si="20"/>
        <v>0.98999099189270345</v>
      </c>
      <c r="GF10" s="44" t="s">
        <v>1248</v>
      </c>
      <c r="GO10">
        <f>95.92/100</f>
        <v>0.95920000000000005</v>
      </c>
      <c r="GP10" s="3">
        <f>1-((1-GO10)*((1-(1-(4.746921/3.999809)))))</f>
        <v>0.95157909370172433</v>
      </c>
      <c r="GQ10">
        <f>95.5/100</f>
        <v>0.95499999999999996</v>
      </c>
      <c r="GR10" s="3">
        <f>1-((1-GQ10)*((1-(1-(4.746921/3.999809)))))</f>
        <v>0.94659458864160761</v>
      </c>
      <c r="GS10">
        <f>96.37/100</f>
        <v>0.9637</v>
      </c>
      <c r="GT10" s="3">
        <f>1-((1-GS10)*((1-(1-(4.746921/3.999809)))))</f>
        <v>0.95691963483756348</v>
      </c>
      <c r="GU10" t="s">
        <v>1059</v>
      </c>
      <c r="GW10" t="s">
        <v>1059</v>
      </c>
      <c r="GX10" t="s">
        <v>1059</v>
      </c>
      <c r="GY10" t="s">
        <v>1059</v>
      </c>
      <c r="GZ10" t="s">
        <v>1059</v>
      </c>
      <c r="HA10" t="s">
        <v>1059</v>
      </c>
      <c r="HB10" t="s">
        <v>1059</v>
      </c>
      <c r="HC10" t="s">
        <v>1059</v>
      </c>
      <c r="HD10" s="44">
        <f t="shared" si="21"/>
        <v>1.0091099476439791</v>
      </c>
      <c r="HE10" s="44" t="s">
        <v>1249</v>
      </c>
      <c r="HN10" t="s">
        <v>1059</v>
      </c>
      <c r="HO10" s="3"/>
      <c r="HP10" t="s">
        <v>1059</v>
      </c>
      <c r="HQ10" s="3"/>
      <c r="HR10" t="s">
        <v>1059</v>
      </c>
      <c r="HS10" s="3"/>
      <c r="HT10" t="s">
        <v>1059</v>
      </c>
      <c r="HU10" s="3"/>
      <c r="HV10" t="s">
        <v>1059</v>
      </c>
      <c r="HW10" s="3"/>
      <c r="HX10" t="s">
        <v>1059</v>
      </c>
      <c r="HY10" s="3"/>
      <c r="HZ10" t="s">
        <v>1059</v>
      </c>
      <c r="IA10" s="3"/>
      <c r="IB10" t="s">
        <v>1059</v>
      </c>
      <c r="IC10" s="3"/>
      <c r="ID10" t="s">
        <v>1059</v>
      </c>
      <c r="IE10" s="3"/>
      <c r="IF10" t="s">
        <v>1059</v>
      </c>
      <c r="IG10" s="3"/>
      <c r="IH10" t="s">
        <v>1059</v>
      </c>
      <c r="IS10">
        <f>88.8/100</f>
        <v>0.88800000000000001</v>
      </c>
      <c r="IT10" s="3">
        <f>1-((1-IS10)*((1-(1-(4.746921/3.999809)))))</f>
        <v>0.86707986506355683</v>
      </c>
      <c r="IU10">
        <f>74.84/100</f>
        <v>0.74840000000000007</v>
      </c>
      <c r="IV10" s="3">
        <f>1-((1-IU10)*((1-(1-(4.746921/3.999809)))))</f>
        <v>0.70140441116063301</v>
      </c>
      <c r="IW10">
        <f>103.65/100</f>
        <v>1.0365</v>
      </c>
      <c r="IX10" s="3">
        <f>1-((1-IW10)*((1-(1-(4.746921/3.999809)))))</f>
        <v>1.0433177225462515</v>
      </c>
      <c r="IY10" t="s">
        <v>1059</v>
      </c>
      <c r="IZ10" s="3"/>
      <c r="JA10" t="s">
        <v>1059</v>
      </c>
      <c r="JB10" s="3"/>
      <c r="JC10" t="s">
        <v>1059</v>
      </c>
      <c r="JD10" s="3"/>
      <c r="JE10" t="s">
        <v>1059</v>
      </c>
      <c r="JF10" s="3"/>
      <c r="JG10" t="s">
        <v>1059</v>
      </c>
      <c r="JH10" s="3"/>
      <c r="JI10" t="s">
        <v>1059</v>
      </c>
      <c r="JJ10" s="3"/>
      <c r="JK10" t="s">
        <v>1059</v>
      </c>
      <c r="JL10" s="3"/>
      <c r="JM10" t="s">
        <v>1059</v>
      </c>
      <c r="JN10" s="44">
        <f t="shared" si="22"/>
        <v>1.3849545697487973</v>
      </c>
      <c r="JO10" s="44" t="s">
        <v>1249</v>
      </c>
      <c r="JX10">
        <f>92.77/100</f>
        <v>0.92769999999999997</v>
      </c>
      <c r="JY10">
        <f>92.92/100</f>
        <v>0.92920000000000003</v>
      </c>
      <c r="JZ10">
        <f>92.62/100</f>
        <v>0.92620000000000002</v>
      </c>
      <c r="KA10" t="s">
        <v>1059</v>
      </c>
      <c r="KB10" t="s">
        <v>1059</v>
      </c>
      <c r="KC10" t="s">
        <v>1059</v>
      </c>
      <c r="KD10" t="s">
        <v>1059</v>
      </c>
      <c r="KE10" t="s">
        <v>1059</v>
      </c>
      <c r="KF10" t="s">
        <v>1059</v>
      </c>
      <c r="KG10" t="s">
        <v>1059</v>
      </c>
      <c r="KH10" t="s">
        <v>1059</v>
      </c>
      <c r="KI10" s="44">
        <f t="shared" si="23"/>
        <v>0.99677141627206201</v>
      </c>
      <c r="KJ10" s="44" t="s">
        <v>1248</v>
      </c>
      <c r="KS10">
        <f>88.11/100</f>
        <v>0.88109999999999999</v>
      </c>
      <c r="KT10" s="3">
        <f>1-((1-KS10)*((1-(1-(4.746921/3.999809)))))</f>
        <v>0.85889103532193656</v>
      </c>
      <c r="KU10">
        <f>86.84/100</f>
        <v>0.86840000000000006</v>
      </c>
      <c r="KV10" s="3">
        <f>1-((1-KU10)*((1-(1-(4.746921/3.999809)))))</f>
        <v>0.84381884144967922</v>
      </c>
      <c r="KW10">
        <f>89.46/100</f>
        <v>0.89459999999999995</v>
      </c>
      <c r="KX10" s="3">
        <f>1-((1-KW10)*((1-(1-(4.746921/3.999809)))))</f>
        <v>0.87491265872945423</v>
      </c>
      <c r="KY10" t="s">
        <v>1059</v>
      </c>
      <c r="KZ10" t="s">
        <v>1059</v>
      </c>
      <c r="LA10" t="s">
        <v>1059</v>
      </c>
      <c r="LB10" t="s">
        <v>1059</v>
      </c>
      <c r="LC10" t="s">
        <v>1059</v>
      </c>
      <c r="LD10" t="s">
        <v>1059</v>
      </c>
      <c r="LE10" t="s">
        <v>1059</v>
      </c>
      <c r="LF10" t="s">
        <v>1059</v>
      </c>
      <c r="LG10" s="44">
        <f>KW10/KU10</f>
        <v>1.030170428374021</v>
      </c>
      <c r="LH10" s="44" t="s">
        <v>1249</v>
      </c>
      <c r="LQ10">
        <f>99/100</f>
        <v>0.99</v>
      </c>
      <c r="LR10">
        <f>99/100</f>
        <v>0.99</v>
      </c>
      <c r="LS10">
        <f>99/100</f>
        <v>0.99</v>
      </c>
      <c r="LT10" t="s">
        <v>1059</v>
      </c>
      <c r="LU10" t="s">
        <v>1059</v>
      </c>
      <c r="LV10" t="s">
        <v>1059</v>
      </c>
      <c r="LW10" t="s">
        <v>1059</v>
      </c>
      <c r="LX10" t="s">
        <v>1059</v>
      </c>
      <c r="LY10" t="s">
        <v>1059</v>
      </c>
      <c r="LZ10" t="s">
        <v>1059</v>
      </c>
      <c r="MA10" t="s">
        <v>1059</v>
      </c>
      <c r="MB10" s="44">
        <f t="shared" si="24"/>
        <v>1</v>
      </c>
      <c r="MC10" s="44" t="s">
        <v>1060</v>
      </c>
      <c r="ML10">
        <f>91.3/100</f>
        <v>0.91299999999999992</v>
      </c>
      <c r="MM10" s="3">
        <f>1-((1-ML10)*((1-(1-(4.746921/3.999809)))))</f>
        <v>0.89674953804044133</v>
      </c>
      <c r="MN10">
        <f>92.3/100</f>
        <v>0.92299999999999993</v>
      </c>
      <c r="MO10" s="3">
        <f>1-((1-MN10)*((1-(1-(4.746921/3.999809)))))</f>
        <v>0.90861740723119522</v>
      </c>
      <c r="MP10">
        <f>90.3/100</f>
        <v>0.90300000000000002</v>
      </c>
      <c r="MQ10" s="3">
        <f>1-((1-MP10)*((1-(1-(4.746921/3.999809)))))</f>
        <v>0.88488166884968755</v>
      </c>
      <c r="MR10" t="s">
        <v>1059</v>
      </c>
      <c r="MS10" s="3"/>
      <c r="MT10" t="s">
        <v>1059</v>
      </c>
      <c r="MU10" s="3"/>
      <c r="MV10" t="s">
        <v>1059</v>
      </c>
      <c r="MW10" s="3"/>
      <c r="MX10" t="s">
        <v>1059</v>
      </c>
      <c r="MY10" s="3"/>
      <c r="MZ10" t="s">
        <v>1059</v>
      </c>
      <c r="NA10" s="3"/>
      <c r="NB10" t="s">
        <v>1059</v>
      </c>
      <c r="NC10" s="3"/>
      <c r="ND10" t="s">
        <v>1059</v>
      </c>
      <c r="NE10" s="3"/>
      <c r="NF10">
        <f>81.5/100</f>
        <v>0.81499999999999995</v>
      </c>
      <c r="NG10" s="3">
        <f>1-((1-NF10)*((1-(1-(4.746921/3.999809)))))</f>
        <v>0.78044441997105352</v>
      </c>
      <c r="NH10" s="44">
        <f t="shared" si="27"/>
        <v>0.97833152762730236</v>
      </c>
      <c r="NI10" s="44" t="s">
        <v>1248</v>
      </c>
      <c r="NP10" s="44">
        <f>NF10/ML10</f>
        <v>0.89266155531215774</v>
      </c>
      <c r="NQ10" s="44" t="s">
        <v>1254</v>
      </c>
      <c r="NR10" t="s">
        <v>1059</v>
      </c>
      <c r="NS10" s="3"/>
      <c r="NT10" t="s">
        <v>1059</v>
      </c>
      <c r="NV10" t="s">
        <v>1059</v>
      </c>
      <c r="NX10" t="s">
        <v>1059</v>
      </c>
      <c r="NZ10" t="s">
        <v>1059</v>
      </c>
      <c r="OB10" t="s">
        <v>1059</v>
      </c>
      <c r="OC10" t="s">
        <v>1059</v>
      </c>
      <c r="OD10" t="s">
        <v>1059</v>
      </c>
      <c r="OE10" t="s">
        <v>1059</v>
      </c>
      <c r="OF10" t="s">
        <v>1059</v>
      </c>
      <c r="OG10" t="s">
        <v>1059</v>
      </c>
      <c r="OS10" t="s">
        <v>1059</v>
      </c>
      <c r="OU10" t="s">
        <v>1059</v>
      </c>
      <c r="OW10" t="s">
        <v>1059</v>
      </c>
      <c r="OY10" t="s">
        <v>1059</v>
      </c>
      <c r="PA10" t="s">
        <v>1059</v>
      </c>
      <c r="PC10" t="s">
        <v>1059</v>
      </c>
      <c r="PE10" t="s">
        <v>1059</v>
      </c>
      <c r="PF10" t="s">
        <v>1059</v>
      </c>
      <c r="PH10" t="s">
        <v>1059</v>
      </c>
      <c r="PI10" t="s">
        <v>1059</v>
      </c>
      <c r="PK10" t="s">
        <v>1059</v>
      </c>
      <c r="PV10" s="40">
        <f>AVERAGE(NP10,NH10,MB10,LG10,KI10,JN10,HD10,GE10,MP10,MN10,ML10,KW10,KU10,KS10,JX10:JZ10,IW10,IU10,IS10,GS10,GQ10,,HN10,HP10,HR10,HT10,HV10,HX10,HZ10,IB10,ID10,IF10,IY10,JA10,JC10,JE10,JG10,JI10,JK10,GO10,FT10:FV10,MT10,MR10,MV10,MX10,NB10,MZ10,ND10,NR10,NV10,NT10,NX10,NZ10,OG10,OS10,OU10,OW10,OY10,PA10,PC10,PF10,PI10,NF10,LQ10:LS10)</f>
        <v>0.92794807860874251</v>
      </c>
      <c r="PW10" s="40">
        <f>AVERAGE(NP10,NH10,MB10,LG10,KI10,JN10,HD10,GE10,MQ10,MO10,MM10,KX10,KV10,KT10,JX10:JZ10,IX10,IV10,IT10,GT10,GR10,,HO10,HQ10,HS10,HU10,HW10,HY10,IA10,IC10,IE10,IG10,IZ10,JB10,JD10,JF10,JH10,JJ10,JL10,GP10,FT10:FV10,MU10,MS10,MW10,MY10,NC10,NA10,NE10,NS10,NW10,NU10,NY10,OA10,OH10,OT10,OV10,OX10,OZ10,PB10,PD10,PG10,PJ10,NG10,LQ10:LS10,)</f>
        <v>0.89164691632549375</v>
      </c>
      <c r="PX10" s="4">
        <f>(COUNT(NF10,MP10,MN10,ML10,LQ10:LS10,KW10,KU10,KS10,JX10:JZ10,IW10,IU10,IS10,GS10,GQ10,GO10,FT10:FV10))/110</f>
        <v>0.2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1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1</v>
      </c>
      <c r="QP10">
        <v>1</v>
      </c>
      <c r="QQ10">
        <v>1</v>
      </c>
      <c r="QR10">
        <v>0</v>
      </c>
      <c r="QS10" s="3">
        <v>0</v>
      </c>
      <c r="QT10" s="8">
        <f>AVERAGE(PY10:QR10)</f>
        <v>0.65</v>
      </c>
      <c r="QU10" s="8">
        <f>AVERAGE(PY10:QQ10,QS10)</f>
        <v>0.65</v>
      </c>
      <c r="QV10" s="8">
        <f>(COUNT(PY10:QR10))/20</f>
        <v>1</v>
      </c>
      <c r="QW10">
        <v>1</v>
      </c>
      <c r="QX10">
        <v>0.33</v>
      </c>
      <c r="QY10">
        <v>0</v>
      </c>
      <c r="QZ10">
        <v>0.66</v>
      </c>
      <c r="RA10" s="9">
        <f>AVERAGE(QW10:QZ10)</f>
        <v>0.49750000000000005</v>
      </c>
      <c r="RB10" s="9">
        <v>1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1</v>
      </c>
      <c r="RI10">
        <v>1</v>
      </c>
      <c r="RJ10">
        <v>1</v>
      </c>
      <c r="RK10" t="s">
        <v>1059</v>
      </c>
      <c r="RL10" t="s">
        <v>1059</v>
      </c>
      <c r="RM10" t="s">
        <v>1059</v>
      </c>
      <c r="RN10" t="s">
        <v>1059</v>
      </c>
      <c r="RO10" t="s">
        <v>1059</v>
      </c>
      <c r="RP10" t="s">
        <v>1059</v>
      </c>
      <c r="RQ10" t="s">
        <v>1059</v>
      </c>
      <c r="RR10" t="s">
        <v>1059</v>
      </c>
      <c r="RS10" t="s">
        <v>1059</v>
      </c>
      <c r="RT10" t="s">
        <v>1059</v>
      </c>
      <c r="RU10" t="s">
        <v>1059</v>
      </c>
      <c r="RV10">
        <f>33/100</f>
        <v>0.33</v>
      </c>
      <c r="RW10">
        <f>32/100</f>
        <v>0.32</v>
      </c>
      <c r="RX10">
        <f>33/100</f>
        <v>0.33</v>
      </c>
      <c r="RY10">
        <f>34/100</f>
        <v>0.34</v>
      </c>
      <c r="RZ10">
        <f>35/100</f>
        <v>0.35</v>
      </c>
      <c r="SA10" t="s">
        <v>1059</v>
      </c>
      <c r="SB10" t="s">
        <v>1059</v>
      </c>
      <c r="SC10" t="s">
        <v>1059</v>
      </c>
      <c r="SD10" t="s">
        <v>1059</v>
      </c>
      <c r="SE10" t="s">
        <v>1059</v>
      </c>
      <c r="SF10">
        <f>21/100</f>
        <v>0.21</v>
      </c>
      <c r="SG10">
        <f>42/100</f>
        <v>0.42</v>
      </c>
      <c r="SH10">
        <f>40/100</f>
        <v>0.4</v>
      </c>
      <c r="SI10">
        <f>43/100</f>
        <v>0.43</v>
      </c>
      <c r="SJ10">
        <f>42/100</f>
        <v>0.42</v>
      </c>
      <c r="SK10">
        <f>44/100</f>
        <v>0.44</v>
      </c>
      <c r="SL10" t="s">
        <v>1059</v>
      </c>
      <c r="SM10" t="s">
        <v>1059</v>
      </c>
      <c r="SN10" t="s">
        <v>1059</v>
      </c>
      <c r="SO10" t="s">
        <v>1059</v>
      </c>
      <c r="SP10" t="s">
        <v>1059</v>
      </c>
      <c r="SQ10">
        <f>38/100</f>
        <v>0.38</v>
      </c>
      <c r="SR10" t="s">
        <v>1059</v>
      </c>
      <c r="ST10" t="s">
        <v>1059</v>
      </c>
      <c r="SV10" t="s">
        <v>1059</v>
      </c>
      <c r="SX10" t="s">
        <v>1059</v>
      </c>
      <c r="SY10" t="s">
        <v>1059</v>
      </c>
      <c r="SZ10" t="s">
        <v>1059</v>
      </c>
      <c r="TA10" t="s">
        <v>1059</v>
      </c>
      <c r="TB10" t="s">
        <v>1059</v>
      </c>
      <c r="TC10" t="s">
        <v>1059</v>
      </c>
      <c r="TD10" t="s">
        <v>1059</v>
      </c>
      <c r="TE10" t="s">
        <v>1059</v>
      </c>
      <c r="TF10">
        <f>42/100</f>
        <v>0.42</v>
      </c>
      <c r="TG10" s="3">
        <f>1-((1-TF10)*((1-(1-(4.746921/3.999809)))))</f>
        <v>0.31166358693627605</v>
      </c>
      <c r="TH10">
        <f>42/100</f>
        <v>0.42</v>
      </c>
      <c r="TI10" s="3">
        <f>1-((1-TH10)*((1-(1-(4.746921/3.999809)))))</f>
        <v>0.31166358693627605</v>
      </c>
      <c r="TJ10">
        <f>41/100</f>
        <v>0.41</v>
      </c>
      <c r="TK10" s="3">
        <f>1-((1-TJ10)*((1-(1-(4.746921/3.999809)))))</f>
        <v>0.29979571774552216</v>
      </c>
      <c r="TL10">
        <f>41/100</f>
        <v>0.41</v>
      </c>
      <c r="TM10" s="3">
        <f>1-((1-TL10)*((1-(1-(4.746921/3.999809)))))</f>
        <v>0.29979571774552216</v>
      </c>
      <c r="TN10">
        <f>44/100</f>
        <v>0.44</v>
      </c>
      <c r="TO10" s="3">
        <f>1-((1-TN10)*((1-(1-(4.746921/3.999809)))))</f>
        <v>0.33539932531778383</v>
      </c>
      <c r="TP10" t="s">
        <v>1059</v>
      </c>
      <c r="TQ10" s="3"/>
      <c r="TR10" t="s">
        <v>1059</v>
      </c>
      <c r="TS10" s="3"/>
      <c r="TT10" t="s">
        <v>1059</v>
      </c>
      <c r="TU10" s="3"/>
      <c r="TV10" t="s">
        <v>1059</v>
      </c>
      <c r="TW10" s="3"/>
      <c r="TX10" t="s">
        <v>1059</v>
      </c>
      <c r="TY10" s="3"/>
      <c r="TZ10">
        <f>21/100</f>
        <v>0.21</v>
      </c>
      <c r="UA10" s="3">
        <f>1-((1-TZ10)*((1-(1-(4.746921/3.999809)))))</f>
        <v>6.2438333930445067E-2</v>
      </c>
      <c r="UB10">
        <f>38/100</f>
        <v>0.38</v>
      </c>
      <c r="UC10" s="3">
        <f>1-((1-UB10)*((1-(1-(4.746921/3.999809)))))</f>
        <v>0.26419211017326072</v>
      </c>
      <c r="UD10">
        <f>37/100</f>
        <v>0.37</v>
      </c>
      <c r="UE10" s="3">
        <f>1-((1-UD10)*((1-(1-(4.746921/3.999809)))))</f>
        <v>0.25232424098250683</v>
      </c>
      <c r="UF10">
        <f>39/100</f>
        <v>0.39</v>
      </c>
      <c r="UG10" s="3">
        <f>1-((1-UF10)*((1-(1-(4.746921/3.999809)))))</f>
        <v>0.27605997936401461</v>
      </c>
      <c r="UH10">
        <f>36/100</f>
        <v>0.36</v>
      </c>
      <c r="UI10" s="3">
        <f>1-((1-UH10)*((1-(1-(4.746921/3.999809)))))</f>
        <v>0.24045637179175294</v>
      </c>
      <c r="UJ10">
        <f>41/100</f>
        <v>0.41</v>
      </c>
      <c r="UK10" s="3">
        <f>1-((1-UJ10)*((1-(1-(4.746921/3.999809)))))</f>
        <v>0.29979571774552216</v>
      </c>
      <c r="UL10" t="s">
        <v>1059</v>
      </c>
      <c r="UM10" s="3"/>
      <c r="UN10" t="s">
        <v>1059</v>
      </c>
      <c r="UP10" t="s">
        <v>1059</v>
      </c>
      <c r="UR10" t="s">
        <v>1059</v>
      </c>
      <c r="UT10" t="s">
        <v>1059</v>
      </c>
      <c r="UV10">
        <f>24/100</f>
        <v>0.24</v>
      </c>
      <c r="UX10">
        <f>89/100</f>
        <v>0.89</v>
      </c>
      <c r="VI10">
        <f>86/100</f>
        <v>0.86</v>
      </c>
      <c r="VJ10">
        <f>85/100</f>
        <v>0.85</v>
      </c>
      <c r="VK10">
        <f>88/100</f>
        <v>0.88</v>
      </c>
      <c r="VT10" s="2">
        <f>AVERAGE(VI10:VK10,UX10:UZ10,UB10,TF10,SV10,ST10,SR10,SG10,RK10:RM10,UT10,UR10,UP10,UN10,UL10,UJ10,UH10,UF10,UD10,TX10,TV10,TT10,TR10,TP10,TN10,TL10,TJ10,TH10,SH10:SP10,RV10:SD10,RC10:RJ10,UV10,TZ10,SQ10,SF10,)</f>
        <v>0.41378378378378383</v>
      </c>
      <c r="VU10" s="2">
        <f>AVERAGE(VI10:VK10,UX10:UZ10,UC10,TG10,SW10,SU10,SS10,SG10,RV10,RK10:RM10,UU10,US10,UQ10,UO10,UM10,UK10,UI10,UG10,UE10,TY10,TW10,TU10,TS10,TQ10,TO10,TM10,TK10,TI10,SH10:SP10,RW10:SE10,RC10:RJ10,UA10,SQ10,SF10,)</f>
        <v>0.3834329080185801</v>
      </c>
      <c r="VV10" s="4">
        <f>(COUNT(VI10:VK10,UX10,UJ10,UH10,UF10,UD10,UB10,TN10,TL10,TJ10,TH10,TF10,SG10:SK10,RV10:RZ10,UV10,TZ10,RC10:RJ10,SQ10,SF10,))/96</f>
        <v>0.38541666666666669</v>
      </c>
      <c r="VW10">
        <v>1</v>
      </c>
      <c r="VX10">
        <v>1</v>
      </c>
      <c r="WC10" s="8">
        <f>AVERAGE(VW10:VX10)</f>
        <v>1</v>
      </c>
      <c r="WD10" s="8">
        <f>AVERAGE(VW10:VX10)</f>
        <v>1</v>
      </c>
      <c r="WE10" s="8">
        <f>(COUNT(VW10:VX10))/5</f>
        <v>0.4</v>
      </c>
      <c r="WF10">
        <v>997</v>
      </c>
      <c r="WG10">
        <v>0</v>
      </c>
      <c r="WI10">
        <f>37.25/100</f>
        <v>0.3725</v>
      </c>
      <c r="WJ10" s="3">
        <f>1-((1-WI10)*((1-(1-(4.746921/3.999809)))))</f>
        <v>0.25529120828019536</v>
      </c>
      <c r="WK10" s="9">
        <f>AVERAGE(WG10:WI10)</f>
        <v>0.18625</v>
      </c>
      <c r="WL10" s="9">
        <f>AVERAGE(WG10,WJ10)</f>
        <v>0.12764560414009768</v>
      </c>
      <c r="WM10" s="9">
        <f>(COUNT(WG10:WI10))/4</f>
        <v>0.5</v>
      </c>
      <c r="WN10">
        <v>0.66</v>
      </c>
      <c r="WO10">
        <v>1</v>
      </c>
      <c r="WP10">
        <v>1</v>
      </c>
      <c r="WQ10">
        <v>0</v>
      </c>
      <c r="WR10" s="9">
        <f>AVERAGE(WN10:WO10,WP10:WQ10)</f>
        <v>0.66500000000000004</v>
      </c>
      <c r="WS10" s="9">
        <f>(COUNT(WN10:WQ10)/4)</f>
        <v>1</v>
      </c>
      <c r="WT10">
        <v>0</v>
      </c>
      <c r="WU10" s="3">
        <v>0</v>
      </c>
      <c r="WV10">
        <f>1-(6/100)</f>
        <v>0.94</v>
      </c>
      <c r="WW10" s="3">
        <f>1-((1-WV10)*(((4.746921/3.999809))))</f>
        <v>0.92879278485547678</v>
      </c>
      <c r="WX10">
        <v>0</v>
      </c>
      <c r="WY10" s="3">
        <v>0</v>
      </c>
      <c r="WZ10">
        <v>1</v>
      </c>
      <c r="XA10" s="3">
        <f>1-((1-WZ10)*((1-(1-(4.746921/3.999809)))))</f>
        <v>1</v>
      </c>
      <c r="XC10">
        <v>1</v>
      </c>
      <c r="XD10" s="3">
        <f>1-((1-XC10)*((1-(1-(4.746921/3.999809)))))</f>
        <v>1</v>
      </c>
      <c r="XE10">
        <v>1</v>
      </c>
      <c r="XF10" s="3">
        <f>1-((1-XE10)*((1-(1-(4.746921/3.999809)))))</f>
        <v>1</v>
      </c>
      <c r="XG10" s="9">
        <f>AVERAGE(WT10,WV10,WX10,WZ10,XB10,XC10,XE10)</f>
        <v>0.65666666666666662</v>
      </c>
      <c r="XH10" s="9">
        <f>AVERAGE(WU10,WW10,WY10,XB10,XA10,XD10,XF10)</f>
        <v>0.65479879747591274</v>
      </c>
      <c r="XI10" s="9">
        <f>(COUNT(WT10,WV10,WX10,WZ10,XB10:XC10,XE10))/7</f>
        <v>0.8571428571428571</v>
      </c>
      <c r="XM10" s="1">
        <f>AH10</f>
        <v>0.19444444444444445</v>
      </c>
      <c r="XN10" s="1">
        <f>AQ10</f>
        <v>0.42857142857142855</v>
      </c>
      <c r="XO10" s="1">
        <f>AW10</f>
        <v>1</v>
      </c>
      <c r="XP10" s="1">
        <f>BC10</f>
        <v>1</v>
      </c>
      <c r="XQ10" s="1">
        <f t="shared" si="28"/>
        <v>0.22666999999999998</v>
      </c>
      <c r="XR10" s="1">
        <f t="shared" si="28"/>
        <v>0.11893411571084336</v>
      </c>
      <c r="XS10" s="1">
        <f t="shared" si="29"/>
        <v>0</v>
      </c>
      <c r="XT10" s="1">
        <f t="shared" si="29"/>
        <v>0</v>
      </c>
      <c r="XU10" s="1">
        <f t="shared" si="30"/>
        <v>0.47249999999999998</v>
      </c>
      <c r="XV10" s="1">
        <f t="shared" si="30"/>
        <v>0.46969819621386921</v>
      </c>
      <c r="XW10" s="1">
        <f t="shared" si="31"/>
        <v>0.64800000000000002</v>
      </c>
      <c r="XX10" s="1">
        <f t="shared" si="31"/>
        <v>0.65090675632471118</v>
      </c>
      <c r="XY10" s="1">
        <f t="shared" si="32"/>
        <v>0</v>
      </c>
      <c r="XZ10" s="1">
        <f t="shared" si="32"/>
        <v>0</v>
      </c>
      <c r="YA10" s="1">
        <f t="shared" si="33"/>
        <v>0.77333333333333343</v>
      </c>
      <c r="YB10" s="1">
        <f t="shared" si="33"/>
        <v>0.76772972576107179</v>
      </c>
      <c r="YC10" s="1">
        <f t="shared" si="34"/>
        <v>0.45578947368421052</v>
      </c>
      <c r="YD10" s="1">
        <f t="shared" si="34"/>
        <v>0.45578947368421052</v>
      </c>
      <c r="YE10" s="1">
        <f t="shared" si="35"/>
        <v>0.92794807860874251</v>
      </c>
      <c r="YF10" s="1">
        <f t="shared" si="35"/>
        <v>0.89164691632549375</v>
      </c>
      <c r="YG10" s="1">
        <f t="shared" si="36"/>
        <v>0.65</v>
      </c>
      <c r="YH10" s="11">
        <f t="shared" si="36"/>
        <v>0.65</v>
      </c>
      <c r="YI10" s="11">
        <f>RA10</f>
        <v>0.49750000000000005</v>
      </c>
      <c r="YJ10" s="1">
        <f t="shared" si="37"/>
        <v>0.41378378378378383</v>
      </c>
      <c r="YK10" s="1">
        <f t="shared" si="37"/>
        <v>0.3834329080185801</v>
      </c>
      <c r="YL10" s="1">
        <f t="shared" si="38"/>
        <v>1</v>
      </c>
      <c r="YM10" s="1">
        <f t="shared" si="38"/>
        <v>1</v>
      </c>
      <c r="YN10" s="1">
        <f t="shared" si="39"/>
        <v>0.18625</v>
      </c>
      <c r="YO10" s="1">
        <f t="shared" si="39"/>
        <v>0.12764560414009768</v>
      </c>
      <c r="YP10" s="1">
        <f>WR10</f>
        <v>0.66500000000000004</v>
      </c>
      <c r="YQ10" s="1">
        <f t="shared" si="40"/>
        <v>0.65666666666666662</v>
      </c>
      <c r="YR10" s="1">
        <f t="shared" si="40"/>
        <v>0.65479879747591274</v>
      </c>
      <c r="YT10" s="10">
        <f>AVERAGE(XM10:XQ10)</f>
        <v>0.56993717460317461</v>
      </c>
      <c r="YU10" s="10">
        <f>AVERAGE(XM10:XP10,XR10)</f>
        <v>0.54838999774534325</v>
      </c>
      <c r="YV10" s="10">
        <f>YU10*(41/43)</f>
        <v>0.52288348622230407</v>
      </c>
      <c r="YW10" s="10">
        <f t="shared" si="41"/>
        <v>0.28012500000000001</v>
      </c>
      <c r="YX10" s="10">
        <f t="shared" si="41"/>
        <v>0.2801512381346451</v>
      </c>
      <c r="YY10" s="10">
        <f>YX10*((17/29))</f>
        <v>0.16422658787203331</v>
      </c>
      <c r="YZ10" s="10">
        <f t="shared" si="42"/>
        <v>0.71902362854209556</v>
      </c>
      <c r="ZA10" s="10">
        <f t="shared" si="42"/>
        <v>0.70505537192359202</v>
      </c>
      <c r="ZB10" s="10">
        <f>ZA10*(47/82)</f>
        <v>0.40411710341961976</v>
      </c>
      <c r="ZC10" s="10">
        <f>AVERAGE(YG10,YI10,YJ10)</f>
        <v>0.52042792792792791</v>
      </c>
      <c r="ZD10" s="10">
        <f>AVERAGE(YH10,YI10,YK10)</f>
        <v>0.51031096933952669</v>
      </c>
      <c r="ZE10" s="10">
        <f>ZD10*(61/74)</f>
        <v>0.42066174499609632</v>
      </c>
      <c r="ZF10" s="10">
        <f>AVERAGE(YL10,YN10,YP10,YQ10,)</f>
        <v>0.50158333333333327</v>
      </c>
      <c r="ZG10" s="10">
        <f>AVERAGE(YM10,YO10,YP10,YR10)</f>
        <v>0.61186110040400266</v>
      </c>
      <c r="ZH10" s="10">
        <f>ZG10*14/16</f>
        <v>0.53537846285350232</v>
      </c>
      <c r="ZI10" s="10">
        <f>AVERAGE(YT10,YW10,YZ10,ZC10,ZF10)</f>
        <v>0.51821941288130624</v>
      </c>
      <c r="ZJ10" s="10">
        <f t="shared" si="43"/>
        <v>0.53115373550942202</v>
      </c>
      <c r="ZK10" s="10">
        <f t="shared" si="43"/>
        <v>0.40945347707271118</v>
      </c>
    </row>
    <row r="11" spans="1:710" x14ac:dyDescent="0.25">
      <c r="CC11" s="4"/>
      <c r="CD11" s="4"/>
      <c r="DL11"/>
      <c r="DM11"/>
      <c r="DR11" s="16"/>
      <c r="DS11" s="16"/>
      <c r="DU11"/>
      <c r="DW11" s="16"/>
      <c r="PX11" s="41"/>
      <c r="VV11" s="16"/>
      <c r="WJ11" s="3"/>
    </row>
    <row r="12" spans="1:710" x14ac:dyDescent="0.25">
      <c r="Y12"/>
      <c r="AH12"/>
      <c r="AI12"/>
      <c r="CL12" t="s">
        <v>1012</v>
      </c>
      <c r="CM12" t="s">
        <v>1013</v>
      </c>
      <c r="CR12" t="s">
        <v>1014</v>
      </c>
      <c r="CS12" t="s">
        <v>1015</v>
      </c>
      <c r="CT12" t="s">
        <v>1016</v>
      </c>
      <c r="CU12" t="s">
        <v>1017</v>
      </c>
      <c r="CV12" t="s">
        <v>1018</v>
      </c>
      <c r="CW12" t="s">
        <v>1019</v>
      </c>
      <c r="CX12" t="s">
        <v>1020</v>
      </c>
      <c r="CY12" t="s">
        <v>1021</v>
      </c>
      <c r="CZ12" t="s">
        <v>1022</v>
      </c>
      <c r="DA12" t="s">
        <v>1023</v>
      </c>
      <c r="DB12" t="s">
        <v>1024</v>
      </c>
      <c r="DC12" t="s">
        <v>1025</v>
      </c>
      <c r="DD12" t="s">
        <v>137</v>
      </c>
      <c r="DE12" t="s">
        <v>1026</v>
      </c>
      <c r="DF12" t="s">
        <v>138</v>
      </c>
      <c r="DG12" t="s">
        <v>139</v>
      </c>
      <c r="DH12" t="s">
        <v>1027</v>
      </c>
      <c r="DI12" t="s">
        <v>1028</v>
      </c>
      <c r="DJ12" t="s">
        <v>54</v>
      </c>
      <c r="DK12" t="s">
        <v>1029</v>
      </c>
      <c r="DL12" t="s">
        <v>1030</v>
      </c>
      <c r="DM12" t="s">
        <v>1031</v>
      </c>
      <c r="DN12" t="s">
        <v>1032</v>
      </c>
      <c r="DO12" t="s">
        <v>1033</v>
      </c>
      <c r="DP12" t="s">
        <v>1034</v>
      </c>
      <c r="DQ12" t="s">
        <v>56</v>
      </c>
      <c r="DR12" t="s">
        <v>1035</v>
      </c>
      <c r="DS12" t="s">
        <v>57</v>
      </c>
      <c r="DT12" t="s">
        <v>58</v>
      </c>
      <c r="DU12" t="s">
        <v>142</v>
      </c>
      <c r="DV12" t="s">
        <v>1036</v>
      </c>
      <c r="DW12" t="s">
        <v>60</v>
      </c>
      <c r="DX12" t="s">
        <v>144</v>
      </c>
      <c r="DY12" t="s">
        <v>145</v>
      </c>
      <c r="DZ12" t="s">
        <v>146</v>
      </c>
      <c r="EA12" t="s">
        <v>147</v>
      </c>
      <c r="EB12" t="s">
        <v>148</v>
      </c>
      <c r="EC12" t="s">
        <v>149</v>
      </c>
      <c r="ED12" t="s">
        <v>150</v>
      </c>
      <c r="EE12" t="s">
        <v>1037</v>
      </c>
      <c r="EF12" t="s">
        <v>151</v>
      </c>
      <c r="EG12" t="s">
        <v>152</v>
      </c>
      <c r="EH12" t="s">
        <v>153</v>
      </c>
      <c r="EI12" t="s">
        <v>154</v>
      </c>
      <c r="EJ12" t="s">
        <v>155</v>
      </c>
      <c r="EK12" t="s">
        <v>156</v>
      </c>
      <c r="EL12" t="s">
        <v>157</v>
      </c>
      <c r="EM12" t="s">
        <v>158</v>
      </c>
      <c r="EN12" t="s">
        <v>62</v>
      </c>
      <c r="EO12" t="s">
        <v>63</v>
      </c>
      <c r="EP12" t="s">
        <v>64</v>
      </c>
      <c r="EQ12" t="s">
        <v>160</v>
      </c>
      <c r="ER12" t="s">
        <v>161</v>
      </c>
      <c r="ES12" t="s">
        <v>162</v>
      </c>
      <c r="ET12" t="s">
        <v>163</v>
      </c>
      <c r="EU12" t="s">
        <v>164</v>
      </c>
      <c r="EV12" t="s">
        <v>165</v>
      </c>
      <c r="EW12" t="s">
        <v>166</v>
      </c>
      <c r="EX12" t="s">
        <v>167</v>
      </c>
      <c r="EY12" t="s">
        <v>168</v>
      </c>
      <c r="EZ12" t="s">
        <v>169</v>
      </c>
      <c r="FA12" t="s">
        <v>170</v>
      </c>
      <c r="FB12" t="s">
        <v>171</v>
      </c>
      <c r="FC12" t="s">
        <v>172</v>
      </c>
      <c r="FD12" t="s">
        <v>173</v>
      </c>
      <c r="FE12" t="s">
        <v>174</v>
      </c>
      <c r="FF12" t="s">
        <v>175</v>
      </c>
      <c r="FG12" t="s">
        <v>176</v>
      </c>
      <c r="FH12" t="s">
        <v>177</v>
      </c>
      <c r="FI12" t="s">
        <v>178</v>
      </c>
      <c r="FJ12" t="s">
        <v>179</v>
      </c>
      <c r="FK12" t="s">
        <v>180</v>
      </c>
      <c r="FL12" t="s">
        <v>181</v>
      </c>
      <c r="FM12" t="s">
        <v>182</v>
      </c>
      <c r="FN12" t="s">
        <v>183</v>
      </c>
      <c r="FO12" t="s">
        <v>184</v>
      </c>
      <c r="FP12" t="s">
        <v>185</v>
      </c>
      <c r="FQ12" t="s">
        <v>186</v>
      </c>
      <c r="FR12" t="s">
        <v>187</v>
      </c>
      <c r="FS12" t="s">
        <v>188</v>
      </c>
      <c r="FT12" t="s">
        <v>189</v>
      </c>
      <c r="FU12" t="s">
        <v>190</v>
      </c>
      <c r="FV12" t="s">
        <v>191</v>
      </c>
      <c r="FW12" t="s">
        <v>192</v>
      </c>
      <c r="FX12" t="s">
        <v>193</v>
      </c>
      <c r="FY12" t="s">
        <v>194</v>
      </c>
      <c r="FZ12" t="s">
        <v>195</v>
      </c>
      <c r="GA12" t="s">
        <v>196</v>
      </c>
      <c r="GB12" t="s">
        <v>197</v>
      </c>
      <c r="GC12" t="s">
        <v>198</v>
      </c>
      <c r="GD12" t="s">
        <v>199</v>
      </c>
      <c r="GE12" t="s">
        <v>200</v>
      </c>
      <c r="GF12" t="s">
        <v>201</v>
      </c>
      <c r="GG12" t="s">
        <v>202</v>
      </c>
      <c r="GH12" t="s">
        <v>203</v>
      </c>
      <c r="GI12" t="s">
        <v>204</v>
      </c>
      <c r="GJ12" t="s">
        <v>205</v>
      </c>
      <c r="GK12" t="s">
        <v>206</v>
      </c>
      <c r="GL12" t="s">
        <v>207</v>
      </c>
      <c r="GM12" t="s">
        <v>208</v>
      </c>
      <c r="GN12" t="s">
        <v>209</v>
      </c>
      <c r="GO12" t="s">
        <v>210</v>
      </c>
      <c r="GP12" t="s">
        <v>211</v>
      </c>
      <c r="GQ12" t="s">
        <v>212</v>
      </c>
      <c r="GR12" t="s">
        <v>213</v>
      </c>
      <c r="GS12" t="s">
        <v>214</v>
      </c>
      <c r="GT12" t="s">
        <v>215</v>
      </c>
      <c r="GU12" t="s">
        <v>216</v>
      </c>
      <c r="GV12" t="s">
        <v>217</v>
      </c>
      <c r="GW12" t="s">
        <v>218</v>
      </c>
      <c r="GX12" t="s">
        <v>219</v>
      </c>
      <c r="GY12" t="s">
        <v>220</v>
      </c>
      <c r="GZ12" t="s">
        <v>221</v>
      </c>
      <c r="HA12" t="s">
        <v>222</v>
      </c>
      <c r="HB12" t="s">
        <v>223</v>
      </c>
      <c r="HC12" t="s">
        <v>224</v>
      </c>
      <c r="HD12" t="s">
        <v>225</v>
      </c>
      <c r="HE12" t="s">
        <v>226</v>
      </c>
      <c r="HF12" t="s">
        <v>227</v>
      </c>
      <c r="HG12" t="s">
        <v>228</v>
      </c>
      <c r="HH12" t="s">
        <v>229</v>
      </c>
      <c r="HI12" t="s">
        <v>230</v>
      </c>
      <c r="HJ12" t="s">
        <v>231</v>
      </c>
      <c r="HK12" t="s">
        <v>232</v>
      </c>
      <c r="HL12" t="s">
        <v>233</v>
      </c>
      <c r="HM12" t="s">
        <v>234</v>
      </c>
      <c r="HN12" t="s">
        <v>235</v>
      </c>
      <c r="HO12" t="s">
        <v>236</v>
      </c>
      <c r="HP12" t="s">
        <v>237</v>
      </c>
      <c r="HQ12" t="s">
        <v>238</v>
      </c>
      <c r="HR12" t="s">
        <v>239</v>
      </c>
      <c r="HS12" t="s">
        <v>240</v>
      </c>
      <c r="HT12" t="s">
        <v>241</v>
      </c>
      <c r="HU12" t="s">
        <v>242</v>
      </c>
      <c r="HV12" t="s">
        <v>243</v>
      </c>
      <c r="HW12" t="s">
        <v>244</v>
      </c>
      <c r="HX12" t="s">
        <v>245</v>
      </c>
      <c r="HY12" t="s">
        <v>246</v>
      </c>
      <c r="HZ12" t="s">
        <v>247</v>
      </c>
      <c r="IA12" t="s">
        <v>248</v>
      </c>
      <c r="IB12" t="s">
        <v>249</v>
      </c>
      <c r="IC12" t="s">
        <v>250</v>
      </c>
      <c r="ID12" t="s">
        <v>251</v>
      </c>
      <c r="IE12" t="s">
        <v>252</v>
      </c>
      <c r="IF12" t="s">
        <v>253</v>
      </c>
      <c r="IG12" t="s">
        <v>254</v>
      </c>
      <c r="IH12" t="s">
        <v>255</v>
      </c>
      <c r="II12" t="s">
        <v>256</v>
      </c>
      <c r="IJ12" t="s">
        <v>257</v>
      </c>
      <c r="IK12" t="s">
        <v>258</v>
      </c>
      <c r="IL12" t="s">
        <v>259</v>
      </c>
      <c r="IM12" t="s">
        <v>260</v>
      </c>
      <c r="IN12" t="s">
        <v>261</v>
      </c>
      <c r="IO12" t="s">
        <v>262</v>
      </c>
      <c r="IP12" t="s">
        <v>263</v>
      </c>
      <c r="IQ12" t="s">
        <v>264</v>
      </c>
      <c r="IR12" t="s">
        <v>265</v>
      </c>
      <c r="IS12" t="s">
        <v>266</v>
      </c>
      <c r="IT12" t="s">
        <v>267</v>
      </c>
      <c r="IU12" t="s">
        <v>268</v>
      </c>
      <c r="IV12" t="s">
        <v>269</v>
      </c>
      <c r="IW12" t="s">
        <v>271</v>
      </c>
      <c r="IX12" t="s">
        <v>272</v>
      </c>
      <c r="IY12" t="s">
        <v>273</v>
      </c>
      <c r="IZ12" t="s">
        <v>1038</v>
      </c>
      <c r="JA12" t="s">
        <v>274</v>
      </c>
      <c r="JB12" t="s">
        <v>275</v>
      </c>
      <c r="JC12" t="s">
        <v>276</v>
      </c>
      <c r="JD12" t="s">
        <v>277</v>
      </c>
      <c r="JE12" t="s">
        <v>1039</v>
      </c>
      <c r="JF12" t="s">
        <v>278</v>
      </c>
      <c r="JG12" t="s">
        <v>279</v>
      </c>
      <c r="JH12" t="s">
        <v>280</v>
      </c>
      <c r="JI12" t="s">
        <v>281</v>
      </c>
      <c r="JJ12" t="s">
        <v>1040</v>
      </c>
      <c r="JK12" t="s">
        <v>282</v>
      </c>
      <c r="JL12" t="s">
        <v>70</v>
      </c>
      <c r="JM12" t="s">
        <v>283</v>
      </c>
      <c r="JN12" t="s">
        <v>284</v>
      </c>
      <c r="JO12" t="s">
        <v>285</v>
      </c>
      <c r="JP12" t="s">
        <v>1041</v>
      </c>
      <c r="JQ12" t="s">
        <v>72</v>
      </c>
      <c r="JR12" t="s">
        <v>1042</v>
      </c>
      <c r="JS12" t="s">
        <v>73</v>
      </c>
      <c r="JT12" t="s">
        <v>74</v>
      </c>
      <c r="JU12" t="s">
        <v>1043</v>
      </c>
      <c r="JV12" t="s">
        <v>1044</v>
      </c>
      <c r="JW12" t="s">
        <v>1045</v>
      </c>
      <c r="JX12" t="s">
        <v>1046</v>
      </c>
      <c r="JY12" t="s">
        <v>1047</v>
      </c>
      <c r="JZ12" t="s">
        <v>1048</v>
      </c>
      <c r="KA12" t="s">
        <v>1049</v>
      </c>
      <c r="KB12" t="s">
        <v>1050</v>
      </c>
      <c r="KC12" t="s">
        <v>288</v>
      </c>
      <c r="KD12" t="s">
        <v>289</v>
      </c>
      <c r="KE12" t="s">
        <v>290</v>
      </c>
      <c r="KF12" t="s">
        <v>291</v>
      </c>
      <c r="KG12" t="s">
        <v>292</v>
      </c>
      <c r="KH12" t="s">
        <v>293</v>
      </c>
      <c r="KI12" t="s">
        <v>294</v>
      </c>
      <c r="KJ12" t="s">
        <v>295</v>
      </c>
      <c r="KK12" t="s">
        <v>296</v>
      </c>
      <c r="KL12" t="s">
        <v>297</v>
      </c>
      <c r="KM12" t="s">
        <v>298</v>
      </c>
      <c r="KN12" t="s">
        <v>299</v>
      </c>
      <c r="KO12" t="s">
        <v>300</v>
      </c>
      <c r="KP12" t="s">
        <v>301</v>
      </c>
      <c r="KQ12" t="s">
        <v>302</v>
      </c>
      <c r="KR12" t="s">
        <v>303</v>
      </c>
      <c r="KS12" t="s">
        <v>304</v>
      </c>
      <c r="KT12" t="s">
        <v>305</v>
      </c>
      <c r="KU12" t="s">
        <v>306</v>
      </c>
      <c r="KV12" t="s">
        <v>307</v>
      </c>
      <c r="KW12" t="s">
        <v>308</v>
      </c>
      <c r="KX12" t="s">
        <v>309</v>
      </c>
      <c r="KY12" t="s">
        <v>310</v>
      </c>
      <c r="KZ12" t="s">
        <v>311</v>
      </c>
      <c r="LA12" t="s">
        <v>312</v>
      </c>
      <c r="LB12" t="s">
        <v>313</v>
      </c>
      <c r="LC12" t="s">
        <v>314</v>
      </c>
      <c r="LD12" t="s">
        <v>315</v>
      </c>
      <c r="LE12" t="s">
        <v>316</v>
      </c>
      <c r="LF12" t="s">
        <v>317</v>
      </c>
      <c r="LG12" t="s">
        <v>318</v>
      </c>
      <c r="LH12" t="s">
        <v>319</v>
      </c>
      <c r="LI12" t="s">
        <v>320</v>
      </c>
      <c r="LJ12" t="s">
        <v>321</v>
      </c>
      <c r="LK12" t="s">
        <v>322</v>
      </c>
      <c r="LL12" t="s">
        <v>323</v>
      </c>
      <c r="LM12" t="s">
        <v>324</v>
      </c>
      <c r="LN12" t="s">
        <v>325</v>
      </c>
      <c r="LO12" t="s">
        <v>326</v>
      </c>
      <c r="LP12" t="s">
        <v>327</v>
      </c>
      <c r="LQ12" t="s">
        <v>328</v>
      </c>
      <c r="LR12" t="s">
        <v>329</v>
      </c>
      <c r="LS12" t="s">
        <v>330</v>
      </c>
      <c r="LT12" t="s">
        <v>331</v>
      </c>
      <c r="LU12" t="s">
        <v>332</v>
      </c>
      <c r="LV12" t="s">
        <v>333</v>
      </c>
      <c r="LW12" t="s">
        <v>334</v>
      </c>
      <c r="LX12" t="s">
        <v>335</v>
      </c>
      <c r="LY12" t="s">
        <v>336</v>
      </c>
      <c r="LZ12" t="s">
        <v>337</v>
      </c>
      <c r="MA12" t="s">
        <v>338</v>
      </c>
      <c r="MB12" t="s">
        <v>339</v>
      </c>
      <c r="MC12" t="s">
        <v>340</v>
      </c>
      <c r="MD12" t="s">
        <v>341</v>
      </c>
      <c r="ME12" t="s">
        <v>342</v>
      </c>
      <c r="MF12" t="s">
        <v>343</v>
      </c>
      <c r="MG12" t="s">
        <v>344</v>
      </c>
      <c r="MH12" t="s">
        <v>345</v>
      </c>
      <c r="MI12" t="s">
        <v>346</v>
      </c>
      <c r="MJ12" t="s">
        <v>347</v>
      </c>
      <c r="MK12" t="s">
        <v>348</v>
      </c>
      <c r="ML12" t="s">
        <v>349</v>
      </c>
      <c r="MM12" t="s">
        <v>350</v>
      </c>
      <c r="MN12" t="s">
        <v>351</v>
      </c>
      <c r="MO12" t="s">
        <v>352</v>
      </c>
      <c r="MP12" t="s">
        <v>353</v>
      </c>
      <c r="MQ12" t="s">
        <v>354</v>
      </c>
      <c r="MR12" t="s">
        <v>355</v>
      </c>
      <c r="MS12" t="s">
        <v>356</v>
      </c>
      <c r="MT12" t="s">
        <v>357</v>
      </c>
      <c r="MU12" t="s">
        <v>358</v>
      </c>
      <c r="MV12" t="s">
        <v>359</v>
      </c>
      <c r="MW12" t="s">
        <v>360</v>
      </c>
      <c r="MX12" t="s">
        <v>361</v>
      </c>
      <c r="MY12" t="s">
        <v>362</v>
      </c>
      <c r="MZ12" t="s">
        <v>363</v>
      </c>
      <c r="NA12" t="s">
        <v>364</v>
      </c>
      <c r="NB12" t="s">
        <v>365</v>
      </c>
      <c r="NC12" t="s">
        <v>366</v>
      </c>
      <c r="ND12" t="s">
        <v>367</v>
      </c>
      <c r="NE12" t="s">
        <v>368</v>
      </c>
      <c r="NF12" t="s">
        <v>369</v>
      </c>
      <c r="NG12" t="s">
        <v>370</v>
      </c>
      <c r="NH12" t="s">
        <v>371</v>
      </c>
      <c r="NI12" t="s">
        <v>372</v>
      </c>
      <c r="NJ12" t="s">
        <v>373</v>
      </c>
      <c r="NK12" t="s">
        <v>374</v>
      </c>
      <c r="NL12" t="s">
        <v>375</v>
      </c>
      <c r="NM12" t="s">
        <v>77</v>
      </c>
      <c r="NN12" t="s">
        <v>78</v>
      </c>
      <c r="NO12" t="s">
        <v>377</v>
      </c>
      <c r="NP12" t="s">
        <v>378</v>
      </c>
      <c r="NQ12" t="s">
        <v>379</v>
      </c>
      <c r="NR12" t="s">
        <v>79</v>
      </c>
      <c r="NS12" t="s">
        <v>80</v>
      </c>
      <c r="NT12" t="s">
        <v>380</v>
      </c>
      <c r="NU12" t="s">
        <v>381</v>
      </c>
      <c r="NV12" t="s">
        <v>82</v>
      </c>
      <c r="NW12" t="s">
        <v>1051</v>
      </c>
      <c r="NX12" t="s">
        <v>83</v>
      </c>
      <c r="NY12" t="s">
        <v>84</v>
      </c>
      <c r="NZ12" t="s">
        <v>85</v>
      </c>
      <c r="OA12" t="s">
        <v>1052</v>
      </c>
      <c r="OB12" t="s">
        <v>86</v>
      </c>
      <c r="OC12" t="s">
        <v>87</v>
      </c>
      <c r="OD12" t="s">
        <v>1053</v>
      </c>
      <c r="OE12" t="s">
        <v>88</v>
      </c>
      <c r="OF12" t="s">
        <v>1054</v>
      </c>
      <c r="OI12"/>
      <c r="OJ12"/>
      <c r="OK12"/>
      <c r="OS12" s="44"/>
      <c r="OT12" s="44"/>
      <c r="OU12" s="44"/>
      <c r="PL12"/>
      <c r="PV12" s="44"/>
      <c r="QP12" s="44"/>
      <c r="QQ12" s="44"/>
      <c r="QR12" s="44"/>
      <c r="QS12" s="44"/>
      <c r="QT12" s="44"/>
      <c r="QU12" s="44"/>
      <c r="QV12" s="44"/>
      <c r="QW12" s="44"/>
      <c r="QX12" s="44"/>
      <c r="QY12" s="44"/>
    </row>
    <row r="13" spans="1:710" x14ac:dyDescent="0.25">
      <c r="A13" t="s">
        <v>1268</v>
      </c>
      <c r="B13" t="s">
        <v>1257</v>
      </c>
      <c r="C13" t="s">
        <v>1257</v>
      </c>
      <c r="D13" t="s">
        <v>1257</v>
      </c>
      <c r="E13" t="s">
        <v>1257</v>
      </c>
      <c r="F13" t="s">
        <v>1258</v>
      </c>
      <c r="G13" t="s">
        <v>1259</v>
      </c>
      <c r="H13" t="s">
        <v>1259</v>
      </c>
      <c r="I13" t="s">
        <v>1257</v>
      </c>
      <c r="J13" t="s">
        <v>1257</v>
      </c>
      <c r="K13" t="s">
        <v>1257</v>
      </c>
      <c r="L13" t="s">
        <v>1257</v>
      </c>
      <c r="M13" t="s">
        <v>1258</v>
      </c>
      <c r="N13" t="s">
        <v>1257</v>
      </c>
      <c r="O13" t="s">
        <v>1257</v>
      </c>
      <c r="P13" t="s">
        <v>1257</v>
      </c>
      <c r="Q13" t="s">
        <v>1257</v>
      </c>
      <c r="R13" t="s">
        <v>1257</v>
      </c>
      <c r="S13" t="s">
        <v>1257</v>
      </c>
      <c r="T13" t="s">
        <v>1257</v>
      </c>
      <c r="U13" t="s">
        <v>1257</v>
      </c>
      <c r="V13" t="s">
        <v>1257</v>
      </c>
      <c r="W13" t="s">
        <v>1260</v>
      </c>
      <c r="X13" t="s">
        <v>1260</v>
      </c>
      <c r="Y13" t="s">
        <v>1260</v>
      </c>
      <c r="Z13" t="s">
        <v>1260</v>
      </c>
      <c r="AA13" t="s">
        <v>1260</v>
      </c>
      <c r="AB13" t="s">
        <v>1260</v>
      </c>
      <c r="AC13" t="s">
        <v>1260</v>
      </c>
      <c r="AD13" t="s">
        <v>1260</v>
      </c>
      <c r="AE13" t="s">
        <v>1260</v>
      </c>
      <c r="AF13" t="s">
        <v>1260</v>
      </c>
      <c r="AG13" t="s">
        <v>1260</v>
      </c>
      <c r="AH13"/>
      <c r="AI13"/>
      <c r="AJ13" t="s">
        <v>1257</v>
      </c>
      <c r="AK13" t="s">
        <v>1257</v>
      </c>
      <c r="AL13" t="s">
        <v>1259</v>
      </c>
      <c r="AM13" t="s">
        <v>1259</v>
      </c>
      <c r="AN13" t="s">
        <v>1257</v>
      </c>
      <c r="AO13" t="s">
        <v>1257</v>
      </c>
      <c r="AP13" t="s">
        <v>1257</v>
      </c>
      <c r="AS13" t="s">
        <v>1258</v>
      </c>
      <c r="AT13" t="s">
        <v>1258</v>
      </c>
      <c r="AU13" t="s">
        <v>1257</v>
      </c>
      <c r="AY13" t="s">
        <v>1257</v>
      </c>
      <c r="AZ13" t="s">
        <v>1257</v>
      </c>
      <c r="BA13" t="s">
        <v>1261</v>
      </c>
      <c r="BB13" t="s">
        <v>1257</v>
      </c>
      <c r="BE13">
        <v>0</v>
      </c>
      <c r="BG13">
        <v>1.9699999999999999E-2</v>
      </c>
      <c r="BI13">
        <v>6.4699999999999994E-2</v>
      </c>
      <c r="BK13">
        <v>0</v>
      </c>
      <c r="BM13">
        <v>0.20300000000000001</v>
      </c>
      <c r="BO13">
        <v>0</v>
      </c>
      <c r="BQ13">
        <v>7.5999999999999998E-2</v>
      </c>
      <c r="BS13">
        <v>0</v>
      </c>
      <c r="BU13">
        <v>0.98</v>
      </c>
      <c r="BW13">
        <v>0.01</v>
      </c>
      <c r="BY13">
        <v>0.01</v>
      </c>
      <c r="CA13">
        <v>0.29899999999999999</v>
      </c>
      <c r="CF13" t="s">
        <v>1257</v>
      </c>
      <c r="CG13">
        <v>0.25</v>
      </c>
      <c r="CH13" t="s">
        <v>1257</v>
      </c>
      <c r="CJ13">
        <v>0.33</v>
      </c>
      <c r="CL13">
        <f>10*(1/42.6)</f>
        <v>0.23474178403755869</v>
      </c>
      <c r="CM13">
        <f>10*(1/46.3)</f>
        <v>0.21598272138228944</v>
      </c>
      <c r="CR13" t="s">
        <v>1257</v>
      </c>
      <c r="CS13" t="s">
        <v>1262</v>
      </c>
      <c r="CT13" t="s">
        <v>1257</v>
      </c>
      <c r="CU13">
        <v>1.0423611111111111</v>
      </c>
      <c r="CV13" t="s">
        <v>1263</v>
      </c>
      <c r="CW13" t="s">
        <v>1264</v>
      </c>
      <c r="CX13">
        <v>1</v>
      </c>
      <c r="CY13">
        <v>0</v>
      </c>
      <c r="CZ13">
        <v>0.82</v>
      </c>
      <c r="DA13">
        <v>0.85699999999999998</v>
      </c>
      <c r="DB13">
        <v>0.85860000000000003</v>
      </c>
      <c r="DC13">
        <v>0.73</v>
      </c>
      <c r="DD13" t="s">
        <v>1257</v>
      </c>
      <c r="DE13">
        <v>1.7506944444444443</v>
      </c>
      <c r="DF13" t="s">
        <v>1257</v>
      </c>
      <c r="DG13">
        <v>1.2923611111111111</v>
      </c>
      <c r="DH13">
        <v>42.4</v>
      </c>
      <c r="DI13">
        <v>30.82</v>
      </c>
      <c r="DJ13">
        <v>1.58</v>
      </c>
      <c r="DK13" t="s">
        <v>1257</v>
      </c>
      <c r="DL13">
        <v>4.2361111111111106E-2</v>
      </c>
      <c r="DM13" t="s">
        <v>1257</v>
      </c>
      <c r="DN13">
        <v>4.2361111111111106E-2</v>
      </c>
      <c r="DO13">
        <v>4.2361111111111106E-2</v>
      </c>
      <c r="DP13">
        <v>7.0543981481481488E-4</v>
      </c>
      <c r="DQ13" t="s">
        <v>1259</v>
      </c>
      <c r="DR13" t="s">
        <v>1258</v>
      </c>
      <c r="DS13">
        <v>0.96199999999999997</v>
      </c>
      <c r="DT13">
        <v>0.96199999999999997</v>
      </c>
      <c r="DU13" t="s">
        <v>1257</v>
      </c>
      <c r="DV13">
        <v>400</v>
      </c>
      <c r="DW13" t="s">
        <v>1257</v>
      </c>
      <c r="DX13" t="s">
        <v>1257</v>
      </c>
      <c r="DY13" t="s">
        <v>1257</v>
      </c>
      <c r="DZ13" t="s">
        <v>1257</v>
      </c>
      <c r="EA13" t="s">
        <v>1257</v>
      </c>
      <c r="EB13" t="s">
        <v>1257</v>
      </c>
      <c r="EC13" t="s">
        <v>1257</v>
      </c>
      <c r="ED13" t="s">
        <v>1257</v>
      </c>
      <c r="EE13" t="s">
        <v>1257</v>
      </c>
      <c r="EF13" t="s">
        <v>1258</v>
      </c>
      <c r="EG13" t="s">
        <v>1257</v>
      </c>
      <c r="EH13" t="s">
        <v>1257</v>
      </c>
      <c r="EI13" t="s">
        <v>1257</v>
      </c>
      <c r="EJ13" t="s">
        <v>1257</v>
      </c>
      <c r="EK13" t="s">
        <v>1257</v>
      </c>
      <c r="EL13" t="s">
        <v>1257</v>
      </c>
      <c r="EM13" t="s">
        <v>1257</v>
      </c>
      <c r="EN13" t="s">
        <v>1257</v>
      </c>
      <c r="EO13" t="s">
        <v>1257</v>
      </c>
      <c r="EP13" t="s">
        <v>1258</v>
      </c>
      <c r="EQ13" t="e">
        <v>#VALUE!</v>
      </c>
      <c r="ER13" t="e">
        <v>#VALUE!</v>
      </c>
      <c r="ES13" t="e">
        <v>#VALUE!</v>
      </c>
      <c r="ET13" t="e">
        <v>#VALUE!</v>
      </c>
      <c r="EU13" t="e">
        <v>#VALUE!</v>
      </c>
      <c r="EV13" t="e">
        <v>#VALUE!</v>
      </c>
      <c r="EW13" t="e">
        <v>#VALUE!</v>
      </c>
      <c r="EX13" t="e">
        <v>#VALUE!</v>
      </c>
      <c r="EY13" t="e">
        <v>#VALUE!</v>
      </c>
      <c r="EZ13" t="e">
        <v>#VALUE!</v>
      </c>
      <c r="FA13" t="e">
        <v>#VALUE!</v>
      </c>
      <c r="FB13" t="e">
        <v>#VALUE!</v>
      </c>
      <c r="FC13" t="e">
        <v>#VALUE!</v>
      </c>
      <c r="FD13" t="e">
        <v>#VALUE!</v>
      </c>
      <c r="FE13" t="e">
        <v>#VALUE!</v>
      </c>
      <c r="FF13" t="e">
        <v>#VALUE!</v>
      </c>
      <c r="FG13" t="e">
        <v>#VALUE!</v>
      </c>
      <c r="FH13" t="e">
        <v>#VALUE!</v>
      </c>
      <c r="FI13" t="e">
        <v>#VALUE!</v>
      </c>
      <c r="FJ13" t="e">
        <v>#VALUE!</v>
      </c>
      <c r="FK13" t="e">
        <v>#VALUE!</v>
      </c>
      <c r="FL13" t="e">
        <v>#VALUE!</v>
      </c>
      <c r="FM13" t="e">
        <v>#VALUE!</v>
      </c>
      <c r="FN13" t="e">
        <v>#VALUE!</v>
      </c>
      <c r="FO13" t="e">
        <v>#VALUE!</v>
      </c>
      <c r="FP13" t="e">
        <v>#VALUE!</v>
      </c>
      <c r="FQ13" t="e">
        <v>#VALUE!</v>
      </c>
      <c r="FR13" t="e">
        <v>#VALUE!</v>
      </c>
      <c r="FS13" t="e">
        <v>#VALUE!</v>
      </c>
      <c r="FT13" t="e">
        <v>#VALUE!</v>
      </c>
      <c r="FU13" t="e">
        <v>#VALUE!</v>
      </c>
      <c r="FV13" t="e">
        <v>#VALUE!</v>
      </c>
      <c r="FW13" t="e">
        <v>#VALUE!</v>
      </c>
      <c r="FX13" t="e">
        <v>#VALUE!</v>
      </c>
      <c r="FY13" t="e">
        <v>#VALUE!</v>
      </c>
      <c r="FZ13" t="e">
        <v>#VALUE!</v>
      </c>
      <c r="GA13" t="e">
        <v>#VALUE!</v>
      </c>
      <c r="GB13" t="e">
        <v>#VALUE!</v>
      </c>
      <c r="GC13" t="e">
        <v>#VALUE!</v>
      </c>
      <c r="GD13" t="e">
        <v>#VALUE!</v>
      </c>
      <c r="GE13" t="e">
        <v>#VALUE!</v>
      </c>
      <c r="GF13" t="e">
        <v>#VALUE!</v>
      </c>
      <c r="GG13" t="e">
        <v>#VALUE!</v>
      </c>
      <c r="GH13" t="e">
        <v>#VALUE!</v>
      </c>
      <c r="GI13" t="e">
        <v>#VALUE!</v>
      </c>
      <c r="GJ13" t="e">
        <v>#VALUE!</v>
      </c>
      <c r="GK13" t="e">
        <v>#VALUE!</v>
      </c>
      <c r="GL13" t="e">
        <v>#VALUE!</v>
      </c>
      <c r="GM13" t="e">
        <v>#VALUE!</v>
      </c>
      <c r="GN13" t="e">
        <v>#VALUE!</v>
      </c>
      <c r="GO13" t="e">
        <v>#VALUE!</v>
      </c>
      <c r="GP13" t="e">
        <v>#VALUE!</v>
      </c>
      <c r="GQ13" t="e">
        <v>#VALUE!</v>
      </c>
      <c r="GR13" t="e">
        <v>#VALUE!</v>
      </c>
      <c r="GS13" t="e">
        <v>#VALUE!</v>
      </c>
      <c r="GT13" t="e">
        <v>#VALUE!</v>
      </c>
      <c r="GU13" t="e">
        <v>#VALUE!</v>
      </c>
      <c r="GV13" t="e">
        <v>#VALUE!</v>
      </c>
      <c r="GW13" t="e">
        <v>#VALUE!</v>
      </c>
      <c r="GX13" t="e">
        <v>#VALUE!</v>
      </c>
      <c r="GY13" t="e">
        <v>#VALUE!</v>
      </c>
      <c r="GZ13" t="e">
        <v>#VALUE!</v>
      </c>
      <c r="HA13" t="e">
        <v>#VALUE!</v>
      </c>
      <c r="HB13" t="e">
        <v>#VALUE!</v>
      </c>
      <c r="HC13" t="e">
        <v>#VALUE!</v>
      </c>
      <c r="HD13" t="e">
        <v>#VALUE!</v>
      </c>
      <c r="HE13" t="e">
        <v>#VALUE!</v>
      </c>
      <c r="HF13" t="e">
        <v>#VALUE!</v>
      </c>
      <c r="HG13" t="e">
        <v>#VALUE!</v>
      </c>
      <c r="HH13" t="e">
        <v>#VALUE!</v>
      </c>
      <c r="HI13" t="e">
        <v>#VALUE!</v>
      </c>
      <c r="HJ13" t="e">
        <v>#VALUE!</v>
      </c>
      <c r="HK13" t="e">
        <v>#VALUE!</v>
      </c>
      <c r="HL13" t="e">
        <v>#VALUE!</v>
      </c>
      <c r="HM13" t="e">
        <v>#VALUE!</v>
      </c>
      <c r="HN13" t="e">
        <v>#VALUE!</v>
      </c>
      <c r="HO13" t="e">
        <v>#VALUE!</v>
      </c>
      <c r="HP13" t="e">
        <v>#VALUE!</v>
      </c>
      <c r="HQ13" t="e">
        <v>#VALUE!</v>
      </c>
      <c r="HR13" t="e">
        <v>#VALUE!</v>
      </c>
      <c r="HS13" t="e">
        <v>#VALUE!</v>
      </c>
      <c r="HT13" t="e">
        <v>#VALUE!</v>
      </c>
      <c r="HU13" t="e">
        <v>#VALUE!</v>
      </c>
      <c r="HV13" t="e">
        <v>#VALUE!</v>
      </c>
      <c r="HW13" t="e">
        <v>#VALUE!</v>
      </c>
      <c r="HX13" t="e">
        <v>#VALUE!</v>
      </c>
      <c r="HY13" t="e">
        <v>#VALUE!</v>
      </c>
      <c r="HZ13" t="e">
        <v>#VALUE!</v>
      </c>
      <c r="IA13" t="e">
        <v>#VALUE!</v>
      </c>
      <c r="IB13" t="e">
        <v>#VALUE!</v>
      </c>
      <c r="IC13" t="e">
        <v>#VALUE!</v>
      </c>
      <c r="ID13" t="e">
        <v>#VALUE!</v>
      </c>
      <c r="IE13" t="e">
        <v>#VALUE!</v>
      </c>
      <c r="IF13" t="e">
        <v>#VALUE!</v>
      </c>
      <c r="IG13" t="e">
        <v>#VALUE!</v>
      </c>
      <c r="IH13" t="e">
        <v>#VALUE!</v>
      </c>
      <c r="II13" t="e">
        <v>#VALUE!</v>
      </c>
      <c r="IJ13" t="e">
        <v>#VALUE!</v>
      </c>
      <c r="IK13" t="e">
        <v>#VALUE!</v>
      </c>
      <c r="IL13" t="e">
        <v>#VALUE!</v>
      </c>
      <c r="IM13" t="e">
        <v>#VALUE!</v>
      </c>
      <c r="IN13" t="e">
        <v>#VALUE!</v>
      </c>
      <c r="IO13" t="e">
        <v>#VALUE!</v>
      </c>
      <c r="IP13" t="e">
        <v>#VALUE!</v>
      </c>
      <c r="IQ13" t="e">
        <v>#VALUE!</v>
      </c>
      <c r="IR13" t="e">
        <v>#VALUE!</v>
      </c>
      <c r="IS13" t="e">
        <v>#VALUE!</v>
      </c>
      <c r="IT13" t="e">
        <v>#VALUE!</v>
      </c>
      <c r="IU13" t="e">
        <v>#VALUE!</v>
      </c>
      <c r="IV13" t="e">
        <v>#VALUE!</v>
      </c>
      <c r="IW13" t="s">
        <v>1257</v>
      </c>
      <c r="IX13" t="s">
        <v>1257</v>
      </c>
      <c r="IY13" t="s">
        <v>1257</v>
      </c>
      <c r="IZ13" t="s">
        <v>1257</v>
      </c>
      <c r="JA13" t="s">
        <v>1258</v>
      </c>
      <c r="JB13" t="s">
        <v>1257</v>
      </c>
      <c r="JC13" t="s">
        <v>1257</v>
      </c>
      <c r="JD13" t="s">
        <v>1257</v>
      </c>
      <c r="JE13" t="s">
        <v>1257</v>
      </c>
      <c r="JF13" t="s">
        <v>1257</v>
      </c>
      <c r="JG13" t="s">
        <v>1257</v>
      </c>
      <c r="JH13" t="s">
        <v>1257</v>
      </c>
      <c r="JI13" t="s">
        <v>1257</v>
      </c>
      <c r="JJ13" t="s">
        <v>1257</v>
      </c>
      <c r="JK13" t="s">
        <v>1257</v>
      </c>
      <c r="JL13" t="s">
        <v>1257</v>
      </c>
      <c r="JM13" t="s">
        <v>1257</v>
      </c>
      <c r="JN13" t="s">
        <v>1257</v>
      </c>
      <c r="JO13" t="s">
        <v>1257</v>
      </c>
      <c r="JP13" t="s">
        <v>1258</v>
      </c>
      <c r="JQ13" t="s">
        <v>1257</v>
      </c>
      <c r="JR13" t="s">
        <v>1258</v>
      </c>
      <c r="JS13" t="s">
        <v>1258</v>
      </c>
      <c r="JT13" t="s">
        <v>1258</v>
      </c>
      <c r="JU13" t="s">
        <v>1257</v>
      </c>
      <c r="JV13" t="s">
        <v>1257</v>
      </c>
      <c r="JW13" t="s">
        <v>1257</v>
      </c>
      <c r="JX13" t="s">
        <v>1257</v>
      </c>
      <c r="JY13" t="s">
        <v>1257</v>
      </c>
      <c r="JZ13" t="s">
        <v>1257</v>
      </c>
      <c r="KA13" t="s">
        <v>1257</v>
      </c>
      <c r="KB13" t="s">
        <v>1257</v>
      </c>
      <c r="KC13" t="e">
        <v>#VALUE!</v>
      </c>
      <c r="KD13" t="e">
        <v>#VALUE!</v>
      </c>
      <c r="KE13" t="e">
        <v>#VALUE!</v>
      </c>
      <c r="KF13" t="e">
        <v>#VALUE!</v>
      </c>
      <c r="KG13" t="e">
        <v>#VALUE!</v>
      </c>
      <c r="KH13" t="e">
        <v>#VALUE!</v>
      </c>
      <c r="KI13" t="e">
        <v>#VALUE!</v>
      </c>
      <c r="KJ13" t="e">
        <v>#VALUE!</v>
      </c>
      <c r="KK13" t="e">
        <v>#VALUE!</v>
      </c>
      <c r="KL13" t="e">
        <v>#VALUE!</v>
      </c>
      <c r="KM13" t="e">
        <v>#VALUE!</v>
      </c>
      <c r="KN13" t="e">
        <v>#VALUE!</v>
      </c>
      <c r="KO13" t="e">
        <v>#VALUE!</v>
      </c>
      <c r="KP13" t="e">
        <v>#VALUE!</v>
      </c>
      <c r="KQ13" t="e">
        <v>#VALUE!</v>
      </c>
      <c r="KR13" t="e">
        <v>#VALUE!</v>
      </c>
      <c r="KS13" t="e">
        <v>#VALUE!</v>
      </c>
      <c r="KT13" t="e">
        <v>#VALUE!</v>
      </c>
      <c r="KU13" t="e">
        <v>#VALUE!</v>
      </c>
      <c r="KV13" t="e">
        <v>#VALUE!</v>
      </c>
      <c r="KW13" t="e">
        <v>#VALUE!</v>
      </c>
      <c r="KX13" t="e">
        <v>#VALUE!</v>
      </c>
      <c r="KY13" t="e">
        <v>#VALUE!</v>
      </c>
      <c r="KZ13" t="e">
        <v>#VALUE!</v>
      </c>
      <c r="LA13" t="e">
        <v>#VALUE!</v>
      </c>
      <c r="LB13" t="e">
        <v>#VALUE!</v>
      </c>
      <c r="LC13" t="e">
        <v>#VALUE!</v>
      </c>
      <c r="LD13" t="e">
        <v>#VALUE!</v>
      </c>
      <c r="LE13" t="e">
        <v>#VALUE!</v>
      </c>
      <c r="LF13" t="e">
        <v>#VALUE!</v>
      </c>
      <c r="LG13" t="e">
        <v>#VALUE!</v>
      </c>
      <c r="LH13" t="e">
        <v>#VALUE!</v>
      </c>
      <c r="LI13" t="e">
        <v>#VALUE!</v>
      </c>
      <c r="LJ13" t="e">
        <v>#VALUE!</v>
      </c>
      <c r="LK13" t="e">
        <v>#VALUE!</v>
      </c>
      <c r="LL13">
        <v>1.9300000000000001E-3</v>
      </c>
      <c r="LM13" t="e">
        <v>#VALUE!</v>
      </c>
      <c r="LN13" t="e">
        <v>#VALUE!</v>
      </c>
      <c r="LO13" t="e">
        <v>#VALUE!</v>
      </c>
      <c r="LP13" t="e">
        <v>#VALUE!</v>
      </c>
      <c r="LQ13" t="e">
        <v>#VALUE!</v>
      </c>
      <c r="LR13" t="e">
        <v>#VALUE!</v>
      </c>
      <c r="LS13" t="e">
        <v>#VALUE!</v>
      </c>
      <c r="LT13" t="e">
        <v>#VALUE!</v>
      </c>
      <c r="LU13" t="e">
        <v>#VALUE!</v>
      </c>
      <c r="LV13" t="e">
        <v>#VALUE!</v>
      </c>
      <c r="LW13" t="e">
        <v>#VALUE!</v>
      </c>
      <c r="LX13" t="e">
        <v>#VALUE!</v>
      </c>
      <c r="LY13" t="e">
        <v>#VALUE!</v>
      </c>
      <c r="LZ13" t="e">
        <v>#VALUE!</v>
      </c>
      <c r="MA13" t="e">
        <v>#VALUE!</v>
      </c>
      <c r="MB13" t="e">
        <v>#VALUE!</v>
      </c>
      <c r="MC13" t="e">
        <v>#VALUE!</v>
      </c>
      <c r="MD13" t="e">
        <v>#VALUE!</v>
      </c>
      <c r="ME13" t="e">
        <v>#VALUE!</v>
      </c>
      <c r="MF13" t="e">
        <v>#VALUE!</v>
      </c>
      <c r="MG13" t="e">
        <v>#VALUE!</v>
      </c>
      <c r="MH13" t="e">
        <v>#VALUE!</v>
      </c>
      <c r="MI13" t="e">
        <v>#VALUE!</v>
      </c>
      <c r="MJ13" t="e">
        <v>#VALUE!</v>
      </c>
      <c r="MK13" t="e">
        <v>#VALUE!</v>
      </c>
      <c r="ML13" t="e">
        <v>#VALUE!</v>
      </c>
      <c r="MM13" t="e">
        <v>#VALUE!</v>
      </c>
      <c r="MN13" t="e">
        <v>#VALUE!</v>
      </c>
      <c r="MO13" t="e">
        <v>#VALUE!</v>
      </c>
      <c r="MP13" t="e">
        <v>#VALUE!</v>
      </c>
      <c r="MQ13">
        <v>9.0930000000000004E-3</v>
      </c>
      <c r="MR13">
        <v>8.9589999999999999E-3</v>
      </c>
      <c r="MS13">
        <v>9.2119999999999997E-3</v>
      </c>
      <c r="MT13" t="e">
        <v>#VALUE!</v>
      </c>
      <c r="MU13" t="e">
        <v>#VALUE!</v>
      </c>
      <c r="MV13" t="e">
        <v>#VALUE!</v>
      </c>
      <c r="MW13" t="e">
        <v>#VALUE!</v>
      </c>
      <c r="MX13" t="e">
        <v>#VALUE!</v>
      </c>
      <c r="MY13" t="e">
        <v>#VALUE!</v>
      </c>
      <c r="MZ13" t="e">
        <v>#VALUE!</v>
      </c>
      <c r="NA13" t="e">
        <v>#VALUE!</v>
      </c>
      <c r="NB13">
        <v>8.3579999999999991E-3</v>
      </c>
      <c r="NC13">
        <v>8.7760000000000008E-3</v>
      </c>
      <c r="ND13">
        <v>8.0070000000000002E-3</v>
      </c>
      <c r="NE13" t="s">
        <v>1265</v>
      </c>
      <c r="NF13" t="s">
        <v>1265</v>
      </c>
      <c r="NG13" t="s">
        <v>1265</v>
      </c>
      <c r="NH13" t="s">
        <v>1265</v>
      </c>
      <c r="NI13" t="s">
        <v>1265</v>
      </c>
      <c r="NJ13" t="s">
        <v>1265</v>
      </c>
      <c r="NK13" t="s">
        <v>1265</v>
      </c>
      <c r="NL13" t="e">
        <v>#VALUE!</v>
      </c>
      <c r="NM13" t="s">
        <v>1257</v>
      </c>
      <c r="NN13" t="s">
        <v>1266</v>
      </c>
      <c r="NO13">
        <v>0</v>
      </c>
      <c r="NP13">
        <v>0</v>
      </c>
      <c r="NQ13">
        <v>0</v>
      </c>
      <c r="NR13" t="s">
        <v>1260</v>
      </c>
      <c r="NS13" t="s">
        <v>1257</v>
      </c>
      <c r="NT13">
        <v>0</v>
      </c>
      <c r="NU13">
        <v>0</v>
      </c>
      <c r="NV13" t="s">
        <v>1266</v>
      </c>
      <c r="NW13" t="s">
        <v>1257</v>
      </c>
      <c r="NX13" t="s">
        <v>1267</v>
      </c>
      <c r="NY13" t="s">
        <v>1258</v>
      </c>
      <c r="NZ13" t="s">
        <v>1257</v>
      </c>
      <c r="OA13">
        <v>0.755</v>
      </c>
      <c r="OB13" t="s">
        <v>1257</v>
      </c>
      <c r="OC13" t="s">
        <v>1257</v>
      </c>
      <c r="OD13">
        <v>0.9526</v>
      </c>
      <c r="OE13" t="s">
        <v>1257</v>
      </c>
      <c r="OF13" t="s">
        <v>1257</v>
      </c>
      <c r="OI13"/>
      <c r="OJ13"/>
      <c r="OK13"/>
      <c r="OS13" s="44"/>
      <c r="OT13" s="44"/>
      <c r="OU13" s="44"/>
      <c r="PL13"/>
      <c r="PV13" s="44"/>
      <c r="QP13" s="44"/>
      <c r="QQ13" s="44"/>
      <c r="QR13" s="44"/>
      <c r="QS13" s="44"/>
      <c r="QT13" s="44"/>
      <c r="QU13" s="44"/>
      <c r="QV13" s="44"/>
      <c r="QW13" s="44"/>
      <c r="QX13" s="44"/>
      <c r="QY13" s="44"/>
    </row>
    <row r="15" spans="1:710" x14ac:dyDescent="0.25">
      <c r="BM15" s="3"/>
    </row>
  </sheetData>
  <conditionalFormatting sqref="XM1:YR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T2:ZK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L11"/>
  <sheetViews>
    <sheetView topLeftCell="BG1" workbookViewId="0">
      <selection activeCell="BT8" sqref="BT8"/>
    </sheetView>
  </sheetViews>
  <sheetFormatPr defaultColWidth="14.42578125" defaultRowHeight="15" x14ac:dyDescent="0.25"/>
  <cols>
    <col min="1" max="1" width="11" bestFit="1" customWidth="1"/>
    <col min="2" max="2" width="8.140625" bestFit="1" customWidth="1"/>
    <col min="3" max="3" width="8.28515625" bestFit="1" customWidth="1"/>
    <col min="4" max="4" width="8" bestFit="1" customWidth="1"/>
    <col min="5" max="6" width="8.28515625" bestFit="1" customWidth="1"/>
    <col min="7" max="7" width="7.85546875" bestFit="1" customWidth="1"/>
    <col min="8" max="8" width="8.140625" bestFit="1" customWidth="1"/>
    <col min="9" max="9" width="8.28515625" bestFit="1" customWidth="1"/>
    <col min="10" max="11" width="8.1406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8" bestFit="1" customWidth="1"/>
    <col min="17" max="17" width="8.28515625" bestFit="1" customWidth="1"/>
    <col min="18" max="18" width="8.140625" bestFit="1" customWidth="1"/>
    <col min="19" max="19" width="8.28515625" bestFit="1" customWidth="1"/>
    <col min="20" max="20" width="8" bestFit="1" customWidth="1"/>
    <col min="21" max="22" width="8.28515625" bestFit="1" customWidth="1"/>
    <col min="23" max="23" width="7.85546875" bestFit="1" customWidth="1"/>
    <col min="24" max="24" width="8.140625" bestFit="1" customWidth="1"/>
    <col min="25" max="25" width="13.42578125" style="15" bestFit="1" customWidth="1"/>
    <col min="26" max="27" width="7.7109375" bestFit="1" customWidth="1"/>
    <col min="28" max="28" width="8.140625" bestFit="1" customWidth="1"/>
    <col min="29" max="29" width="7.7109375" bestFit="1" customWidth="1"/>
    <col min="30" max="30" width="8.85546875" bestFit="1" customWidth="1"/>
    <col min="31" max="33" width="8.28515625" bestFit="1" customWidth="1"/>
    <col min="34" max="34" width="14.42578125" style="38"/>
    <col min="35" max="35" width="12.85546875" style="38" bestFit="1" customWidth="1"/>
    <col min="36" max="36" width="8.140625" bestFit="1" customWidth="1"/>
    <col min="37" max="37" width="8.28515625" bestFit="1" customWidth="1"/>
    <col min="38" max="38" width="8" bestFit="1" customWidth="1"/>
    <col min="39" max="39" width="8.28515625" bestFit="1" customWidth="1"/>
    <col min="40" max="42" width="7.140625" bestFit="1" customWidth="1"/>
    <col min="45" max="46" width="7.140625" bestFit="1" customWidth="1"/>
    <col min="47" max="47" width="9" bestFit="1" customWidth="1"/>
    <col min="48" max="48" width="12.5703125" bestFit="1" customWidth="1"/>
    <col min="49" max="49" width="8.140625" bestFit="1" customWidth="1"/>
    <col min="50" max="50" width="14.28515625" bestFit="1" customWidth="1"/>
    <col min="51" max="52" width="7.140625" bestFit="1" customWidth="1"/>
    <col min="53" max="53" width="12.28515625" bestFit="1" customWidth="1"/>
    <col min="54" max="54" width="12.140625" bestFit="1" customWidth="1"/>
    <col min="55" max="55" width="8.42578125" bestFit="1" customWidth="1"/>
    <col min="56" max="56" width="12.85546875" bestFit="1" customWidth="1"/>
    <col min="66" max="66" width="12.140625" bestFit="1" customWidth="1"/>
    <col min="67" max="67" width="10.140625" bestFit="1" customWidth="1"/>
    <col min="68" max="68" width="12.28515625" bestFit="1" customWidth="1"/>
    <col min="69" max="69" width="9.85546875" bestFit="1" customWidth="1"/>
    <col min="70" max="70" width="12" bestFit="1" customWidth="1"/>
    <col min="71" max="71" width="10.140625" bestFit="1" customWidth="1"/>
    <col min="72" max="72" width="12.28515625" bestFit="1" customWidth="1"/>
    <col min="73" max="73" width="10" bestFit="1" customWidth="1"/>
    <col min="74" max="74" width="12.140625" bestFit="1" customWidth="1"/>
    <col min="75" max="75" width="10.140625" bestFit="1" customWidth="1"/>
    <col min="76" max="76" width="12.28515625" bestFit="1" customWidth="1"/>
    <col min="77" max="77" width="9.85546875" bestFit="1" customWidth="1"/>
    <col min="78" max="78" width="12" bestFit="1" customWidth="1"/>
    <col min="79" max="79" width="9.140625" bestFit="1" customWidth="1"/>
    <col min="80" max="80" width="11.5703125" bestFit="1" customWidth="1"/>
    <col min="116" max="121" width="14.42578125" style="16"/>
    <col min="125" max="125" width="14.42578125" style="16"/>
  </cols>
  <sheetData>
    <row r="1" spans="1:610" ht="45" x14ac:dyDescent="0.25">
      <c r="A1" s="1"/>
      <c r="B1" s="1" t="s">
        <v>402</v>
      </c>
      <c r="C1" s="1" t="s">
        <v>403</v>
      </c>
      <c r="D1" s="1" t="s">
        <v>404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1" t="s">
        <v>421</v>
      </c>
      <c r="V1" s="1" t="s">
        <v>422</v>
      </c>
      <c r="W1" s="1" t="s">
        <v>423</v>
      </c>
      <c r="X1" s="1" t="s">
        <v>424</v>
      </c>
      <c r="Y1" s="11" t="s">
        <v>425</v>
      </c>
      <c r="Z1" s="1" t="s">
        <v>426</v>
      </c>
      <c r="AA1" s="1" t="s">
        <v>427</v>
      </c>
      <c r="AB1" s="1" t="s">
        <v>428</v>
      </c>
      <c r="AC1" s="1" t="s">
        <v>429</v>
      </c>
      <c r="AD1" s="1" t="s">
        <v>430</v>
      </c>
      <c r="AE1" s="1" t="s">
        <v>431</v>
      </c>
      <c r="AF1" s="1" t="s">
        <v>432</v>
      </c>
      <c r="AG1" s="1" t="s">
        <v>433</v>
      </c>
      <c r="AH1" s="6" t="s">
        <v>434</v>
      </c>
      <c r="AI1" s="6" t="s">
        <v>435</v>
      </c>
      <c r="AJ1" s="1" t="s">
        <v>436</v>
      </c>
      <c r="AK1" s="1" t="s">
        <v>437</v>
      </c>
      <c r="AL1" s="1" t="s">
        <v>438</v>
      </c>
      <c r="AM1" s="1" t="s">
        <v>439</v>
      </c>
      <c r="AN1" s="1" t="s">
        <v>440</v>
      </c>
      <c r="AO1" s="1" t="s">
        <v>441</v>
      </c>
      <c r="AP1" s="1" t="s">
        <v>442</v>
      </c>
      <c r="AQ1" s="2" t="s">
        <v>443</v>
      </c>
      <c r="AR1" s="2" t="s">
        <v>126</v>
      </c>
      <c r="AS1" s="1" t="s">
        <v>444</v>
      </c>
      <c r="AT1" s="1" t="s">
        <v>445</v>
      </c>
      <c r="AU1" s="1" t="s">
        <v>446</v>
      </c>
      <c r="AV1" s="11" t="s">
        <v>789</v>
      </c>
      <c r="AW1" s="4" t="s">
        <v>447</v>
      </c>
      <c r="AX1" s="4" t="s">
        <v>448</v>
      </c>
      <c r="AY1" s="1" t="s">
        <v>449</v>
      </c>
      <c r="AZ1" s="1" t="s">
        <v>450</v>
      </c>
      <c r="BA1" s="1" t="s">
        <v>451</v>
      </c>
      <c r="BB1" s="1" t="s">
        <v>452</v>
      </c>
      <c r="BC1" s="4" t="s">
        <v>453</v>
      </c>
      <c r="BD1" s="2" t="s">
        <v>454</v>
      </c>
      <c r="BE1" s="11" t="s">
        <v>455</v>
      </c>
      <c r="BF1" s="11" t="s">
        <v>790</v>
      </c>
      <c r="BG1" s="11" t="s">
        <v>456</v>
      </c>
      <c r="BH1" s="11" t="s">
        <v>791</v>
      </c>
      <c r="BI1" s="11" t="s">
        <v>457</v>
      </c>
      <c r="BJ1" s="11" t="s">
        <v>792</v>
      </c>
      <c r="BK1" s="11" t="s">
        <v>458</v>
      </c>
      <c r="BL1" s="11" t="s">
        <v>793</v>
      </c>
      <c r="BM1" s="5" t="s">
        <v>460</v>
      </c>
      <c r="BN1" s="5" t="s">
        <v>794</v>
      </c>
      <c r="BO1" s="5" t="s">
        <v>461</v>
      </c>
      <c r="BP1" s="5" t="s">
        <v>795</v>
      </c>
      <c r="BQ1" s="5" t="s">
        <v>462</v>
      </c>
      <c r="BR1" s="5" t="s">
        <v>796</v>
      </c>
      <c r="BS1" s="5" t="s">
        <v>463</v>
      </c>
      <c r="BT1" s="5" t="s">
        <v>797</v>
      </c>
      <c r="BU1" s="5" t="s">
        <v>464</v>
      </c>
      <c r="BV1" s="5" t="s">
        <v>798</v>
      </c>
      <c r="BW1" s="5" t="s">
        <v>468</v>
      </c>
      <c r="BX1" s="5" t="s">
        <v>799</v>
      </c>
      <c r="BY1" s="5" t="s">
        <v>469</v>
      </c>
      <c r="BZ1" s="5" t="s">
        <v>800</v>
      </c>
      <c r="CA1" s="5" t="s">
        <v>470</v>
      </c>
      <c r="CB1" s="5" t="s">
        <v>801</v>
      </c>
      <c r="CC1" s="4" t="s">
        <v>477</v>
      </c>
      <c r="CD1" s="4" t="s">
        <v>478</v>
      </c>
      <c r="CE1" s="4" t="s">
        <v>134</v>
      </c>
      <c r="CF1" s="5" t="s">
        <v>479</v>
      </c>
      <c r="CG1" s="5" t="s">
        <v>480</v>
      </c>
      <c r="CH1" s="5" t="s">
        <v>482</v>
      </c>
      <c r="CI1" s="5" t="s">
        <v>1087</v>
      </c>
      <c r="CJ1" s="5" t="s">
        <v>481</v>
      </c>
      <c r="CK1" s="5" t="s">
        <v>1088</v>
      </c>
      <c r="CL1" s="5" t="s">
        <v>483</v>
      </c>
      <c r="CM1" s="5" t="s">
        <v>484</v>
      </c>
      <c r="CN1" s="5" t="s">
        <v>804</v>
      </c>
      <c r="CO1" s="6" t="s">
        <v>486</v>
      </c>
      <c r="CP1" s="6" t="s">
        <v>485</v>
      </c>
      <c r="CQ1" s="6" t="s">
        <v>135</v>
      </c>
      <c r="CR1" s="5" t="s">
        <v>487</v>
      </c>
      <c r="CS1" s="5" t="s">
        <v>488</v>
      </c>
      <c r="CT1" s="5" t="s">
        <v>489</v>
      </c>
      <c r="CU1" s="5" t="s">
        <v>1089</v>
      </c>
      <c r="CV1" s="5" t="s">
        <v>490</v>
      </c>
      <c r="CW1" s="5" t="s">
        <v>1090</v>
      </c>
      <c r="CX1" s="13" t="s">
        <v>491</v>
      </c>
      <c r="CY1" s="13" t="s">
        <v>492</v>
      </c>
      <c r="CZ1" s="1" t="s">
        <v>493</v>
      </c>
      <c r="DA1" s="1" t="s">
        <v>494</v>
      </c>
      <c r="DB1" s="1" t="s">
        <v>802</v>
      </c>
      <c r="DC1" s="3" t="s">
        <v>495</v>
      </c>
      <c r="DD1" s="3" t="s">
        <v>496</v>
      </c>
      <c r="DE1" s="3" t="s">
        <v>803</v>
      </c>
      <c r="DF1" s="4" t="s">
        <v>497</v>
      </c>
      <c r="DG1" s="4" t="s">
        <v>498</v>
      </c>
      <c r="DH1" s="4" t="s">
        <v>136</v>
      </c>
      <c r="DI1" s="3" t="s">
        <v>499</v>
      </c>
      <c r="DJ1" s="3" t="s">
        <v>500</v>
      </c>
      <c r="DK1" s="3" t="s">
        <v>805</v>
      </c>
      <c r="DL1" s="13" t="s">
        <v>501</v>
      </c>
      <c r="DM1" s="13" t="s">
        <v>502</v>
      </c>
      <c r="DN1" s="13" t="s">
        <v>503</v>
      </c>
      <c r="DO1" s="13" t="s">
        <v>1091</v>
      </c>
      <c r="DP1" s="13" t="s">
        <v>504</v>
      </c>
      <c r="DQ1" s="13" t="s">
        <v>1092</v>
      </c>
      <c r="DR1" s="1" t="s">
        <v>505</v>
      </c>
      <c r="DS1" s="3" t="s">
        <v>506</v>
      </c>
      <c r="DT1" s="3" t="s">
        <v>806</v>
      </c>
      <c r="DU1" s="11" t="s">
        <v>507</v>
      </c>
      <c r="DV1" s="11" t="s">
        <v>807</v>
      </c>
      <c r="DW1" s="4" t="s">
        <v>508</v>
      </c>
      <c r="DX1" s="4" t="s">
        <v>509</v>
      </c>
      <c r="DY1" s="4" t="s">
        <v>140</v>
      </c>
      <c r="DZ1" s="11" t="s">
        <v>510</v>
      </c>
      <c r="EA1" s="11" t="s">
        <v>511</v>
      </c>
      <c r="EB1" s="11" t="s">
        <v>512</v>
      </c>
      <c r="EC1" s="11" t="s">
        <v>1093</v>
      </c>
      <c r="ED1" s="11" t="s">
        <v>513</v>
      </c>
      <c r="EE1" s="3" t="s">
        <v>514</v>
      </c>
      <c r="EF1" s="3" t="s">
        <v>515</v>
      </c>
      <c r="EG1" s="3" t="s">
        <v>808</v>
      </c>
      <c r="EH1" s="4" t="s">
        <v>516</v>
      </c>
      <c r="EI1" s="4" t="s">
        <v>517</v>
      </c>
      <c r="EJ1" s="4" t="s">
        <v>141</v>
      </c>
      <c r="EK1" s="3" t="s">
        <v>518</v>
      </c>
      <c r="EL1" s="11" t="s">
        <v>519</v>
      </c>
      <c r="EM1" s="3" t="s">
        <v>520</v>
      </c>
      <c r="EN1" s="3" t="s">
        <v>521</v>
      </c>
      <c r="EO1" s="3" t="s">
        <v>809</v>
      </c>
      <c r="EP1" s="5" t="s">
        <v>522</v>
      </c>
      <c r="EQ1" s="12" t="s">
        <v>523</v>
      </c>
      <c r="ER1" s="12" t="s">
        <v>524</v>
      </c>
      <c r="ES1" s="5" t="s">
        <v>525</v>
      </c>
      <c r="ET1" s="5" t="s">
        <v>810</v>
      </c>
      <c r="EU1" s="4" t="s">
        <v>526</v>
      </c>
      <c r="EV1" s="4" t="s">
        <v>527</v>
      </c>
      <c r="EW1" s="4" t="s">
        <v>143</v>
      </c>
      <c r="EX1" s="1" t="s">
        <v>528</v>
      </c>
      <c r="EY1" s="1" t="s">
        <v>529</v>
      </c>
      <c r="EZ1" s="1" t="s">
        <v>530</v>
      </c>
      <c r="FA1" s="1" t="s">
        <v>531</v>
      </c>
      <c r="FB1" s="1" t="s">
        <v>532</v>
      </c>
      <c r="FC1" s="1" t="s">
        <v>533</v>
      </c>
      <c r="FD1" s="1" t="s">
        <v>534</v>
      </c>
      <c r="FE1" s="1" t="s">
        <v>535</v>
      </c>
      <c r="FF1" s="1" t="s">
        <v>536</v>
      </c>
      <c r="FG1" s="1" t="s">
        <v>537</v>
      </c>
      <c r="FH1" s="1" t="s">
        <v>538</v>
      </c>
      <c r="FI1" s="1" t="s">
        <v>539</v>
      </c>
      <c r="FJ1" s="1" t="s">
        <v>540</v>
      </c>
      <c r="FK1" s="1" t="s">
        <v>541</v>
      </c>
      <c r="FL1" s="1" t="s">
        <v>542</v>
      </c>
      <c r="FM1" s="1" t="s">
        <v>543</v>
      </c>
      <c r="FN1" s="1" t="s">
        <v>544</v>
      </c>
      <c r="FO1" s="1" t="s">
        <v>545</v>
      </c>
      <c r="FP1" s="1" t="s">
        <v>546</v>
      </c>
      <c r="FQ1" s="2" t="s">
        <v>547</v>
      </c>
      <c r="FR1" s="2" t="s">
        <v>548</v>
      </c>
      <c r="FS1" s="2" t="s">
        <v>159</v>
      </c>
      <c r="FT1" s="1" t="s">
        <v>549</v>
      </c>
      <c r="FU1" s="1" t="s">
        <v>550</v>
      </c>
      <c r="FV1" s="1" t="s">
        <v>551</v>
      </c>
      <c r="FW1" s="1" t="s">
        <v>552</v>
      </c>
      <c r="FX1" s="1" t="s">
        <v>553</v>
      </c>
      <c r="FY1" s="1" t="s">
        <v>554</v>
      </c>
      <c r="FZ1" s="1" t="s">
        <v>555</v>
      </c>
      <c r="GA1" s="1" t="s">
        <v>556</v>
      </c>
      <c r="GB1" s="1" t="s">
        <v>557</v>
      </c>
      <c r="GC1" s="1" t="s">
        <v>558</v>
      </c>
      <c r="GD1" s="1" t="s">
        <v>559</v>
      </c>
      <c r="GE1" s="1" t="s">
        <v>560</v>
      </c>
      <c r="GF1" s="1" t="s">
        <v>811</v>
      </c>
      <c r="GG1" s="1" t="s">
        <v>561</v>
      </c>
      <c r="GH1" s="1" t="s">
        <v>812</v>
      </c>
      <c r="GI1" s="1" t="s">
        <v>562</v>
      </c>
      <c r="GJ1" s="1" t="s">
        <v>813</v>
      </c>
      <c r="GK1" s="1" t="s">
        <v>563</v>
      </c>
      <c r="GL1" s="1" t="s">
        <v>564</v>
      </c>
      <c r="GM1" s="1" t="s">
        <v>1065</v>
      </c>
      <c r="GN1" s="1" t="s">
        <v>565</v>
      </c>
      <c r="GO1" s="1" t="s">
        <v>566</v>
      </c>
      <c r="GP1" s="1" t="s">
        <v>567</v>
      </c>
      <c r="GQ1" s="1" t="s">
        <v>568</v>
      </c>
      <c r="GR1" s="1" t="s">
        <v>569</v>
      </c>
      <c r="GS1" s="1" t="s">
        <v>570</v>
      </c>
      <c r="GT1" s="1" t="s">
        <v>571</v>
      </c>
      <c r="GU1" s="1" t="s">
        <v>866</v>
      </c>
      <c r="GV1" s="1" t="s">
        <v>572</v>
      </c>
      <c r="GW1" s="1" t="s">
        <v>1126</v>
      </c>
      <c r="GX1" s="1" t="s">
        <v>573</v>
      </c>
      <c r="GY1" s="1" t="s">
        <v>1125</v>
      </c>
      <c r="GZ1" s="1" t="s">
        <v>574</v>
      </c>
      <c r="HA1" s="1" t="s">
        <v>1124</v>
      </c>
      <c r="HB1" s="1" t="s">
        <v>575</v>
      </c>
      <c r="HC1" s="1" t="s">
        <v>1123</v>
      </c>
      <c r="HD1" s="1" t="s">
        <v>576</v>
      </c>
      <c r="HE1" s="1" t="s">
        <v>1122</v>
      </c>
      <c r="HF1" s="1" t="s">
        <v>577</v>
      </c>
      <c r="HG1" s="1" t="s">
        <v>1121</v>
      </c>
      <c r="HH1" s="1" t="s">
        <v>578</v>
      </c>
      <c r="HI1" s="1" t="s">
        <v>1120</v>
      </c>
      <c r="HJ1" s="1" t="s">
        <v>579</v>
      </c>
      <c r="HK1" s="1" t="s">
        <v>1119</v>
      </c>
      <c r="HL1" s="1" t="s">
        <v>580</v>
      </c>
      <c r="HM1" s="1" t="s">
        <v>1118</v>
      </c>
      <c r="HN1" s="1" t="s">
        <v>581</v>
      </c>
      <c r="HO1" s="1" t="s">
        <v>582</v>
      </c>
      <c r="HP1" s="1" t="s">
        <v>814</v>
      </c>
      <c r="HQ1" s="1" t="s">
        <v>583</v>
      </c>
      <c r="HR1" s="1" t="s">
        <v>815</v>
      </c>
      <c r="HS1" s="1" t="s">
        <v>584</v>
      </c>
      <c r="HT1" s="1" t="s">
        <v>816</v>
      </c>
      <c r="HU1" s="1" t="s">
        <v>585</v>
      </c>
      <c r="HV1" s="1" t="s">
        <v>1117</v>
      </c>
      <c r="HW1" s="1" t="s">
        <v>586</v>
      </c>
      <c r="HX1" s="1" t="s">
        <v>1116</v>
      </c>
      <c r="HY1" s="1" t="s">
        <v>587</v>
      </c>
      <c r="HZ1" s="1" t="s">
        <v>1115</v>
      </c>
      <c r="IA1" s="1" t="s">
        <v>588</v>
      </c>
      <c r="IB1" s="1" t="s">
        <v>1114</v>
      </c>
      <c r="IC1" s="1" t="s">
        <v>589</v>
      </c>
      <c r="ID1" s="1" t="s">
        <v>1113</v>
      </c>
      <c r="IE1" s="1" t="s">
        <v>590</v>
      </c>
      <c r="IF1" s="1" t="s">
        <v>1112</v>
      </c>
      <c r="IG1" s="1" t="s">
        <v>591</v>
      </c>
      <c r="IH1" s="1" t="s">
        <v>1111</v>
      </c>
      <c r="II1" s="1" t="s">
        <v>592</v>
      </c>
      <c r="IJ1" s="1" t="s">
        <v>593</v>
      </c>
      <c r="IK1" s="1" t="s">
        <v>594</v>
      </c>
      <c r="IL1" s="1" t="s">
        <v>595</v>
      </c>
      <c r="IM1" s="1" t="s">
        <v>596</v>
      </c>
      <c r="IN1" s="1" t="s">
        <v>597</v>
      </c>
      <c r="IO1" s="1" t="s">
        <v>598</v>
      </c>
      <c r="IP1" s="1" t="s">
        <v>599</v>
      </c>
      <c r="IQ1" s="1" t="s">
        <v>600</v>
      </c>
      <c r="IR1" s="1" t="s">
        <v>601</v>
      </c>
      <c r="IS1" s="1" t="s">
        <v>602</v>
      </c>
      <c r="IT1" s="1" t="s">
        <v>603</v>
      </c>
      <c r="IU1" s="1" t="s">
        <v>604</v>
      </c>
      <c r="IV1" s="1" t="s">
        <v>817</v>
      </c>
      <c r="IW1" s="1" t="s">
        <v>605</v>
      </c>
      <c r="IX1" s="1" t="s">
        <v>818</v>
      </c>
      <c r="IY1" s="1" t="s">
        <v>606</v>
      </c>
      <c r="IZ1" s="1" t="s">
        <v>819</v>
      </c>
      <c r="JA1" s="1" t="s">
        <v>607</v>
      </c>
      <c r="JB1" s="1" t="s">
        <v>608</v>
      </c>
      <c r="JC1" s="1" t="s">
        <v>609</v>
      </c>
      <c r="JD1" s="1" t="s">
        <v>610</v>
      </c>
      <c r="JE1" s="1" t="s">
        <v>611</v>
      </c>
      <c r="JF1" s="1" t="s">
        <v>612</v>
      </c>
      <c r="JG1" s="1" t="s">
        <v>613</v>
      </c>
      <c r="JH1" s="1" t="s">
        <v>614</v>
      </c>
      <c r="JI1" s="1" t="s">
        <v>615</v>
      </c>
      <c r="JJ1" s="1" t="s">
        <v>616</v>
      </c>
      <c r="JK1" s="1" t="s">
        <v>617</v>
      </c>
      <c r="JL1" s="1" t="s">
        <v>618</v>
      </c>
      <c r="JM1" s="1" t="s">
        <v>619</v>
      </c>
      <c r="JN1" s="1" t="s">
        <v>620</v>
      </c>
      <c r="JO1" s="1" t="s">
        <v>621</v>
      </c>
      <c r="JP1" s="1" t="s">
        <v>622</v>
      </c>
      <c r="JQ1" s="1" t="s">
        <v>623</v>
      </c>
      <c r="JR1" s="1" t="s">
        <v>624</v>
      </c>
      <c r="JS1" s="1" t="s">
        <v>625</v>
      </c>
      <c r="JT1" s="1" t="s">
        <v>626</v>
      </c>
      <c r="JU1" s="1" t="s">
        <v>820</v>
      </c>
      <c r="JV1" s="1" t="s">
        <v>627</v>
      </c>
      <c r="JW1" s="1" t="s">
        <v>821</v>
      </c>
      <c r="JX1" s="1" t="s">
        <v>628</v>
      </c>
      <c r="JY1" s="1" t="s">
        <v>822</v>
      </c>
      <c r="JZ1" s="1" t="s">
        <v>629</v>
      </c>
      <c r="KA1" s="1" t="s">
        <v>1110</v>
      </c>
      <c r="KB1" s="1" t="s">
        <v>630</v>
      </c>
      <c r="KC1" s="1" t="s">
        <v>1109</v>
      </c>
      <c r="KD1" s="1" t="s">
        <v>631</v>
      </c>
      <c r="KE1" s="1" t="s">
        <v>1108</v>
      </c>
      <c r="KF1" s="1" t="s">
        <v>632</v>
      </c>
      <c r="KG1" s="1" t="s">
        <v>1107</v>
      </c>
      <c r="KH1" s="1" t="s">
        <v>633</v>
      </c>
      <c r="KI1" s="1" t="s">
        <v>1106</v>
      </c>
      <c r="KJ1" s="1" t="s">
        <v>634</v>
      </c>
      <c r="KK1" s="1" t="s">
        <v>1105</v>
      </c>
      <c r="KL1" s="1" t="s">
        <v>635</v>
      </c>
      <c r="KM1" s="1" t="s">
        <v>1104</v>
      </c>
      <c r="KN1" s="1" t="s">
        <v>636</v>
      </c>
      <c r="KO1" s="1" t="s">
        <v>1066</v>
      </c>
      <c r="KP1" s="1" t="s">
        <v>637</v>
      </c>
      <c r="KQ1" s="1" t="s">
        <v>823</v>
      </c>
      <c r="KR1" s="1" t="s">
        <v>638</v>
      </c>
      <c r="KS1" s="1" t="s">
        <v>1103</v>
      </c>
      <c r="KT1" s="1" t="s">
        <v>639</v>
      </c>
      <c r="KU1" s="1" t="s">
        <v>1102</v>
      </c>
      <c r="KV1" s="1" t="s">
        <v>640</v>
      </c>
      <c r="KW1" s="1" t="s">
        <v>1101</v>
      </c>
      <c r="KX1" s="1" t="s">
        <v>641</v>
      </c>
      <c r="KY1" s="1" t="s">
        <v>1100</v>
      </c>
      <c r="KZ1" s="1" t="s">
        <v>642</v>
      </c>
      <c r="LA1" s="1" t="s">
        <v>643</v>
      </c>
      <c r="LB1" s="1" t="s">
        <v>644</v>
      </c>
      <c r="LC1" s="1" t="s">
        <v>645</v>
      </c>
      <c r="LD1" s="1" t="s">
        <v>646</v>
      </c>
      <c r="LE1" s="1" t="s">
        <v>647</v>
      </c>
      <c r="LF1" s="1" t="s">
        <v>1099</v>
      </c>
      <c r="LG1" s="1" t="s">
        <v>648</v>
      </c>
      <c r="LH1" s="1" t="s">
        <v>824</v>
      </c>
      <c r="LI1" s="1" t="s">
        <v>649</v>
      </c>
      <c r="LJ1" s="1" t="s">
        <v>825</v>
      </c>
      <c r="LK1" s="1" t="s">
        <v>650</v>
      </c>
      <c r="LL1" s="1" t="s">
        <v>826</v>
      </c>
      <c r="LM1" s="1" t="s">
        <v>651</v>
      </c>
      <c r="LN1" s="1" t="s">
        <v>1098</v>
      </c>
      <c r="LO1" s="1" t="s">
        <v>652</v>
      </c>
      <c r="LP1" s="1" t="s">
        <v>1097</v>
      </c>
      <c r="LQ1" s="1" t="s">
        <v>653</v>
      </c>
      <c r="LR1" s="1" t="s">
        <v>1096</v>
      </c>
      <c r="LS1" s="1" t="s">
        <v>654</v>
      </c>
      <c r="LT1" s="1" t="s">
        <v>655</v>
      </c>
      <c r="LU1" s="1" t="s">
        <v>1095</v>
      </c>
      <c r="LV1" s="1" t="s">
        <v>656</v>
      </c>
      <c r="LW1" s="1" t="s">
        <v>657</v>
      </c>
      <c r="LX1" s="1" t="s">
        <v>1094</v>
      </c>
      <c r="LY1" s="1" t="s">
        <v>658</v>
      </c>
      <c r="LZ1" s="2" t="s">
        <v>659</v>
      </c>
      <c r="MA1" s="2" t="s">
        <v>660</v>
      </c>
      <c r="MB1" s="2" t="s">
        <v>270</v>
      </c>
      <c r="MC1" s="1" t="s">
        <v>661</v>
      </c>
      <c r="MD1" s="1" t="s">
        <v>662</v>
      </c>
      <c r="ME1" s="1" t="s">
        <v>663</v>
      </c>
      <c r="MF1" s="1" t="s">
        <v>664</v>
      </c>
      <c r="MG1" s="1" t="s">
        <v>665</v>
      </c>
      <c r="MH1" s="1" t="s">
        <v>666</v>
      </c>
      <c r="MI1" s="1" t="s">
        <v>667</v>
      </c>
      <c r="MJ1" s="1" t="s">
        <v>668</v>
      </c>
      <c r="MK1" s="1" t="s">
        <v>669</v>
      </c>
      <c r="ML1" s="1" t="s">
        <v>670</v>
      </c>
      <c r="MM1" s="1" t="s">
        <v>671</v>
      </c>
      <c r="MN1" s="1" t="s">
        <v>672</v>
      </c>
      <c r="MO1" s="1" t="s">
        <v>673</v>
      </c>
      <c r="MP1" s="1" t="s">
        <v>674</v>
      </c>
      <c r="MQ1" s="1" t="s">
        <v>675</v>
      </c>
      <c r="MR1" s="1" t="s">
        <v>676</v>
      </c>
      <c r="MS1" s="1" t="s">
        <v>677</v>
      </c>
      <c r="MT1" s="1" t="s">
        <v>678</v>
      </c>
      <c r="MU1" s="1" t="s">
        <v>679</v>
      </c>
      <c r="MV1" s="11" t="s">
        <v>680</v>
      </c>
      <c r="MW1" s="11" t="s">
        <v>827</v>
      </c>
      <c r="MX1" s="8" t="s">
        <v>681</v>
      </c>
      <c r="MY1" s="8" t="s">
        <v>682</v>
      </c>
      <c r="MZ1" s="8" t="s">
        <v>286</v>
      </c>
      <c r="NA1" s="1" t="s">
        <v>683</v>
      </c>
      <c r="NB1" s="13" t="s">
        <v>1127</v>
      </c>
      <c r="NC1" s="1" t="s">
        <v>684</v>
      </c>
      <c r="ND1" s="1" t="s">
        <v>685</v>
      </c>
      <c r="NE1" s="9" t="s">
        <v>686</v>
      </c>
      <c r="NF1" s="9" t="s">
        <v>287</v>
      </c>
      <c r="NG1" s="1" t="s">
        <v>687</v>
      </c>
      <c r="NH1" s="1" t="s">
        <v>688</v>
      </c>
      <c r="NI1" s="1" t="s">
        <v>689</v>
      </c>
      <c r="NJ1" s="1" t="s">
        <v>690</v>
      </c>
      <c r="NK1" s="1" t="s">
        <v>691</v>
      </c>
      <c r="NL1" s="1" t="s">
        <v>692</v>
      </c>
      <c r="NM1" s="1" t="s">
        <v>693</v>
      </c>
      <c r="NN1" s="1" t="s">
        <v>694</v>
      </c>
      <c r="NO1" s="1" t="s">
        <v>695</v>
      </c>
      <c r="NP1" s="1" t="s">
        <v>696</v>
      </c>
      <c r="NQ1" s="1" t="s">
        <v>697</v>
      </c>
      <c r="NR1" s="1" t="s">
        <v>698</v>
      </c>
      <c r="NS1" s="1" t="s">
        <v>699</v>
      </c>
      <c r="NT1" s="1" t="s">
        <v>700</v>
      </c>
      <c r="NU1" s="1" t="s">
        <v>701</v>
      </c>
      <c r="NV1" s="1" t="s">
        <v>702</v>
      </c>
      <c r="NW1" s="1" t="s">
        <v>703</v>
      </c>
      <c r="NX1" s="1" t="s">
        <v>704</v>
      </c>
      <c r="NY1" s="1" t="s">
        <v>705</v>
      </c>
      <c r="NZ1" s="1" t="s">
        <v>706</v>
      </c>
      <c r="OA1" s="1" t="s">
        <v>707</v>
      </c>
      <c r="OB1" s="1" t="s">
        <v>708</v>
      </c>
      <c r="OC1" s="1" t="s">
        <v>709</v>
      </c>
      <c r="OD1" s="1" t="s">
        <v>710</v>
      </c>
      <c r="OE1" s="1" t="s">
        <v>711</v>
      </c>
      <c r="OF1" s="1" t="s">
        <v>712</v>
      </c>
      <c r="OG1" s="1" t="s">
        <v>713</v>
      </c>
      <c r="OH1" s="1" t="s">
        <v>714</v>
      </c>
      <c r="OI1" s="1" t="s">
        <v>715</v>
      </c>
      <c r="OJ1" s="1" t="s">
        <v>716</v>
      </c>
      <c r="OK1" s="1" t="s">
        <v>717</v>
      </c>
      <c r="OL1" s="1" t="s">
        <v>718</v>
      </c>
      <c r="OM1" s="1" t="s">
        <v>719</v>
      </c>
      <c r="ON1" s="1" t="s">
        <v>720</v>
      </c>
      <c r="OO1" s="1" t="s">
        <v>721</v>
      </c>
      <c r="OP1" s="1" t="s">
        <v>722</v>
      </c>
      <c r="OQ1" s="1" t="s">
        <v>723</v>
      </c>
      <c r="OR1" s="1" t="s">
        <v>724</v>
      </c>
      <c r="OS1" s="1" t="s">
        <v>725</v>
      </c>
      <c r="OT1" s="1" t="s">
        <v>726</v>
      </c>
      <c r="OU1" s="1" t="s">
        <v>727</v>
      </c>
      <c r="OV1" s="1" t="s">
        <v>728</v>
      </c>
      <c r="OW1" s="1" t="s">
        <v>828</v>
      </c>
      <c r="OX1" s="1" t="s">
        <v>729</v>
      </c>
      <c r="OY1" s="1" t="s">
        <v>829</v>
      </c>
      <c r="OZ1" s="1" t="s">
        <v>730</v>
      </c>
      <c r="PA1" s="1" t="s">
        <v>830</v>
      </c>
      <c r="PB1" s="1" t="s">
        <v>731</v>
      </c>
      <c r="PC1" s="1" t="s">
        <v>732</v>
      </c>
      <c r="PD1" s="1" t="s">
        <v>733</v>
      </c>
      <c r="PE1" s="1" t="s">
        <v>734</v>
      </c>
      <c r="PF1" s="1" t="s">
        <v>735</v>
      </c>
      <c r="PG1" s="1" t="s">
        <v>736</v>
      </c>
      <c r="PH1" s="1" t="s">
        <v>737</v>
      </c>
      <c r="PI1" s="1" t="s">
        <v>738</v>
      </c>
      <c r="PJ1" s="1" t="s">
        <v>739</v>
      </c>
      <c r="PK1" s="1" t="s">
        <v>831</v>
      </c>
      <c r="PL1" s="1" t="s">
        <v>740</v>
      </c>
      <c r="PM1" s="1" t="s">
        <v>1067</v>
      </c>
      <c r="PN1" s="1" t="s">
        <v>741</v>
      </c>
      <c r="PO1" s="1" t="s">
        <v>1068</v>
      </c>
      <c r="PP1" s="1" t="s">
        <v>742</v>
      </c>
      <c r="PQ1" s="1" t="s">
        <v>1069</v>
      </c>
      <c r="PR1" s="1" t="s">
        <v>743</v>
      </c>
      <c r="PS1" s="1" t="s">
        <v>1070</v>
      </c>
      <c r="PT1" s="1" t="s">
        <v>744</v>
      </c>
      <c r="PU1" s="1" t="s">
        <v>1071</v>
      </c>
      <c r="PV1" s="1" t="s">
        <v>745</v>
      </c>
      <c r="PW1" s="1" t="s">
        <v>1072</v>
      </c>
      <c r="PX1" s="1" t="s">
        <v>746</v>
      </c>
      <c r="PY1" s="1" t="s">
        <v>1073</v>
      </c>
      <c r="PZ1" s="1" t="s">
        <v>747</v>
      </c>
      <c r="QA1" s="1" t="s">
        <v>1074</v>
      </c>
      <c r="QB1" s="1" t="s">
        <v>748</v>
      </c>
      <c r="QC1" s="1" t="s">
        <v>1075</v>
      </c>
      <c r="QD1" s="1" t="s">
        <v>749</v>
      </c>
      <c r="QE1" s="1" t="s">
        <v>1076</v>
      </c>
      <c r="QF1" s="1" t="s">
        <v>750</v>
      </c>
      <c r="QG1" s="1" t="s">
        <v>832</v>
      </c>
      <c r="QH1" s="1" t="s">
        <v>751</v>
      </c>
      <c r="QI1" s="1" t="s">
        <v>1077</v>
      </c>
      <c r="QJ1" s="1" t="s">
        <v>752</v>
      </c>
      <c r="QK1" s="1" t="s">
        <v>1078</v>
      </c>
      <c r="QL1" s="1" t="s">
        <v>753</v>
      </c>
      <c r="QM1" s="1" t="s">
        <v>1079</v>
      </c>
      <c r="QN1" s="1" t="s">
        <v>754</v>
      </c>
      <c r="QO1" s="1" t="s">
        <v>1080</v>
      </c>
      <c r="QP1" s="1" t="s">
        <v>755</v>
      </c>
      <c r="QQ1" s="1" t="s">
        <v>1081</v>
      </c>
      <c r="QR1" s="1" t="s">
        <v>756</v>
      </c>
      <c r="QS1" s="1" t="s">
        <v>1082</v>
      </c>
      <c r="QT1" s="1" t="s">
        <v>757</v>
      </c>
      <c r="QU1" s="1" t="s">
        <v>1083</v>
      </c>
      <c r="QV1" s="1" t="s">
        <v>758</v>
      </c>
      <c r="QW1" s="1" t="s">
        <v>1084</v>
      </c>
      <c r="QX1" s="1" t="s">
        <v>759</v>
      </c>
      <c r="QY1" s="1" t="s">
        <v>1085</v>
      </c>
      <c r="QZ1" s="1" t="s">
        <v>760</v>
      </c>
      <c r="RA1" s="1" t="s">
        <v>1086</v>
      </c>
      <c r="RB1" s="1" t="s">
        <v>761</v>
      </c>
      <c r="RC1" s="1" t="s">
        <v>762</v>
      </c>
      <c r="RD1" s="1" t="s">
        <v>763</v>
      </c>
      <c r="RE1" s="1" t="s">
        <v>764</v>
      </c>
      <c r="RF1" s="1" t="s">
        <v>765</v>
      </c>
      <c r="RG1" s="1" t="s">
        <v>766</v>
      </c>
      <c r="RH1" s="1" t="s">
        <v>767</v>
      </c>
      <c r="RI1" s="1" t="s">
        <v>768</v>
      </c>
      <c r="RJ1" s="1" t="s">
        <v>769</v>
      </c>
      <c r="RK1" s="1" t="s">
        <v>770</v>
      </c>
      <c r="RL1" s="1" t="s">
        <v>771</v>
      </c>
      <c r="RM1" s="1" t="s">
        <v>772</v>
      </c>
      <c r="RN1" s="1" t="s">
        <v>773</v>
      </c>
      <c r="RO1" s="1" t="s">
        <v>774</v>
      </c>
      <c r="RP1" s="1" t="s">
        <v>775</v>
      </c>
      <c r="RQ1" s="1" t="s">
        <v>776</v>
      </c>
      <c r="RR1" s="1" t="s">
        <v>777</v>
      </c>
      <c r="RS1" s="1" t="s">
        <v>778</v>
      </c>
      <c r="RT1" s="1" t="s">
        <v>779</v>
      </c>
      <c r="RU1" s="1" t="s">
        <v>780</v>
      </c>
      <c r="RV1" s="1" t="s">
        <v>781</v>
      </c>
      <c r="RW1" s="1" t="s">
        <v>782</v>
      </c>
      <c r="RX1" s="2" t="s">
        <v>783</v>
      </c>
      <c r="RY1" s="2" t="s">
        <v>784</v>
      </c>
      <c r="RZ1" s="2" t="s">
        <v>376</v>
      </c>
      <c r="SA1" s="1" t="s">
        <v>785</v>
      </c>
      <c r="SB1" s="3" t="s">
        <v>786</v>
      </c>
      <c r="SC1" s="5" t="s">
        <v>787</v>
      </c>
      <c r="SD1" s="5" t="s">
        <v>833</v>
      </c>
      <c r="SE1" s="5" t="s">
        <v>834</v>
      </c>
      <c r="SF1" s="5" t="s">
        <v>835</v>
      </c>
      <c r="SG1" s="8" t="s">
        <v>836</v>
      </c>
      <c r="SH1" s="8" t="s">
        <v>837</v>
      </c>
      <c r="SI1" s="8" t="s">
        <v>838</v>
      </c>
      <c r="SJ1" s="1" t="s">
        <v>839</v>
      </c>
      <c r="SK1" s="1" t="s">
        <v>840</v>
      </c>
      <c r="SL1" s="1" t="s">
        <v>841</v>
      </c>
      <c r="SM1" s="1" t="s">
        <v>842</v>
      </c>
      <c r="SN1" s="1" t="s">
        <v>843</v>
      </c>
      <c r="SO1" s="9" t="s">
        <v>844</v>
      </c>
      <c r="SP1" s="9" t="s">
        <v>845</v>
      </c>
      <c r="SQ1" s="9" t="s">
        <v>846</v>
      </c>
      <c r="SR1" s="1" t="s">
        <v>847</v>
      </c>
      <c r="SS1" s="13" t="s">
        <v>1128</v>
      </c>
      <c r="ST1" s="1" t="s">
        <v>848</v>
      </c>
      <c r="SU1" s="1" t="s">
        <v>849</v>
      </c>
      <c r="SV1" s="9" t="s">
        <v>850</v>
      </c>
      <c r="SW1" s="9" t="s">
        <v>382</v>
      </c>
      <c r="SX1" s="5" t="s">
        <v>851</v>
      </c>
      <c r="SY1" s="5" t="s">
        <v>852</v>
      </c>
      <c r="SZ1" s="5" t="s">
        <v>853</v>
      </c>
      <c r="TA1" s="5" t="s">
        <v>854</v>
      </c>
      <c r="TB1" s="11" t="s">
        <v>855</v>
      </c>
      <c r="TC1" s="5" t="s">
        <v>856</v>
      </c>
      <c r="TD1" s="11" t="s">
        <v>857</v>
      </c>
      <c r="TE1" s="5" t="s">
        <v>858</v>
      </c>
      <c r="TF1" s="11" t="s">
        <v>859</v>
      </c>
      <c r="TG1" s="11" t="s">
        <v>860</v>
      </c>
      <c r="TH1" s="11" t="s">
        <v>861</v>
      </c>
      <c r="TI1" s="11" t="s">
        <v>862</v>
      </c>
      <c r="TJ1" s="11" t="s">
        <v>863</v>
      </c>
      <c r="TK1" s="8" t="s">
        <v>864</v>
      </c>
      <c r="TL1" s="8" t="s">
        <v>865</v>
      </c>
      <c r="TM1" s="8" t="s">
        <v>383</v>
      </c>
      <c r="TN1" s="13"/>
      <c r="TO1" s="1"/>
      <c r="TP1" s="14" t="s">
        <v>384</v>
      </c>
      <c r="TQ1" s="1" t="str">
        <f t="shared" ref="TQ1:TQ6" si="0">AH1</f>
        <v>1.1_IF_EqualAverage</v>
      </c>
      <c r="TR1" s="1" t="str">
        <f t="shared" ref="TR1:TR6" si="1">AQ1</f>
        <v>1.2_NL_EqualAverage</v>
      </c>
      <c r="TS1" s="1" t="str">
        <f t="shared" ref="TS1:TS6" si="2">AW1</f>
        <v>1.3_PoA</v>
      </c>
      <c r="TT1" s="1" t="str">
        <f t="shared" ref="TT1:TT6" si="3">BC1</f>
        <v>1.4.4_Av</v>
      </c>
      <c r="TU1" s="1" t="str">
        <f t="shared" ref="TU1:TV6" si="4">CC1</f>
        <v>1.5_Average</v>
      </c>
      <c r="TV1" s="1" t="str">
        <f t="shared" si="4"/>
        <v>1.5_Ave_Wt</v>
      </c>
      <c r="TW1" s="1" t="str">
        <f t="shared" ref="TW1:TX6" si="5">CO1</f>
        <v>2.1_Average</v>
      </c>
      <c r="TX1" s="1" t="str">
        <f t="shared" si="5"/>
        <v>2.1_Ave_Wt</v>
      </c>
      <c r="TY1" s="1" t="str">
        <f t="shared" ref="TY1:TZ6" si="6">DF1</f>
        <v>2.2_Average</v>
      </c>
      <c r="TZ1" s="1" t="str">
        <f t="shared" si="6"/>
        <v>2.2_Ave_Wt</v>
      </c>
      <c r="UA1" s="1" t="str">
        <f t="shared" ref="UA1:UB6" si="7">DW1</f>
        <v>2.3_Average</v>
      </c>
      <c r="UB1" s="1" t="str">
        <f t="shared" si="7"/>
        <v>2.3_Ave_Wt</v>
      </c>
      <c r="UC1" s="1" t="str">
        <f t="shared" ref="UC1:UD6" si="8">EH1</f>
        <v>2.4_Average</v>
      </c>
      <c r="UD1" s="1" t="str">
        <f t="shared" si="8"/>
        <v>2.4_Ave_Wt</v>
      </c>
      <c r="UE1" s="1" t="str">
        <f t="shared" ref="UE1:UF6" si="9">EU1</f>
        <v>3.1_Average</v>
      </c>
      <c r="UF1" s="1" t="str">
        <f t="shared" si="9"/>
        <v>3.1_Ave_Wt</v>
      </c>
      <c r="UG1" s="1" t="str">
        <f t="shared" ref="UG1:UH6" si="10">FQ1</f>
        <v>3.2_Average</v>
      </c>
      <c r="UH1" s="1" t="str">
        <f t="shared" si="10"/>
        <v>3.2_Ave_Wt</v>
      </c>
      <c r="UI1" s="1" t="str">
        <f t="shared" ref="UI1:UJ6" si="11">LZ1</f>
        <v>3.3_Average</v>
      </c>
      <c r="UJ1" s="1" t="str">
        <f t="shared" si="11"/>
        <v>3.3_Ave_Wt</v>
      </c>
      <c r="UK1" s="1" t="str">
        <f t="shared" ref="UK1:UL6" si="12">MX1</f>
        <v>4.1_Average</v>
      </c>
      <c r="UL1" s="11" t="str">
        <f t="shared" si="12"/>
        <v>4.1_Ave_Wt</v>
      </c>
      <c r="UM1" s="11" t="str">
        <f t="shared" ref="UM1:UM6" si="13">NE1</f>
        <v>4.2_Average</v>
      </c>
      <c r="UN1" s="1" t="str">
        <f t="shared" ref="UN1:UO6" si="14">RX1</f>
        <v>4.3_Average</v>
      </c>
      <c r="UO1" s="1" t="str">
        <f t="shared" si="14"/>
        <v>4.3_Ave_Wt</v>
      </c>
      <c r="UP1" s="1" t="str">
        <f t="shared" ref="UP1:UQ6" si="15">SG1</f>
        <v>5.1_Average</v>
      </c>
      <c r="UQ1" s="1" t="str">
        <f t="shared" si="15"/>
        <v>5.1_Ave_Wt</v>
      </c>
      <c r="UR1" s="1" t="str">
        <f t="shared" ref="UR1:US6" si="16">SO1</f>
        <v>5.2_Average</v>
      </c>
      <c r="US1" s="1" t="str">
        <f t="shared" si="16"/>
        <v>5.2_Ave_Wt</v>
      </c>
      <c r="UT1" s="1" t="str">
        <f t="shared" ref="UT1:UT6" si="17">SV1</f>
        <v>5.3_Average</v>
      </c>
      <c r="UU1" s="1" t="str">
        <f t="shared" ref="UU1:UV6" si="18">TK1</f>
        <v>5.4_Average</v>
      </c>
      <c r="UV1" s="1" t="str">
        <f t="shared" si="18"/>
        <v>5.4_Ave_Wt</v>
      </c>
      <c r="UX1" s="10" t="s">
        <v>89</v>
      </c>
      <c r="UY1" s="10" t="s">
        <v>992</v>
      </c>
      <c r="UZ1" s="10" t="s">
        <v>1129</v>
      </c>
      <c r="VA1" s="10" t="s">
        <v>90</v>
      </c>
      <c r="VB1" s="10" t="s">
        <v>993</v>
      </c>
      <c r="VC1" s="10" t="s">
        <v>1130</v>
      </c>
      <c r="VD1" s="10" t="s">
        <v>91</v>
      </c>
      <c r="VE1" s="10" t="s">
        <v>994</v>
      </c>
      <c r="VF1" s="10" t="s">
        <v>1131</v>
      </c>
      <c r="VG1" s="10" t="s">
        <v>92</v>
      </c>
      <c r="VH1" s="10" t="s">
        <v>995</v>
      </c>
      <c r="VI1" s="10" t="s">
        <v>1132</v>
      </c>
      <c r="VJ1" s="10" t="s">
        <v>93</v>
      </c>
      <c r="VK1" s="10" t="s">
        <v>997</v>
      </c>
      <c r="VL1" s="10" t="s">
        <v>1133</v>
      </c>
      <c r="VM1" s="10" t="s">
        <v>385</v>
      </c>
      <c r="VN1" s="10" t="s">
        <v>996</v>
      </c>
      <c r="VO1" s="1" t="s">
        <v>1134</v>
      </c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</row>
    <row r="2" spans="1:610" ht="60" x14ac:dyDescent="0.25">
      <c r="A2" s="1" t="s">
        <v>392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997</v>
      </c>
      <c r="S2" s="1">
        <v>997</v>
      </c>
      <c r="T2" s="1">
        <v>997</v>
      </c>
      <c r="U2" s="1">
        <v>997</v>
      </c>
      <c r="V2" s="1">
        <v>997</v>
      </c>
      <c r="W2" s="1">
        <v>1</v>
      </c>
      <c r="X2" s="1">
        <v>1</v>
      </c>
      <c r="Y2" s="1">
        <v>997</v>
      </c>
      <c r="Z2" s="1">
        <v>997</v>
      </c>
      <c r="AA2" s="1">
        <v>997</v>
      </c>
      <c r="AB2" s="1">
        <v>997</v>
      </c>
      <c r="AC2" s="1">
        <v>997</v>
      </c>
      <c r="AD2" s="1">
        <v>997</v>
      </c>
      <c r="AE2" s="1">
        <v>997</v>
      </c>
      <c r="AF2" s="1">
        <v>997</v>
      </c>
      <c r="AG2" s="1">
        <v>997</v>
      </c>
      <c r="AH2" s="6">
        <f>AVERAGE(B2:Q2,W2:X2)</f>
        <v>1</v>
      </c>
      <c r="AI2" s="6">
        <v>1</v>
      </c>
      <c r="AJ2" s="1">
        <v>0.5</v>
      </c>
      <c r="AK2" s="1">
        <v>0.5</v>
      </c>
      <c r="AL2" s="1">
        <v>0</v>
      </c>
      <c r="AM2" s="1">
        <v>0</v>
      </c>
      <c r="AN2" s="1">
        <v>1</v>
      </c>
      <c r="AO2" s="1">
        <v>0</v>
      </c>
      <c r="AP2" s="1">
        <v>1</v>
      </c>
      <c r="AQ2" s="2">
        <f>AVERAGE(AJ2:AP2)</f>
        <v>0.42857142857142855</v>
      </c>
      <c r="AR2" s="2">
        <v>1</v>
      </c>
      <c r="AS2" s="1">
        <v>0</v>
      </c>
      <c r="AT2" s="1">
        <v>997</v>
      </c>
      <c r="AU2" s="1">
        <v>997</v>
      </c>
      <c r="AV2" s="11"/>
      <c r="AW2" s="4">
        <f>AVERAGE(AS2)</f>
        <v>0</v>
      </c>
      <c r="AX2" s="4">
        <v>1</v>
      </c>
      <c r="AY2" s="1">
        <v>1</v>
      </c>
      <c r="AZ2" s="1">
        <v>1</v>
      </c>
      <c r="BA2" s="13">
        <v>997</v>
      </c>
      <c r="BB2" s="13">
        <v>997</v>
      </c>
      <c r="BC2" s="2">
        <f>AVERAGE(AY2:AZ2)</f>
        <v>1</v>
      </c>
      <c r="BD2" s="2">
        <v>1</v>
      </c>
      <c r="BE2" s="3">
        <v>0.17</v>
      </c>
      <c r="BF2" s="11">
        <f>1-((1-BE2)*(1-((1-(13383.9/9995.6))/5)))</f>
        <v>0.11372946096282366</v>
      </c>
      <c r="BG2" s="3">
        <v>4.2999999999999997E-2</v>
      </c>
      <c r="BH2" s="11">
        <f>1-((1-BG2)*(1-((1-(13383.9/9995.6))/5)))</f>
        <v>-2.1880609468166057E-2</v>
      </c>
      <c r="BI2" s="3">
        <v>999</v>
      </c>
      <c r="BJ2" s="11"/>
      <c r="BK2" s="3">
        <v>999</v>
      </c>
      <c r="BL2" s="11"/>
      <c r="BM2" s="3">
        <v>999</v>
      </c>
      <c r="BN2" s="11"/>
      <c r="BO2" s="3">
        <v>999</v>
      </c>
      <c r="BP2" s="11"/>
      <c r="BQ2" s="3">
        <v>999</v>
      </c>
      <c r="BR2" s="11"/>
      <c r="BS2" s="3">
        <v>0.14180000000000001</v>
      </c>
      <c r="BT2" s="11">
        <f>1-((1-BS2)*(1-((1-(13383.9/9995.6))/5)))</f>
        <v>8.3617618552162876E-2</v>
      </c>
      <c r="BU2" s="3">
        <v>999</v>
      </c>
      <c r="BV2" s="11"/>
      <c r="BW2" s="3">
        <v>999</v>
      </c>
      <c r="BX2" s="11"/>
      <c r="BY2" s="3">
        <v>999</v>
      </c>
      <c r="BZ2" s="11"/>
      <c r="CA2" s="3">
        <v>1</v>
      </c>
      <c r="CB2" s="11">
        <f>1-((1-CA2)*(1-((1-(13383.9/9995.6))/5)))</f>
        <v>1</v>
      </c>
      <c r="CC2" s="4">
        <f>AVERAGE(BE2,BG2,BS2,CA2)</f>
        <v>0.3387</v>
      </c>
      <c r="CD2" s="4">
        <f>AVERAGE(CB2,BT2,BH2,BF2,)</f>
        <v>0.2350932940093641</v>
      </c>
      <c r="CE2" s="4">
        <f>(COUNT(BE2,BG2,BS2,CA2))/12</f>
        <v>0.33333333333333331</v>
      </c>
      <c r="CF2" s="5">
        <v>997</v>
      </c>
      <c r="CG2" s="5">
        <v>997</v>
      </c>
      <c r="CH2" s="5">
        <v>997</v>
      </c>
      <c r="CI2" s="11"/>
      <c r="CJ2" s="5">
        <v>997</v>
      </c>
      <c r="CK2" s="11"/>
      <c r="CL2" s="5">
        <v>0.33300000000000002</v>
      </c>
      <c r="CM2" s="5">
        <f>0.0322*10</f>
        <v>0.32200000000000001</v>
      </c>
      <c r="CN2" s="11">
        <f>1-((1-CM2)*(1-((1-(13383.9/9995.6))/5)))</f>
        <v>0.27603442714794513</v>
      </c>
      <c r="CO2" s="6">
        <f>AVERAGE(CL2:CM2)</f>
        <v>0.32750000000000001</v>
      </c>
      <c r="CP2" s="6">
        <f>AVERAGE(CL2,CN2)</f>
        <v>0.30451721357397254</v>
      </c>
      <c r="CQ2" s="6">
        <v>1</v>
      </c>
      <c r="CR2" s="5">
        <v>997</v>
      </c>
      <c r="CS2" s="5">
        <v>997</v>
      </c>
      <c r="CT2" s="5">
        <v>997</v>
      </c>
      <c r="CU2" s="11"/>
      <c r="CV2" s="5">
        <v>997</v>
      </c>
      <c r="CW2" s="11"/>
      <c r="CX2" s="5">
        <v>997</v>
      </c>
      <c r="CY2" s="5">
        <v>997</v>
      </c>
      <c r="CZ2" s="1">
        <v>0.98</v>
      </c>
      <c r="DA2" s="3">
        <v>999</v>
      </c>
      <c r="DB2" s="11"/>
      <c r="DC2" s="3">
        <v>0.94</v>
      </c>
      <c r="DD2" s="3">
        <v>999</v>
      </c>
      <c r="DE2" s="11"/>
      <c r="DF2" s="4">
        <f>AVERAGE(CZ2,DC2)</f>
        <v>0.96</v>
      </c>
      <c r="DG2" s="4">
        <f>AVERAGE(CZ2,DC2)</f>
        <v>0.96</v>
      </c>
      <c r="DH2" s="4">
        <f>(COUNT(CZ2,DC2))/4</f>
        <v>0.5</v>
      </c>
      <c r="DI2" s="3">
        <v>0.95</v>
      </c>
      <c r="DJ2" s="3">
        <v>0.95</v>
      </c>
      <c r="DK2" s="11">
        <f>1-((1-DJ2)*(1-((1-(13383.9/9995.6))/5)))</f>
        <v>0.94661020849173627</v>
      </c>
      <c r="DL2" s="13">
        <v>997</v>
      </c>
      <c r="DM2" s="13">
        <v>997</v>
      </c>
      <c r="DN2" s="13">
        <v>997</v>
      </c>
      <c r="DO2" s="11"/>
      <c r="DP2" s="13">
        <v>997</v>
      </c>
      <c r="DQ2" s="11"/>
      <c r="DR2" s="1">
        <v>0.51300000000000001</v>
      </c>
      <c r="DS2" s="3">
        <f>10*0.0452</f>
        <v>0.45199999999999996</v>
      </c>
      <c r="DT2" s="11">
        <f>1-((1-DS2)*(1-((1-(13383.9/9995.6))/5)))</f>
        <v>0.41484788506943049</v>
      </c>
      <c r="DU2" s="11">
        <f>1/1.34</f>
        <v>0.74626865671641784</v>
      </c>
      <c r="DV2" s="11">
        <f>1-((1-DU2)*(1-((1-(13383.9/9995.6))/5)))</f>
        <v>0.72906672965955766</v>
      </c>
      <c r="DW2" s="4">
        <f>AVERAGE(DI2,DJ2,DR2,DS2,DU2)</f>
        <v>0.72225373134328352</v>
      </c>
      <c r="DX2" s="4">
        <f>AVERAGE(DI2,DK2,DR2,DT2,DV2)</f>
        <v>0.7107049646441449</v>
      </c>
      <c r="DY2" s="4">
        <f>(COUNT(DI2,DJ2,DR2,DS2,DU2))/5</f>
        <v>1</v>
      </c>
      <c r="DZ2" s="3">
        <v>997</v>
      </c>
      <c r="EA2" s="3">
        <v>997</v>
      </c>
      <c r="EB2" s="3">
        <v>997</v>
      </c>
      <c r="EC2" s="11"/>
      <c r="ED2" s="3">
        <v>997</v>
      </c>
      <c r="EE2" s="3">
        <f>1/5.3</f>
        <v>0.18867924528301888</v>
      </c>
      <c r="EF2" s="3">
        <f>1/6</f>
        <v>0.16666666666666666</v>
      </c>
      <c r="EG2" s="11">
        <f>1-((1-EF2)*(1-((1-(13383.9/9995.6))/5)))</f>
        <v>0.11017014152893934</v>
      </c>
      <c r="EH2" s="4">
        <f>AVERAGE(EE2:EF2)</f>
        <v>0.17767295597484278</v>
      </c>
      <c r="EI2" s="4">
        <f>AVERAGE(EE2,EG2)</f>
        <v>0.14942469340597911</v>
      </c>
      <c r="EJ2" s="4">
        <v>1</v>
      </c>
      <c r="EK2" s="3">
        <v>1</v>
      </c>
      <c r="EL2" s="3">
        <v>997</v>
      </c>
      <c r="EM2" s="3">
        <v>0.79100000000000004</v>
      </c>
      <c r="EN2" s="3">
        <v>0.79100000000000004</v>
      </c>
      <c r="EO2" s="11">
        <f>1-((1-EN2)*(1-((1-(13383.9/9995.6))/5)))</f>
        <v>0.77683067149545804</v>
      </c>
      <c r="EP2" s="3">
        <v>1</v>
      </c>
      <c r="EQ2" s="7">
        <v>2637.26</v>
      </c>
      <c r="ER2" s="7" t="s">
        <v>393</v>
      </c>
      <c r="ES2" s="3">
        <v>1</v>
      </c>
      <c r="ET2" s="11">
        <f>1-((1-ES2)*(1-((1-(13383.9/9995.6))/5)))</f>
        <v>1</v>
      </c>
      <c r="EU2" s="4">
        <f>AVERAGE(EK2,ES2,EM2,EN2,EP2,ES2)</f>
        <v>0.93033333333333335</v>
      </c>
      <c r="EV2" s="4">
        <f>AVERAGE(EK2,EM2,EO2,EP2,ET2)</f>
        <v>0.91356613429909161</v>
      </c>
      <c r="EW2" s="4">
        <f>COUNT(EK2,EM2,EP2,ES2,EN2)/5</f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0.33</v>
      </c>
      <c r="FP2" s="1">
        <v>1</v>
      </c>
      <c r="FQ2" s="2">
        <f>AVERAGE(EX2:FP2)</f>
        <v>0.96473684210526311</v>
      </c>
      <c r="FR2" s="2">
        <f>FQ2</f>
        <v>0.96473684210526311</v>
      </c>
      <c r="FS2" s="2">
        <v>1</v>
      </c>
      <c r="FT2" s="1">
        <v>0.997</v>
      </c>
      <c r="FU2" s="1">
        <v>1.012</v>
      </c>
      <c r="FV2" s="1">
        <v>0.98099999999999998</v>
      </c>
      <c r="FW2" s="1">
        <v>999</v>
      </c>
      <c r="FX2" s="1">
        <v>999</v>
      </c>
      <c r="FY2" s="1">
        <v>999</v>
      </c>
      <c r="FZ2" s="1">
        <v>999</v>
      </c>
      <c r="GA2" s="1">
        <v>999</v>
      </c>
      <c r="GB2" s="1">
        <v>999</v>
      </c>
      <c r="GC2" s="1">
        <v>999</v>
      </c>
      <c r="GD2" s="1">
        <v>999</v>
      </c>
      <c r="GE2" s="1">
        <v>0.99</v>
      </c>
      <c r="GF2" s="11">
        <f>1-((1-GE2)*(1-((1-(13383.9/9995.6))/5)))</f>
        <v>0.98932204169834725</v>
      </c>
      <c r="GG2" s="1">
        <v>0.98599999999999999</v>
      </c>
      <c r="GH2" s="11">
        <f>1-((1-GG2)*(1-((1-(13383.9/9995.6))/5)))</f>
        <v>0.98505085837768613</v>
      </c>
      <c r="GI2" s="1">
        <v>0.995</v>
      </c>
      <c r="GJ2" s="11">
        <f>1-((1-GI2)*(1-((1-(13383.9/9995.6))/5)))</f>
        <v>0.99466102084917363</v>
      </c>
      <c r="GK2" s="1">
        <v>999</v>
      </c>
      <c r="GL2" s="1">
        <v>999</v>
      </c>
      <c r="GM2" s="1"/>
      <c r="GN2" s="1">
        <v>999</v>
      </c>
      <c r="GO2" s="1">
        <v>999</v>
      </c>
      <c r="GP2" s="1">
        <v>999</v>
      </c>
      <c r="GQ2" s="1">
        <v>999</v>
      </c>
      <c r="GR2" s="1">
        <v>999</v>
      </c>
      <c r="GS2" s="1">
        <v>999</v>
      </c>
      <c r="GT2" s="1">
        <v>999</v>
      </c>
      <c r="GU2" s="11"/>
      <c r="GV2" s="1">
        <v>999</v>
      </c>
      <c r="GW2" s="11"/>
      <c r="GX2" s="1">
        <v>999</v>
      </c>
      <c r="GY2" s="11"/>
      <c r="GZ2" s="1">
        <v>999</v>
      </c>
      <c r="HA2" s="11"/>
      <c r="HB2" s="1">
        <v>999</v>
      </c>
      <c r="HC2" s="11"/>
      <c r="HD2" s="1">
        <v>999</v>
      </c>
      <c r="HE2" s="11"/>
      <c r="HF2" s="1">
        <v>999</v>
      </c>
      <c r="HG2" s="11"/>
      <c r="HH2" s="1">
        <v>999</v>
      </c>
      <c r="HI2" s="11"/>
      <c r="HJ2" s="1">
        <v>999</v>
      </c>
      <c r="HK2" s="11"/>
      <c r="HL2" s="1">
        <v>999</v>
      </c>
      <c r="HM2" s="11"/>
      <c r="HN2" s="1">
        <v>999</v>
      </c>
      <c r="HO2" s="1">
        <v>0.78700000000000003</v>
      </c>
      <c r="HP2" s="11">
        <f>1-((1-HO2)*(1-((1-(13383.9/9995.6))/5)))</f>
        <v>0.77255948817479692</v>
      </c>
      <c r="HQ2" s="1">
        <v>0.746</v>
      </c>
      <c r="HR2" s="11">
        <f>1-((1-HQ2)*(1-((1-(13383.9/9995.6))/5)))</f>
        <v>0.72877985913802068</v>
      </c>
      <c r="HS2" s="1">
        <v>0.82899999999999996</v>
      </c>
      <c r="HT2" s="11">
        <f>1-((1-HS2)*(1-((1-(13383.9/9995.6))/5)))</f>
        <v>0.81740691304173829</v>
      </c>
      <c r="HU2" s="1">
        <v>999</v>
      </c>
      <c r="HV2" s="11"/>
      <c r="HW2" s="1">
        <v>999</v>
      </c>
      <c r="HX2" s="11"/>
      <c r="HY2" s="1">
        <v>999</v>
      </c>
      <c r="HZ2" s="11"/>
      <c r="IA2" s="1">
        <v>999</v>
      </c>
      <c r="IB2" s="11"/>
      <c r="IC2" s="1">
        <v>999</v>
      </c>
      <c r="ID2" s="11"/>
      <c r="IE2" s="1">
        <v>999</v>
      </c>
      <c r="IF2" s="11"/>
      <c r="IG2" s="1">
        <v>999</v>
      </c>
      <c r="IH2" s="11"/>
      <c r="II2" s="1">
        <v>999</v>
      </c>
      <c r="IJ2" s="1">
        <v>0.92</v>
      </c>
      <c r="IK2" s="1">
        <v>0.91900000000000004</v>
      </c>
      <c r="IL2" s="1">
        <v>0.92100000000000004</v>
      </c>
      <c r="IM2" s="1">
        <v>999</v>
      </c>
      <c r="IN2" s="1">
        <v>999</v>
      </c>
      <c r="IO2" s="1">
        <v>999</v>
      </c>
      <c r="IP2" s="1">
        <v>999</v>
      </c>
      <c r="IQ2" s="1">
        <v>999</v>
      </c>
      <c r="IR2" s="1">
        <v>999</v>
      </c>
      <c r="IS2" s="1">
        <v>999</v>
      </c>
      <c r="IT2" s="1">
        <v>999</v>
      </c>
      <c r="IU2" s="1">
        <v>0.873</v>
      </c>
      <c r="IV2" s="11">
        <f>1-((1-IU2)*(1-((1-(13383.9/9995.6))/5)))</f>
        <v>0.86438992956901028</v>
      </c>
      <c r="IW2" s="1">
        <v>0.86</v>
      </c>
      <c r="IX2" s="11">
        <f>1-((1-IW2)*(1-((1-(13383.9/9995.6))/5)))</f>
        <v>0.85050858377686178</v>
      </c>
      <c r="IY2" s="1">
        <v>0.88700000000000001</v>
      </c>
      <c r="IZ2" s="11">
        <f>1-((1-IY2)*(1-((1-(13383.9/9995.6))/5)))</f>
        <v>0.87933907119132415</v>
      </c>
      <c r="JA2" s="1">
        <v>999</v>
      </c>
      <c r="JB2" s="1">
        <v>999</v>
      </c>
      <c r="JC2" s="1">
        <v>999</v>
      </c>
      <c r="JD2" s="1">
        <v>999</v>
      </c>
      <c r="JE2" s="1">
        <v>999</v>
      </c>
      <c r="JF2" s="1">
        <v>999</v>
      </c>
      <c r="JG2" s="1">
        <v>999</v>
      </c>
      <c r="JH2" s="1">
        <v>999</v>
      </c>
      <c r="JI2" s="1">
        <v>0.97</v>
      </c>
      <c r="JJ2" s="1">
        <v>0.97</v>
      </c>
      <c r="JK2" s="1">
        <v>0.96</v>
      </c>
      <c r="JL2" s="1">
        <v>999</v>
      </c>
      <c r="JM2" s="1">
        <v>999</v>
      </c>
      <c r="JN2" s="1">
        <v>999</v>
      </c>
      <c r="JO2" s="1">
        <v>999</v>
      </c>
      <c r="JP2" s="1">
        <v>999</v>
      </c>
      <c r="JQ2" s="1">
        <v>999</v>
      </c>
      <c r="JR2" s="1">
        <v>999</v>
      </c>
      <c r="JS2" s="1">
        <v>999</v>
      </c>
      <c r="JT2" s="1">
        <v>0.93</v>
      </c>
      <c r="JU2" s="11">
        <f>1-((1-JT2)*(1-((1-(13383.9/9995.6))/5)))</f>
        <v>0.925254291888431</v>
      </c>
      <c r="JV2" s="1">
        <v>0.92</v>
      </c>
      <c r="JW2" s="11">
        <f>1-((1-JV2)*(1-((1-(13383.9/9995.6))/5)))</f>
        <v>0.91457633358677826</v>
      </c>
      <c r="JX2" s="1">
        <v>0.94</v>
      </c>
      <c r="JY2" s="11">
        <f>1-((1-JX2)*(1-((1-(13383.9/9995.6))/5)))</f>
        <v>0.93593225019008353</v>
      </c>
      <c r="JZ2" s="1">
        <v>999</v>
      </c>
      <c r="KA2" s="11"/>
      <c r="KB2" s="1">
        <v>999</v>
      </c>
      <c r="KC2" s="11"/>
      <c r="KD2" s="1">
        <v>999</v>
      </c>
      <c r="KE2" s="11"/>
      <c r="KF2" s="1">
        <v>999</v>
      </c>
      <c r="KG2" s="11"/>
      <c r="KH2" s="1">
        <v>999</v>
      </c>
      <c r="KI2" s="11"/>
      <c r="KJ2" s="1">
        <v>999</v>
      </c>
      <c r="KK2" s="11"/>
      <c r="KL2" s="1">
        <v>999</v>
      </c>
      <c r="KM2" s="11"/>
      <c r="KN2" s="1">
        <v>999</v>
      </c>
      <c r="KO2" s="11"/>
      <c r="KP2" s="1">
        <v>999</v>
      </c>
      <c r="KQ2" s="11"/>
      <c r="KR2" s="1">
        <v>999</v>
      </c>
      <c r="KS2" s="11"/>
      <c r="KT2" s="1">
        <v>999</v>
      </c>
      <c r="KU2" s="11"/>
      <c r="KV2" s="1">
        <v>999</v>
      </c>
      <c r="KW2" s="11"/>
      <c r="KX2" s="1">
        <v>999</v>
      </c>
      <c r="KY2" s="11"/>
      <c r="KZ2" s="1">
        <v>999</v>
      </c>
      <c r="LA2" s="1">
        <v>999</v>
      </c>
      <c r="LB2" s="1">
        <v>999</v>
      </c>
      <c r="LC2" s="1">
        <v>999</v>
      </c>
      <c r="LD2" s="1">
        <v>999</v>
      </c>
      <c r="LE2" s="1">
        <v>999</v>
      </c>
      <c r="LF2" s="11"/>
      <c r="LG2" s="1">
        <v>0.25</v>
      </c>
      <c r="LH2" s="11">
        <f>1-((1-LG2)*(1-((1-(13383.9/9995.6))/5)))</f>
        <v>0.1991531273760454</v>
      </c>
      <c r="LI2" s="1">
        <v>0.21</v>
      </c>
      <c r="LJ2" s="11">
        <f>1-((1-LI2)*(1-((1-(13383.9/9995.6))/5)))</f>
        <v>0.15644129416943442</v>
      </c>
      <c r="LK2" s="1">
        <v>0.28000000000000003</v>
      </c>
      <c r="LL2" s="11">
        <f>1-((1-LK2)*(1-((1-(13383.9/9995.6))/5)))</f>
        <v>0.23118700228100364</v>
      </c>
      <c r="LM2" s="1">
        <v>999</v>
      </c>
      <c r="LN2" s="11"/>
      <c r="LO2" s="1">
        <v>999</v>
      </c>
      <c r="LP2" s="11"/>
      <c r="LQ2" s="1">
        <v>999</v>
      </c>
      <c r="LR2" s="11"/>
      <c r="LS2" s="1">
        <v>999</v>
      </c>
      <c r="LT2" s="1">
        <v>999</v>
      </c>
      <c r="LU2" s="11"/>
      <c r="LV2" s="1">
        <v>999</v>
      </c>
      <c r="LW2" s="1">
        <v>999</v>
      </c>
      <c r="LX2" s="11"/>
      <c r="LY2" s="1">
        <v>999</v>
      </c>
      <c r="LZ2" s="2">
        <f>AVERAGE(JT2,JV2,JX2,JI2:JK2,IU2,IW2,IY2,IJ2:IL2,HO2,HQ2,HS2,GE2,GG2,GI2,FT2:FV2,LG2,LI2,LK2)</f>
        <v>0.83887500000000026</v>
      </c>
      <c r="MA2" s="2">
        <f>AVERAGE(JU2,JW2,JY2,JI2:JK2,IV2,IX2,IZ2,IJ2:IL2,HP2,HR2,HT2,GF2,GH2,GJ2,FT2:FV2,LH2,LJ2,LL2)</f>
        <v>0.82894008605453073</v>
      </c>
      <c r="MB2" s="4">
        <f>(COUNT(LK2,LI2,LG2,JX2,JV2,JT2,JI2:JK2,IY2,IW2,IU2,IJ2:IL2,HO2,HQ2,HS2,GE2,GG2,GI2,FT2:FV2))/110</f>
        <v>0.21818181818181817</v>
      </c>
      <c r="MC2" s="1">
        <v>1</v>
      </c>
      <c r="MD2" s="1">
        <v>1</v>
      </c>
      <c r="ME2" s="1">
        <v>1</v>
      </c>
      <c r="MF2" s="1">
        <v>1</v>
      </c>
      <c r="MG2" s="1">
        <v>1</v>
      </c>
      <c r="MH2" s="1">
        <v>1</v>
      </c>
      <c r="MI2" s="1">
        <v>1</v>
      </c>
      <c r="MJ2" s="1">
        <v>1</v>
      </c>
      <c r="MK2" s="1">
        <v>1</v>
      </c>
      <c r="ML2" s="1">
        <v>1</v>
      </c>
      <c r="MM2" s="1">
        <v>0</v>
      </c>
      <c r="MN2" s="1">
        <v>0</v>
      </c>
      <c r="MO2" s="1">
        <v>0</v>
      </c>
      <c r="MP2" s="1">
        <v>0</v>
      </c>
      <c r="MQ2" s="1">
        <v>0</v>
      </c>
      <c r="MR2" s="1">
        <v>0</v>
      </c>
      <c r="MS2" s="1">
        <v>1</v>
      </c>
      <c r="MT2" s="1">
        <v>1</v>
      </c>
      <c r="MU2" s="1">
        <v>1</v>
      </c>
      <c r="MV2" s="3">
        <v>0</v>
      </c>
      <c r="MW2" s="11">
        <f>1-((1-MV2)*(1-((1-(13383.9/9995.6))/5)))</f>
        <v>-6.7795830165272797E-2</v>
      </c>
      <c r="MX2" s="8">
        <f>AVERAGE(MC2:MV2)</f>
        <v>0.65</v>
      </c>
      <c r="MY2" s="8">
        <f>AVERAGE(MC2:MU2,MW2)</f>
        <v>0.64661020849173634</v>
      </c>
      <c r="MZ2" s="8">
        <f>(COUNT(MC2:MV2))/20</f>
        <v>1</v>
      </c>
      <c r="NA2" s="1">
        <v>1</v>
      </c>
      <c r="NB2" s="1"/>
      <c r="NC2" s="1">
        <v>1</v>
      </c>
      <c r="ND2" s="1">
        <v>0.33</v>
      </c>
      <c r="NE2" s="9">
        <f>AVERAGE(NA2:ND2)</f>
        <v>0.77666666666666673</v>
      </c>
      <c r="NF2" s="9">
        <v>1</v>
      </c>
      <c r="NG2" s="1">
        <v>997</v>
      </c>
      <c r="NH2" s="1">
        <v>997</v>
      </c>
      <c r="NI2" s="1">
        <v>997</v>
      </c>
      <c r="NJ2" s="1">
        <v>997</v>
      </c>
      <c r="NK2" s="1">
        <v>997</v>
      </c>
      <c r="NL2" s="1">
        <v>997</v>
      </c>
      <c r="NM2" s="1">
        <v>997</v>
      </c>
      <c r="NN2" s="1">
        <v>997</v>
      </c>
      <c r="NO2" s="1">
        <v>999</v>
      </c>
      <c r="NP2" s="1">
        <v>999</v>
      </c>
      <c r="NQ2" s="1">
        <v>999</v>
      </c>
      <c r="NR2" s="1">
        <v>999</v>
      </c>
      <c r="NS2" s="1">
        <v>999</v>
      </c>
      <c r="NT2" s="1">
        <v>999</v>
      </c>
      <c r="NU2" s="1">
        <v>999</v>
      </c>
      <c r="NV2" s="1">
        <v>999</v>
      </c>
      <c r="NW2" s="1">
        <v>999</v>
      </c>
      <c r="NX2" s="1">
        <v>999</v>
      </c>
      <c r="NY2" s="1">
        <v>999</v>
      </c>
      <c r="NZ2" s="1">
        <v>999</v>
      </c>
      <c r="OA2" s="1">
        <v>999</v>
      </c>
      <c r="OB2" s="1">
        <v>999</v>
      </c>
      <c r="OC2" s="1">
        <v>999</v>
      </c>
      <c r="OD2" s="1">
        <v>999</v>
      </c>
      <c r="OE2" s="1">
        <v>999</v>
      </c>
      <c r="OF2" s="1">
        <v>999</v>
      </c>
      <c r="OG2" s="1">
        <v>999</v>
      </c>
      <c r="OH2" s="1">
        <v>999</v>
      </c>
      <c r="OI2" s="1">
        <v>999</v>
      </c>
      <c r="OJ2" s="1">
        <v>999</v>
      </c>
      <c r="OK2" s="1">
        <v>999</v>
      </c>
      <c r="OL2" s="1">
        <v>999</v>
      </c>
      <c r="OM2" s="1">
        <v>999</v>
      </c>
      <c r="ON2" s="1">
        <v>999</v>
      </c>
      <c r="OO2" s="1">
        <v>999</v>
      </c>
      <c r="OP2" s="1">
        <v>999</v>
      </c>
      <c r="OQ2" s="1">
        <v>999</v>
      </c>
      <c r="OR2" s="1">
        <v>999</v>
      </c>
      <c r="OS2" s="1">
        <v>999</v>
      </c>
      <c r="OT2" s="1">
        <v>999</v>
      </c>
      <c r="OU2" s="1">
        <v>999</v>
      </c>
      <c r="OV2" s="1">
        <v>999</v>
      </c>
      <c r="OW2" s="11"/>
      <c r="OX2" s="1">
        <v>999</v>
      </c>
      <c r="OY2" s="11"/>
      <c r="OZ2" s="1">
        <v>999</v>
      </c>
      <c r="PA2" s="11"/>
      <c r="PB2" s="1">
        <v>999</v>
      </c>
      <c r="PC2" s="1">
        <v>999</v>
      </c>
      <c r="PD2" s="1">
        <v>999</v>
      </c>
      <c r="PE2" s="1">
        <v>999</v>
      </c>
      <c r="PF2" s="1">
        <v>999</v>
      </c>
      <c r="PG2" s="1">
        <v>999</v>
      </c>
      <c r="PH2" s="1">
        <v>999</v>
      </c>
      <c r="PI2" s="1">
        <v>999</v>
      </c>
      <c r="PJ2" s="1">
        <v>999</v>
      </c>
      <c r="PK2" s="11"/>
      <c r="PL2" s="1">
        <v>999</v>
      </c>
      <c r="PM2" s="11"/>
      <c r="PN2" s="1">
        <v>999</v>
      </c>
      <c r="PO2" s="11"/>
      <c r="PP2" s="1">
        <v>999</v>
      </c>
      <c r="PQ2" s="11"/>
      <c r="PR2" s="1">
        <v>999</v>
      </c>
      <c r="PS2" s="11"/>
      <c r="PT2" s="1">
        <v>999</v>
      </c>
      <c r="PU2" s="11"/>
      <c r="PV2" s="1">
        <v>999</v>
      </c>
      <c r="PW2" s="11"/>
      <c r="PX2" s="1">
        <v>999</v>
      </c>
      <c r="PY2" s="11"/>
      <c r="PZ2" s="1">
        <v>999</v>
      </c>
      <c r="QA2" s="11"/>
      <c r="QB2" s="1">
        <v>999</v>
      </c>
      <c r="QC2" s="11"/>
      <c r="QD2" s="1">
        <v>999</v>
      </c>
      <c r="QE2" s="11"/>
      <c r="QF2" s="1">
        <v>999</v>
      </c>
      <c r="QG2" s="11"/>
      <c r="QH2" s="1">
        <v>999</v>
      </c>
      <c r="QI2" s="11"/>
      <c r="QJ2" s="1">
        <v>999</v>
      </c>
      <c r="QK2" s="11"/>
      <c r="QL2" s="1">
        <v>999</v>
      </c>
      <c r="QM2" s="11"/>
      <c r="QN2" s="1">
        <v>999</v>
      </c>
      <c r="QO2" s="11"/>
      <c r="QP2" s="1">
        <v>999</v>
      </c>
      <c r="QQ2" s="11"/>
      <c r="QR2" s="1">
        <v>999</v>
      </c>
      <c r="QS2" s="11"/>
      <c r="QT2" s="1">
        <v>999</v>
      </c>
      <c r="QU2" s="11"/>
      <c r="QV2" s="1">
        <v>999</v>
      </c>
      <c r="QW2" s="11"/>
      <c r="QX2" s="1">
        <v>999</v>
      </c>
      <c r="QY2" s="11"/>
      <c r="QZ2" s="1">
        <v>999</v>
      </c>
      <c r="RA2" s="11"/>
      <c r="RB2" s="1">
        <v>0.98899999999999999</v>
      </c>
      <c r="RC2" s="1">
        <v>0.98899999999999999</v>
      </c>
      <c r="RD2" s="1">
        <v>0.98899999999999999</v>
      </c>
      <c r="RE2" s="1">
        <v>999</v>
      </c>
      <c r="RF2" s="1">
        <v>999</v>
      </c>
      <c r="RG2" s="1">
        <v>999</v>
      </c>
      <c r="RH2" s="1">
        <v>999</v>
      </c>
      <c r="RI2" s="1">
        <v>999</v>
      </c>
      <c r="RJ2" s="1">
        <v>999</v>
      </c>
      <c r="RK2" s="1">
        <v>999</v>
      </c>
      <c r="RL2" s="1">
        <v>999</v>
      </c>
      <c r="RM2" s="1">
        <v>0.96699999999999997</v>
      </c>
      <c r="RN2" s="1">
        <v>0.96899999999999997</v>
      </c>
      <c r="RO2" s="1">
        <v>0.96530000000000005</v>
      </c>
      <c r="RP2" s="1">
        <v>0.97499999999999998</v>
      </c>
      <c r="RQ2" s="1">
        <v>0.91269999999999996</v>
      </c>
      <c r="RR2" s="1">
        <v>0.93230000000000002</v>
      </c>
      <c r="RS2" s="1">
        <v>0.96089999999999998</v>
      </c>
      <c r="RT2" s="1">
        <v>0.96550000000000002</v>
      </c>
      <c r="RU2" s="1">
        <v>0.98229999999999995</v>
      </c>
      <c r="RV2" s="1">
        <v>0.99580000000000002</v>
      </c>
      <c r="RW2" s="1">
        <v>0.80359999999999998</v>
      </c>
      <c r="RX2" s="2">
        <f>AVERAGE(RM2:RW2,RB2:RD2,)</f>
        <v>0.89309333333333329</v>
      </c>
      <c r="RY2" s="2">
        <f>AVERAGE(RM2:RW2,RB2:RD2,)</f>
        <v>0.89309333333333329</v>
      </c>
      <c r="RZ2" s="4">
        <f>(COUNT(RM2:RW2,RB2:RD2))/88</f>
        <v>0.15909090909090909</v>
      </c>
      <c r="SA2" s="1">
        <v>1</v>
      </c>
      <c r="SB2" s="3">
        <v>0.33</v>
      </c>
      <c r="SC2" s="3">
        <v>0.09</v>
      </c>
      <c r="SD2" s="11">
        <f>1-((1-SC2)*(1-((1-(13383.9/9995.6))/5)))</f>
        <v>2.8305794549601693E-2</v>
      </c>
      <c r="SE2" s="3">
        <v>999</v>
      </c>
      <c r="SF2" s="3">
        <v>999</v>
      </c>
      <c r="SG2" s="8">
        <f>AVERAGE(SA2:SC2)</f>
        <v>0.47333333333333338</v>
      </c>
      <c r="SH2" s="8">
        <f>AVERAGE(SA2:SB2,SD2)</f>
        <v>0.45276859818320059</v>
      </c>
      <c r="SI2" s="8">
        <f>(COUNT(SA2:SC2))/5</f>
        <v>0.6</v>
      </c>
      <c r="SJ2" s="1">
        <v>0</v>
      </c>
      <c r="SK2" s="1">
        <v>1</v>
      </c>
      <c r="SL2" s="1">
        <v>999</v>
      </c>
      <c r="SM2" s="1">
        <v>0.996</v>
      </c>
      <c r="SN2" s="11">
        <f>1-((1-SM2)*(1-((1-(13383.9/9995.6))/5)))</f>
        <v>0.99572881667933888</v>
      </c>
      <c r="SO2" s="9">
        <f>AVERAGE(SJ2:SK2,SM2)</f>
        <v>0.66533333333333333</v>
      </c>
      <c r="SP2" s="9">
        <f>AVERAGE(SJ2:SK2,SN2)</f>
        <v>0.66524293889311303</v>
      </c>
      <c r="SQ2" s="9">
        <f>(COUNT(SJ2,SK2,SM2))/4</f>
        <v>0.75</v>
      </c>
      <c r="SR2" s="1">
        <v>999</v>
      </c>
      <c r="SS2" s="1">
        <v>999</v>
      </c>
      <c r="ST2" s="1">
        <v>0.66</v>
      </c>
      <c r="SU2" s="1">
        <v>0</v>
      </c>
      <c r="SV2" s="9">
        <f>AVERAGE(ST2,SU2)</f>
        <v>0.33</v>
      </c>
      <c r="SW2" s="9">
        <f>(COUNT(ST2,SU2)/3)</f>
        <v>0.66666666666666663</v>
      </c>
      <c r="SX2" s="3">
        <v>0</v>
      </c>
      <c r="SY2" s="11">
        <f>1-((1-SX2)*(1-((1-(13383.9/9995.6))/5)))</f>
        <v>-6.7795830165272797E-2</v>
      </c>
      <c r="SZ2" s="3">
        <v>0.9919</v>
      </c>
      <c r="TA2" s="11">
        <f>1-((1-SZ2)*(1-((1-(13383.9/9995.6))/5)))</f>
        <v>0.99135085377566134</v>
      </c>
      <c r="TB2" s="3">
        <v>1</v>
      </c>
      <c r="TC2" s="11">
        <f>1-((1-TB2)*(1-((1-(13383.9/9995.6))/5)))</f>
        <v>1</v>
      </c>
      <c r="TD2" s="3">
        <v>1</v>
      </c>
      <c r="TE2" s="11">
        <f>1-((1-TD2)*(1-((1-(13383.9/9995.6))/5)))</f>
        <v>1</v>
      </c>
      <c r="TF2" s="3">
        <v>0.96199999999999997</v>
      </c>
      <c r="TG2" s="3">
        <v>1</v>
      </c>
      <c r="TH2" s="11">
        <f>1-((1-TG2)*(1-((1-(13383.9/9995.6))/5)))</f>
        <v>1</v>
      </c>
      <c r="TI2" s="3">
        <v>1</v>
      </c>
      <c r="TJ2" s="11">
        <f>1-((1-TI2)*(1-((1-(13383.9/9995.6))/5)))</f>
        <v>1</v>
      </c>
      <c r="TK2" s="9">
        <f>AVERAGE(SX2,SZ2,TB2,TD2,TF2,TG2,TI2)</f>
        <v>0.8505571428571429</v>
      </c>
      <c r="TL2" s="9">
        <f>AVERAGE(SY2,TA2,TC2,TF2,TE2,TH2,TJ2)</f>
        <v>0.84079357480148409</v>
      </c>
      <c r="TM2" s="9">
        <v>1</v>
      </c>
      <c r="TN2" s="1"/>
      <c r="TO2" s="1"/>
      <c r="TP2" s="10"/>
      <c r="TQ2" s="1">
        <f t="shared" si="0"/>
        <v>1</v>
      </c>
      <c r="TR2" s="1">
        <f t="shared" si="1"/>
        <v>0.42857142857142855</v>
      </c>
      <c r="TS2" s="1">
        <f t="shared" si="2"/>
        <v>0</v>
      </c>
      <c r="TT2" s="1">
        <f t="shared" si="3"/>
        <v>1</v>
      </c>
      <c r="TU2" s="1">
        <f t="shared" si="4"/>
        <v>0.3387</v>
      </c>
      <c r="TV2" s="1">
        <f t="shared" si="4"/>
        <v>0.2350932940093641</v>
      </c>
      <c r="TW2" s="1">
        <f t="shared" si="5"/>
        <v>0.32750000000000001</v>
      </c>
      <c r="TX2" s="1">
        <f t="shared" si="5"/>
        <v>0.30451721357397254</v>
      </c>
      <c r="TY2" s="1">
        <f t="shared" si="6"/>
        <v>0.96</v>
      </c>
      <c r="TZ2" s="1">
        <f t="shared" si="6"/>
        <v>0.96</v>
      </c>
      <c r="UA2" s="1">
        <f t="shared" si="7"/>
        <v>0.72225373134328352</v>
      </c>
      <c r="UB2" s="1">
        <f t="shared" si="7"/>
        <v>0.7107049646441449</v>
      </c>
      <c r="UC2" s="1">
        <f t="shared" si="8"/>
        <v>0.17767295597484278</v>
      </c>
      <c r="UD2" s="1">
        <f t="shared" si="8"/>
        <v>0.14942469340597911</v>
      </c>
      <c r="UE2" s="1">
        <f t="shared" si="9"/>
        <v>0.93033333333333335</v>
      </c>
      <c r="UF2" s="11">
        <f t="shared" si="9"/>
        <v>0.91356613429909161</v>
      </c>
      <c r="UG2" s="11">
        <f t="shared" si="10"/>
        <v>0.96473684210526311</v>
      </c>
      <c r="UH2" s="1">
        <f t="shared" si="10"/>
        <v>0.96473684210526311</v>
      </c>
      <c r="UI2" s="1">
        <f t="shared" si="11"/>
        <v>0.83887500000000026</v>
      </c>
      <c r="UJ2" s="1">
        <f t="shared" si="11"/>
        <v>0.82894008605453073</v>
      </c>
      <c r="UK2" s="1">
        <f t="shared" si="12"/>
        <v>0.65</v>
      </c>
      <c r="UL2" s="11">
        <f t="shared" si="12"/>
        <v>0.64661020849173634</v>
      </c>
      <c r="UM2" s="11">
        <f t="shared" si="13"/>
        <v>0.77666666666666673</v>
      </c>
      <c r="UN2" s="1">
        <f t="shared" si="14"/>
        <v>0.89309333333333329</v>
      </c>
      <c r="UO2" s="1">
        <f t="shared" si="14"/>
        <v>0.89309333333333329</v>
      </c>
      <c r="UP2" s="1">
        <f t="shared" si="15"/>
        <v>0.47333333333333338</v>
      </c>
      <c r="UQ2" s="1">
        <f t="shared" si="15"/>
        <v>0.45276859818320059</v>
      </c>
      <c r="UR2" s="1">
        <f t="shared" si="16"/>
        <v>0.66533333333333333</v>
      </c>
      <c r="US2" s="1">
        <f t="shared" si="16"/>
        <v>0.66524293889311303</v>
      </c>
      <c r="UT2" s="1">
        <f t="shared" si="17"/>
        <v>0.33</v>
      </c>
      <c r="UU2" s="1">
        <f t="shared" si="18"/>
        <v>0.8505571428571429</v>
      </c>
      <c r="UV2" s="1">
        <f t="shared" si="18"/>
        <v>0.84079357480148409</v>
      </c>
      <c r="UX2" s="10">
        <f>AVERAGE(TQ2:TU2)</f>
        <v>0.55345428571428579</v>
      </c>
      <c r="UY2" s="10">
        <f>AVERAGE(TQ2:TT2,TV2)</f>
        <v>0.5327329445161586</v>
      </c>
      <c r="UZ2" s="10">
        <f>UY2*(32/40)</f>
        <v>0.42618635561292689</v>
      </c>
      <c r="VA2" s="10">
        <f>AVERAGE(TW2,TY2,UA2,UC2)</f>
        <v>0.54685667182953157</v>
      </c>
      <c r="VB2" s="10">
        <f>AVERAGE(TX2,TZ2,UB2,UD2)</f>
        <v>0.53116171790602407</v>
      </c>
      <c r="VC2" s="10">
        <f>VB2*(11/13)</f>
        <v>0.44944453053586653</v>
      </c>
      <c r="VD2" s="10">
        <f>AVERAGE(UE2,UG2,UI2)</f>
        <v>0.91131505847953231</v>
      </c>
      <c r="VE2" s="10">
        <f>AVERAGE(UF2,UH2,UJ2)</f>
        <v>0.9024143541529619</v>
      </c>
      <c r="VF2" s="10">
        <f>VE2*(48/48)</f>
        <v>0.9024143541529619</v>
      </c>
      <c r="VG2" s="10">
        <f>AVERAGE(UK2,UM2,UN2)</f>
        <v>0.77325333333333335</v>
      </c>
      <c r="VH2" s="10">
        <f>AVERAGE(UL2,UM2,UO2)</f>
        <v>0.77212340283057879</v>
      </c>
      <c r="VI2" s="10">
        <f>VH2*(37/38)</f>
        <v>0.75180436591398458</v>
      </c>
      <c r="VJ2" s="10">
        <f>AVERAGE(UP2,UR2,UT2,UU2,)</f>
        <v>0.46384476190476198</v>
      </c>
      <c r="VK2" s="10">
        <f>AVERAGE(UQ2,US2,UT2,UV2)</f>
        <v>0.57220127796944942</v>
      </c>
      <c r="VL2" s="10">
        <f>VK2*(15/16)</f>
        <v>0.5364386980963588</v>
      </c>
      <c r="VM2" s="10">
        <f t="shared" ref="VM2:VO6" si="19">AVERAGE(UX2,VA2,VD2,VG2,VJ2)</f>
        <v>0.64974482225228902</v>
      </c>
      <c r="VN2" s="10">
        <f t="shared" si="19"/>
        <v>0.66212673947503453</v>
      </c>
      <c r="VO2" s="10">
        <f t="shared" si="19"/>
        <v>0.61325766086241973</v>
      </c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</row>
    <row r="3" spans="1:610" x14ac:dyDescent="0.25">
      <c r="A3" s="1" t="s">
        <v>395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997</v>
      </c>
      <c r="X3" s="1">
        <v>997</v>
      </c>
      <c r="Y3" s="1">
        <v>997</v>
      </c>
      <c r="Z3" s="1">
        <v>997</v>
      </c>
      <c r="AA3" s="1">
        <v>997</v>
      </c>
      <c r="AB3" s="1">
        <v>997</v>
      </c>
      <c r="AC3" s="1">
        <v>997</v>
      </c>
      <c r="AD3" s="1">
        <v>997</v>
      </c>
      <c r="AE3" s="1">
        <v>997</v>
      </c>
      <c r="AF3" s="1">
        <v>997</v>
      </c>
      <c r="AG3" s="1">
        <v>997</v>
      </c>
      <c r="AH3" s="6">
        <f>AVERAGE(B3:V3)</f>
        <v>1</v>
      </c>
      <c r="AI3" s="6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2">
        <f>AVERAGE(AJ3:AP3)</f>
        <v>1</v>
      </c>
      <c r="AR3" s="2">
        <v>1</v>
      </c>
      <c r="AS3" s="1">
        <v>1</v>
      </c>
      <c r="AT3" s="1">
        <v>1</v>
      </c>
      <c r="AU3" s="3">
        <v>1</v>
      </c>
      <c r="AV3" s="11">
        <f>1-((1-AU3)*(1-((1-(2640.3/9995.6))/5)))</f>
        <v>1</v>
      </c>
      <c r="AW3" s="4">
        <f>AVERAGE(AS3:AU3)</f>
        <v>1</v>
      </c>
      <c r="AX3" s="4">
        <v>1</v>
      </c>
      <c r="AY3" s="1">
        <v>1</v>
      </c>
      <c r="AZ3" s="1">
        <v>1</v>
      </c>
      <c r="BA3" s="13">
        <v>997</v>
      </c>
      <c r="BB3" s="13">
        <v>997</v>
      </c>
      <c r="BC3" s="2">
        <f>AVERAGE(AY3:AZ3)</f>
        <v>1</v>
      </c>
      <c r="BD3" s="2">
        <v>1</v>
      </c>
      <c r="BE3" s="3">
        <v>999</v>
      </c>
      <c r="BF3" s="11"/>
      <c r="BG3" s="11">
        <v>999</v>
      </c>
      <c r="BH3" s="11"/>
      <c r="BI3" s="3">
        <v>5.8999999999999999E-3</v>
      </c>
      <c r="BJ3" s="11">
        <f>1-((1-BI3)*(1-((1-(2640.3/9995.6))/5)))</f>
        <v>0.15220244767697788</v>
      </c>
      <c r="BK3" s="3">
        <v>999</v>
      </c>
      <c r="BL3" s="11"/>
      <c r="BM3" s="3">
        <v>999</v>
      </c>
      <c r="BN3" s="11"/>
      <c r="BO3" s="3">
        <v>999</v>
      </c>
      <c r="BP3" s="11"/>
      <c r="BQ3" s="3">
        <v>999</v>
      </c>
      <c r="BR3" s="11"/>
      <c r="BS3" s="3">
        <v>999</v>
      </c>
      <c r="BT3" s="11"/>
      <c r="BU3" s="3">
        <v>0.83</v>
      </c>
      <c r="BV3" s="11">
        <f>1-((1-BU3)*(1-((1-(2640.3/9995.6))/5)))</f>
        <v>0.85501902837248389</v>
      </c>
      <c r="BW3" s="3">
        <v>999</v>
      </c>
      <c r="BX3" s="11"/>
      <c r="BY3" s="3">
        <v>0.09</v>
      </c>
      <c r="BZ3" s="11">
        <f>1-((1-BY3)*(1-((1-(2640.3/9995.6))/5)))</f>
        <v>0.22392538717035493</v>
      </c>
      <c r="CA3" s="3">
        <v>0.85</v>
      </c>
      <c r="CB3" s="11">
        <f>1-((1-CA3)*(1-((1-(2640.3/9995.6))/5)))</f>
        <v>0.87207561326983873</v>
      </c>
      <c r="CC3" s="4">
        <f>AVERAGE(BI3,BU3,BY3,CA3)</f>
        <v>0.44397500000000001</v>
      </c>
      <c r="CD3" s="4">
        <f>AVERAGE(CB3,BZ3,BV3,BJ3)</f>
        <v>0.52580561912241386</v>
      </c>
      <c r="CE3" s="4">
        <f>(COUNT(BI3,BU3,BY3,CA3))/12</f>
        <v>0.33333333333333331</v>
      </c>
      <c r="CF3" s="5">
        <v>997</v>
      </c>
      <c r="CG3" s="5">
        <v>997</v>
      </c>
      <c r="CH3" s="5">
        <v>997</v>
      </c>
      <c r="CI3" s="11"/>
      <c r="CJ3" s="5">
        <v>997</v>
      </c>
      <c r="CK3" s="11"/>
      <c r="CL3" s="5">
        <v>0.25600000000000001</v>
      </c>
      <c r="CM3" s="5">
        <f>10*0.027</f>
        <v>0.27</v>
      </c>
      <c r="CN3" s="11">
        <f>1-((1-CM3)*(1-((1-(2640.3/9995.6))/5)))</f>
        <v>0.37743465124654851</v>
      </c>
      <c r="CO3" s="6">
        <f>AVERAGE(CL3:CM3)</f>
        <v>0.26300000000000001</v>
      </c>
      <c r="CP3" s="6">
        <f>AVERAGE(CL3,CN3)</f>
        <v>0.31671732562327426</v>
      </c>
      <c r="CQ3" s="6">
        <v>1</v>
      </c>
      <c r="CR3" s="5">
        <v>997</v>
      </c>
      <c r="CS3" s="5">
        <v>997</v>
      </c>
      <c r="CT3" s="5">
        <v>997</v>
      </c>
      <c r="CU3" s="11"/>
      <c r="CV3" s="5">
        <v>997</v>
      </c>
      <c r="CW3" s="11"/>
      <c r="CX3" s="5">
        <v>997</v>
      </c>
      <c r="CY3" s="5">
        <v>997</v>
      </c>
      <c r="CZ3" s="1">
        <v>0.32</v>
      </c>
      <c r="DA3" s="3">
        <v>0.32</v>
      </c>
      <c r="DB3" s="11">
        <f>1-((1-DA3)*(1-((1-(2640.3/9995.6))/5)))</f>
        <v>0.42007611348993568</v>
      </c>
      <c r="DC3" s="3">
        <v>0.67</v>
      </c>
      <c r="DD3" s="3">
        <v>0.67</v>
      </c>
      <c r="DE3" s="11">
        <f>1-((1-DD3)*(1-((1-(2640.3/9995.6))/5)))</f>
        <v>0.71856634919364526</v>
      </c>
      <c r="DF3" s="4">
        <f>AVERAGE(CZ3,DA3,DD3,DC3)</f>
        <v>0.495</v>
      </c>
      <c r="DG3" s="4">
        <f>AVERAGE(CZ3,DB3,DC3,DE3)</f>
        <v>0.53216061567089523</v>
      </c>
      <c r="DH3" s="4">
        <f>(COUNT(CZ3,DA3,DC3,DD3))/4</f>
        <v>1</v>
      </c>
      <c r="DI3" s="3">
        <v>0.60589999999999999</v>
      </c>
      <c r="DJ3" s="3">
        <v>0.37680000000000002</v>
      </c>
      <c r="DK3" s="11">
        <f>1-((1-DJ3)*(1-((1-(2640.3/9995.6))/5)))</f>
        <v>0.46851681459842331</v>
      </c>
      <c r="DL3" s="13">
        <v>997</v>
      </c>
      <c r="DM3" s="13">
        <v>997</v>
      </c>
      <c r="DN3" s="13">
        <v>997</v>
      </c>
      <c r="DO3" s="11"/>
      <c r="DP3" s="13">
        <v>997</v>
      </c>
      <c r="DQ3" s="11"/>
      <c r="DR3" s="1">
        <v>0.14299999999999999</v>
      </c>
      <c r="DS3" s="3">
        <f>10*0.0126</f>
        <v>0.126</v>
      </c>
      <c r="DT3" s="11">
        <f>1-((1-DS3)*(1-((1-(2640.3/9995.6))/5)))</f>
        <v>0.25462723998559367</v>
      </c>
      <c r="DU3" s="11">
        <v>999</v>
      </c>
      <c r="DV3" s="11"/>
      <c r="DW3" s="4">
        <f>AVERAGE(DI3,DJ3,DR3,DS3)</f>
        <v>0.31292500000000001</v>
      </c>
      <c r="DX3" s="4">
        <f>AVERAGE(DI3,DK3,DR3,DT3)</f>
        <v>0.36801101364600419</v>
      </c>
      <c r="DY3" s="4">
        <f>(COUNT(DI3,DJ3,DR3,DS3))/5</f>
        <v>0.8</v>
      </c>
      <c r="DZ3" s="3">
        <v>997</v>
      </c>
      <c r="EA3" s="3">
        <v>997</v>
      </c>
      <c r="EB3" s="3">
        <v>997</v>
      </c>
      <c r="EC3" s="11"/>
      <c r="ED3" s="3">
        <v>997</v>
      </c>
      <c r="EE3" s="3">
        <v>1</v>
      </c>
      <c r="EF3" s="3">
        <v>999</v>
      </c>
      <c r="EG3" s="11"/>
      <c r="EH3" s="4">
        <f>AVERAGE(EE3)</f>
        <v>1</v>
      </c>
      <c r="EI3" s="4">
        <f>AVERAGE(EE3)</f>
        <v>1</v>
      </c>
      <c r="EJ3" s="4">
        <v>0.5</v>
      </c>
      <c r="EK3" s="3">
        <v>1</v>
      </c>
      <c r="EL3" s="3">
        <v>997</v>
      </c>
      <c r="EM3" s="3">
        <v>0.94799999999999995</v>
      </c>
      <c r="EN3" s="3">
        <v>999</v>
      </c>
      <c r="EO3" s="11"/>
      <c r="EP3" s="3">
        <v>1</v>
      </c>
      <c r="EQ3" s="7">
        <v>999</v>
      </c>
      <c r="ER3" s="7">
        <v>999</v>
      </c>
      <c r="ES3" s="3">
        <v>0</v>
      </c>
      <c r="ET3" s="11">
        <f>1-((1-ES3)*(1-((1-(2640.3/9995.6))/5)))</f>
        <v>0.14717075513225819</v>
      </c>
      <c r="EU3" s="4">
        <f>AVERAGE(EK3,ES3,EM3,EP3,ES3)</f>
        <v>0.58960000000000001</v>
      </c>
      <c r="EV3" s="4">
        <f>AVERAGE(EK3,EM3,EP3,ET3)</f>
        <v>0.77379268878306451</v>
      </c>
      <c r="EW3" s="4">
        <f>COUNT(EK3,EM3,EP3,ES3)/5</f>
        <v>0.8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0</v>
      </c>
      <c r="FO3" s="1">
        <v>0.33</v>
      </c>
      <c r="FP3" s="1">
        <v>1</v>
      </c>
      <c r="FQ3" s="2">
        <f>AVERAGE(EX3:FP3)</f>
        <v>0.91210526315789464</v>
      </c>
      <c r="FR3" s="2">
        <f>FQ3</f>
        <v>0.91210526315789464</v>
      </c>
      <c r="FS3" s="2">
        <v>1</v>
      </c>
      <c r="FT3" s="1">
        <v>0.76580000000000004</v>
      </c>
      <c r="FU3" s="1">
        <v>0.78879999999999995</v>
      </c>
      <c r="FV3" s="1">
        <v>0.74180000000000001</v>
      </c>
      <c r="FW3" s="1">
        <v>999</v>
      </c>
      <c r="FX3" s="1">
        <v>999</v>
      </c>
      <c r="FY3" s="1">
        <v>999</v>
      </c>
      <c r="FZ3" s="1">
        <v>999</v>
      </c>
      <c r="GA3" s="1">
        <v>999</v>
      </c>
      <c r="GB3" s="1">
        <v>999</v>
      </c>
      <c r="GC3" s="1">
        <v>999</v>
      </c>
      <c r="GD3" s="1">
        <v>999</v>
      </c>
      <c r="GE3" s="1">
        <v>0.438</v>
      </c>
      <c r="GF3" s="11">
        <f>1-((1-GE3)*(1-((1-(2640.3/9995.6))/5)))</f>
        <v>0.52070996438432904</v>
      </c>
      <c r="GG3" s="1">
        <v>0.46400000000000002</v>
      </c>
      <c r="GH3" s="11">
        <f>1-((1-GG3)*(1-((1-(2640.3/9995.6))/5)))</f>
        <v>0.5428835247508903</v>
      </c>
      <c r="GI3" s="1">
        <v>0.41199999999999998</v>
      </c>
      <c r="GJ3" s="11">
        <f>1-((1-GI3)*(1-((1-(2640.3/9995.6))/5)))</f>
        <v>0.49853640401776778</v>
      </c>
      <c r="GK3" s="1">
        <v>999</v>
      </c>
      <c r="GL3" s="1">
        <v>999</v>
      </c>
      <c r="GM3" s="1"/>
      <c r="GN3" s="1">
        <v>999</v>
      </c>
      <c r="GO3" s="1">
        <v>999</v>
      </c>
      <c r="GP3" s="1">
        <v>999</v>
      </c>
      <c r="GQ3" s="1">
        <v>999</v>
      </c>
      <c r="GR3" s="1">
        <v>999</v>
      </c>
      <c r="GS3" s="1">
        <v>999</v>
      </c>
      <c r="GT3" s="1">
        <v>999</v>
      </c>
      <c r="GU3" s="11"/>
      <c r="GV3" s="1">
        <v>999</v>
      </c>
      <c r="GW3" s="11"/>
      <c r="GX3" s="1">
        <v>999</v>
      </c>
      <c r="GY3" s="11"/>
      <c r="GZ3" s="1">
        <v>999</v>
      </c>
      <c r="HA3" s="11"/>
      <c r="HB3" s="1">
        <v>999</v>
      </c>
      <c r="HC3" s="11"/>
      <c r="HD3" s="1">
        <v>999</v>
      </c>
      <c r="HE3" s="11"/>
      <c r="HF3" s="1">
        <v>999</v>
      </c>
      <c r="HG3" s="11"/>
      <c r="HH3" s="1">
        <v>999</v>
      </c>
      <c r="HI3" s="11"/>
      <c r="HJ3" s="1">
        <v>999</v>
      </c>
      <c r="HK3" s="11"/>
      <c r="HL3" s="1">
        <v>999</v>
      </c>
      <c r="HM3" s="11"/>
      <c r="HN3" s="1">
        <v>999</v>
      </c>
      <c r="HO3" s="1">
        <v>0.10299999999999999</v>
      </c>
      <c r="HP3" s="11">
        <f>1-((1-HO3)*(1-((1-(2640.3/9995.6))/5)))</f>
        <v>0.23501216735363561</v>
      </c>
      <c r="HQ3" s="1">
        <v>0.1207</v>
      </c>
      <c r="HR3" s="11">
        <f>1-((1-HQ3)*(1-((1-(2640.3/9995.6))/5)))</f>
        <v>0.25010724498779469</v>
      </c>
      <c r="HS3" s="1">
        <v>8.6599999999999996E-2</v>
      </c>
      <c r="HT3" s="11">
        <f>1-((1-HS3)*(1-((1-(2640.3/9995.6))/5)))</f>
        <v>0.22102576773780469</v>
      </c>
      <c r="HU3" s="1">
        <v>999</v>
      </c>
      <c r="HV3" s="11"/>
      <c r="HW3" s="1">
        <v>999</v>
      </c>
      <c r="HX3" s="11"/>
      <c r="HY3" s="1">
        <v>999</v>
      </c>
      <c r="HZ3" s="11"/>
      <c r="IA3" s="1">
        <v>999</v>
      </c>
      <c r="IB3" s="11"/>
      <c r="IC3" s="1">
        <v>999</v>
      </c>
      <c r="ID3" s="11"/>
      <c r="IE3" s="1">
        <v>999</v>
      </c>
      <c r="IF3" s="11"/>
      <c r="IG3" s="1">
        <v>999</v>
      </c>
      <c r="IH3" s="11"/>
      <c r="II3" s="1">
        <v>999</v>
      </c>
      <c r="IJ3" s="1">
        <v>0.63900000000000001</v>
      </c>
      <c r="IK3" s="1">
        <v>0.69410000000000005</v>
      </c>
      <c r="IL3" s="1">
        <v>0.58130000000000004</v>
      </c>
      <c r="IM3" s="1">
        <v>999</v>
      </c>
      <c r="IN3" s="1">
        <v>999</v>
      </c>
      <c r="IO3" s="1">
        <v>999</v>
      </c>
      <c r="IP3" s="1">
        <v>999</v>
      </c>
      <c r="IQ3" s="1">
        <v>999</v>
      </c>
      <c r="IR3" s="1">
        <v>999</v>
      </c>
      <c r="IS3" s="1">
        <v>999</v>
      </c>
      <c r="IT3" s="1">
        <v>999</v>
      </c>
      <c r="IU3" s="1">
        <v>999</v>
      </c>
      <c r="IV3" s="11"/>
      <c r="IW3" s="1">
        <v>999</v>
      </c>
      <c r="IX3" s="11"/>
      <c r="IY3" s="1">
        <v>999</v>
      </c>
      <c r="IZ3" s="11"/>
      <c r="JA3" s="1">
        <v>999</v>
      </c>
      <c r="JB3" s="1">
        <v>999</v>
      </c>
      <c r="JC3" s="1">
        <v>999</v>
      </c>
      <c r="JD3" s="1">
        <v>999</v>
      </c>
      <c r="JE3" s="1">
        <v>999</v>
      </c>
      <c r="JF3" s="1">
        <v>999</v>
      </c>
      <c r="JG3" s="1">
        <v>999</v>
      </c>
      <c r="JH3" s="1">
        <v>999</v>
      </c>
      <c r="JI3" s="1">
        <v>0.74399999999999999</v>
      </c>
      <c r="JJ3" s="1">
        <v>0.7</v>
      </c>
      <c r="JK3" s="1">
        <v>0.81399999999999995</v>
      </c>
      <c r="JL3" s="1">
        <v>0.84399999999999997</v>
      </c>
      <c r="JM3" s="1">
        <v>0.69699999999999995</v>
      </c>
      <c r="JN3" s="1">
        <v>999</v>
      </c>
      <c r="JO3" s="1">
        <v>999</v>
      </c>
      <c r="JP3" s="1">
        <v>999</v>
      </c>
      <c r="JQ3" s="1">
        <v>999</v>
      </c>
      <c r="JR3" s="1">
        <v>999</v>
      </c>
      <c r="JS3" s="1">
        <v>999</v>
      </c>
      <c r="JT3" s="1">
        <v>999</v>
      </c>
      <c r="JU3" s="11"/>
      <c r="JV3" s="1">
        <v>999</v>
      </c>
      <c r="JW3" s="11"/>
      <c r="JX3" s="1">
        <v>999</v>
      </c>
      <c r="JY3" s="11"/>
      <c r="JZ3" s="1">
        <v>999</v>
      </c>
      <c r="KA3" s="11"/>
      <c r="KB3" s="1">
        <v>999</v>
      </c>
      <c r="KC3" s="11"/>
      <c r="KD3" s="1">
        <v>999</v>
      </c>
      <c r="KE3" s="11"/>
      <c r="KF3" s="1">
        <v>999</v>
      </c>
      <c r="KG3" s="11"/>
      <c r="KH3" s="1">
        <v>999</v>
      </c>
      <c r="KI3" s="11"/>
      <c r="KJ3" s="1">
        <v>999</v>
      </c>
      <c r="KK3" s="11"/>
      <c r="KL3" s="1">
        <v>999</v>
      </c>
      <c r="KM3" s="11"/>
      <c r="KN3" s="1">
        <v>999</v>
      </c>
      <c r="KO3" s="11"/>
      <c r="KP3" s="1">
        <v>999</v>
      </c>
      <c r="KQ3" s="11"/>
      <c r="KR3" s="1">
        <v>999</v>
      </c>
      <c r="KS3" s="11"/>
      <c r="KT3" s="1">
        <v>999</v>
      </c>
      <c r="KU3" s="11"/>
      <c r="KV3" s="1">
        <v>999</v>
      </c>
      <c r="KW3" s="11"/>
      <c r="KX3" s="1">
        <v>999</v>
      </c>
      <c r="KY3" s="11"/>
      <c r="KZ3" s="1">
        <v>999</v>
      </c>
      <c r="LA3" s="1">
        <v>999</v>
      </c>
      <c r="LB3" s="1">
        <v>999</v>
      </c>
      <c r="LC3" s="1">
        <v>999</v>
      </c>
      <c r="LD3" s="1">
        <v>999</v>
      </c>
      <c r="LE3" s="1">
        <v>999</v>
      </c>
      <c r="LF3" s="11"/>
      <c r="LG3" s="1">
        <v>999</v>
      </c>
      <c r="LH3" s="11"/>
      <c r="LI3" s="1">
        <v>999</v>
      </c>
      <c r="LJ3" s="11"/>
      <c r="LK3" s="1">
        <v>999</v>
      </c>
      <c r="LL3" s="11"/>
      <c r="LM3" s="1">
        <v>999</v>
      </c>
      <c r="LN3" s="11"/>
      <c r="LO3" s="1">
        <v>999</v>
      </c>
      <c r="LP3" s="11"/>
      <c r="LQ3" s="1">
        <v>999</v>
      </c>
      <c r="LR3" s="11"/>
      <c r="LS3" s="1">
        <v>999</v>
      </c>
      <c r="LT3" s="1">
        <v>999</v>
      </c>
      <c r="LU3" s="11"/>
      <c r="LV3" s="1">
        <v>999</v>
      </c>
      <c r="LW3" s="1">
        <v>999</v>
      </c>
      <c r="LX3" s="11"/>
      <c r="LY3" s="1">
        <v>999</v>
      </c>
      <c r="LZ3" s="2">
        <f>AVERAGE(JI3:JM3,IJ3:IL3,HO3,HQ3,GE3,GG3,GI3,HS3,FT3:FV3)</f>
        <v>0.56671176470588225</v>
      </c>
      <c r="MA3" s="2">
        <f>AVERAGE(JI3:JM3,IJ3:IL3,HP3,HR3,GF3,GH3,GJ3,HT3,FT3:FV3)</f>
        <v>0.60459265136660123</v>
      </c>
      <c r="MB3" s="4">
        <f>(COUNT(JI3:JM3,IJ3:IL3,HS3,HQ3,HO3,GE3,GG3,GI3,FT3:FV3))/110</f>
        <v>0.15454545454545454</v>
      </c>
      <c r="MC3" s="1">
        <v>1</v>
      </c>
      <c r="MD3" s="1">
        <v>1</v>
      </c>
      <c r="ME3" s="1">
        <v>1</v>
      </c>
      <c r="MF3" s="1">
        <v>1</v>
      </c>
      <c r="MG3" s="1">
        <v>999</v>
      </c>
      <c r="MH3" s="1">
        <v>1</v>
      </c>
      <c r="MI3" s="1">
        <v>1</v>
      </c>
      <c r="MJ3" s="1">
        <v>1</v>
      </c>
      <c r="MK3" s="1">
        <v>1</v>
      </c>
      <c r="ML3" s="1">
        <v>1</v>
      </c>
      <c r="MM3" s="1">
        <v>1</v>
      </c>
      <c r="MN3" s="1">
        <v>1</v>
      </c>
      <c r="MO3" s="1">
        <v>1</v>
      </c>
      <c r="MP3" s="1">
        <v>1</v>
      </c>
      <c r="MQ3" s="1">
        <v>1</v>
      </c>
      <c r="MR3" s="1">
        <v>1</v>
      </c>
      <c r="MS3" s="1">
        <v>1</v>
      </c>
      <c r="MT3" s="1">
        <v>1</v>
      </c>
      <c r="MU3" s="1">
        <v>1</v>
      </c>
      <c r="MV3" s="3">
        <v>0</v>
      </c>
      <c r="MW3" s="11">
        <f>1-((1-MV3)*(1-((1-(2640.3/9995.6))/5)))</f>
        <v>0.14717075513225819</v>
      </c>
      <c r="MX3" s="8">
        <f>AVERAGE(MC3:MF3,MH3:MV3)</f>
        <v>0.94736842105263153</v>
      </c>
      <c r="MY3" s="8">
        <f>AVERAGE(MC3:MF3,MH3:MU3,MW3)</f>
        <v>0.95511425027011887</v>
      </c>
      <c r="MZ3" s="8">
        <f>(COUNT(MC3:MF3,MH3:MV3))/20</f>
        <v>0.95</v>
      </c>
      <c r="NA3" s="1">
        <v>1</v>
      </c>
      <c r="NB3" s="1"/>
      <c r="NC3" s="1">
        <v>0</v>
      </c>
      <c r="ND3" s="1">
        <v>0.33</v>
      </c>
      <c r="NE3" s="9">
        <f>AVERAGE(NA3:ND3)</f>
        <v>0.44333333333333336</v>
      </c>
      <c r="NF3" s="9">
        <v>1</v>
      </c>
      <c r="NG3" s="1">
        <v>997</v>
      </c>
      <c r="NH3" s="1">
        <v>997</v>
      </c>
      <c r="NI3" s="1">
        <v>997</v>
      </c>
      <c r="NJ3" s="1">
        <v>997</v>
      </c>
      <c r="NK3" s="1">
        <v>997</v>
      </c>
      <c r="NL3" s="1">
        <v>997</v>
      </c>
      <c r="NM3" s="1">
        <v>997</v>
      </c>
      <c r="NN3" s="1">
        <v>997</v>
      </c>
      <c r="NO3" s="1">
        <v>999</v>
      </c>
      <c r="NP3" s="1">
        <v>999</v>
      </c>
      <c r="NQ3" s="1">
        <v>999</v>
      </c>
      <c r="NR3" s="1">
        <v>999</v>
      </c>
      <c r="NS3" s="1">
        <v>999</v>
      </c>
      <c r="NT3" s="1">
        <v>999</v>
      </c>
      <c r="NU3" s="1">
        <v>999</v>
      </c>
      <c r="NV3" s="1">
        <v>999</v>
      </c>
      <c r="NW3" s="1">
        <v>999</v>
      </c>
      <c r="NX3" s="1">
        <v>999</v>
      </c>
      <c r="NY3" s="1">
        <v>999</v>
      </c>
      <c r="NZ3" s="1">
        <v>999</v>
      </c>
      <c r="OA3" s="1">
        <v>999</v>
      </c>
      <c r="OB3" s="1">
        <v>999</v>
      </c>
      <c r="OC3" s="1">
        <v>999</v>
      </c>
      <c r="OD3" s="1">
        <v>999</v>
      </c>
      <c r="OE3" s="1">
        <v>999</v>
      </c>
      <c r="OF3" s="1">
        <v>999</v>
      </c>
      <c r="OG3" s="1">
        <v>999</v>
      </c>
      <c r="OH3" s="1">
        <v>999</v>
      </c>
      <c r="OI3" s="1">
        <v>999</v>
      </c>
      <c r="OJ3" s="1">
        <v>999</v>
      </c>
      <c r="OK3" s="1">
        <v>999</v>
      </c>
      <c r="OL3" s="1">
        <v>999</v>
      </c>
      <c r="OM3" s="1">
        <v>999</v>
      </c>
      <c r="ON3" s="1">
        <v>999</v>
      </c>
      <c r="OO3" s="1">
        <v>999</v>
      </c>
      <c r="OP3" s="1">
        <v>999</v>
      </c>
      <c r="OQ3" s="1">
        <v>999</v>
      </c>
      <c r="OR3" s="1">
        <v>999</v>
      </c>
      <c r="OS3" s="1">
        <v>999</v>
      </c>
      <c r="OT3" s="1">
        <v>999</v>
      </c>
      <c r="OU3" s="1">
        <v>999</v>
      </c>
      <c r="OV3" s="1">
        <v>0.31280000000000002</v>
      </c>
      <c r="OW3" s="11">
        <f>1-((1-OV3)*(1-((1-(2640.3/9995.6))/5)))</f>
        <v>0.41393574292688784</v>
      </c>
      <c r="OX3" s="1">
        <v>999</v>
      </c>
      <c r="OY3" s="11"/>
      <c r="OZ3" s="1">
        <v>999</v>
      </c>
      <c r="PA3" s="11"/>
      <c r="PB3" s="1">
        <v>999</v>
      </c>
      <c r="PC3" s="1">
        <v>999</v>
      </c>
      <c r="PD3" s="1">
        <v>999</v>
      </c>
      <c r="PE3" s="1">
        <v>999</v>
      </c>
      <c r="PF3" s="1">
        <v>999</v>
      </c>
      <c r="PG3" s="1">
        <v>999</v>
      </c>
      <c r="PH3" s="1">
        <v>999</v>
      </c>
      <c r="PI3" s="1">
        <v>999</v>
      </c>
      <c r="PJ3" s="1">
        <v>999</v>
      </c>
      <c r="PK3" s="11"/>
      <c r="PL3" s="1">
        <v>999</v>
      </c>
      <c r="PM3" s="11"/>
      <c r="PN3" s="1">
        <v>999</v>
      </c>
      <c r="PO3" s="11"/>
      <c r="PP3" s="1">
        <v>999</v>
      </c>
      <c r="PQ3" s="11"/>
      <c r="PR3" s="1">
        <v>999</v>
      </c>
      <c r="PS3" s="11"/>
      <c r="PT3" s="1">
        <v>999</v>
      </c>
      <c r="PU3" s="11"/>
      <c r="PV3" s="1">
        <v>999</v>
      </c>
      <c r="PW3" s="11"/>
      <c r="PX3" s="1">
        <v>999</v>
      </c>
      <c r="PY3" s="11"/>
      <c r="PZ3" s="1">
        <v>999</v>
      </c>
      <c r="QA3" s="11"/>
      <c r="QB3" s="1">
        <v>999</v>
      </c>
      <c r="QC3" s="11"/>
      <c r="QD3" s="1">
        <v>999</v>
      </c>
      <c r="QE3" s="11"/>
      <c r="QF3" s="1">
        <v>999</v>
      </c>
      <c r="QG3" s="11"/>
      <c r="QH3" s="1">
        <v>999</v>
      </c>
      <c r="QI3" s="11"/>
      <c r="QJ3" s="1">
        <v>999</v>
      </c>
      <c r="QK3" s="11"/>
      <c r="QL3" s="1">
        <v>999</v>
      </c>
      <c r="QM3" s="11"/>
      <c r="QN3" s="1">
        <v>999</v>
      </c>
      <c r="QO3" s="11"/>
      <c r="QP3" s="1">
        <v>999</v>
      </c>
      <c r="QQ3" s="11"/>
      <c r="QR3" s="1">
        <v>999</v>
      </c>
      <c r="QS3" s="11"/>
      <c r="QT3" s="1">
        <v>999</v>
      </c>
      <c r="QU3" s="11"/>
      <c r="QV3" s="1">
        <v>999</v>
      </c>
      <c r="QW3" s="11"/>
      <c r="QX3" s="1">
        <v>999</v>
      </c>
      <c r="QY3" s="11"/>
      <c r="QZ3" s="1">
        <v>999</v>
      </c>
      <c r="RA3" s="11"/>
      <c r="RB3" s="1">
        <v>0.85599999999999998</v>
      </c>
      <c r="RC3" s="1">
        <v>0.89400000000000002</v>
      </c>
      <c r="RD3" s="1">
        <v>0.81599999999999995</v>
      </c>
      <c r="RE3" s="1">
        <v>0.94299999999999995</v>
      </c>
      <c r="RF3" s="1">
        <v>0.81299999999999994</v>
      </c>
      <c r="RG3" s="1">
        <v>999</v>
      </c>
      <c r="RH3" s="1">
        <v>999</v>
      </c>
      <c r="RI3" s="1">
        <v>999</v>
      </c>
      <c r="RJ3" s="1">
        <v>999</v>
      </c>
      <c r="RK3" s="1">
        <v>999</v>
      </c>
      <c r="RL3" s="1">
        <v>999</v>
      </c>
      <c r="RM3" s="1">
        <v>0.71599999999999997</v>
      </c>
      <c r="RN3" s="1">
        <v>0.79300000000000004</v>
      </c>
      <c r="RO3" s="1">
        <v>0.63700000000000001</v>
      </c>
      <c r="RP3" s="1">
        <v>0.83</v>
      </c>
      <c r="RQ3" s="1">
        <v>0.65500000000000003</v>
      </c>
      <c r="RR3" s="1">
        <v>999</v>
      </c>
      <c r="RS3" s="1">
        <v>999</v>
      </c>
      <c r="RT3" s="1">
        <v>999</v>
      </c>
      <c r="RU3" s="1">
        <v>999</v>
      </c>
      <c r="RV3" s="1">
        <v>999</v>
      </c>
      <c r="RW3" s="1">
        <v>999</v>
      </c>
      <c r="RX3" s="2">
        <f>AVERAGE(RM3:RQ3,RB3:RF3,OV3,)</f>
        <v>0.68881666666666652</v>
      </c>
      <c r="RY3" s="2">
        <f>AVERAGE(RM3:RQ3,RB3:RF3,OW3,)</f>
        <v>0.69724464524390728</v>
      </c>
      <c r="RZ3" s="4">
        <f>(COUNT(RM3:RQ3,RB3:RF3,OV3))/88</f>
        <v>0.125</v>
      </c>
      <c r="SA3" s="1">
        <v>1</v>
      </c>
      <c r="SB3" s="3">
        <v>0.33</v>
      </c>
      <c r="SC3" s="3">
        <v>999</v>
      </c>
      <c r="SD3" s="11"/>
      <c r="SE3" s="3">
        <v>999</v>
      </c>
      <c r="SF3" s="3">
        <v>999</v>
      </c>
      <c r="SG3" s="8">
        <f>AVERAGE(SA3:SB3)</f>
        <v>0.66500000000000004</v>
      </c>
      <c r="SH3" s="8">
        <f>AVERAGE(SA3:SB3)</f>
        <v>0.66500000000000004</v>
      </c>
      <c r="SI3" s="8">
        <f>(COUNT(SA3:SB3))/5</f>
        <v>0.4</v>
      </c>
      <c r="SJ3" s="1">
        <v>1</v>
      </c>
      <c r="SK3" s="1">
        <v>1</v>
      </c>
      <c r="SL3" s="1">
        <v>0.78200000000000003</v>
      </c>
      <c r="SM3" s="1">
        <v>999</v>
      </c>
      <c r="SN3" s="11"/>
      <c r="SO3" s="9">
        <f>AVERAGE(SJ3:SL3)</f>
        <v>0.92733333333333334</v>
      </c>
      <c r="SP3" s="9">
        <f>AVERAGE(SJ3:SL3)</f>
        <v>0.92733333333333334</v>
      </c>
      <c r="SQ3" s="9">
        <f>(COUNT(SJ3:SL3))/4</f>
        <v>0.75</v>
      </c>
      <c r="SR3" s="1">
        <v>0.66</v>
      </c>
      <c r="SS3" s="1">
        <v>999</v>
      </c>
      <c r="ST3" s="1">
        <v>0.66</v>
      </c>
      <c r="SU3" s="1">
        <v>999</v>
      </c>
      <c r="SV3" s="9">
        <f>AVERAGE(SR3,ST3)</f>
        <v>0.66</v>
      </c>
      <c r="SW3" s="9">
        <f>(COUNT(ST3,SR3)/3)</f>
        <v>0.66666666666666663</v>
      </c>
      <c r="SX3" s="3">
        <v>1</v>
      </c>
      <c r="SY3" s="11">
        <f>1-((1-SX3)*(1-((1-(2640.3/9995.6))/5)))</f>
        <v>1</v>
      </c>
      <c r="SZ3" s="3">
        <v>0.51</v>
      </c>
      <c r="TA3" s="11">
        <f>1-((1-SZ3)*(1-((1-(2640.3/9995.6))/5)))</f>
        <v>0.58211367001480652</v>
      </c>
      <c r="TB3" s="3">
        <v>1</v>
      </c>
      <c r="TC3" s="11">
        <f>1-((1-TB3)*(1-((1-(2640.3/9995.6))/5)))</f>
        <v>1</v>
      </c>
      <c r="TD3" s="3">
        <v>1</v>
      </c>
      <c r="TE3" s="11">
        <f>1-((1-TD3)*(1-((1-(2640.3/9995.6))/5)))</f>
        <v>1</v>
      </c>
      <c r="TF3" s="3">
        <v>0.68899999999999995</v>
      </c>
      <c r="TG3" s="3">
        <v>1</v>
      </c>
      <c r="TH3" s="11">
        <f>1-((1-TG3)*(1-((1-(2640.3/9995.6))/5)))</f>
        <v>1</v>
      </c>
      <c r="TI3" s="3">
        <v>1</v>
      </c>
      <c r="TJ3" s="11">
        <f>1-((1-TI3)*(1-((1-(2640.3/9995.6))/5)))</f>
        <v>1</v>
      </c>
      <c r="TK3" s="9">
        <f>AVERAGE(SX3,SZ3,TB3,TD3,TF3,TG3,TI3)</f>
        <v>0.88557142857142856</v>
      </c>
      <c r="TL3" s="9">
        <f>AVERAGE(SY3,TA3,TC3,TF3,TE3,TH3,TJ3)</f>
        <v>0.89587338143068662</v>
      </c>
      <c r="TM3" s="9">
        <v>1</v>
      </c>
      <c r="TN3" s="1"/>
      <c r="TO3" s="1"/>
      <c r="TP3" s="10"/>
      <c r="TQ3" s="1">
        <f t="shared" si="0"/>
        <v>1</v>
      </c>
      <c r="TR3" s="1">
        <f t="shared" si="1"/>
        <v>1</v>
      </c>
      <c r="TS3" s="1">
        <f t="shared" si="2"/>
        <v>1</v>
      </c>
      <c r="TT3" s="1">
        <f t="shared" si="3"/>
        <v>1</v>
      </c>
      <c r="TU3" s="1">
        <f t="shared" si="4"/>
        <v>0.44397500000000001</v>
      </c>
      <c r="TV3" s="1">
        <f t="shared" si="4"/>
        <v>0.52580561912241386</v>
      </c>
      <c r="TW3" s="1">
        <f t="shared" si="5"/>
        <v>0.26300000000000001</v>
      </c>
      <c r="TX3" s="1">
        <f t="shared" si="5"/>
        <v>0.31671732562327426</v>
      </c>
      <c r="TY3" s="1">
        <f t="shared" si="6"/>
        <v>0.495</v>
      </c>
      <c r="TZ3" s="1">
        <f t="shared" si="6"/>
        <v>0.53216061567089523</v>
      </c>
      <c r="UA3" s="1">
        <f t="shared" si="7"/>
        <v>0.31292500000000001</v>
      </c>
      <c r="UB3" s="1">
        <f t="shared" si="7"/>
        <v>0.36801101364600419</v>
      </c>
      <c r="UC3" s="1">
        <f t="shared" si="8"/>
        <v>1</v>
      </c>
      <c r="UD3" s="1">
        <f t="shared" si="8"/>
        <v>1</v>
      </c>
      <c r="UE3" s="1">
        <f t="shared" si="9"/>
        <v>0.58960000000000001</v>
      </c>
      <c r="UF3" s="1">
        <f t="shared" si="9"/>
        <v>0.77379268878306451</v>
      </c>
      <c r="UG3" s="1">
        <f t="shared" si="10"/>
        <v>0.91210526315789464</v>
      </c>
      <c r="UH3" s="1">
        <f t="shared" si="10"/>
        <v>0.91210526315789464</v>
      </c>
      <c r="UI3" s="1">
        <f t="shared" si="11"/>
        <v>0.56671176470588225</v>
      </c>
      <c r="UJ3" s="1">
        <f t="shared" si="11"/>
        <v>0.60459265136660123</v>
      </c>
      <c r="UK3" s="1">
        <f t="shared" si="12"/>
        <v>0.94736842105263153</v>
      </c>
      <c r="UL3" s="11">
        <f t="shared" si="12"/>
        <v>0.95511425027011887</v>
      </c>
      <c r="UM3" s="11">
        <f t="shared" si="13"/>
        <v>0.44333333333333336</v>
      </c>
      <c r="UN3" s="1">
        <f t="shared" si="14"/>
        <v>0.68881666666666652</v>
      </c>
      <c r="UO3" s="1">
        <f t="shared" si="14"/>
        <v>0.69724464524390728</v>
      </c>
      <c r="UP3" s="1">
        <f t="shared" si="15"/>
        <v>0.66500000000000004</v>
      </c>
      <c r="UQ3" s="1">
        <f t="shared" si="15"/>
        <v>0.66500000000000004</v>
      </c>
      <c r="UR3" s="1">
        <f t="shared" si="16"/>
        <v>0.92733333333333334</v>
      </c>
      <c r="US3" s="1">
        <f t="shared" si="16"/>
        <v>0.92733333333333334</v>
      </c>
      <c r="UT3" s="1">
        <f t="shared" si="17"/>
        <v>0.66</v>
      </c>
      <c r="UU3" s="1">
        <f t="shared" si="18"/>
        <v>0.88557142857142856</v>
      </c>
      <c r="UV3" s="1">
        <f t="shared" si="18"/>
        <v>0.89587338143068662</v>
      </c>
      <c r="UX3" s="10">
        <f>AVERAGE(TQ3:TU3)</f>
        <v>0.888795</v>
      </c>
      <c r="UY3" s="10">
        <f>AVERAGE(TQ3:TT3,TV3)</f>
        <v>0.90516112382448277</v>
      </c>
      <c r="UZ3" s="10">
        <f>UY3*(37/45)</f>
        <v>0.74424359070013024</v>
      </c>
      <c r="VA3" s="10">
        <f t="shared" ref="VA3:VB6" si="20">AVERAGE(TW3,TY3,UA3,UC3)</f>
        <v>0.51773124999999998</v>
      </c>
      <c r="VB3" s="10">
        <f t="shared" si="20"/>
        <v>0.55422223873504339</v>
      </c>
      <c r="VC3" s="10">
        <f>VB3*(11/13)</f>
        <v>0.46895727892965211</v>
      </c>
      <c r="VD3" s="10">
        <f t="shared" ref="VD3:VE6" si="21">AVERAGE(UE3,UG3,UI3)</f>
        <v>0.68947234262125889</v>
      </c>
      <c r="VE3" s="10">
        <f t="shared" si="21"/>
        <v>0.76349686776918679</v>
      </c>
      <c r="VF3" s="10">
        <f>VE3*(40/48)</f>
        <v>0.63624738980765572</v>
      </c>
      <c r="VG3" s="10">
        <f>AVERAGE(UK3,UM3,UN3)</f>
        <v>0.69317280701754369</v>
      </c>
      <c r="VH3" s="10">
        <f>AVERAGE(UL3,UM3,UO3)</f>
        <v>0.69856407628245309</v>
      </c>
      <c r="VI3" s="10">
        <f>VH3*(33/38)</f>
        <v>0.60664775045581454</v>
      </c>
      <c r="VJ3" s="10">
        <f>AVERAGE(UP3,UR3,UT3,UU3,)</f>
        <v>0.62758095238095246</v>
      </c>
      <c r="VK3" s="10">
        <f>AVERAGE(UQ3,US3,UT3,UV3)</f>
        <v>0.78705167869100501</v>
      </c>
      <c r="VL3" s="10">
        <f>VK3*(14/16)</f>
        <v>0.68867021885462942</v>
      </c>
      <c r="VM3" s="10">
        <f t="shared" si="19"/>
        <v>0.68335047040395103</v>
      </c>
      <c r="VN3" s="10">
        <f t="shared" si="19"/>
        <v>0.74169919706043419</v>
      </c>
      <c r="VO3" s="10">
        <f t="shared" si="19"/>
        <v>0.62895324574957656</v>
      </c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</row>
    <row r="4" spans="1:610" ht="45" x14ac:dyDescent="0.25">
      <c r="A4" s="1" t="s">
        <v>396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1">
        <v>1</v>
      </c>
      <c r="O4" s="1">
        <v>1</v>
      </c>
      <c r="P4" s="1">
        <v>1</v>
      </c>
      <c r="Q4" s="1">
        <v>1</v>
      </c>
      <c r="R4" s="1">
        <v>997</v>
      </c>
      <c r="S4" s="1">
        <v>997</v>
      </c>
      <c r="T4" s="1">
        <v>997</v>
      </c>
      <c r="U4" s="1">
        <v>997</v>
      </c>
      <c r="V4" s="1">
        <v>997</v>
      </c>
      <c r="W4" s="1">
        <v>997</v>
      </c>
      <c r="X4" s="1">
        <v>997</v>
      </c>
      <c r="Y4" s="1">
        <v>997</v>
      </c>
      <c r="Z4" s="1">
        <v>997</v>
      </c>
      <c r="AA4" s="1">
        <v>997</v>
      </c>
      <c r="AB4" s="1">
        <v>997</v>
      </c>
      <c r="AC4" s="1">
        <v>997</v>
      </c>
      <c r="AD4" s="1">
        <v>997</v>
      </c>
      <c r="AE4" s="1">
        <v>997</v>
      </c>
      <c r="AF4" s="1">
        <v>997</v>
      </c>
      <c r="AG4" s="1">
        <v>997</v>
      </c>
      <c r="AH4" s="6">
        <f>AVERAGE(B4:Q4)</f>
        <v>0.9375</v>
      </c>
      <c r="AI4" s="6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2">
        <f>AVERAGE(AJ4:AP4)</f>
        <v>1</v>
      </c>
      <c r="AR4" s="2">
        <v>1</v>
      </c>
      <c r="AS4" s="1">
        <v>1</v>
      </c>
      <c r="AT4" s="1">
        <v>1</v>
      </c>
      <c r="AU4" s="3">
        <v>1</v>
      </c>
      <c r="AV4" s="11">
        <f>1-((1-AU4)*(1-((1-(2899.4/9995.6))/5)))</f>
        <v>1</v>
      </c>
      <c r="AW4" s="4">
        <f>AVERAGE(AS4:AU4)</f>
        <v>1</v>
      </c>
      <c r="AX4" s="4">
        <v>1</v>
      </c>
      <c r="AY4" s="1">
        <v>1</v>
      </c>
      <c r="AZ4" s="1">
        <v>1</v>
      </c>
      <c r="BA4" s="13">
        <v>997</v>
      </c>
      <c r="BB4" s="13">
        <v>997</v>
      </c>
      <c r="BC4" s="2">
        <f>AVERAGE(AY4:AZ4)</f>
        <v>1</v>
      </c>
      <c r="BD4" s="2">
        <v>1</v>
      </c>
      <c r="BE4" s="3">
        <v>9.2999999999999999E-2</v>
      </c>
      <c r="BF4" s="11">
        <f>1-((1-BE4)*(1-((1-(2899.4/9995.6))/5)))</f>
        <v>0.2217817319620633</v>
      </c>
      <c r="BG4" s="3">
        <v>2.5000000000000001E-2</v>
      </c>
      <c r="BH4" s="11">
        <f>1-((1-BG4)*(1-((1-(2899.4/9995.6))/5)))</f>
        <v>0.16343681219736694</v>
      </c>
      <c r="BI4" s="3">
        <v>2.3199999999999998E-2</v>
      </c>
      <c r="BJ4" s="11">
        <f>1-((1-BI4)*(1-((1-(2899.4/9995.6))/5)))</f>
        <v>0.16189238785065441</v>
      </c>
      <c r="BK4" s="3">
        <v>999</v>
      </c>
      <c r="BL4" s="11"/>
      <c r="BM4" s="3">
        <v>0.62990000000000002</v>
      </c>
      <c r="BN4" s="11">
        <f>1-((1-BM4)*(1-((1-(2899.4/9995.6))/5)))</f>
        <v>0.68244919404538007</v>
      </c>
      <c r="BO4" s="3">
        <v>0.2155</v>
      </c>
      <c r="BP4" s="11">
        <f>1-((1-BO4)*(1-((1-(2899.4/9995.6))/5)))</f>
        <v>0.32688838889111216</v>
      </c>
      <c r="BQ4" s="3">
        <v>9.7000000000000003E-3</v>
      </c>
      <c r="BR4" s="11">
        <f>1-((1-BQ4)*(1-((1-(2899.4/9995.6))/5)))</f>
        <v>0.15030920525031022</v>
      </c>
      <c r="BS4" s="3">
        <v>0.13</v>
      </c>
      <c r="BT4" s="11">
        <f>1-((1-BS4)*(1-((1-(2899.4/9995.6))/5)))</f>
        <v>0.25352823242226585</v>
      </c>
      <c r="BU4" s="3">
        <v>0.81340000000000001</v>
      </c>
      <c r="BV4" s="11">
        <f>1-((1-BU4)*(1-((1-(2899.4/9995.6))/5)))</f>
        <v>0.83989467605746526</v>
      </c>
      <c r="BW4" s="3">
        <v>0.127</v>
      </c>
      <c r="BX4" s="11">
        <f>1-((1-BW4)*(1-((1-(2899.4/9995.6))/5)))</f>
        <v>0.25095419184441159</v>
      </c>
      <c r="BY4" s="3">
        <v>0.59599999999999997</v>
      </c>
      <c r="BZ4" s="11">
        <f>1-((1-BY4)*(1-((1-(2899.4/9995.6))/5)))</f>
        <v>0.65336253551562695</v>
      </c>
      <c r="CA4" s="3">
        <v>0.96099999999999997</v>
      </c>
      <c r="CB4" s="11">
        <f>1-((1-CA4)*(1-((1-(2899.4/9995.6))/5)))</f>
        <v>0.96653747248789468</v>
      </c>
      <c r="CC4" s="4">
        <f>AVERAGE(BE4,BG4,BI4,BM4,BO4,BQ4,BS4,BU4,BW4,BY4,CA4)</f>
        <v>0.32942727272727274</v>
      </c>
      <c r="CD4" s="4">
        <f>AVERAGE(CB4,BT4,BH4,BZ4,BX4,BV4,BR4,BP4,BN4,BJ4,BF4,)</f>
        <v>0.38925290237704596</v>
      </c>
      <c r="CE4" s="4">
        <f>(COUNT(BE4,BG4,BI4,BM4,BO4,BQ4,BS4,BU4,BW4,BY4,CA4))/12</f>
        <v>0.91666666666666663</v>
      </c>
      <c r="CF4" s="5">
        <v>997</v>
      </c>
      <c r="CG4" s="5">
        <v>997</v>
      </c>
      <c r="CH4" s="5">
        <v>997</v>
      </c>
      <c r="CI4" s="11"/>
      <c r="CJ4" s="5">
        <v>997</v>
      </c>
      <c r="CK4" s="11"/>
      <c r="CL4" s="5">
        <v>0.13300000000000001</v>
      </c>
      <c r="CM4" s="5">
        <f>10*0.0135</f>
        <v>0.13500000000000001</v>
      </c>
      <c r="CN4" s="11">
        <f>1-((1-CM4)*(1-((1-(2899.4/9995.6))/5)))</f>
        <v>0.257818300052023</v>
      </c>
      <c r="CO4" s="6">
        <f>AVERAGE(CL4:CM4)</f>
        <v>0.13400000000000001</v>
      </c>
      <c r="CP4" s="6">
        <f>AVERAGE(CL4,CN4)</f>
        <v>0.1954091500260115</v>
      </c>
      <c r="CQ4" s="6">
        <v>1</v>
      </c>
      <c r="CR4" s="5">
        <v>997</v>
      </c>
      <c r="CS4" s="5">
        <v>997</v>
      </c>
      <c r="CT4" s="5">
        <v>997</v>
      </c>
      <c r="CU4" s="11"/>
      <c r="CV4" s="5">
        <v>997</v>
      </c>
      <c r="CW4" s="11"/>
      <c r="CX4" s="5">
        <v>997</v>
      </c>
      <c r="CY4" s="5">
        <v>997</v>
      </c>
      <c r="CZ4" s="1">
        <v>0.96699999999999997</v>
      </c>
      <c r="DA4" s="3">
        <v>0.96699999999999997</v>
      </c>
      <c r="DB4" s="11">
        <f>1-((1-DA4)*(1-((1-(2899.4/9995.6))/5)))</f>
        <v>0.97168555364360321</v>
      </c>
      <c r="DC4" s="3">
        <v>0.8</v>
      </c>
      <c r="DD4" s="3">
        <v>0.8</v>
      </c>
      <c r="DE4" s="11">
        <f>1-((1-DD4)*(1-((1-(2899.4/9995.6))/5)))</f>
        <v>0.82839729480971636</v>
      </c>
      <c r="DF4" s="4">
        <f>AVERAGE(CZ4,DA4,DD4,DC4)</f>
        <v>0.88349999999999995</v>
      </c>
      <c r="DG4" s="4">
        <f>AVERAGE(CZ4,DB4,DC4,DE4)</f>
        <v>0.89177071211332992</v>
      </c>
      <c r="DH4" s="4">
        <f>(COUNT(CZ4,DA4,DC4,DD4))/4</f>
        <v>1</v>
      </c>
      <c r="DI4" s="3">
        <v>999</v>
      </c>
      <c r="DJ4" s="3">
        <v>999</v>
      </c>
      <c r="DK4" s="11"/>
      <c r="DL4" s="13">
        <v>997</v>
      </c>
      <c r="DM4" s="13">
        <v>997</v>
      </c>
      <c r="DN4" s="13">
        <v>997</v>
      </c>
      <c r="DO4" s="11"/>
      <c r="DP4" s="13">
        <v>997</v>
      </c>
      <c r="DQ4" s="11"/>
      <c r="DR4" s="1">
        <v>0.26300000000000001</v>
      </c>
      <c r="DS4" s="3">
        <f>10*0.0263</f>
        <v>0.26300000000000001</v>
      </c>
      <c r="DT4" s="11">
        <f>1-((1-DS4)*(1-((1-(2899.4/9995.6))/5)))</f>
        <v>0.36764403137380453</v>
      </c>
      <c r="DU4" s="11">
        <f>1/(AVERAGE(1.68, 0.9))</f>
        <v>0.77519379844961234</v>
      </c>
      <c r="DV4" s="11">
        <f>1-((1-DU4)*(1-((1-(2899.4/9995.6))/5)))</f>
        <v>0.80711323835200666</v>
      </c>
      <c r="DW4" s="4">
        <f>AVERAGE(DR4,DS4,DU4)</f>
        <v>0.43373126614987073</v>
      </c>
      <c r="DX4" s="4">
        <f>AVERAGE(DR4,DT4,DV4)</f>
        <v>0.47925242324193706</v>
      </c>
      <c r="DY4" s="4">
        <f>(COUNT(DR4,DS4,DU4))/5</f>
        <v>0.6</v>
      </c>
      <c r="DZ4" s="3">
        <v>997</v>
      </c>
      <c r="EA4" s="3">
        <v>997</v>
      </c>
      <c r="EB4" s="3">
        <v>997</v>
      </c>
      <c r="EC4" s="11"/>
      <c r="ED4" s="3">
        <v>997</v>
      </c>
      <c r="EE4" s="3">
        <v>1</v>
      </c>
      <c r="EF4" s="3">
        <v>1</v>
      </c>
      <c r="EG4" s="11">
        <f>1-((1-EF4)*(1-((1-(2899.4/9995.6))/5)))</f>
        <v>1</v>
      </c>
      <c r="EH4" s="4">
        <f>AVERAGE(EE4:EF4)</f>
        <v>1</v>
      </c>
      <c r="EI4" s="4">
        <f>AVERAGE(EE4,EG4)</f>
        <v>1</v>
      </c>
      <c r="EJ4" s="4">
        <v>1</v>
      </c>
      <c r="EK4" s="3">
        <v>1</v>
      </c>
      <c r="EL4" s="3">
        <v>997</v>
      </c>
      <c r="EM4" s="3">
        <v>0.96099999999999997</v>
      </c>
      <c r="EN4" s="3">
        <v>0.95899999999999996</v>
      </c>
      <c r="EO4" s="11">
        <f>1-((1-EN4)*(1-((1-(2899.4/9995.6))/5)))</f>
        <v>0.9648214454359918</v>
      </c>
      <c r="EP4" s="3">
        <v>1</v>
      </c>
      <c r="EQ4" s="7">
        <v>9.83</v>
      </c>
      <c r="ER4" s="7" t="s">
        <v>397</v>
      </c>
      <c r="ES4" s="3">
        <v>1</v>
      </c>
      <c r="ET4" s="11">
        <f>1-((1-ES4)*(1-((1-(2899.4/9995.6))/5)))</f>
        <v>1</v>
      </c>
      <c r="EU4" s="4">
        <f>AVERAGE(EK4,ES4,EM4,EN4,EP4,ES4)</f>
        <v>0.98666666666666669</v>
      </c>
      <c r="EV4" s="4">
        <f>AVERAGE(EK4,EM4,EO4,EP4,ET4)</f>
        <v>0.98516428908719822</v>
      </c>
      <c r="EW4" s="4">
        <f>COUNT(EK4,EM4,EP4,ES4,EN4)/5</f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0.66</v>
      </c>
      <c r="FP4" s="1">
        <v>1</v>
      </c>
      <c r="FQ4" s="2">
        <f>AVERAGE(EX4:FP4)</f>
        <v>0.9821052631578947</v>
      </c>
      <c r="FR4" s="2">
        <f>FQ4</f>
        <v>0.9821052631578947</v>
      </c>
      <c r="FS4" s="2">
        <v>1</v>
      </c>
      <c r="FT4" s="1">
        <v>1.07</v>
      </c>
      <c r="FU4" s="1">
        <v>999</v>
      </c>
      <c r="FV4" s="1">
        <v>999</v>
      </c>
      <c r="FW4" s="1">
        <v>999</v>
      </c>
      <c r="FX4" s="1">
        <v>999</v>
      </c>
      <c r="FY4" s="1">
        <v>999</v>
      </c>
      <c r="FZ4" s="1">
        <v>999</v>
      </c>
      <c r="GA4" s="1">
        <v>999</v>
      </c>
      <c r="GB4" s="1">
        <v>999</v>
      </c>
      <c r="GC4" s="1">
        <v>999</v>
      </c>
      <c r="GD4" s="1">
        <v>999</v>
      </c>
      <c r="GE4" s="1">
        <v>0.85299999999999998</v>
      </c>
      <c r="GF4" s="11">
        <f>1-((1-GE4)*(1-((1-(2899.4/9995.6))/5)))</f>
        <v>0.8738720116851415</v>
      </c>
      <c r="GG4" s="1">
        <v>999</v>
      </c>
      <c r="GH4" s="11"/>
      <c r="GI4" s="1">
        <v>999</v>
      </c>
      <c r="GJ4" s="11"/>
      <c r="GK4" s="1">
        <v>999</v>
      </c>
      <c r="GL4" s="1">
        <v>999</v>
      </c>
      <c r="GM4" s="1"/>
      <c r="GN4" s="1">
        <v>999</v>
      </c>
      <c r="GO4" s="1">
        <v>999</v>
      </c>
      <c r="GP4" s="1">
        <v>999</v>
      </c>
      <c r="GQ4" s="1">
        <v>999</v>
      </c>
      <c r="GR4" s="1">
        <v>999</v>
      </c>
      <c r="GS4" s="1">
        <v>999</v>
      </c>
      <c r="GT4" s="1">
        <v>7.0000000000000001E-3</v>
      </c>
      <c r="GU4" s="11">
        <f>1-((1-GT4)*(1-((1-(2899.4/9995.6))/5)))</f>
        <v>0.14799256873024136</v>
      </c>
      <c r="GV4" s="1">
        <v>999</v>
      </c>
      <c r="GW4" s="11"/>
      <c r="GX4" s="1">
        <v>999</v>
      </c>
      <c r="GY4" s="11"/>
      <c r="GZ4" s="1">
        <v>999</v>
      </c>
      <c r="HA4" s="11"/>
      <c r="HB4" s="1">
        <v>999</v>
      </c>
      <c r="HC4" s="11"/>
      <c r="HD4" s="1">
        <v>999</v>
      </c>
      <c r="HE4" s="11"/>
      <c r="HF4" s="1">
        <v>999</v>
      </c>
      <c r="HG4" s="11"/>
      <c r="HH4" s="1">
        <v>999</v>
      </c>
      <c r="HI4" s="11"/>
      <c r="HJ4" s="1">
        <v>999</v>
      </c>
      <c r="HK4" s="11"/>
      <c r="HL4" s="1">
        <v>999</v>
      </c>
      <c r="HM4" s="11"/>
      <c r="HN4" s="1">
        <v>999</v>
      </c>
      <c r="HO4" s="1">
        <v>0.34</v>
      </c>
      <c r="HP4" s="11">
        <f>1-((1-HO4)*(1-((1-(2899.4/9995.6))/5)))</f>
        <v>0.43371107287206379</v>
      </c>
      <c r="HQ4" s="1">
        <v>999</v>
      </c>
      <c r="HR4" s="11"/>
      <c r="HS4" s="1">
        <v>999</v>
      </c>
      <c r="HT4" s="11"/>
      <c r="HU4" s="1">
        <v>999</v>
      </c>
      <c r="HV4" s="11"/>
      <c r="HW4" s="1">
        <v>999</v>
      </c>
      <c r="HX4" s="11"/>
      <c r="HY4" s="1">
        <v>999</v>
      </c>
      <c r="HZ4" s="11"/>
      <c r="IA4" s="1">
        <v>999</v>
      </c>
      <c r="IB4" s="11"/>
      <c r="IC4" s="1">
        <v>999</v>
      </c>
      <c r="ID4" s="11"/>
      <c r="IE4" s="1">
        <v>999</v>
      </c>
      <c r="IF4" s="11"/>
      <c r="IG4" s="1">
        <v>999</v>
      </c>
      <c r="IH4" s="11"/>
      <c r="II4" s="1">
        <v>999</v>
      </c>
      <c r="IJ4" s="1">
        <v>0.94499999999999995</v>
      </c>
      <c r="IK4" s="1">
        <v>999</v>
      </c>
      <c r="IL4" s="1">
        <v>999</v>
      </c>
      <c r="IM4" s="1">
        <v>999</v>
      </c>
      <c r="IN4" s="1">
        <v>999</v>
      </c>
      <c r="IO4" s="1">
        <v>999</v>
      </c>
      <c r="IP4" s="1">
        <v>999</v>
      </c>
      <c r="IQ4" s="1">
        <v>999</v>
      </c>
      <c r="IR4" s="1">
        <v>999</v>
      </c>
      <c r="IS4" s="1">
        <v>999</v>
      </c>
      <c r="IT4" s="1">
        <v>999</v>
      </c>
      <c r="IU4" s="1">
        <v>0.86199999999999999</v>
      </c>
      <c r="IV4" s="11">
        <f>1-((1-IU4)*(1-((1-(2899.4/9995.6))/5)))</f>
        <v>0.88159413341870418</v>
      </c>
      <c r="IW4" s="1">
        <v>999</v>
      </c>
      <c r="IX4" s="11"/>
      <c r="IY4" s="1">
        <v>999</v>
      </c>
      <c r="IZ4" s="11"/>
      <c r="JA4" s="1">
        <v>999</v>
      </c>
      <c r="JB4" s="1">
        <v>999</v>
      </c>
      <c r="JC4" s="1">
        <v>999</v>
      </c>
      <c r="JD4" s="1">
        <v>999</v>
      </c>
      <c r="JE4" s="1">
        <v>999</v>
      </c>
      <c r="JF4" s="1">
        <v>999</v>
      </c>
      <c r="JG4" s="1">
        <v>999</v>
      </c>
      <c r="JH4" s="1">
        <v>999</v>
      </c>
      <c r="JI4" s="1">
        <v>0.79</v>
      </c>
      <c r="JJ4" s="1">
        <v>999</v>
      </c>
      <c r="JK4" s="1">
        <v>999</v>
      </c>
      <c r="JL4" s="1">
        <v>999</v>
      </c>
      <c r="JM4" s="1">
        <v>999</v>
      </c>
      <c r="JN4" s="1">
        <v>999</v>
      </c>
      <c r="JO4" s="1">
        <v>999</v>
      </c>
      <c r="JP4" s="1">
        <v>999</v>
      </c>
      <c r="JQ4" s="1">
        <v>999</v>
      </c>
      <c r="JR4" s="1">
        <v>999</v>
      </c>
      <c r="JS4" s="1">
        <v>999</v>
      </c>
      <c r="JT4" s="1">
        <v>0.75</v>
      </c>
      <c r="JU4" s="11">
        <f>1-((1-JT4)*(1-((1-(2899.4/9995.6))/5)))</f>
        <v>0.78549661851214536</v>
      </c>
      <c r="JV4" s="1">
        <v>999</v>
      </c>
      <c r="JW4" s="11"/>
      <c r="JX4" s="1">
        <v>999</v>
      </c>
      <c r="JY4" s="11"/>
      <c r="JZ4" s="1">
        <v>999</v>
      </c>
      <c r="KA4" s="11"/>
      <c r="KB4" s="1">
        <v>999</v>
      </c>
      <c r="KC4" s="11"/>
      <c r="KD4" s="1">
        <v>999</v>
      </c>
      <c r="KE4" s="11"/>
      <c r="KF4" s="1">
        <v>999</v>
      </c>
      <c r="KG4" s="11"/>
      <c r="KH4" s="1">
        <v>999</v>
      </c>
      <c r="KI4" s="11"/>
      <c r="KJ4" s="1">
        <v>999</v>
      </c>
      <c r="KK4" s="11"/>
      <c r="KL4" s="1">
        <v>999</v>
      </c>
      <c r="KM4" s="11"/>
      <c r="KN4" s="1">
        <v>999</v>
      </c>
      <c r="KO4" s="11"/>
      <c r="KP4" s="1">
        <v>0.91</v>
      </c>
      <c r="KQ4" s="11">
        <f>1-((1-KP4)*(1-((1-(2899.4/9995.6))/5)))</f>
        <v>0.9227787826643723</v>
      </c>
      <c r="KR4" s="1">
        <v>999</v>
      </c>
      <c r="KS4" s="11"/>
      <c r="KT4" s="1">
        <v>999</v>
      </c>
      <c r="KU4" s="11"/>
      <c r="KV4" s="1">
        <v>999</v>
      </c>
      <c r="KW4" s="11"/>
      <c r="KX4" s="1">
        <v>999</v>
      </c>
      <c r="KY4" s="11"/>
      <c r="KZ4" s="1">
        <v>999</v>
      </c>
      <c r="LA4" s="1">
        <v>999</v>
      </c>
      <c r="LB4" s="1">
        <v>999</v>
      </c>
      <c r="LC4" s="1">
        <v>999</v>
      </c>
      <c r="LD4" s="1">
        <v>999</v>
      </c>
      <c r="LE4" s="1">
        <v>999</v>
      </c>
      <c r="LF4" s="11"/>
      <c r="LG4" s="1">
        <v>0.5675</v>
      </c>
      <c r="LH4" s="11">
        <f>1-((1-LG4)*(1-((1-(2899.4/9995.6))/5)))</f>
        <v>0.62890915002601155</v>
      </c>
      <c r="LI4" s="1">
        <v>999</v>
      </c>
      <c r="LJ4" s="11"/>
      <c r="LK4" s="1">
        <v>999</v>
      </c>
      <c r="LL4" s="11"/>
      <c r="LM4" s="1">
        <v>999</v>
      </c>
      <c r="LN4" s="11"/>
      <c r="LO4" s="1">
        <v>999</v>
      </c>
      <c r="LP4" s="11"/>
      <c r="LQ4" s="1">
        <v>999</v>
      </c>
      <c r="LR4" s="11"/>
      <c r="LS4" s="1">
        <v>999</v>
      </c>
      <c r="LT4" s="1">
        <v>999</v>
      </c>
      <c r="LU4" s="11"/>
      <c r="LV4" s="1">
        <v>999</v>
      </c>
      <c r="LW4" s="1">
        <v>999</v>
      </c>
      <c r="LX4" s="11"/>
      <c r="LY4" s="1">
        <v>999</v>
      </c>
      <c r="LZ4" s="2">
        <f>AVERAGE(LG4,KP4,JT4,JI4,IU4,IJ4,HO4,GT4,GE4,FT4)</f>
        <v>0.70945000000000003</v>
      </c>
      <c r="MA4" s="2">
        <f>AVERAGE(LH4,KQ4,JU4,JI4,IV4,IJ4,HP4,GU4,GF4,FT4)</f>
        <v>0.74793543379086791</v>
      </c>
      <c r="MB4" s="4">
        <f>(COUNT(LG4,KP4,JT4,JI4,IU4,IJ4,HO4,GT4,GE4,FT4))/110</f>
        <v>9.0909090909090912E-2</v>
      </c>
      <c r="MC4" s="1">
        <v>1</v>
      </c>
      <c r="MD4" s="1">
        <v>1</v>
      </c>
      <c r="ME4" s="1">
        <v>1</v>
      </c>
      <c r="MF4" s="1">
        <v>1</v>
      </c>
      <c r="MG4" s="1">
        <v>1</v>
      </c>
      <c r="MH4" s="1">
        <v>1</v>
      </c>
      <c r="MI4" s="1">
        <v>1</v>
      </c>
      <c r="MJ4" s="1">
        <v>1</v>
      </c>
      <c r="MK4" s="1">
        <v>1</v>
      </c>
      <c r="ML4" s="1">
        <v>1</v>
      </c>
      <c r="MM4" s="1">
        <v>1</v>
      </c>
      <c r="MN4" s="1">
        <v>1</v>
      </c>
      <c r="MO4" s="1">
        <v>1</v>
      </c>
      <c r="MP4" s="1">
        <v>1</v>
      </c>
      <c r="MQ4" s="1">
        <v>1</v>
      </c>
      <c r="MR4" s="1">
        <v>1</v>
      </c>
      <c r="MS4" s="1">
        <v>1</v>
      </c>
      <c r="MT4" s="1">
        <v>1</v>
      </c>
      <c r="MU4" s="1">
        <v>1</v>
      </c>
      <c r="MV4" s="3">
        <v>0</v>
      </c>
      <c r="MW4" s="11">
        <f>1-((1-MV4)*(1-((1-(2899.4/9995.6))/5)))</f>
        <v>0.14198647404858145</v>
      </c>
      <c r="MX4" s="8">
        <f>AVERAGE(MC4:MV4)</f>
        <v>0.95</v>
      </c>
      <c r="MY4" s="8">
        <f>AVERAGE(MC4:MU4,MW4)</f>
        <v>0.95709932370242912</v>
      </c>
      <c r="MZ4" s="8">
        <f>(COUNT(MC4:MV4))/20</f>
        <v>1</v>
      </c>
      <c r="NA4" s="1">
        <v>1</v>
      </c>
      <c r="NB4" s="1"/>
      <c r="NC4" s="1">
        <v>1</v>
      </c>
      <c r="ND4" s="1">
        <v>0.33</v>
      </c>
      <c r="NE4" s="9">
        <f>AVERAGE(NA4:ND4)</f>
        <v>0.77666666666666673</v>
      </c>
      <c r="NF4" s="9">
        <v>1</v>
      </c>
      <c r="NG4" s="1">
        <v>997</v>
      </c>
      <c r="NH4" s="1">
        <v>997</v>
      </c>
      <c r="NI4" s="1">
        <v>997</v>
      </c>
      <c r="NJ4" s="1">
        <v>997</v>
      </c>
      <c r="NK4" s="1">
        <v>997</v>
      </c>
      <c r="NL4" s="1">
        <v>997</v>
      </c>
      <c r="NM4" s="1">
        <v>997</v>
      </c>
      <c r="NN4" s="1">
        <v>997</v>
      </c>
      <c r="NO4" s="1">
        <v>0.7</v>
      </c>
      <c r="NP4" s="1">
        <v>0.67200000000000004</v>
      </c>
      <c r="NQ4" s="1">
        <v>0.70599999999999996</v>
      </c>
      <c r="NR4" s="1">
        <v>999</v>
      </c>
      <c r="NS4" s="1">
        <v>999</v>
      </c>
      <c r="NT4" s="1">
        <v>999</v>
      </c>
      <c r="NU4" s="1">
        <v>999</v>
      </c>
      <c r="NV4" s="1">
        <v>999</v>
      </c>
      <c r="NW4" s="1">
        <v>999</v>
      </c>
      <c r="NX4" s="1">
        <v>999</v>
      </c>
      <c r="NY4" s="1">
        <v>999</v>
      </c>
      <c r="NZ4" s="1">
        <v>0.67120000000000002</v>
      </c>
      <c r="OA4" s="1">
        <v>999</v>
      </c>
      <c r="OB4" s="1">
        <v>999</v>
      </c>
      <c r="OC4" s="1">
        <v>999</v>
      </c>
      <c r="OD4" s="1">
        <v>999</v>
      </c>
      <c r="OE4" s="1">
        <v>999</v>
      </c>
      <c r="OF4" s="1">
        <v>999</v>
      </c>
      <c r="OG4" s="1">
        <v>999</v>
      </c>
      <c r="OH4" s="1">
        <v>999</v>
      </c>
      <c r="OI4" s="1">
        <v>999</v>
      </c>
      <c r="OJ4" s="1">
        <v>999</v>
      </c>
      <c r="OK4" s="1">
        <v>0.69030000000000002</v>
      </c>
      <c r="OL4" s="1">
        <v>999</v>
      </c>
      <c r="OM4" s="1">
        <v>999</v>
      </c>
      <c r="ON4" s="1">
        <v>999</v>
      </c>
      <c r="OO4" s="1">
        <v>999</v>
      </c>
      <c r="OP4" s="1">
        <v>999</v>
      </c>
      <c r="OQ4" s="1">
        <v>999</v>
      </c>
      <c r="OR4" s="1">
        <v>999</v>
      </c>
      <c r="OS4" s="1">
        <v>999</v>
      </c>
      <c r="OT4" s="1">
        <v>999</v>
      </c>
      <c r="OU4" s="1">
        <v>999</v>
      </c>
      <c r="OV4" s="1">
        <v>0.54</v>
      </c>
      <c r="OW4" s="11">
        <f>1-((1-OV4)*(1-((1-(2899.4/9995.6))/5)))</f>
        <v>0.60531377806234743</v>
      </c>
      <c r="OX4" s="1">
        <v>0.49</v>
      </c>
      <c r="OY4" s="11">
        <f>1-((1-OX4)*(1-((1-(2899.4/9995.6))/5)))</f>
        <v>0.56241310176477655</v>
      </c>
      <c r="OZ4" s="1">
        <v>0.53500000000000003</v>
      </c>
      <c r="PA4" s="11">
        <f>1-((1-OZ4)*(1-((1-(2899.4/9995.6))/5)))</f>
        <v>0.6010237104325904</v>
      </c>
      <c r="PB4" s="1">
        <v>999</v>
      </c>
      <c r="PC4" s="1">
        <v>999</v>
      </c>
      <c r="PD4" s="1">
        <v>999</v>
      </c>
      <c r="PE4" s="1">
        <v>999</v>
      </c>
      <c r="PF4" s="1">
        <v>999</v>
      </c>
      <c r="PG4" s="1">
        <v>999</v>
      </c>
      <c r="PH4" s="1">
        <v>999</v>
      </c>
      <c r="PI4" s="1">
        <v>999</v>
      </c>
      <c r="PJ4" s="1">
        <v>0.53990000000000005</v>
      </c>
      <c r="PK4" s="11">
        <f>1-((1-PJ4)*(1-((1-(2899.4/9995.6))/5)))</f>
        <v>0.60522797670975237</v>
      </c>
      <c r="PL4" s="1">
        <v>999</v>
      </c>
      <c r="PM4" s="11"/>
      <c r="PN4" s="1">
        <v>999</v>
      </c>
      <c r="PO4" s="11"/>
      <c r="PP4" s="1">
        <v>999</v>
      </c>
      <c r="PQ4" s="11"/>
      <c r="PR4" s="1">
        <v>999</v>
      </c>
      <c r="PS4" s="11"/>
      <c r="PT4" s="1">
        <v>999</v>
      </c>
      <c r="PU4" s="11"/>
      <c r="PV4" s="1">
        <v>999</v>
      </c>
      <c r="PW4" s="11"/>
      <c r="PX4" s="1">
        <v>999</v>
      </c>
      <c r="PY4" s="11"/>
      <c r="PZ4" s="1">
        <v>999</v>
      </c>
      <c r="QA4" s="11"/>
      <c r="QB4" s="1">
        <v>999</v>
      </c>
      <c r="QC4" s="11"/>
      <c r="QD4" s="1">
        <v>999</v>
      </c>
      <c r="QE4" s="11"/>
      <c r="QF4" s="1">
        <v>0.46829999999999999</v>
      </c>
      <c r="QG4" s="11">
        <f>1-((1-QF4)*(1-((1-(2899.4/9995.6))/5)))</f>
        <v>0.54379420825163072</v>
      </c>
      <c r="QH4" s="1">
        <v>999</v>
      </c>
      <c r="QI4" s="11"/>
      <c r="QJ4" s="1">
        <v>999</v>
      </c>
      <c r="QK4" s="11"/>
      <c r="QL4" s="1">
        <v>999</v>
      </c>
      <c r="QM4" s="11"/>
      <c r="QN4" s="1">
        <v>999</v>
      </c>
      <c r="QO4" s="11"/>
      <c r="QP4" s="1">
        <v>999</v>
      </c>
      <c r="QQ4" s="11"/>
      <c r="QR4" s="1">
        <v>999</v>
      </c>
      <c r="QS4" s="11"/>
      <c r="QT4" s="1">
        <v>999</v>
      </c>
      <c r="QU4" s="11"/>
      <c r="QV4" s="1">
        <v>999</v>
      </c>
      <c r="QW4" s="11"/>
      <c r="QX4" s="1">
        <v>999</v>
      </c>
      <c r="QY4" s="11"/>
      <c r="QZ4" s="1">
        <v>999</v>
      </c>
      <c r="RA4" s="11"/>
      <c r="RB4" s="1">
        <v>0.97750000000000004</v>
      </c>
      <c r="RC4" s="1">
        <v>0.97019999999999995</v>
      </c>
      <c r="RD4" s="1">
        <v>0.9849</v>
      </c>
      <c r="RE4" s="1">
        <v>999</v>
      </c>
      <c r="RF4" s="1">
        <v>999</v>
      </c>
      <c r="RG4" s="1">
        <v>999</v>
      </c>
      <c r="RH4" s="1">
        <v>999</v>
      </c>
      <c r="RI4" s="1">
        <v>999</v>
      </c>
      <c r="RJ4" s="1">
        <v>999</v>
      </c>
      <c r="RK4" s="1">
        <v>999</v>
      </c>
      <c r="RL4" s="1">
        <v>999</v>
      </c>
      <c r="RM4" s="1">
        <v>0.95420000000000005</v>
      </c>
      <c r="RN4" s="1">
        <v>0.95009999999999994</v>
      </c>
      <c r="RO4" s="1">
        <v>0.95830000000000004</v>
      </c>
      <c r="RP4" s="1">
        <v>999</v>
      </c>
      <c r="RQ4" s="1">
        <v>999</v>
      </c>
      <c r="RR4" s="1">
        <v>999</v>
      </c>
      <c r="RS4" s="1">
        <v>999</v>
      </c>
      <c r="RT4" s="1">
        <v>999</v>
      </c>
      <c r="RU4" s="1">
        <v>999</v>
      </c>
      <c r="RV4" s="1">
        <v>999</v>
      </c>
      <c r="RW4" s="1">
        <v>999</v>
      </c>
      <c r="RX4" s="2">
        <f>AVERAGE(RM4:RO4,RB4:RD4,QF4,PJ4,OZ4,OX4,OV4,OK4,NO4:NQ4,)</f>
        <v>0.69604375000000007</v>
      </c>
      <c r="RY4" s="2">
        <f>AVERAGE(RM4:RO4,RB4:RD4,QG4,PK4,PA4,OY4,OW4,OK4,NZ4,NO4:NQ4,)</f>
        <v>0.71485133971888815</v>
      </c>
      <c r="RZ4" s="4">
        <f>(COUNT(RM4:RO4,RB4:RD4,QF4,PJ4,OZ4,OX4,OV4,OK4,NO4:NQ4))/88</f>
        <v>0.17045454545454544</v>
      </c>
      <c r="SA4" s="1">
        <v>1</v>
      </c>
      <c r="SB4" s="3">
        <v>0.66</v>
      </c>
      <c r="SC4" s="3">
        <v>3.5999999999999999E-3</v>
      </c>
      <c r="SD4" s="11">
        <f>1-((1-SC4)*(1-((1-(2899.4/9995.6))/5)))</f>
        <v>0.14507532274200663</v>
      </c>
      <c r="SE4" s="3">
        <v>999</v>
      </c>
      <c r="SF4" s="3">
        <v>999</v>
      </c>
      <c r="SG4" s="8">
        <f>AVERAGE(SA4:SC4)</f>
        <v>0.55453333333333343</v>
      </c>
      <c r="SH4" s="8">
        <f>AVERAGE(SA4:SB4,SD4)</f>
        <v>0.60169177424733566</v>
      </c>
      <c r="SI4" s="8">
        <f>(COUNT(SA4:SC4))/5</f>
        <v>0.6</v>
      </c>
      <c r="SJ4" s="1">
        <v>999</v>
      </c>
      <c r="SK4" s="1">
        <v>1</v>
      </c>
      <c r="SL4" s="1">
        <v>0.96</v>
      </c>
      <c r="SM4" s="1">
        <v>999</v>
      </c>
      <c r="SN4" s="11"/>
      <c r="SO4" s="9">
        <f>AVERAGE(SK4:SL4)</f>
        <v>0.98</v>
      </c>
      <c r="SP4" s="9">
        <f>AVERAGE(SK4:SL4)</f>
        <v>0.98</v>
      </c>
      <c r="SQ4" s="9">
        <f>(COUNT(SK4,SL4))/4</f>
        <v>0.5</v>
      </c>
      <c r="SR4" s="1">
        <v>0</v>
      </c>
      <c r="SS4" s="1">
        <v>999</v>
      </c>
      <c r="ST4" s="1">
        <v>0.33</v>
      </c>
      <c r="SU4" s="1">
        <v>999</v>
      </c>
      <c r="SV4" s="9">
        <f>AVERAGE(SR4,ST4)</f>
        <v>0.16500000000000001</v>
      </c>
      <c r="SW4" s="9">
        <f>(COUNT(ST4,SR4)/3)</f>
        <v>0.66666666666666663</v>
      </c>
      <c r="SX4" s="3">
        <v>1</v>
      </c>
      <c r="SY4" s="11">
        <f>1-((1-SX4)*(1-((1-(2899.4/9995.6))/5)))</f>
        <v>1</v>
      </c>
      <c r="SZ4" s="3">
        <v>0.85</v>
      </c>
      <c r="TA4" s="11">
        <f>1-((1-SZ4)*(1-((1-(2899.4/9995.6))/5)))</f>
        <v>0.87129797110728724</v>
      </c>
      <c r="TB4" s="3">
        <v>1</v>
      </c>
      <c r="TC4" s="11">
        <f>1-((1-TB4)*(1-((1-(2899.4/9995.6))/5)))</f>
        <v>1</v>
      </c>
      <c r="TD4" s="3">
        <v>1</v>
      </c>
      <c r="TE4" s="11">
        <f>1-((1-TD4)*(1-((1-(2899.4/9995.6))/5)))</f>
        <v>1</v>
      </c>
      <c r="TF4" s="3">
        <v>0.96599999999999997</v>
      </c>
      <c r="TG4" s="3">
        <v>1</v>
      </c>
      <c r="TH4" s="11">
        <f>1-((1-TG4)*(1-((1-(2899.4/9995.6))/5)))</f>
        <v>1</v>
      </c>
      <c r="TI4" s="3">
        <v>0.66</v>
      </c>
      <c r="TJ4" s="11">
        <f>1-((1-TI4)*(1-((1-(2899.4/9995.6))/5)))</f>
        <v>0.70827540117651777</v>
      </c>
      <c r="TK4" s="9">
        <f>AVERAGE(SX4,SZ4,TB4,TD4,TF4,TG4,TI4)</f>
        <v>0.92514285714285716</v>
      </c>
      <c r="TL4" s="9">
        <f>AVERAGE(SY4,TA4,TC4,TF4,TE4,TH4,TJ4)</f>
        <v>0.93508191032625787</v>
      </c>
      <c r="TM4" s="9">
        <v>1</v>
      </c>
      <c r="TN4" s="1"/>
      <c r="TO4" s="1"/>
      <c r="TP4" s="10"/>
      <c r="TQ4" s="1">
        <f t="shared" si="0"/>
        <v>0.9375</v>
      </c>
      <c r="TR4" s="1">
        <f t="shared" si="1"/>
        <v>1</v>
      </c>
      <c r="TS4" s="1">
        <f t="shared" si="2"/>
        <v>1</v>
      </c>
      <c r="TT4" s="1">
        <f t="shared" si="3"/>
        <v>1</v>
      </c>
      <c r="TU4" s="1">
        <f t="shared" si="4"/>
        <v>0.32942727272727274</v>
      </c>
      <c r="TV4" s="1">
        <f t="shared" si="4"/>
        <v>0.38925290237704596</v>
      </c>
      <c r="TW4" s="1">
        <f t="shared" si="5"/>
        <v>0.13400000000000001</v>
      </c>
      <c r="TX4" s="1">
        <f t="shared" si="5"/>
        <v>0.1954091500260115</v>
      </c>
      <c r="TY4" s="1">
        <f t="shared" si="6"/>
        <v>0.88349999999999995</v>
      </c>
      <c r="TZ4" s="1">
        <f t="shared" si="6"/>
        <v>0.89177071211332992</v>
      </c>
      <c r="UA4" s="1">
        <f t="shared" si="7"/>
        <v>0.43373126614987073</v>
      </c>
      <c r="UB4" s="1">
        <f t="shared" si="7"/>
        <v>0.47925242324193706</v>
      </c>
      <c r="UC4" s="1">
        <f t="shared" si="8"/>
        <v>1</v>
      </c>
      <c r="UD4" s="1">
        <f t="shared" si="8"/>
        <v>1</v>
      </c>
      <c r="UE4" s="1">
        <f t="shared" si="9"/>
        <v>0.98666666666666669</v>
      </c>
      <c r="UF4" s="1">
        <f t="shared" si="9"/>
        <v>0.98516428908719822</v>
      </c>
      <c r="UG4" s="1">
        <f t="shared" si="10"/>
        <v>0.9821052631578947</v>
      </c>
      <c r="UH4" s="1">
        <f t="shared" si="10"/>
        <v>0.9821052631578947</v>
      </c>
      <c r="UI4" s="1">
        <f t="shared" si="11"/>
        <v>0.70945000000000003</v>
      </c>
      <c r="UJ4" s="1">
        <f t="shared" si="11"/>
        <v>0.74793543379086791</v>
      </c>
      <c r="UK4" s="1">
        <f t="shared" si="12"/>
        <v>0.95</v>
      </c>
      <c r="UL4" s="11">
        <f t="shared" si="12"/>
        <v>0.95709932370242912</v>
      </c>
      <c r="UM4" s="11">
        <f t="shared" si="13"/>
        <v>0.77666666666666673</v>
      </c>
      <c r="UN4" s="1">
        <f t="shared" si="14"/>
        <v>0.69604375000000007</v>
      </c>
      <c r="UO4" s="1">
        <f t="shared" si="14"/>
        <v>0.71485133971888815</v>
      </c>
      <c r="UP4" s="1">
        <f t="shared" si="15"/>
        <v>0.55453333333333343</v>
      </c>
      <c r="UQ4" s="1">
        <f t="shared" si="15"/>
        <v>0.60169177424733566</v>
      </c>
      <c r="UR4" s="1">
        <f t="shared" si="16"/>
        <v>0.98</v>
      </c>
      <c r="US4" s="1">
        <f t="shared" si="16"/>
        <v>0.98</v>
      </c>
      <c r="UT4" s="1">
        <f t="shared" si="17"/>
        <v>0.16500000000000001</v>
      </c>
      <c r="UU4" s="1">
        <f t="shared" si="18"/>
        <v>0.92514285714285716</v>
      </c>
      <c r="UV4" s="1">
        <f t="shared" si="18"/>
        <v>0.93508191032625787</v>
      </c>
      <c r="UX4" s="10">
        <f>AVERAGE(TQ4:TU4)</f>
        <v>0.85338545454545456</v>
      </c>
      <c r="UY4" s="10">
        <f>AVERAGE(TQ4:TT4,TV4)</f>
        <v>0.86535058047540914</v>
      </c>
      <c r="UZ4" s="10">
        <f>UY4*(39/40)</f>
        <v>0.84371681596352388</v>
      </c>
      <c r="VA4" s="10">
        <f t="shared" si="20"/>
        <v>0.61280781653746774</v>
      </c>
      <c r="VB4" s="10">
        <f t="shared" si="20"/>
        <v>0.64160807134531961</v>
      </c>
      <c r="VC4" s="10">
        <f>VB4*(11/13)</f>
        <v>0.54289913729219352</v>
      </c>
      <c r="VD4" s="10">
        <f t="shared" si="21"/>
        <v>0.89274064327485381</v>
      </c>
      <c r="VE4" s="10">
        <f t="shared" si="21"/>
        <v>0.90506832867865361</v>
      </c>
      <c r="VF4" s="10">
        <f>VE4*(34/48)</f>
        <v>0.64109006614737962</v>
      </c>
      <c r="VG4" s="10">
        <f>AVERAGE(UK4,UM4,UN4)</f>
        <v>0.80757013888888896</v>
      </c>
      <c r="VH4" s="10">
        <f>AVERAGE(UL4,UM4,UO4)</f>
        <v>0.8162057766959947</v>
      </c>
      <c r="VI4" s="10">
        <f>VH4*(38/38)</f>
        <v>0.8162057766959947</v>
      </c>
      <c r="VJ4" s="10">
        <f>AVERAGE(UP4,UR4,UT4,UU4,)</f>
        <v>0.52493523809523812</v>
      </c>
      <c r="VK4" s="10">
        <f>AVERAGE(UQ4,US4,UT4,UV4)</f>
        <v>0.67044342114339839</v>
      </c>
      <c r="VL4" s="10">
        <f>VK4*(14/16)</f>
        <v>0.58663799350047363</v>
      </c>
      <c r="VM4" s="10">
        <f t="shared" si="19"/>
        <v>0.73828785826838073</v>
      </c>
      <c r="VN4" s="10">
        <f t="shared" si="19"/>
        <v>0.77973523566775504</v>
      </c>
      <c r="VO4" s="10">
        <f t="shared" si="19"/>
        <v>0.68610995791991303</v>
      </c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</row>
    <row r="5" spans="1:610" ht="30" x14ac:dyDescent="0.25">
      <c r="A5" s="1" t="s">
        <v>398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0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997</v>
      </c>
      <c r="X5" s="1">
        <v>997</v>
      </c>
      <c r="Y5" s="1">
        <v>997</v>
      </c>
      <c r="Z5" s="1">
        <v>997</v>
      </c>
      <c r="AA5" s="1">
        <v>997</v>
      </c>
      <c r="AB5" s="1">
        <v>997</v>
      </c>
      <c r="AC5" s="1">
        <v>997</v>
      </c>
      <c r="AD5" s="1">
        <v>997</v>
      </c>
      <c r="AE5" s="1">
        <v>997</v>
      </c>
      <c r="AF5" s="1">
        <v>997</v>
      </c>
      <c r="AG5" s="1">
        <v>997</v>
      </c>
      <c r="AH5" s="6">
        <f>AVERAGE(B5:V5)</f>
        <v>0.8571428571428571</v>
      </c>
      <c r="AI5" s="6">
        <v>1</v>
      </c>
      <c r="AJ5" s="1">
        <v>0.5</v>
      </c>
      <c r="AK5" s="1">
        <v>0.5</v>
      </c>
      <c r="AL5" s="1">
        <v>0.5</v>
      </c>
      <c r="AM5" s="1">
        <v>0.5</v>
      </c>
      <c r="AN5" s="1">
        <v>1</v>
      </c>
      <c r="AO5" s="1">
        <v>1</v>
      </c>
      <c r="AP5" s="1">
        <v>1</v>
      </c>
      <c r="AQ5" s="2">
        <f>AVERAGE(AJ5:AP5)</f>
        <v>0.7142857142857143</v>
      </c>
      <c r="AR5" s="2">
        <v>1</v>
      </c>
      <c r="AS5" s="1">
        <v>1</v>
      </c>
      <c r="AT5" s="1">
        <v>1</v>
      </c>
      <c r="AU5" s="3">
        <v>1</v>
      </c>
      <c r="AV5" s="11">
        <f>1-((1-AU5)*(1-((1-(864.9/9995.6))/5)))</f>
        <v>1</v>
      </c>
      <c r="AW5" s="4">
        <f>AVERAGE(AS5:AU5)</f>
        <v>1</v>
      </c>
      <c r="AX5" s="4">
        <v>1</v>
      </c>
      <c r="AY5" s="1">
        <v>1</v>
      </c>
      <c r="AZ5" s="1">
        <v>1</v>
      </c>
      <c r="BA5" s="13">
        <v>997</v>
      </c>
      <c r="BB5" s="13">
        <v>997</v>
      </c>
      <c r="BC5" s="2">
        <f>AVERAGE(AY5:AZ5)</f>
        <v>1</v>
      </c>
      <c r="BD5" s="2">
        <v>1</v>
      </c>
      <c r="BE5" s="3">
        <v>8.3000000000000004E-2</v>
      </c>
      <c r="BF5" s="11">
        <f>1-((1-BE5)*(1-((1-(864.9/9995.6))/5)))</f>
        <v>0.2505307515306735</v>
      </c>
      <c r="BG5" s="3">
        <v>3.5400000000000001E-2</v>
      </c>
      <c r="BH5" s="11">
        <f>1-((1-BG5)*(1-((1-(864.9/9995.6))/5)))</f>
        <v>0.21162700428188397</v>
      </c>
      <c r="BI5" s="3">
        <v>5.91E-2</v>
      </c>
      <c r="BJ5" s="11">
        <f>1-((1-BI5)*(1-((1-(864.9/9995.6))/5)))</f>
        <v>0.23099714734483179</v>
      </c>
      <c r="BK5" s="3">
        <v>999</v>
      </c>
      <c r="BL5" s="11"/>
      <c r="BM5" s="3">
        <v>0.55500000000000005</v>
      </c>
      <c r="BN5" s="11">
        <f>1-((1-BM5)*(1-((1-(864.9/9995.6))/5)))</f>
        <v>0.63629900156068675</v>
      </c>
      <c r="BO5" s="3">
        <v>0.155</v>
      </c>
      <c r="BP5" s="11">
        <f>1-((1-BO5)*(1-((1-(864.9/9995.6))/5)))</f>
        <v>0.30937675577253987</v>
      </c>
      <c r="BQ5" s="3">
        <v>1.7000000000000001E-2</v>
      </c>
      <c r="BR5" s="11">
        <f>1-((1-BQ5)*(1-((1-(864.9/9995.6))/5)))</f>
        <v>0.19658858097562926</v>
      </c>
      <c r="BS5" s="3">
        <v>0.27300000000000002</v>
      </c>
      <c r="BT5" s="11">
        <f>1-((1-BS5)*(1-((1-(864.9/9995.6))/5)))</f>
        <v>0.40581881828004318</v>
      </c>
      <c r="BU5" s="3">
        <v>999</v>
      </c>
      <c r="BV5" s="11"/>
      <c r="BW5" s="3">
        <v>999</v>
      </c>
      <c r="BX5" s="11"/>
      <c r="BY5" s="3">
        <v>0.16</v>
      </c>
      <c r="BZ5" s="11">
        <f>1-((1-BY5)*(1-((1-(864.9/9995.6))/5)))</f>
        <v>0.31346328384489175</v>
      </c>
      <c r="CA5" s="3">
        <v>0.96</v>
      </c>
      <c r="CB5" s="11">
        <f>1-((1-CA5)*(1-((1-(864.9/9995.6))/5)))</f>
        <v>0.96730777542118529</v>
      </c>
      <c r="CC5" s="4">
        <f>AVERAGE(BE5,BG5,BI5,BM5,BO5,BQ5,BS5,BY5,CA5)</f>
        <v>0.25527777777777783</v>
      </c>
      <c r="CD5" s="4">
        <f>AVERAGE(CB5,BT5,BH5,BZ5,BR5,BP5,BN5,BJ5,BF5,)</f>
        <v>0.35220091190123654</v>
      </c>
      <c r="CE5" s="4">
        <f>(COUNT(BE5,BG5,BI5,BM5,BO5,BQ5,BS5,BY5,CA5))/12</f>
        <v>0.75</v>
      </c>
      <c r="CF5" s="5">
        <v>997</v>
      </c>
      <c r="CG5" s="5">
        <v>997</v>
      </c>
      <c r="CH5" s="5">
        <v>997</v>
      </c>
      <c r="CI5" s="11"/>
      <c r="CJ5" s="5">
        <v>997</v>
      </c>
      <c r="CK5" s="11"/>
      <c r="CL5" s="5">
        <v>0.13900000000000001</v>
      </c>
      <c r="CM5" s="5">
        <f>10*0.0256</f>
        <v>0.25600000000000001</v>
      </c>
      <c r="CN5" s="11">
        <f>1-((1-CM5)*(1-((1-(864.9/9995.6))/5)))</f>
        <v>0.39192462283404694</v>
      </c>
      <c r="CO5" s="6">
        <f>AVERAGE(CL5:CM5)</f>
        <v>0.19750000000000001</v>
      </c>
      <c r="CP5" s="6">
        <f>AVERAGE(CL5,CN5)</f>
        <v>0.26546231141702348</v>
      </c>
      <c r="CQ5" s="6">
        <v>1</v>
      </c>
      <c r="CR5" s="5">
        <v>997</v>
      </c>
      <c r="CS5" s="5">
        <v>997</v>
      </c>
      <c r="CT5" s="5">
        <v>997</v>
      </c>
      <c r="CU5" s="11"/>
      <c r="CV5" s="5">
        <v>997</v>
      </c>
      <c r="CW5" s="11"/>
      <c r="CX5" s="5">
        <v>997</v>
      </c>
      <c r="CY5" s="5">
        <v>997</v>
      </c>
      <c r="CZ5" s="1">
        <v>1</v>
      </c>
      <c r="DA5" s="3">
        <v>1</v>
      </c>
      <c r="DB5" s="11">
        <f>1-((1-DA5)*(1-((1-(864.9/9995.6))/5)))</f>
        <v>1</v>
      </c>
      <c r="DC5" s="3">
        <v>0.436</v>
      </c>
      <c r="DD5" s="3">
        <v>0.436</v>
      </c>
      <c r="DE5" s="11">
        <f>1-((1-DD5)*(1-((1-(864.9/9995.6))/5)))</f>
        <v>0.53903963343871297</v>
      </c>
      <c r="DF5" s="4">
        <f>AVERAGE(CZ5,DA5,DD5,DC5)</f>
        <v>0.71799999999999997</v>
      </c>
      <c r="DG5" s="4">
        <f>AVERAGE(CZ5,DB5,DC5,DE5)</f>
        <v>0.7437599083596782</v>
      </c>
      <c r="DH5" s="4">
        <f>(COUNT(CZ5,DA5,DC5,DD5))/4</f>
        <v>1</v>
      </c>
      <c r="DI5" s="3">
        <v>0.98899999999999999</v>
      </c>
      <c r="DJ5" s="3">
        <v>0.89200000000000002</v>
      </c>
      <c r="DK5" s="11">
        <f>1-((1-DJ5)*(1-((1-(864.9/9995.6))/5)))</f>
        <v>0.91173099363720034</v>
      </c>
      <c r="DL5" s="13">
        <v>997</v>
      </c>
      <c r="DM5" s="13">
        <v>997</v>
      </c>
      <c r="DN5" s="13">
        <v>997</v>
      </c>
      <c r="DO5" s="11"/>
      <c r="DP5" s="13">
        <v>997</v>
      </c>
      <c r="DQ5" s="11"/>
      <c r="DR5" s="1">
        <v>0.22700000000000001</v>
      </c>
      <c r="DS5" s="3">
        <f>10*0.0357</f>
        <v>0.35700000000000004</v>
      </c>
      <c r="DT5" s="11">
        <f>1-((1-DS5)*(1-((1-(864.9/9995.6))/5)))</f>
        <v>0.47447248989555402</v>
      </c>
      <c r="DU5" s="11">
        <v>0.5</v>
      </c>
      <c r="DV5" s="11">
        <f>1-((1-DU5)*(1-((1-(864.9/9995.6))/5)))</f>
        <v>0.59134719276481651</v>
      </c>
      <c r="DW5" s="4">
        <f>AVERAGE(DI5,DJ5,DR5,DS5,DU5)</f>
        <v>0.59300000000000008</v>
      </c>
      <c r="DX5" s="4">
        <f>AVERAGE(DI5,DK5,DR5,DT5,DV5)</f>
        <v>0.63871013525951414</v>
      </c>
      <c r="DY5" s="4">
        <f>(COUNT(DI5,DJ5,DR5,DS5,DU5))/5</f>
        <v>1</v>
      </c>
      <c r="DZ5" s="3">
        <v>997</v>
      </c>
      <c r="EA5" s="3">
        <v>997</v>
      </c>
      <c r="EB5" s="3">
        <v>997</v>
      </c>
      <c r="EC5" s="11"/>
      <c r="ED5" s="3">
        <v>997</v>
      </c>
      <c r="EE5" s="3">
        <v>0.27</v>
      </c>
      <c r="EF5" s="3">
        <v>0.5</v>
      </c>
      <c r="EG5" s="11">
        <f>1-((1-EF5)*(1-((1-(864.9/9995.6))/5)))</f>
        <v>0.59134719276481651</v>
      </c>
      <c r="EH5" s="4">
        <f>AVERAGE(EE5:EF5)</f>
        <v>0.38500000000000001</v>
      </c>
      <c r="EI5" s="4">
        <f>AVERAGE(EE5,EG5)</f>
        <v>0.43067359638240826</v>
      </c>
      <c r="EJ5" s="4">
        <v>1</v>
      </c>
      <c r="EK5" s="3">
        <v>1</v>
      </c>
      <c r="EL5" s="3">
        <v>997</v>
      </c>
      <c r="EM5" s="3">
        <v>0.98109999999999997</v>
      </c>
      <c r="EN5" s="3">
        <v>0.98109999999999997</v>
      </c>
      <c r="EO5" s="11">
        <f>1-((1-EN5)*(1-((1-(864.9/9995.6))/5)))</f>
        <v>0.98455292388651006</v>
      </c>
      <c r="EP5" s="3">
        <v>1</v>
      </c>
      <c r="EQ5" s="7">
        <v>692.44</v>
      </c>
      <c r="ER5" s="7" t="s">
        <v>399</v>
      </c>
      <c r="ES5" s="3">
        <v>0</v>
      </c>
      <c r="ET5" s="11">
        <f>1-((1-ES5)*(1-((1-(864.9/9995.6))/5)))</f>
        <v>0.18269438552963302</v>
      </c>
      <c r="EU5" s="4">
        <f>AVERAGE(EK5,ES5,EM5,EN5,EP5,ES5)</f>
        <v>0.66036666666666666</v>
      </c>
      <c r="EV5" s="4">
        <f>AVERAGE(EK5,EM5,EO5,EP5,ET5)</f>
        <v>0.82966946188322854</v>
      </c>
      <c r="EW5" s="4">
        <f>COUNT(EK5,EM5,EP5,ES5,EN5)/5</f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0</v>
      </c>
      <c r="FO5" s="1">
        <v>0</v>
      </c>
      <c r="FP5" s="1">
        <v>1</v>
      </c>
      <c r="FQ5" s="2">
        <f>AVERAGE(EX5:FP5)</f>
        <v>0.89473684210526316</v>
      </c>
      <c r="FR5" s="2">
        <f>FQ5</f>
        <v>0.89473684210526316</v>
      </c>
      <c r="FS5" s="2">
        <v>1</v>
      </c>
      <c r="FT5" s="1">
        <v>0.96199999999999997</v>
      </c>
      <c r="FU5" s="1">
        <v>0.95099999999999996</v>
      </c>
      <c r="FV5" s="1">
        <v>0.97199999999999998</v>
      </c>
      <c r="FW5" s="1">
        <v>999</v>
      </c>
      <c r="FX5" s="1">
        <v>999</v>
      </c>
      <c r="FY5" s="1">
        <v>999</v>
      </c>
      <c r="FZ5" s="1">
        <v>999</v>
      </c>
      <c r="GA5" s="1">
        <v>999</v>
      </c>
      <c r="GB5" s="1">
        <v>999</v>
      </c>
      <c r="GC5" s="1">
        <v>999</v>
      </c>
      <c r="GD5" s="1">
        <v>999</v>
      </c>
      <c r="GE5" s="1">
        <v>0.45500000000000002</v>
      </c>
      <c r="GF5" s="11">
        <f>1-((1-GE5)*(1-((1-(864.9/9995.6))/5)))</f>
        <v>0.55456844011365003</v>
      </c>
      <c r="GG5" s="1">
        <v>0.47199999999999998</v>
      </c>
      <c r="GH5" s="11">
        <f>1-((1-GG5)*(1-((1-(864.9/9995.6))/5)))</f>
        <v>0.56846263555964627</v>
      </c>
      <c r="GI5" s="1">
        <v>0.438</v>
      </c>
      <c r="GJ5" s="11">
        <f>1-((1-GI5)*(1-((1-(864.9/9995.6))/5)))</f>
        <v>0.54067424466765379</v>
      </c>
      <c r="GK5" s="1">
        <v>999</v>
      </c>
      <c r="GL5" s="1">
        <v>999</v>
      </c>
      <c r="GM5" s="1"/>
      <c r="GN5" s="1">
        <v>999</v>
      </c>
      <c r="GO5" s="1">
        <v>999</v>
      </c>
      <c r="GP5" s="1">
        <v>999</v>
      </c>
      <c r="GQ5" s="1">
        <v>999</v>
      </c>
      <c r="GR5" s="1">
        <v>999</v>
      </c>
      <c r="GS5" s="1">
        <v>999</v>
      </c>
      <c r="GT5" s="1">
        <v>999</v>
      </c>
      <c r="GU5" s="11"/>
      <c r="GV5" s="1">
        <v>999</v>
      </c>
      <c r="GW5" s="11"/>
      <c r="GX5" s="1">
        <v>999</v>
      </c>
      <c r="GY5" s="11"/>
      <c r="GZ5" s="1">
        <v>999</v>
      </c>
      <c r="HA5" s="11"/>
      <c r="HB5" s="1">
        <v>999</v>
      </c>
      <c r="HC5" s="11"/>
      <c r="HD5" s="1">
        <v>999</v>
      </c>
      <c r="HE5" s="11"/>
      <c r="HF5" s="1">
        <v>999</v>
      </c>
      <c r="HG5" s="11"/>
      <c r="HH5" s="1">
        <v>999</v>
      </c>
      <c r="HI5" s="11"/>
      <c r="HJ5" s="1">
        <v>999</v>
      </c>
      <c r="HK5" s="11"/>
      <c r="HL5" s="1">
        <v>999</v>
      </c>
      <c r="HM5" s="11"/>
      <c r="HN5" s="1">
        <v>999</v>
      </c>
      <c r="HO5" s="1">
        <v>5.5E-2</v>
      </c>
      <c r="HP5" s="11">
        <f>1-((1-HO5)*(1-((1-(864.9/9995.6))/5)))</f>
        <v>0.22764619432550326</v>
      </c>
      <c r="HQ5" s="1">
        <v>7.9000000000000001E-2</v>
      </c>
      <c r="HR5" s="11">
        <f>1-((1-HQ5)*(1-((1-(864.9/9995.6))/5)))</f>
        <v>0.24726152907279197</v>
      </c>
      <c r="HS5" s="1">
        <v>3.5000000000000003E-2</v>
      </c>
      <c r="HT5" s="11">
        <f>1-((1-HS5)*(1-((1-(864.9/9995.6))/5)))</f>
        <v>0.21130008203609585</v>
      </c>
      <c r="HU5" s="1">
        <v>999</v>
      </c>
      <c r="HV5" s="11"/>
      <c r="HW5" s="1">
        <v>999</v>
      </c>
      <c r="HX5" s="11"/>
      <c r="HY5" s="1">
        <v>999</v>
      </c>
      <c r="HZ5" s="11"/>
      <c r="IA5" s="1">
        <v>999</v>
      </c>
      <c r="IB5" s="11"/>
      <c r="IC5" s="1">
        <v>999</v>
      </c>
      <c r="ID5" s="11"/>
      <c r="IE5" s="1">
        <v>999</v>
      </c>
      <c r="IF5" s="11"/>
      <c r="IG5" s="1">
        <v>999</v>
      </c>
      <c r="IH5" s="11"/>
      <c r="II5" s="1">
        <v>999</v>
      </c>
      <c r="IJ5" s="1">
        <v>0.89700000000000002</v>
      </c>
      <c r="IK5" s="1">
        <v>0.89100000000000001</v>
      </c>
      <c r="IL5" s="1">
        <v>0.90300000000000002</v>
      </c>
      <c r="IM5" s="1">
        <v>999</v>
      </c>
      <c r="IN5" s="1">
        <v>999</v>
      </c>
      <c r="IO5" s="1">
        <v>999</v>
      </c>
      <c r="IP5" s="1">
        <v>999</v>
      </c>
      <c r="IQ5" s="1">
        <v>999</v>
      </c>
      <c r="IR5" s="1">
        <v>999</v>
      </c>
      <c r="IS5" s="1">
        <v>999</v>
      </c>
      <c r="IT5" s="1">
        <v>999</v>
      </c>
      <c r="IU5" s="1">
        <v>0.33700000000000002</v>
      </c>
      <c r="IV5" s="11">
        <f>1-((1-IU5)*(1-((1-(864.9/9995.6))/5)))</f>
        <v>0.45812637760614672</v>
      </c>
      <c r="IW5" s="1">
        <v>0.33700000000000002</v>
      </c>
      <c r="IX5" s="11">
        <f>1-((1-IW5)*(1-((1-(864.9/9995.6))/5)))</f>
        <v>0.45812637760614672</v>
      </c>
      <c r="IY5" s="1">
        <v>0.33700000000000002</v>
      </c>
      <c r="IZ5" s="11">
        <f>1-((1-IY5)*(1-((1-(864.9/9995.6))/5)))</f>
        <v>0.45812637760614672</v>
      </c>
      <c r="JA5" s="1">
        <v>999</v>
      </c>
      <c r="JB5" s="1">
        <v>999</v>
      </c>
      <c r="JC5" s="1">
        <v>999</v>
      </c>
      <c r="JD5" s="1">
        <v>999</v>
      </c>
      <c r="JE5" s="1">
        <v>999</v>
      </c>
      <c r="JF5" s="1">
        <v>999</v>
      </c>
      <c r="JG5" s="1">
        <v>999</v>
      </c>
      <c r="JH5" s="1">
        <v>999</v>
      </c>
      <c r="JI5" s="1">
        <v>0.872</v>
      </c>
      <c r="JJ5" s="1">
        <v>0.83399999999999996</v>
      </c>
      <c r="JK5" s="1">
        <v>0.90900000000000003</v>
      </c>
      <c r="JL5" s="1">
        <v>999</v>
      </c>
      <c r="JM5" s="1">
        <v>999</v>
      </c>
      <c r="JN5" s="1">
        <v>999</v>
      </c>
      <c r="JO5" s="1">
        <v>999</v>
      </c>
      <c r="JP5" s="1">
        <v>999</v>
      </c>
      <c r="JQ5" s="1">
        <v>999</v>
      </c>
      <c r="JR5" s="1">
        <v>999</v>
      </c>
      <c r="JS5" s="1">
        <v>999</v>
      </c>
      <c r="JT5" s="1">
        <v>0.42399999999999999</v>
      </c>
      <c r="JU5" s="11">
        <f>1-((1-JT5)*(1-((1-(864.9/9995.6))/5)))</f>
        <v>0.52923196606506862</v>
      </c>
      <c r="JV5" s="1">
        <v>0.46500000000000002</v>
      </c>
      <c r="JW5" s="11">
        <f>1-((1-JV5)*(1-((1-(864.9/9995.6))/5)))</f>
        <v>0.56274149625835368</v>
      </c>
      <c r="JX5" s="1">
        <v>0.38500000000000001</v>
      </c>
      <c r="JY5" s="11">
        <f>1-((1-JX5)*(1-((1-(864.9/9995.6))/5)))</f>
        <v>0.49735704710072426</v>
      </c>
      <c r="JZ5" s="1">
        <v>999</v>
      </c>
      <c r="KA5" s="11"/>
      <c r="KB5" s="1">
        <v>999</v>
      </c>
      <c r="KC5" s="11"/>
      <c r="KD5" s="1">
        <v>999</v>
      </c>
      <c r="KE5" s="11"/>
      <c r="KF5" s="1">
        <v>999</v>
      </c>
      <c r="KG5" s="11"/>
      <c r="KH5" s="1">
        <v>999</v>
      </c>
      <c r="KI5" s="11"/>
      <c r="KJ5" s="1">
        <v>999</v>
      </c>
      <c r="KK5" s="11"/>
      <c r="KL5" s="1">
        <v>999</v>
      </c>
      <c r="KM5" s="11"/>
      <c r="KN5" s="1">
        <v>999</v>
      </c>
      <c r="KO5" s="11"/>
      <c r="KP5" s="1">
        <v>999</v>
      </c>
      <c r="KQ5" s="11"/>
      <c r="KR5" s="1">
        <v>999</v>
      </c>
      <c r="KS5" s="11"/>
      <c r="KT5" s="1">
        <v>999</v>
      </c>
      <c r="KU5" s="11"/>
      <c r="KV5" s="1">
        <v>999</v>
      </c>
      <c r="KW5" s="11"/>
      <c r="KX5" s="1">
        <v>999</v>
      </c>
      <c r="KY5" s="11"/>
      <c r="KZ5" s="1">
        <v>999</v>
      </c>
      <c r="LA5" s="1">
        <v>999</v>
      </c>
      <c r="LB5" s="1">
        <v>999</v>
      </c>
      <c r="LC5" s="1">
        <v>999</v>
      </c>
      <c r="LD5" s="1">
        <v>999</v>
      </c>
      <c r="LE5" s="1">
        <v>999</v>
      </c>
      <c r="LF5" s="11"/>
      <c r="LG5" s="1">
        <v>999</v>
      </c>
      <c r="LH5" s="11"/>
      <c r="LI5" s="1">
        <v>999</v>
      </c>
      <c r="LJ5" s="11"/>
      <c r="LK5" s="1">
        <v>999</v>
      </c>
      <c r="LL5" s="11"/>
      <c r="LM5" s="1">
        <v>999</v>
      </c>
      <c r="LN5" s="11"/>
      <c r="LO5" s="1">
        <v>999</v>
      </c>
      <c r="LP5" s="11"/>
      <c r="LQ5" s="1">
        <v>999</v>
      </c>
      <c r="LR5" s="11"/>
      <c r="LS5" s="1">
        <v>999</v>
      </c>
      <c r="LT5" s="1">
        <v>999</v>
      </c>
      <c r="LU5" s="11"/>
      <c r="LV5" s="1">
        <v>999</v>
      </c>
      <c r="LW5" s="1">
        <v>999</v>
      </c>
      <c r="LX5" s="11"/>
      <c r="LY5" s="1">
        <v>999</v>
      </c>
      <c r="LZ5" s="2">
        <f>AVERAGE(JX5,JV5,JT5,JI5:JK5,IY5,IW5,IU5,IJ5:IL5,HS5,HQ5,HO5,GI5,GG5,GE5,FT5:FV5)</f>
        <v>0.5719047619047618</v>
      </c>
      <c r="MA5" s="2">
        <f>AVERAGE(JY5,JW5,JU5,JI5:JK5,IZ5,IX5,IV5,IJ5:IL5,HT5,HR5,HP5,GJ5,GH5,GF5,FT5:FV5)</f>
        <v>0.6430772746675204</v>
      </c>
      <c r="MB5" s="4">
        <f>(COUNT(JX5,JV5,JT5,JI5:JK5,IY5,IW5,IU5,IJ5:IL5,HO5,HQ5,HS5,GE5,GG5,GI5,FT5:FV5))/110</f>
        <v>0.19090909090909092</v>
      </c>
      <c r="MC5" s="1">
        <v>1</v>
      </c>
      <c r="MD5" s="1">
        <v>1</v>
      </c>
      <c r="ME5" s="1">
        <v>1</v>
      </c>
      <c r="MF5" s="1">
        <v>1</v>
      </c>
      <c r="MG5" s="1">
        <v>999</v>
      </c>
      <c r="MH5" s="1">
        <v>1</v>
      </c>
      <c r="MI5" s="1">
        <v>1</v>
      </c>
      <c r="MJ5" s="1">
        <v>1</v>
      </c>
      <c r="MK5" s="1">
        <v>1</v>
      </c>
      <c r="ML5" s="1">
        <v>1</v>
      </c>
      <c r="MM5" s="1">
        <v>1</v>
      </c>
      <c r="MN5" s="1">
        <v>1</v>
      </c>
      <c r="MO5" s="1">
        <v>1</v>
      </c>
      <c r="MP5" s="1">
        <v>1</v>
      </c>
      <c r="MQ5" s="1">
        <v>1</v>
      </c>
      <c r="MR5" s="1">
        <v>1</v>
      </c>
      <c r="MS5" s="1">
        <v>1</v>
      </c>
      <c r="MT5" s="1">
        <v>1</v>
      </c>
      <c r="MU5" s="1">
        <v>1</v>
      </c>
      <c r="MV5" s="3">
        <v>0</v>
      </c>
      <c r="MW5" s="11">
        <f>1-((1-MV5)*(1-((1-(864.9/9995.6))/5)))</f>
        <v>0.18269438552963302</v>
      </c>
      <c r="MX5" s="8">
        <f>AVERAGE(MC5:MF5,MH5:MV5)</f>
        <v>0.94736842105263153</v>
      </c>
      <c r="MY5" s="8">
        <f>AVERAGE(MC5:MF5,MH5:MU5,MW5)</f>
        <v>0.95698391502787539</v>
      </c>
      <c r="MZ5" s="8">
        <f>(COUNT(MC5:MF5,MH5:MV5))/20</f>
        <v>0.95</v>
      </c>
      <c r="NA5" s="1">
        <v>1</v>
      </c>
      <c r="NB5" s="1"/>
      <c r="NC5" s="1">
        <v>0</v>
      </c>
      <c r="ND5" s="1">
        <v>0</v>
      </c>
      <c r="NE5" s="9">
        <f>AVERAGE(NA5:ND5)</f>
        <v>0.33333333333333331</v>
      </c>
      <c r="NF5" s="9">
        <v>1</v>
      </c>
      <c r="NG5" s="1">
        <v>997</v>
      </c>
      <c r="NH5" s="1">
        <v>997</v>
      </c>
      <c r="NI5" s="1">
        <v>997</v>
      </c>
      <c r="NJ5" s="1">
        <v>997</v>
      </c>
      <c r="NK5" s="1">
        <v>997</v>
      </c>
      <c r="NL5" s="1">
        <v>997</v>
      </c>
      <c r="NM5" s="1">
        <v>997</v>
      </c>
      <c r="NN5" s="1">
        <v>997</v>
      </c>
      <c r="NO5" s="1">
        <v>0.56899999999999995</v>
      </c>
      <c r="NP5" s="1">
        <v>0.60799999999999998</v>
      </c>
      <c r="NQ5" s="1">
        <v>0.54600000000000004</v>
      </c>
      <c r="NR5" s="1">
        <v>999</v>
      </c>
      <c r="NS5" s="1">
        <v>999</v>
      </c>
      <c r="NT5" s="1">
        <v>999</v>
      </c>
      <c r="NU5" s="1">
        <v>999</v>
      </c>
      <c r="NV5" s="1">
        <v>999</v>
      </c>
      <c r="NW5" s="1">
        <v>999</v>
      </c>
      <c r="NX5" s="1">
        <v>999</v>
      </c>
      <c r="NY5" s="1">
        <v>999</v>
      </c>
      <c r="NZ5" s="1">
        <v>999</v>
      </c>
      <c r="OA5" s="1">
        <v>999</v>
      </c>
      <c r="OB5" s="1">
        <v>999</v>
      </c>
      <c r="OC5" s="1">
        <v>999</v>
      </c>
      <c r="OD5" s="1">
        <v>999</v>
      </c>
      <c r="OE5" s="1">
        <v>999</v>
      </c>
      <c r="OF5" s="1">
        <v>999</v>
      </c>
      <c r="OG5" s="1">
        <v>999</v>
      </c>
      <c r="OH5" s="1">
        <v>999</v>
      </c>
      <c r="OI5" s="1">
        <v>999</v>
      </c>
      <c r="OJ5" s="1">
        <v>999</v>
      </c>
      <c r="OK5" s="1">
        <v>999</v>
      </c>
      <c r="OL5" s="1">
        <v>999</v>
      </c>
      <c r="OM5" s="1">
        <v>999</v>
      </c>
      <c r="ON5" s="1">
        <v>999</v>
      </c>
      <c r="OO5" s="1">
        <v>999</v>
      </c>
      <c r="OP5" s="1">
        <v>999</v>
      </c>
      <c r="OQ5" s="1">
        <v>999</v>
      </c>
      <c r="OR5" s="1">
        <v>999</v>
      </c>
      <c r="OS5" s="1">
        <v>999</v>
      </c>
      <c r="OT5" s="1">
        <v>999</v>
      </c>
      <c r="OU5" s="1">
        <v>999</v>
      </c>
      <c r="OV5" s="1">
        <v>0.69799999999999995</v>
      </c>
      <c r="OW5" s="11">
        <f>1-((1-OV5)*(1-((1-(864.9/9995.6))/5)))</f>
        <v>0.75317370442994913</v>
      </c>
      <c r="OX5" s="1">
        <v>0.7702</v>
      </c>
      <c r="OY5" s="11">
        <f>1-((1-OX5)*(1-((1-(864.9/9995.6))/5)))</f>
        <v>0.81218316979470973</v>
      </c>
      <c r="OZ5" s="1">
        <v>0.69399999999999995</v>
      </c>
      <c r="PA5" s="11">
        <f>1-((1-OZ5)*(1-((1-(864.9/9995.6))/5)))</f>
        <v>0.74990448197206772</v>
      </c>
      <c r="PB5" s="1">
        <v>999</v>
      </c>
      <c r="PC5" s="1">
        <v>999</v>
      </c>
      <c r="PD5" s="1">
        <v>999</v>
      </c>
      <c r="PE5" s="1">
        <v>999</v>
      </c>
      <c r="PF5" s="1">
        <v>999</v>
      </c>
      <c r="PG5" s="1">
        <v>999</v>
      </c>
      <c r="PH5" s="1">
        <v>999</v>
      </c>
      <c r="PI5" s="1">
        <v>999</v>
      </c>
      <c r="PJ5" s="1">
        <v>999</v>
      </c>
      <c r="PK5" s="11"/>
      <c r="PL5" s="1">
        <v>999</v>
      </c>
      <c r="PM5" s="11"/>
      <c r="PN5" s="1">
        <v>999</v>
      </c>
      <c r="PO5" s="11"/>
      <c r="PP5" s="1">
        <v>999</v>
      </c>
      <c r="PQ5" s="11"/>
      <c r="PR5" s="1">
        <v>999</v>
      </c>
      <c r="PS5" s="11"/>
      <c r="PT5" s="1">
        <v>999</v>
      </c>
      <c r="PU5" s="11"/>
      <c r="PV5" s="1">
        <v>999</v>
      </c>
      <c r="PW5" s="11"/>
      <c r="PX5" s="1">
        <v>999</v>
      </c>
      <c r="PY5" s="11"/>
      <c r="PZ5" s="1">
        <v>999</v>
      </c>
      <c r="QA5" s="11"/>
      <c r="QB5" s="1">
        <v>999</v>
      </c>
      <c r="QC5" s="11"/>
      <c r="QD5" s="1">
        <v>999</v>
      </c>
      <c r="QE5" s="11"/>
      <c r="QF5" s="1">
        <v>999</v>
      </c>
      <c r="QG5" s="11"/>
      <c r="QH5" s="1">
        <v>999</v>
      </c>
      <c r="QI5" s="11"/>
      <c r="QJ5" s="1">
        <v>999</v>
      </c>
      <c r="QK5" s="11"/>
      <c r="QL5" s="1">
        <v>999</v>
      </c>
      <c r="QM5" s="11"/>
      <c r="QN5" s="1">
        <v>999</v>
      </c>
      <c r="QO5" s="11"/>
      <c r="QP5" s="1">
        <v>999</v>
      </c>
      <c r="QQ5" s="11"/>
      <c r="QR5" s="1">
        <v>999</v>
      </c>
      <c r="QS5" s="11"/>
      <c r="QT5" s="1">
        <v>999</v>
      </c>
      <c r="QU5" s="11"/>
      <c r="QV5" s="1">
        <v>999</v>
      </c>
      <c r="QW5" s="11"/>
      <c r="QX5" s="1">
        <v>999</v>
      </c>
      <c r="QY5" s="11"/>
      <c r="QZ5" s="1">
        <v>999</v>
      </c>
      <c r="RA5" s="11"/>
      <c r="RB5" s="1">
        <v>0.873</v>
      </c>
      <c r="RC5" s="1">
        <v>0.87450000000000006</v>
      </c>
      <c r="RD5" s="1">
        <v>0.87160000000000004</v>
      </c>
      <c r="RE5" s="1">
        <v>999</v>
      </c>
      <c r="RF5" s="1">
        <v>999</v>
      </c>
      <c r="RG5" s="1">
        <v>999</v>
      </c>
      <c r="RH5" s="1">
        <v>999</v>
      </c>
      <c r="RI5" s="1">
        <v>999</v>
      </c>
      <c r="RJ5" s="1">
        <v>999</v>
      </c>
      <c r="RK5" s="1">
        <v>999</v>
      </c>
      <c r="RL5" s="1">
        <v>999</v>
      </c>
      <c r="RM5" s="1">
        <v>0.80300000000000005</v>
      </c>
      <c r="RN5" s="1">
        <v>0.84819999999999995</v>
      </c>
      <c r="RO5" s="1">
        <v>0.75870000000000004</v>
      </c>
      <c r="RP5" s="1">
        <v>999</v>
      </c>
      <c r="RQ5" s="1">
        <v>999</v>
      </c>
      <c r="RR5" s="1">
        <v>999</v>
      </c>
      <c r="RS5" s="1">
        <v>999</v>
      </c>
      <c r="RT5" s="1">
        <v>999</v>
      </c>
      <c r="RU5" s="1">
        <v>999</v>
      </c>
      <c r="RV5" s="1">
        <v>999</v>
      </c>
      <c r="RW5" s="1">
        <v>999</v>
      </c>
      <c r="RX5" s="2">
        <f>AVERAGE(RM5:RO5,RB5:RD5,OZ5,OX5,OV5,NO5:NQ5,)</f>
        <v>0.68570769230769224</v>
      </c>
      <c r="RY5" s="2">
        <f>AVERAGE(RM5:RO5,RB5:RD5,PA5,OY5,OW5,NO5:NQ5,)</f>
        <v>0.69748164278436353</v>
      </c>
      <c r="RZ5" s="4">
        <f>(COUNT(RM5:RO5,RB5:RD5,OX5,OZ5,OV5,NO5:NQ5))/88</f>
        <v>0.13636363636363635</v>
      </c>
      <c r="SA5" s="1">
        <v>1</v>
      </c>
      <c r="SB5" s="3">
        <v>0.33</v>
      </c>
      <c r="SC5" s="3">
        <v>999</v>
      </c>
      <c r="SD5" s="11"/>
      <c r="SE5" s="3">
        <v>999</v>
      </c>
      <c r="SF5" s="3">
        <v>999</v>
      </c>
      <c r="SG5" s="8">
        <f>AVERAGE(SA5:SB5)</f>
        <v>0.66500000000000004</v>
      </c>
      <c r="SH5" s="8">
        <f>AVERAGE(SA5:SB5)</f>
        <v>0.66500000000000004</v>
      </c>
      <c r="SI5" s="8">
        <f>(COUNT(SA5:SB5))/5</f>
        <v>0.4</v>
      </c>
      <c r="SJ5" s="1">
        <v>0</v>
      </c>
      <c r="SK5" s="1">
        <v>0</v>
      </c>
      <c r="SL5" s="1">
        <v>0.99</v>
      </c>
      <c r="SM5" s="1">
        <v>0.01</v>
      </c>
      <c r="SN5" s="11">
        <f>1-((1-SM5)*(1-((1-(864.9/9995.6))/5)))</f>
        <v>0.19086744167433667</v>
      </c>
      <c r="SO5" s="9">
        <f>AVERAGE(SJ5:SM5)</f>
        <v>0.25</v>
      </c>
      <c r="SP5" s="9">
        <f>AVERAGE(SJ5:SL5,SN5)</f>
        <v>0.29521686041858419</v>
      </c>
      <c r="SQ5" s="9">
        <f>(COUNT(SJ5:SM5))/4</f>
        <v>1</v>
      </c>
      <c r="SR5" s="1">
        <v>1</v>
      </c>
      <c r="SS5" s="1">
        <v>999</v>
      </c>
      <c r="ST5" s="1">
        <v>0</v>
      </c>
      <c r="SU5" s="1">
        <v>0</v>
      </c>
      <c r="SV5" s="9">
        <f>AVERAGE(SR5,ST5,SU5)</f>
        <v>0.33333333333333331</v>
      </c>
      <c r="SW5" s="9">
        <f>(COUNT(ST5,SU5,SR5)/3)</f>
        <v>1</v>
      </c>
      <c r="SX5" s="3">
        <v>0</v>
      </c>
      <c r="SY5" s="11">
        <f>1-((1-SX5)*(1-((1-(864.9/9995.6))/5)))</f>
        <v>0.18269438552963302</v>
      </c>
      <c r="SZ5" s="3">
        <v>0.621</v>
      </c>
      <c r="TA5" s="11">
        <f>1-((1-SZ5)*(1-((1-(864.9/9995.6))/5)))</f>
        <v>0.69024117211573088</v>
      </c>
      <c r="TB5" s="3">
        <v>1</v>
      </c>
      <c r="TC5" s="11">
        <f>1-((1-TB5)*(1-((1-(864.9/9995.6))/5)))</f>
        <v>1</v>
      </c>
      <c r="TD5" s="3">
        <v>1</v>
      </c>
      <c r="TE5" s="11">
        <f>1-((1-TD5)*(1-((1-(864.9/9995.6))/5)))</f>
        <v>1</v>
      </c>
      <c r="TF5" s="3">
        <v>0.76900000000000002</v>
      </c>
      <c r="TG5" s="3">
        <v>1</v>
      </c>
      <c r="TH5" s="11">
        <f>1-((1-TG5)*(1-((1-(864.9/9995.6))/5)))</f>
        <v>1</v>
      </c>
      <c r="TI5" s="3">
        <v>1</v>
      </c>
      <c r="TJ5" s="11">
        <f>1-((1-TI5)*(1-((1-(864.9/9995.6))/5)))</f>
        <v>1</v>
      </c>
      <c r="TK5" s="9">
        <f>AVERAGE(SX5,SZ5,TB5,TD5,TF5,TG5,TI5)</f>
        <v>0.77000000000000013</v>
      </c>
      <c r="TL5" s="9">
        <f>AVERAGE(SY5,TA5,TC5,TF5,TE5,TH5,TJ5)</f>
        <v>0.8059907939493377</v>
      </c>
      <c r="TM5" s="9">
        <v>1</v>
      </c>
      <c r="TN5" s="1"/>
      <c r="TO5" s="1"/>
      <c r="TP5" s="10"/>
      <c r="TQ5" s="1">
        <f t="shared" si="0"/>
        <v>0.8571428571428571</v>
      </c>
      <c r="TR5" s="1">
        <f t="shared" si="1"/>
        <v>0.7142857142857143</v>
      </c>
      <c r="TS5" s="1">
        <f t="shared" si="2"/>
        <v>1</v>
      </c>
      <c r="TT5" s="1">
        <f t="shared" si="3"/>
        <v>1</v>
      </c>
      <c r="TU5" s="1">
        <f t="shared" si="4"/>
        <v>0.25527777777777783</v>
      </c>
      <c r="TV5" s="1">
        <f t="shared" si="4"/>
        <v>0.35220091190123654</v>
      </c>
      <c r="TW5" s="1">
        <f t="shared" si="5"/>
        <v>0.19750000000000001</v>
      </c>
      <c r="TX5" s="1">
        <f t="shared" si="5"/>
        <v>0.26546231141702348</v>
      </c>
      <c r="TY5" s="1">
        <f t="shared" si="6"/>
        <v>0.71799999999999997</v>
      </c>
      <c r="TZ5" s="1">
        <f t="shared" si="6"/>
        <v>0.7437599083596782</v>
      </c>
      <c r="UA5" s="1">
        <f t="shared" si="7"/>
        <v>0.59300000000000008</v>
      </c>
      <c r="UB5" s="1">
        <f t="shared" si="7"/>
        <v>0.63871013525951414</v>
      </c>
      <c r="UC5" s="1">
        <f t="shared" si="8"/>
        <v>0.38500000000000001</v>
      </c>
      <c r="UD5" s="1">
        <f t="shared" si="8"/>
        <v>0.43067359638240826</v>
      </c>
      <c r="UE5" s="1">
        <f t="shared" si="9"/>
        <v>0.66036666666666666</v>
      </c>
      <c r="UF5" s="1">
        <f t="shared" si="9"/>
        <v>0.82966946188322854</v>
      </c>
      <c r="UG5" s="1">
        <f t="shared" si="10"/>
        <v>0.89473684210526316</v>
      </c>
      <c r="UH5" s="1">
        <f t="shared" si="10"/>
        <v>0.89473684210526316</v>
      </c>
      <c r="UI5" s="1">
        <f t="shared" si="11"/>
        <v>0.5719047619047618</v>
      </c>
      <c r="UJ5" s="1">
        <f t="shared" si="11"/>
        <v>0.6430772746675204</v>
      </c>
      <c r="UK5" s="1">
        <f t="shared" si="12"/>
        <v>0.94736842105263153</v>
      </c>
      <c r="UL5" s="11">
        <f t="shared" si="12"/>
        <v>0.95698391502787539</v>
      </c>
      <c r="UM5" s="11">
        <f t="shared" si="13"/>
        <v>0.33333333333333331</v>
      </c>
      <c r="UN5" s="1">
        <f t="shared" si="14"/>
        <v>0.68570769230769224</v>
      </c>
      <c r="UO5" s="1">
        <f t="shared" si="14"/>
        <v>0.69748164278436353</v>
      </c>
      <c r="UP5" s="1">
        <f t="shared" si="15"/>
        <v>0.66500000000000004</v>
      </c>
      <c r="UQ5" s="1">
        <f t="shared" si="15"/>
        <v>0.66500000000000004</v>
      </c>
      <c r="UR5" s="1">
        <f t="shared" si="16"/>
        <v>0.25</v>
      </c>
      <c r="US5" s="1">
        <f t="shared" si="16"/>
        <v>0.29521686041858419</v>
      </c>
      <c r="UT5" s="1">
        <f t="shared" si="17"/>
        <v>0.33333333333333331</v>
      </c>
      <c r="UU5" s="1">
        <f t="shared" si="18"/>
        <v>0.77000000000000013</v>
      </c>
      <c r="UV5" s="1">
        <f t="shared" si="18"/>
        <v>0.8059907939493377</v>
      </c>
      <c r="UX5" s="10">
        <f>AVERAGE(TQ5:TU5)</f>
        <v>0.76534126984126982</v>
      </c>
      <c r="UY5" s="10">
        <f>AVERAGE(TQ5:TT5,TV5)</f>
        <v>0.7847258966659616</v>
      </c>
      <c r="UZ5" s="10">
        <f>UY5*(42/45)</f>
        <v>0.73241083688823083</v>
      </c>
      <c r="VA5" s="10">
        <f t="shared" si="20"/>
        <v>0.47337500000000005</v>
      </c>
      <c r="VB5" s="10">
        <f t="shared" si="20"/>
        <v>0.51965148785465598</v>
      </c>
      <c r="VC5" s="10">
        <f>VB5*(13/13)</f>
        <v>0.51965148785465598</v>
      </c>
      <c r="VD5" s="10">
        <f t="shared" si="21"/>
        <v>0.70900275689223058</v>
      </c>
      <c r="VE5" s="10">
        <f t="shared" si="21"/>
        <v>0.78916119288533737</v>
      </c>
      <c r="VF5" s="10">
        <f>VE5*(45/48)</f>
        <v>0.73983861833000375</v>
      </c>
      <c r="VG5" s="10">
        <f>AVERAGE(UK5,UM5,UN5)</f>
        <v>0.65546981556455242</v>
      </c>
      <c r="VH5" s="10">
        <f>AVERAGE(UL5,UM5,UO5)</f>
        <v>0.66259963038185743</v>
      </c>
      <c r="VI5" s="10">
        <f>VH5*(34/38)</f>
        <v>0.59285230086797769</v>
      </c>
      <c r="VJ5" s="10">
        <f>AVERAGE(UP5,UR5,UT5,UU5,)</f>
        <v>0.40366666666666673</v>
      </c>
      <c r="VK5" s="10">
        <f>AVERAGE(UQ5,US5,UT5,UV5)</f>
        <v>0.5248852469253138</v>
      </c>
      <c r="VL5" s="10">
        <f>VK5*((16/16))</f>
        <v>0.5248852469253138</v>
      </c>
      <c r="VM5" s="10">
        <f t="shared" si="19"/>
        <v>0.60137110179294395</v>
      </c>
      <c r="VN5" s="10">
        <f t="shared" si="19"/>
        <v>0.65620469094262535</v>
      </c>
      <c r="VO5" s="10">
        <f t="shared" si="19"/>
        <v>0.62192769817323645</v>
      </c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</row>
    <row r="6" spans="1:610" x14ac:dyDescent="0.25">
      <c r="A6" s="1" t="s">
        <v>400</v>
      </c>
      <c r="B6" s="1">
        <v>1</v>
      </c>
      <c r="C6" s="1">
        <v>1</v>
      </c>
      <c r="D6" s="1">
        <v>1</v>
      </c>
      <c r="E6" s="1">
        <v>1</v>
      </c>
      <c r="F6" s="1">
        <v>0</v>
      </c>
      <c r="G6" s="1">
        <v>0.5</v>
      </c>
      <c r="H6" s="1">
        <v>0.5</v>
      </c>
      <c r="I6" s="1">
        <v>1</v>
      </c>
      <c r="J6" s="1">
        <v>1</v>
      </c>
      <c r="K6" s="1">
        <v>1</v>
      </c>
      <c r="L6" s="1">
        <v>1</v>
      </c>
      <c r="M6" s="1">
        <v>0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997</v>
      </c>
      <c r="X6" s="1">
        <v>997</v>
      </c>
      <c r="Y6" s="1">
        <v>997</v>
      </c>
      <c r="Z6" s="1">
        <v>997</v>
      </c>
      <c r="AA6" s="1">
        <v>997</v>
      </c>
      <c r="AB6" s="1">
        <v>997</v>
      </c>
      <c r="AC6" s="1">
        <v>997</v>
      </c>
      <c r="AD6" s="1">
        <v>997</v>
      </c>
      <c r="AE6" s="1">
        <v>997</v>
      </c>
      <c r="AF6" s="1">
        <v>997</v>
      </c>
      <c r="AG6" s="1">
        <v>997</v>
      </c>
      <c r="AH6" s="6">
        <f>AVERAGE(B6:V6)</f>
        <v>0.8571428571428571</v>
      </c>
      <c r="AI6" s="6">
        <v>1</v>
      </c>
      <c r="AJ6" s="1">
        <v>0.5</v>
      </c>
      <c r="AK6" s="1">
        <v>0.5</v>
      </c>
      <c r="AL6" s="1">
        <v>0.5</v>
      </c>
      <c r="AM6" s="1">
        <v>0.5</v>
      </c>
      <c r="AN6" s="1">
        <v>1</v>
      </c>
      <c r="AO6" s="1">
        <v>1</v>
      </c>
      <c r="AP6" s="1">
        <v>1</v>
      </c>
      <c r="AQ6" s="2">
        <f>AVERAGE(AJ6:AP6)</f>
        <v>0.7142857142857143</v>
      </c>
      <c r="AR6" s="2">
        <v>1</v>
      </c>
      <c r="AS6" s="1">
        <v>0</v>
      </c>
      <c r="AT6" s="1">
        <v>997</v>
      </c>
      <c r="AU6" s="3">
        <v>1</v>
      </c>
      <c r="AV6" s="11">
        <f>1-((1-AU6)*(1-((1-(890.4/9995.6))/5)))</f>
        <v>1</v>
      </c>
      <c r="AW6" s="4">
        <f>AVERAGE(AS6,AU6)</f>
        <v>0.5</v>
      </c>
      <c r="AX6" s="4">
        <v>1</v>
      </c>
      <c r="AY6" s="1">
        <v>1</v>
      </c>
      <c r="AZ6" s="1">
        <v>1</v>
      </c>
      <c r="BA6" s="13">
        <v>997</v>
      </c>
      <c r="BB6" s="13">
        <v>997</v>
      </c>
      <c r="BC6" s="2">
        <f>AVERAGE(AY6:AZ6)</f>
        <v>1</v>
      </c>
      <c r="BD6" s="2">
        <v>1</v>
      </c>
      <c r="BE6" s="3">
        <v>999</v>
      </c>
      <c r="BF6" s="11"/>
      <c r="BG6" s="3">
        <v>1.9699999999999999E-2</v>
      </c>
      <c r="BH6" s="11">
        <f>1-((1-BG6)*(1-((1-(890.4/9995.6))/5)))</f>
        <v>0.19829513305854574</v>
      </c>
      <c r="BI6" s="3">
        <v>6.4699999999999994E-2</v>
      </c>
      <c r="BJ6" s="11">
        <f>1-((1-BI6)*(1-((1-(890.4/9995.6))/5)))</f>
        <v>0.23509684581215728</v>
      </c>
      <c r="BK6" s="3">
        <v>999</v>
      </c>
      <c r="BL6" s="11"/>
      <c r="BM6" s="3">
        <v>0.51580000000000004</v>
      </c>
      <c r="BN6" s="11">
        <f>1-((1-BM6)*(1-((1-(890.4/9995.6))/5)))</f>
        <v>0.60401357077113937</v>
      </c>
      <c r="BO6" s="3">
        <v>0.25600000000000001</v>
      </c>
      <c r="BP6" s="11">
        <f>1-((1-BO6)*(1-((1-(890.4/9995.6))/5)))</f>
        <v>0.391545015806955</v>
      </c>
      <c r="BQ6" s="3">
        <v>999</v>
      </c>
      <c r="BR6" s="11">
        <f>1-((1-BQ6)*(1-((1-(890.4/9995.6))/5)))</f>
        <v>817.18020729120815</v>
      </c>
      <c r="BS6" s="3">
        <v>0.22819999999999999</v>
      </c>
      <c r="BT6" s="11">
        <f>1-((1-BS6)*(1-((1-(890.4/9995.6))/5)))</f>
        <v>0.36880973548361273</v>
      </c>
      <c r="BU6" s="3">
        <v>0.96</v>
      </c>
      <c r="BV6" s="11">
        <f>1-((1-BU6)*(1-((1-(890.4/9995.6))/5)))</f>
        <v>0.96728736644123414</v>
      </c>
      <c r="BW6" s="3">
        <v>999</v>
      </c>
      <c r="BX6" s="11"/>
      <c r="BY6" s="3">
        <v>999</v>
      </c>
      <c r="BZ6" s="11"/>
      <c r="CA6" s="3">
        <v>999</v>
      </c>
      <c r="CB6" s="11"/>
      <c r="CC6" s="4">
        <f>AVERAGE(BG6,BI6,BM6,BO6,BS6,BU6,)</f>
        <v>0.29205714285714285</v>
      </c>
      <c r="CD6" s="4">
        <f>AVERAGE(BT6,BH6,BV6,BP6,BN6,BJ6,)</f>
        <v>0.39500680962480633</v>
      </c>
      <c r="CE6" s="4">
        <f>(COUNT(BG6,BI6,BM6,BO6,BS6,BU6))/12</f>
        <v>0.5</v>
      </c>
      <c r="CF6" s="5">
        <v>997</v>
      </c>
      <c r="CG6" s="5">
        <v>997</v>
      </c>
      <c r="CH6" s="5">
        <v>997</v>
      </c>
      <c r="CI6" s="11"/>
      <c r="CJ6" s="5">
        <v>997</v>
      </c>
      <c r="CK6" s="11"/>
      <c r="CL6" s="5">
        <v>0.23499999999999999</v>
      </c>
      <c r="CM6" s="5">
        <f>10*0.0216</f>
        <v>0.21600000000000003</v>
      </c>
      <c r="CN6" s="11">
        <f>1-((1-CM6)*(1-((1-(890.4/9995.6))/5)))</f>
        <v>0.35883238224818914</v>
      </c>
      <c r="CO6" s="6">
        <f>AVERAGE(CL6:CM6)</f>
        <v>0.22550000000000001</v>
      </c>
      <c r="CP6" s="6">
        <f>AVERAGE(CL6,CN6)</f>
        <v>0.29691619112409456</v>
      </c>
      <c r="CQ6" s="6">
        <v>1</v>
      </c>
      <c r="CR6" s="5">
        <v>997</v>
      </c>
      <c r="CS6" s="5">
        <v>997</v>
      </c>
      <c r="CT6" s="5">
        <v>997</v>
      </c>
      <c r="CU6" s="11"/>
      <c r="CV6" s="5">
        <v>997</v>
      </c>
      <c r="CW6" s="11"/>
      <c r="CX6" s="5">
        <v>997</v>
      </c>
      <c r="CY6" s="5">
        <v>997</v>
      </c>
      <c r="CZ6" s="1">
        <v>1</v>
      </c>
      <c r="DA6" s="3">
        <v>999</v>
      </c>
      <c r="DB6" s="11"/>
      <c r="DC6" s="3">
        <v>0.82</v>
      </c>
      <c r="DD6" s="3">
        <v>0.85699999999999998</v>
      </c>
      <c r="DE6" s="11">
        <f>1-((1-DD6)*(1-((1-(890.4/9995.6))/5)))</f>
        <v>0.88305233502741198</v>
      </c>
      <c r="DF6" s="4">
        <f>AVERAGE(CZ6,DD6,DC6)</f>
        <v>0.89233333333333331</v>
      </c>
      <c r="DG6" s="4">
        <f>AVERAGE(CZ6,DC6,DE6)</f>
        <v>0.90101744500913716</v>
      </c>
      <c r="DH6" s="4">
        <f>(COUNT(CZ6,DC6,DD6))/4</f>
        <v>0.75</v>
      </c>
      <c r="DI6" s="3">
        <v>0.85860000000000003</v>
      </c>
      <c r="DJ6" s="3">
        <v>0.73</v>
      </c>
      <c r="DK6" s="11">
        <f>1-((1-DJ6)*(1-((1-(890.4/9995.6))/5)))</f>
        <v>0.77918972347833049</v>
      </c>
      <c r="DL6" s="13">
        <v>997</v>
      </c>
      <c r="DM6" s="13">
        <v>997</v>
      </c>
      <c r="DN6" s="13">
        <v>997</v>
      </c>
      <c r="DO6" s="11"/>
      <c r="DP6" s="13">
        <v>997</v>
      </c>
      <c r="DQ6" s="11"/>
      <c r="DR6" s="1">
        <v>0.23799999999999999</v>
      </c>
      <c r="DS6" s="3">
        <f>10*0.0323</f>
        <v>0.32300000000000001</v>
      </c>
      <c r="DT6" s="11">
        <f>1-((1-DS6)*(1-((1-(890.4/9995.6))/5)))</f>
        <v>0.44633867701788776</v>
      </c>
      <c r="DU6" s="11">
        <f>1/1.58</f>
        <v>0.63291139240506322</v>
      </c>
      <c r="DV6" s="11">
        <f>1-((1-DU6)*(1-((1-(890.4/9995.6))/5)))</f>
        <v>0.69978912240373092</v>
      </c>
      <c r="DW6" s="4">
        <f>AVERAGE(DI6,DJ6,DR6,DS6,DU6)</f>
        <v>0.55650227848101264</v>
      </c>
      <c r="DX6" s="4">
        <f>AVERAGE(DI6,DK6,DR6,DT6,DV6)</f>
        <v>0.60438350457998991</v>
      </c>
      <c r="DY6" s="4">
        <f>(COUNT(DI6,DJ6,DR6,DS6,DU6))/5</f>
        <v>1</v>
      </c>
      <c r="DZ6" s="3">
        <v>997</v>
      </c>
      <c r="EA6" s="3">
        <v>997</v>
      </c>
      <c r="EB6" s="3">
        <v>997</v>
      </c>
      <c r="EC6" s="11"/>
      <c r="ED6" s="3">
        <v>997</v>
      </c>
      <c r="EE6" s="3">
        <f>1/1.3</f>
        <v>0.76923076923076916</v>
      </c>
      <c r="EF6" s="3">
        <v>0.95</v>
      </c>
      <c r="EG6" s="11">
        <f>1-((1-EF6)*(1-((1-(890.4/9995.6))/5)))</f>
        <v>0.95910920805154265</v>
      </c>
      <c r="EH6" s="4">
        <f>AVERAGE(EE6:EF6)</f>
        <v>0.85961538461538456</v>
      </c>
      <c r="EI6" s="4">
        <f>AVERAGE(EE6,EG6)</f>
        <v>0.86416998864115591</v>
      </c>
      <c r="EJ6" s="4">
        <v>1</v>
      </c>
      <c r="EK6" s="3">
        <v>0.5</v>
      </c>
      <c r="EL6" s="3">
        <v>997</v>
      </c>
      <c r="EM6" s="3">
        <v>0.96199999999999997</v>
      </c>
      <c r="EN6" s="3">
        <v>0.96199999999999997</v>
      </c>
      <c r="EO6" s="11">
        <f>1-((1-EN6)*(1-((1-(890.4/9995.6))/5)))</f>
        <v>0.96892299811917237</v>
      </c>
      <c r="EP6" s="3">
        <v>1</v>
      </c>
      <c r="EQ6" s="7">
        <v>400</v>
      </c>
      <c r="ER6" s="7" t="s">
        <v>401</v>
      </c>
      <c r="ES6" s="3">
        <v>1</v>
      </c>
      <c r="ET6" s="11">
        <f>1-((1-ES6)*(1-((1-(890.4/9995.6))/5)))</f>
        <v>1</v>
      </c>
      <c r="EU6" s="4">
        <f>AVERAGE(EK6,ES6,EM6,EN6,EP6,ES6)</f>
        <v>0.90399999999999991</v>
      </c>
      <c r="EV6" s="4">
        <f>AVERAGE(EK6,EM6,EO6,EP6,ET6)</f>
        <v>0.88618459962383445</v>
      </c>
      <c r="EW6" s="4">
        <f>COUNT(EK6,EM6,EP6,ES6,EN6)/5</f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0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0</v>
      </c>
      <c r="FQ6" s="2">
        <f>AVERAGE(EX6:FP6)</f>
        <v>0.89473684210526316</v>
      </c>
      <c r="FR6" s="2">
        <f>FQ6</f>
        <v>0.89473684210526316</v>
      </c>
      <c r="FS6" s="2">
        <v>1</v>
      </c>
      <c r="FT6" s="1">
        <v>1.091</v>
      </c>
      <c r="FU6" s="1">
        <v>1.105</v>
      </c>
      <c r="FV6" s="1">
        <v>1.077</v>
      </c>
      <c r="FW6" s="1">
        <v>999</v>
      </c>
      <c r="FX6" s="1">
        <v>999</v>
      </c>
      <c r="FY6" s="1">
        <v>999</v>
      </c>
      <c r="FZ6" s="1">
        <v>999</v>
      </c>
      <c r="GA6" s="1">
        <v>999</v>
      </c>
      <c r="GB6" s="1">
        <v>999</v>
      </c>
      <c r="GC6" s="1">
        <v>999</v>
      </c>
      <c r="GD6" s="1">
        <v>999</v>
      </c>
      <c r="GE6" s="1">
        <v>0.52100000000000002</v>
      </c>
      <c r="GF6" s="11">
        <f>1-((1-GE6)*(1-((1-(890.4/9995.6))/5)))</f>
        <v>0.60826621313377882</v>
      </c>
      <c r="GG6" s="1">
        <v>0.52600000000000002</v>
      </c>
      <c r="GH6" s="11">
        <f>1-((1-GG6)*(1-((1-(890.4/9995.6))/5)))</f>
        <v>0.61235529232862462</v>
      </c>
      <c r="GI6" s="1">
        <v>0.51700000000000002</v>
      </c>
      <c r="GJ6" s="11">
        <f>1-((1-GI6)*(1-((1-(890.4/9995.6))/5)))</f>
        <v>0.60499494977790236</v>
      </c>
      <c r="GK6" s="1">
        <v>999</v>
      </c>
      <c r="GL6" s="1">
        <v>999</v>
      </c>
      <c r="GM6" s="1"/>
      <c r="GN6" s="1">
        <v>999</v>
      </c>
      <c r="GO6" s="1">
        <v>999</v>
      </c>
      <c r="GP6" s="1">
        <v>999</v>
      </c>
      <c r="GQ6" s="1">
        <v>999</v>
      </c>
      <c r="GR6" s="1">
        <v>999</v>
      </c>
      <c r="GS6" s="1">
        <v>999</v>
      </c>
      <c r="GT6" s="1">
        <v>999</v>
      </c>
      <c r="GU6" s="11"/>
      <c r="GV6" s="1">
        <v>999</v>
      </c>
      <c r="GW6" s="11"/>
      <c r="GX6" s="1">
        <v>999</v>
      </c>
      <c r="GY6" s="11"/>
      <c r="GZ6" s="1">
        <v>999</v>
      </c>
      <c r="HA6" s="11"/>
      <c r="HB6" s="1">
        <v>999</v>
      </c>
      <c r="HC6" s="11"/>
      <c r="HD6" s="1">
        <v>999</v>
      </c>
      <c r="HE6" s="11"/>
      <c r="HF6" s="1">
        <v>999</v>
      </c>
      <c r="HG6" s="11"/>
      <c r="HH6" s="1">
        <v>999</v>
      </c>
      <c r="HI6" s="11"/>
      <c r="HJ6" s="1">
        <v>999</v>
      </c>
      <c r="HK6" s="11"/>
      <c r="HL6" s="1">
        <v>999</v>
      </c>
      <c r="HM6" s="11"/>
      <c r="HN6" s="1">
        <v>999</v>
      </c>
      <c r="HO6" s="1">
        <v>5.8299999999999998E-2</v>
      </c>
      <c r="HP6" s="11">
        <f>1-((1-HO6)*(1-((1-(890.4/9995.6))/5)))</f>
        <v>0.22986282444275485</v>
      </c>
      <c r="HQ6" s="1">
        <v>6.2899999999999998E-2</v>
      </c>
      <c r="HR6" s="11">
        <f>1-((1-HQ6)*(1-((1-(890.4/9995.6))/5)))</f>
        <v>0.23362477730201281</v>
      </c>
      <c r="HS6" s="1">
        <v>5.3600000000000002E-2</v>
      </c>
      <c r="HT6" s="11">
        <f>1-((1-HS6)*(1-((1-(890.4/9995.6))/5)))</f>
        <v>0.22601908999959974</v>
      </c>
      <c r="HU6" s="1">
        <v>999</v>
      </c>
      <c r="HV6" s="11"/>
      <c r="HW6" s="1">
        <v>999</v>
      </c>
      <c r="HX6" s="11"/>
      <c r="HY6" s="1">
        <v>999</v>
      </c>
      <c r="HZ6" s="11"/>
      <c r="IA6" s="1">
        <v>999</v>
      </c>
      <c r="IB6" s="11"/>
      <c r="IC6" s="1">
        <v>999</v>
      </c>
      <c r="ID6" s="11"/>
      <c r="IE6" s="1">
        <v>999</v>
      </c>
      <c r="IF6" s="11"/>
      <c r="IG6" s="1">
        <v>999</v>
      </c>
      <c r="IH6" s="11"/>
      <c r="II6" s="1">
        <v>999</v>
      </c>
      <c r="IJ6" s="1">
        <v>0.93700000000000006</v>
      </c>
      <c r="IK6" s="1">
        <v>0.93400000000000005</v>
      </c>
      <c r="IL6" s="1">
        <v>0.94</v>
      </c>
      <c r="IM6" s="1">
        <v>999</v>
      </c>
      <c r="IN6" s="1">
        <v>999</v>
      </c>
      <c r="IO6" s="1">
        <v>999</v>
      </c>
      <c r="IP6" s="1">
        <v>999</v>
      </c>
      <c r="IQ6" s="1">
        <v>999</v>
      </c>
      <c r="IR6" s="1">
        <v>999</v>
      </c>
      <c r="IS6" s="1">
        <v>999</v>
      </c>
      <c r="IT6" s="1">
        <v>999</v>
      </c>
      <c r="IU6" s="1">
        <v>0.51500000000000001</v>
      </c>
      <c r="IV6" s="11">
        <f>1-((1-IU6)*(1-((1-(890.4/9995.6))/5)))</f>
        <v>0.6033593180999639</v>
      </c>
      <c r="IW6" s="1">
        <v>0.52100000000000002</v>
      </c>
      <c r="IX6" s="11">
        <f>1-((1-IW6)*(1-((1-(890.4/9995.6))/5)))</f>
        <v>0.60826621313377882</v>
      </c>
      <c r="IY6" s="1">
        <v>0.50900000000000001</v>
      </c>
      <c r="IZ6" s="11">
        <f>1-((1-IY6)*(1-((1-(890.4/9995.6))/5)))</f>
        <v>0.5984524230661491</v>
      </c>
      <c r="JA6" s="1">
        <v>999</v>
      </c>
      <c r="JB6" s="1">
        <v>999</v>
      </c>
      <c r="JC6" s="1">
        <v>999</v>
      </c>
      <c r="JD6" s="1">
        <v>999</v>
      </c>
      <c r="JE6" s="1">
        <v>999</v>
      </c>
      <c r="JF6" s="1">
        <v>999</v>
      </c>
      <c r="JG6" s="1">
        <v>999</v>
      </c>
      <c r="JH6" s="1">
        <v>999</v>
      </c>
      <c r="JI6" s="1">
        <v>0.77439999999999998</v>
      </c>
      <c r="JJ6" s="1">
        <v>0.76329999999999998</v>
      </c>
      <c r="JK6" s="1">
        <v>0.78580000000000005</v>
      </c>
      <c r="JL6" s="1">
        <v>999</v>
      </c>
      <c r="JM6" s="1">
        <v>999</v>
      </c>
      <c r="JN6" s="1">
        <v>999</v>
      </c>
      <c r="JO6" s="1">
        <v>999</v>
      </c>
      <c r="JP6" s="1">
        <v>999</v>
      </c>
      <c r="JQ6" s="1">
        <v>999</v>
      </c>
      <c r="JR6" s="1">
        <v>999</v>
      </c>
      <c r="JS6" s="1">
        <v>999</v>
      </c>
      <c r="JT6" s="1">
        <v>0.63249999999999995</v>
      </c>
      <c r="JU6" s="11">
        <f>1-((1-JT6)*(1-((1-(890.4/9995.6))/5)))</f>
        <v>0.69945267917883869</v>
      </c>
      <c r="JV6" s="1">
        <v>0.65680000000000005</v>
      </c>
      <c r="JW6" s="11">
        <f>1-((1-JV6)*(1-((1-(890.4/9995.6))/5)))</f>
        <v>0.71932560406578894</v>
      </c>
      <c r="JX6" s="1">
        <v>0.60799999999999998</v>
      </c>
      <c r="JY6" s="11">
        <f>1-((1-JX6)*(1-((1-(890.4/9995.6))/5)))</f>
        <v>0.67941619112409457</v>
      </c>
      <c r="JZ6" s="1">
        <v>999</v>
      </c>
      <c r="KA6" s="11"/>
      <c r="KB6" s="1">
        <v>999</v>
      </c>
      <c r="KC6" s="11"/>
      <c r="KD6" s="1">
        <v>999</v>
      </c>
      <c r="KE6" s="11"/>
      <c r="KF6" s="1">
        <v>999</v>
      </c>
      <c r="KG6" s="11"/>
      <c r="KH6" s="1">
        <v>999</v>
      </c>
      <c r="KI6" s="11"/>
      <c r="KJ6" s="1">
        <v>999</v>
      </c>
      <c r="KK6" s="11"/>
      <c r="KL6" s="1">
        <v>999</v>
      </c>
      <c r="KM6" s="11"/>
      <c r="KN6" s="1">
        <v>999</v>
      </c>
      <c r="KO6" s="11"/>
      <c r="KP6" s="1">
        <v>999</v>
      </c>
      <c r="KQ6" s="11"/>
      <c r="KR6" s="1">
        <v>999</v>
      </c>
      <c r="KS6" s="11"/>
      <c r="KT6" s="1">
        <v>999</v>
      </c>
      <c r="KU6" s="11"/>
      <c r="KV6" s="1">
        <v>999</v>
      </c>
      <c r="KW6" s="11"/>
      <c r="KX6" s="1">
        <v>999</v>
      </c>
      <c r="KY6" s="11"/>
      <c r="KZ6" s="1">
        <v>999</v>
      </c>
      <c r="LA6" s="1">
        <v>999</v>
      </c>
      <c r="LB6" s="1">
        <v>999</v>
      </c>
      <c r="LC6" s="1">
        <v>999</v>
      </c>
      <c r="LD6" s="1">
        <v>999</v>
      </c>
      <c r="LE6" s="1">
        <v>999</v>
      </c>
      <c r="LF6" s="11"/>
      <c r="LG6" s="1">
        <v>999</v>
      </c>
      <c r="LH6" s="11"/>
      <c r="LI6" s="1">
        <v>999</v>
      </c>
      <c r="LJ6" s="11"/>
      <c r="LK6" s="1">
        <v>999</v>
      </c>
      <c r="LL6" s="11"/>
      <c r="LM6" s="1">
        <v>999</v>
      </c>
      <c r="LN6" s="11"/>
      <c r="LO6" s="1">
        <v>999</v>
      </c>
      <c r="LP6" s="11"/>
      <c r="LQ6" s="1">
        <v>999</v>
      </c>
      <c r="LR6" s="11"/>
      <c r="LS6" s="1">
        <v>999</v>
      </c>
      <c r="LT6" s="1">
        <v>999</v>
      </c>
      <c r="LU6" s="11"/>
      <c r="LV6" s="1">
        <v>999</v>
      </c>
      <c r="LW6" s="1">
        <v>999</v>
      </c>
      <c r="LX6" s="11"/>
      <c r="LY6" s="1">
        <v>999</v>
      </c>
      <c r="LZ6" s="2">
        <f>AVERAGE(JX6,JV6,JT6,JI6:JK6,IY6,IW6,IU6,IJ6:IL6,HS6,HQ6,HO6,GI6,GG6,GE6,FT6:FV6)</f>
        <v>0.64707619047619047</v>
      </c>
      <c r="MA6" s="2">
        <f>AVERAGE(JY6,JW6,JU6,JI6:JK6,IZ6,IX6,IV6,IJ6:IL6,HT6,HR6,HP6,GJ6,GH6,GF6,FT6:FV6)</f>
        <v>0.70623312265015659</v>
      </c>
      <c r="MB6" s="4">
        <f>(COUNT(JX6,JV6,JT6,JI6:JK6,IY6,IW6,IU6,IJ6:IL6,HO6,HQ6,HS6,GE6,GG6,GI6,FT6:FV6))/110</f>
        <v>0.19090909090909092</v>
      </c>
      <c r="MC6" s="1">
        <v>1</v>
      </c>
      <c r="MD6" s="1">
        <v>1</v>
      </c>
      <c r="ME6" s="1">
        <v>1</v>
      </c>
      <c r="MF6" s="1">
        <v>1</v>
      </c>
      <c r="MG6" s="1">
        <v>0</v>
      </c>
      <c r="MH6" s="1">
        <v>1</v>
      </c>
      <c r="MI6" s="1">
        <v>1</v>
      </c>
      <c r="MJ6" s="1">
        <v>1</v>
      </c>
      <c r="MK6" s="1">
        <v>1</v>
      </c>
      <c r="ML6" s="1">
        <v>1</v>
      </c>
      <c r="MM6" s="1">
        <v>1</v>
      </c>
      <c r="MN6" s="1">
        <v>1</v>
      </c>
      <c r="MO6" s="1">
        <v>1</v>
      </c>
      <c r="MP6" s="1">
        <v>1</v>
      </c>
      <c r="MQ6" s="1">
        <v>1</v>
      </c>
      <c r="MR6" s="1">
        <v>1</v>
      </c>
      <c r="MS6" s="1">
        <v>1</v>
      </c>
      <c r="MT6" s="1">
        <v>1</v>
      </c>
      <c r="MU6" s="1">
        <v>1</v>
      </c>
      <c r="MV6" s="3">
        <v>0</v>
      </c>
      <c r="MW6" s="11">
        <f>1-((1-MV6)*(1-((1-(890.4/9995.6))/5)))</f>
        <v>0.18218416103085355</v>
      </c>
      <c r="MX6" s="8">
        <f>AVERAGE(MC6:MV6)</f>
        <v>0.9</v>
      </c>
      <c r="MY6" s="8">
        <f>AVERAGE(MC6:MU6,MW6)</f>
        <v>0.90910920805154272</v>
      </c>
      <c r="MZ6" s="8">
        <f>(COUNT(MC6:MV6))/20</f>
        <v>1</v>
      </c>
      <c r="NA6" s="1">
        <v>1</v>
      </c>
      <c r="NB6" s="1"/>
      <c r="NC6" s="1">
        <v>1</v>
      </c>
      <c r="ND6" s="1">
        <v>0</v>
      </c>
      <c r="NE6" s="9">
        <f>AVERAGE(NA6:ND6)</f>
        <v>0.66666666666666663</v>
      </c>
      <c r="NF6" s="9">
        <v>1</v>
      </c>
      <c r="NG6" s="1">
        <v>997</v>
      </c>
      <c r="NH6" s="1">
        <v>997</v>
      </c>
      <c r="NI6" s="1">
        <v>997</v>
      </c>
      <c r="NJ6" s="1">
        <v>997</v>
      </c>
      <c r="NK6" s="1">
        <v>997</v>
      </c>
      <c r="NL6" s="1">
        <v>997</v>
      </c>
      <c r="NM6" s="1">
        <v>997</v>
      </c>
      <c r="NN6" s="1">
        <v>997</v>
      </c>
      <c r="NO6" s="1">
        <v>0.496</v>
      </c>
      <c r="NP6" s="1">
        <v>0.46700000000000003</v>
      </c>
      <c r="NQ6" s="1">
        <v>0.56399999999999995</v>
      </c>
      <c r="NR6" s="1">
        <v>999</v>
      </c>
      <c r="NS6" s="1">
        <v>999</v>
      </c>
      <c r="NT6" s="1">
        <v>999</v>
      </c>
      <c r="NU6" s="1">
        <v>999</v>
      </c>
      <c r="NV6" s="1">
        <v>999</v>
      </c>
      <c r="NW6" s="1">
        <v>999</v>
      </c>
      <c r="NX6" s="1">
        <v>999</v>
      </c>
      <c r="NY6" s="1">
        <v>999</v>
      </c>
      <c r="NZ6" s="1">
        <v>999</v>
      </c>
      <c r="OA6" s="1">
        <v>999</v>
      </c>
      <c r="OB6" s="1">
        <v>999</v>
      </c>
      <c r="OC6" s="1">
        <v>999</v>
      </c>
      <c r="OD6" s="1">
        <v>999</v>
      </c>
      <c r="OE6" s="1">
        <v>999</v>
      </c>
      <c r="OF6" s="1">
        <v>999</v>
      </c>
      <c r="OG6" s="1">
        <v>999</v>
      </c>
      <c r="OH6" s="1">
        <v>999</v>
      </c>
      <c r="OI6" s="1">
        <v>999</v>
      </c>
      <c r="OJ6" s="1">
        <v>999</v>
      </c>
      <c r="OK6" s="1">
        <v>0.52200000000000002</v>
      </c>
      <c r="OL6" s="1">
        <v>999</v>
      </c>
      <c r="OM6" s="1">
        <v>999</v>
      </c>
      <c r="ON6" s="1">
        <v>999</v>
      </c>
      <c r="OO6" s="1">
        <v>999</v>
      </c>
      <c r="OP6" s="1">
        <v>999</v>
      </c>
      <c r="OQ6" s="1">
        <v>999</v>
      </c>
      <c r="OR6" s="1">
        <v>999</v>
      </c>
      <c r="OS6" s="1">
        <v>999</v>
      </c>
      <c r="OT6" s="1">
        <v>999</v>
      </c>
      <c r="OU6" s="1">
        <v>999</v>
      </c>
      <c r="OV6" s="1">
        <v>0.21</v>
      </c>
      <c r="OW6" s="11">
        <f>1-((1-OV6)*(1-((1-(890.4/9995.6))/5)))</f>
        <v>0.35392548721437422</v>
      </c>
      <c r="OX6" s="1">
        <v>0.22700000000000001</v>
      </c>
      <c r="OY6" s="11">
        <f>1-((1-OX6)*(1-((1-(890.4/9995.6))/5)))</f>
        <v>0.36782835647684975</v>
      </c>
      <c r="OZ6" s="1">
        <v>0.193</v>
      </c>
      <c r="PA6" s="11">
        <f>1-((1-OZ6)*(1-((1-(890.4/9995.6))/5)))</f>
        <v>0.34002261795189892</v>
      </c>
      <c r="PB6" s="1">
        <v>999</v>
      </c>
      <c r="PC6" s="1">
        <v>999</v>
      </c>
      <c r="PD6" s="1">
        <v>999</v>
      </c>
      <c r="PE6" s="1">
        <v>999</v>
      </c>
      <c r="PF6" s="1">
        <v>999</v>
      </c>
      <c r="PG6" s="1">
        <v>999</v>
      </c>
      <c r="PH6" s="1">
        <v>999</v>
      </c>
      <c r="PI6" s="1">
        <v>999</v>
      </c>
      <c r="PJ6" s="1">
        <v>999</v>
      </c>
      <c r="PK6" s="11"/>
      <c r="PL6" s="1">
        <v>999</v>
      </c>
      <c r="PM6" s="11"/>
      <c r="PN6" s="1">
        <v>999</v>
      </c>
      <c r="PO6" s="11"/>
      <c r="PP6" s="1">
        <v>999</v>
      </c>
      <c r="PQ6" s="11"/>
      <c r="PR6" s="1">
        <v>999</v>
      </c>
      <c r="PS6" s="11"/>
      <c r="PT6" s="1">
        <v>999</v>
      </c>
      <c r="PU6" s="11"/>
      <c r="PV6" s="1">
        <v>999</v>
      </c>
      <c r="PW6" s="11"/>
      <c r="PX6" s="1">
        <v>999</v>
      </c>
      <c r="PY6" s="11"/>
      <c r="PZ6" s="1">
        <v>999</v>
      </c>
      <c r="QA6" s="11"/>
      <c r="QB6" s="1">
        <v>999</v>
      </c>
      <c r="QC6" s="11"/>
      <c r="QD6" s="1">
        <v>999</v>
      </c>
      <c r="QE6" s="11"/>
      <c r="QF6" s="1">
        <v>999</v>
      </c>
      <c r="QG6" s="11"/>
      <c r="QH6" s="1">
        <v>999</v>
      </c>
      <c r="QI6" s="11"/>
      <c r="QJ6" s="1">
        <v>999</v>
      </c>
      <c r="QK6" s="11"/>
      <c r="QL6" s="1">
        <v>999</v>
      </c>
      <c r="QM6" s="11"/>
      <c r="QN6" s="1">
        <v>999</v>
      </c>
      <c r="QO6" s="11"/>
      <c r="QP6" s="1">
        <v>999</v>
      </c>
      <c r="QQ6" s="11"/>
      <c r="QR6" s="1">
        <v>999</v>
      </c>
      <c r="QS6" s="11"/>
      <c r="QT6" s="1">
        <v>999</v>
      </c>
      <c r="QU6" s="11"/>
      <c r="QV6" s="1">
        <v>999</v>
      </c>
      <c r="QW6" s="11"/>
      <c r="QX6" s="1">
        <v>999</v>
      </c>
      <c r="QY6" s="11"/>
      <c r="QZ6" s="1">
        <v>999</v>
      </c>
      <c r="RA6" s="11"/>
      <c r="RB6" s="1">
        <v>0.9093</v>
      </c>
      <c r="RC6" s="1">
        <v>0.89590000000000003</v>
      </c>
      <c r="RD6" s="1">
        <v>0.92120000000000002</v>
      </c>
      <c r="RE6" s="1">
        <v>999</v>
      </c>
      <c r="RF6" s="1">
        <v>999</v>
      </c>
      <c r="RG6" s="1">
        <v>999</v>
      </c>
      <c r="RH6" s="1">
        <v>999</v>
      </c>
      <c r="RI6" s="1">
        <v>999</v>
      </c>
      <c r="RJ6" s="1">
        <v>999</v>
      </c>
      <c r="RK6" s="1">
        <v>999</v>
      </c>
      <c r="RL6" s="1">
        <v>999</v>
      </c>
      <c r="RM6" s="1">
        <v>0.83579999999999999</v>
      </c>
      <c r="RN6" s="1">
        <v>0.87760000000000005</v>
      </c>
      <c r="RO6" s="1">
        <v>0.80069999999999997</v>
      </c>
      <c r="RP6" s="1">
        <v>999</v>
      </c>
      <c r="RQ6" s="1">
        <v>999</v>
      </c>
      <c r="RR6" s="1">
        <v>999</v>
      </c>
      <c r="RS6" s="1">
        <v>999</v>
      </c>
      <c r="RT6" s="1">
        <v>999</v>
      </c>
      <c r="RU6" s="1">
        <v>999</v>
      </c>
      <c r="RV6" s="1">
        <v>999</v>
      </c>
      <c r="RW6" s="1">
        <v>999</v>
      </c>
      <c r="RX6" s="2">
        <f>AVERAGE(RM6:RO6,RB6:RD6,OZ6,OX6,OV6,NO6:NQ6,)</f>
        <v>0.56903846153846149</v>
      </c>
      <c r="RY6" s="2">
        <f>AVERAGE(RM6:RO6,RB6:RD6,PA6,OY6,OW6,OK6,NO6:NQ6,)</f>
        <v>0.59651974726022305</v>
      </c>
      <c r="RZ6" s="4">
        <f>(COUNT(RM6:RO6,RB6:RD6,OX6,OZ6,OV6,NO6:NQ6))/88</f>
        <v>0.13636363636363635</v>
      </c>
      <c r="SA6" s="1">
        <v>1</v>
      </c>
      <c r="SB6" s="3">
        <v>0.33</v>
      </c>
      <c r="SC6" s="3">
        <v>999</v>
      </c>
      <c r="SD6" s="11"/>
      <c r="SE6" s="3">
        <v>999</v>
      </c>
      <c r="SF6" s="3">
        <v>999</v>
      </c>
      <c r="SG6" s="8">
        <f>AVERAGE(SA6:SB6)</f>
        <v>0.66500000000000004</v>
      </c>
      <c r="SH6" s="8">
        <f>AVERAGE(SA6:SB6)</f>
        <v>0.66500000000000004</v>
      </c>
      <c r="SI6" s="8">
        <f>(COUNT(SA6:SB6))/5</f>
        <v>0.4</v>
      </c>
      <c r="SJ6" s="1">
        <v>999</v>
      </c>
      <c r="SK6" s="1">
        <v>1</v>
      </c>
      <c r="SL6" s="1">
        <v>999</v>
      </c>
      <c r="SM6" s="1">
        <v>999</v>
      </c>
      <c r="SN6" s="11"/>
      <c r="SO6" s="9">
        <f>AVERAGE(SK6)</f>
        <v>1</v>
      </c>
      <c r="SP6" s="9">
        <f>AVERAGE(SK6)</f>
        <v>1</v>
      </c>
      <c r="SQ6" s="9">
        <f>(COUNT(SK6))/4</f>
        <v>0.25</v>
      </c>
      <c r="SR6" s="1">
        <v>0.33</v>
      </c>
      <c r="SS6" s="1">
        <v>999</v>
      </c>
      <c r="ST6" s="1">
        <v>0.66</v>
      </c>
      <c r="SU6" s="1">
        <v>0</v>
      </c>
      <c r="SV6" s="9">
        <f>AVERAGE(SR6,ST6,SU6)</f>
        <v>0.33</v>
      </c>
      <c r="SW6" s="9">
        <f>(COUNT(ST6,SU6,SR6)/3)</f>
        <v>1</v>
      </c>
      <c r="SX6" s="3">
        <v>0</v>
      </c>
      <c r="SY6" s="11">
        <f>1-((1-SX6)*(1-((1-(890.4/9995.6))/5)))</f>
        <v>0.18218416103085355</v>
      </c>
      <c r="SZ6" s="3">
        <v>0.755</v>
      </c>
      <c r="TA6" s="11">
        <f>1-((1-SZ6)*(1-((1-(890.4/9995.6))/5)))</f>
        <v>0.79963511945255916</v>
      </c>
      <c r="TB6" s="3">
        <v>1</v>
      </c>
      <c r="TC6" s="11">
        <f>1-((1-TB6)*(1-((1-(890.4/9995.6))/5)))</f>
        <v>1</v>
      </c>
      <c r="TD6" s="3">
        <v>1</v>
      </c>
      <c r="TE6" s="11">
        <f>1-((1-TD6)*(1-((1-(890.4/9995.6))/5)))</f>
        <v>1</v>
      </c>
      <c r="TF6" s="3">
        <v>0.9526</v>
      </c>
      <c r="TG6" s="3">
        <v>1</v>
      </c>
      <c r="TH6" s="11">
        <f>1-((1-TG6)*(1-((1-(890.4/9995.6))/5)))</f>
        <v>1</v>
      </c>
      <c r="TI6" s="3">
        <v>1</v>
      </c>
      <c r="TJ6" s="11">
        <f>1-((1-TI6)*(1-((1-(890.4/9995.6))/5)))</f>
        <v>1</v>
      </c>
      <c r="TK6" s="9">
        <f>AVERAGE(SX6,SZ6,TB6,TD6,TF6,TG6,TI6)</f>
        <v>0.81537142857142852</v>
      </c>
      <c r="TL6" s="9">
        <f>AVERAGE(SY6,TA6,TC6,TF6,TE6,TH6,TJ6)</f>
        <v>0.84777418292620177</v>
      </c>
      <c r="TM6" s="9">
        <v>1</v>
      </c>
      <c r="TN6" s="1"/>
      <c r="TO6" s="1"/>
      <c r="TP6" s="10"/>
      <c r="TQ6" s="1">
        <f t="shared" si="0"/>
        <v>0.8571428571428571</v>
      </c>
      <c r="TR6" s="1">
        <f t="shared" si="1"/>
        <v>0.7142857142857143</v>
      </c>
      <c r="TS6" s="1">
        <f t="shared" si="2"/>
        <v>0.5</v>
      </c>
      <c r="TT6" s="1">
        <f t="shared" si="3"/>
        <v>1</v>
      </c>
      <c r="TU6" s="1">
        <f t="shared" si="4"/>
        <v>0.29205714285714285</v>
      </c>
      <c r="TV6" s="1">
        <f t="shared" si="4"/>
        <v>0.39500680962480633</v>
      </c>
      <c r="TW6" s="1">
        <f t="shared" si="5"/>
        <v>0.22550000000000001</v>
      </c>
      <c r="TX6" s="1">
        <f t="shared" si="5"/>
        <v>0.29691619112409456</v>
      </c>
      <c r="TY6" s="1">
        <f t="shared" si="6"/>
        <v>0.89233333333333331</v>
      </c>
      <c r="TZ6" s="1">
        <f t="shared" si="6"/>
        <v>0.90101744500913716</v>
      </c>
      <c r="UA6" s="1">
        <f t="shared" si="7"/>
        <v>0.55650227848101264</v>
      </c>
      <c r="UB6" s="1">
        <f t="shared" si="7"/>
        <v>0.60438350457998991</v>
      </c>
      <c r="UC6" s="1">
        <f t="shared" si="8"/>
        <v>0.85961538461538456</v>
      </c>
      <c r="UD6" s="1">
        <f t="shared" si="8"/>
        <v>0.86416998864115591</v>
      </c>
      <c r="UE6" s="1">
        <f t="shared" si="9"/>
        <v>0.90399999999999991</v>
      </c>
      <c r="UF6" s="1">
        <f t="shared" si="9"/>
        <v>0.88618459962383445</v>
      </c>
      <c r="UG6" s="1">
        <f t="shared" si="10"/>
        <v>0.89473684210526316</v>
      </c>
      <c r="UH6" s="1">
        <f t="shared" si="10"/>
        <v>0.89473684210526316</v>
      </c>
      <c r="UI6" s="1">
        <f t="shared" si="11"/>
        <v>0.64707619047619047</v>
      </c>
      <c r="UJ6" s="1">
        <f t="shared" si="11"/>
        <v>0.70623312265015659</v>
      </c>
      <c r="UK6" s="1">
        <f t="shared" si="12"/>
        <v>0.9</v>
      </c>
      <c r="UL6" s="11">
        <f t="shared" si="12"/>
        <v>0.90910920805154272</v>
      </c>
      <c r="UM6" s="11">
        <f t="shared" si="13"/>
        <v>0.66666666666666663</v>
      </c>
      <c r="UN6" s="1">
        <f t="shared" si="14"/>
        <v>0.56903846153846149</v>
      </c>
      <c r="UO6" s="1">
        <f t="shared" si="14"/>
        <v>0.59651974726022305</v>
      </c>
      <c r="UP6" s="1">
        <f t="shared" si="15"/>
        <v>0.66500000000000004</v>
      </c>
      <c r="UQ6" s="1">
        <f t="shared" si="15"/>
        <v>0.66500000000000004</v>
      </c>
      <c r="UR6" s="1">
        <f t="shared" si="16"/>
        <v>1</v>
      </c>
      <c r="US6" s="1">
        <f t="shared" si="16"/>
        <v>1</v>
      </c>
      <c r="UT6" s="1">
        <f t="shared" si="17"/>
        <v>0.33</v>
      </c>
      <c r="UU6" s="1">
        <f t="shared" si="18"/>
        <v>0.81537142857142852</v>
      </c>
      <c r="UV6" s="1">
        <f t="shared" si="18"/>
        <v>0.84777418292620177</v>
      </c>
      <c r="UX6" s="10">
        <f>AVERAGE(TQ6:TU6)</f>
        <v>0.67269714285714277</v>
      </c>
      <c r="UY6" s="10">
        <f>AVERAGE(TQ6:TT6,TV6)</f>
        <v>0.69328707621067553</v>
      </c>
      <c r="UZ6" s="10">
        <f>UY6*(38/44)</f>
        <v>0.59874792945467437</v>
      </c>
      <c r="VA6" s="10">
        <f t="shared" si="20"/>
        <v>0.63348774910743266</v>
      </c>
      <c r="VB6" s="10">
        <f t="shared" si="20"/>
        <v>0.66662178233859437</v>
      </c>
      <c r="VC6" s="10">
        <f>VB6*(12/13)</f>
        <v>0.61534318369716412</v>
      </c>
      <c r="VD6" s="10">
        <f t="shared" si="21"/>
        <v>0.81527101086048459</v>
      </c>
      <c r="VE6" s="10">
        <f t="shared" si="21"/>
        <v>0.82905152145975125</v>
      </c>
      <c r="VF6" s="10">
        <f>VE6*(45/48)</f>
        <v>0.77723580136851678</v>
      </c>
      <c r="VG6" s="10">
        <f>AVERAGE(UK6,UM6,UN6)</f>
        <v>0.71190170940170938</v>
      </c>
      <c r="VH6" s="10">
        <f>AVERAGE(UL6,UM6,UO6)</f>
        <v>0.72409854065947743</v>
      </c>
      <c r="VI6" s="10">
        <f>VH6*(35/38)</f>
        <v>0.66693286639688709</v>
      </c>
      <c r="VJ6" s="10">
        <f>AVERAGE(UP6,UR6,UT6,UU6,)</f>
        <v>0.56207428571428575</v>
      </c>
      <c r="VK6" s="10">
        <f>AVERAGE(UQ6,US6,UT6,UV6)</f>
        <v>0.71069354573155041</v>
      </c>
      <c r="VL6" s="10">
        <f>VK6*(13/16)</f>
        <v>0.57743850590688472</v>
      </c>
      <c r="VM6" s="10">
        <f t="shared" si="19"/>
        <v>0.67908637958821105</v>
      </c>
      <c r="VN6" s="10">
        <f t="shared" si="19"/>
        <v>0.72475049328000973</v>
      </c>
      <c r="VO6" s="10">
        <f t="shared" si="19"/>
        <v>0.64713965736482537</v>
      </c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</row>
    <row r="7" spans="1:610" s="36" customFormat="1" x14ac:dyDescent="0.25">
      <c r="A7" s="36" t="s">
        <v>26</v>
      </c>
      <c r="B7" s="36" t="s">
        <v>94</v>
      </c>
      <c r="C7" s="36" t="s">
        <v>95</v>
      </c>
      <c r="D7" s="36" t="s">
        <v>96</v>
      </c>
      <c r="E7" s="36" t="s">
        <v>97</v>
      </c>
      <c r="F7" s="36" t="s">
        <v>998</v>
      </c>
      <c r="G7" s="36" t="s">
        <v>98</v>
      </c>
      <c r="H7" s="36" t="s">
        <v>99</v>
      </c>
      <c r="I7" s="36" t="s">
        <v>999</v>
      </c>
      <c r="J7" s="36" t="s">
        <v>100</v>
      </c>
      <c r="K7" s="36" t="s">
        <v>101</v>
      </c>
      <c r="L7" s="36" t="s">
        <v>102</v>
      </c>
      <c r="M7" s="36" t="s">
        <v>103</v>
      </c>
      <c r="N7" s="36" t="s">
        <v>104</v>
      </c>
      <c r="O7" s="36" t="s">
        <v>105</v>
      </c>
      <c r="P7" s="36" t="s">
        <v>106</v>
      </c>
      <c r="Q7" s="36" t="s">
        <v>107</v>
      </c>
      <c r="R7" s="36" t="s">
        <v>108</v>
      </c>
      <c r="S7" s="36" t="s">
        <v>1000</v>
      </c>
      <c r="T7" s="36" t="s">
        <v>109</v>
      </c>
      <c r="U7" s="36" t="s">
        <v>110</v>
      </c>
      <c r="V7" s="36" t="s">
        <v>111</v>
      </c>
      <c r="W7" s="36" t="s">
        <v>112</v>
      </c>
      <c r="X7" s="36" t="s">
        <v>113</v>
      </c>
      <c r="Y7" s="36" t="s">
        <v>114</v>
      </c>
      <c r="Z7" s="36" t="s">
        <v>115</v>
      </c>
      <c r="AA7" s="36" t="s">
        <v>116</v>
      </c>
      <c r="AB7" s="36" t="s">
        <v>117</v>
      </c>
      <c r="AC7" s="36" t="s">
        <v>118</v>
      </c>
      <c r="AD7" s="36" t="s">
        <v>119</v>
      </c>
      <c r="AE7" s="36" t="s">
        <v>1001</v>
      </c>
      <c r="AF7" s="36" t="s">
        <v>120</v>
      </c>
      <c r="AG7" s="36" t="s">
        <v>121</v>
      </c>
      <c r="AH7" s="37"/>
      <c r="AI7" s="37"/>
      <c r="AJ7" s="36" t="s">
        <v>122</v>
      </c>
      <c r="AK7" s="36" t="s">
        <v>123</v>
      </c>
      <c r="AL7" s="36" t="s">
        <v>124</v>
      </c>
      <c r="AM7" s="36" t="s">
        <v>125</v>
      </c>
      <c r="AN7" s="36" t="s">
        <v>33</v>
      </c>
      <c r="AO7" s="36" t="s">
        <v>34</v>
      </c>
      <c r="AP7" s="36" t="s">
        <v>35</v>
      </c>
      <c r="AS7" s="36" t="s">
        <v>36</v>
      </c>
      <c r="AT7" s="36" t="s">
        <v>37</v>
      </c>
      <c r="AU7" s="36" t="s">
        <v>38</v>
      </c>
      <c r="AY7" s="36" t="s">
        <v>39</v>
      </c>
      <c r="AZ7" s="36" t="s">
        <v>40</v>
      </c>
      <c r="BA7" s="36" t="s">
        <v>1002</v>
      </c>
      <c r="BB7" s="36" t="s">
        <v>41</v>
      </c>
      <c r="BE7" s="36" t="s">
        <v>42</v>
      </c>
      <c r="BG7" s="36" t="s">
        <v>43</v>
      </c>
      <c r="BI7" s="36" t="s">
        <v>44</v>
      </c>
      <c r="BK7" s="36" t="s">
        <v>45</v>
      </c>
      <c r="BM7" s="36" t="s">
        <v>1003</v>
      </c>
      <c r="BO7" s="36" t="s">
        <v>1004</v>
      </c>
      <c r="BQ7" s="36" t="s">
        <v>1005</v>
      </c>
      <c r="BS7" s="36" t="s">
        <v>1006</v>
      </c>
      <c r="BU7" s="36" t="s">
        <v>131</v>
      </c>
      <c r="BW7" s="36" t="s">
        <v>132</v>
      </c>
      <c r="BY7" s="36" t="s">
        <v>133</v>
      </c>
      <c r="CA7" s="36" t="s">
        <v>1007</v>
      </c>
      <c r="CF7" s="36" t="s">
        <v>1008</v>
      </c>
      <c r="CG7" s="36" t="s">
        <v>1009</v>
      </c>
      <c r="CH7" s="36" t="s">
        <v>1010</v>
      </c>
      <c r="CJ7" s="36" t="s">
        <v>1011</v>
      </c>
      <c r="CL7" s="36" t="s">
        <v>1012</v>
      </c>
      <c r="CM7" s="36" t="s">
        <v>1013</v>
      </c>
      <c r="CR7" s="36" t="s">
        <v>1014</v>
      </c>
      <c r="CS7" s="36" t="s">
        <v>1015</v>
      </c>
      <c r="CT7" s="36" t="s">
        <v>1016</v>
      </c>
      <c r="CV7" s="36" t="s">
        <v>1017</v>
      </c>
      <c r="CX7" s="36" t="s">
        <v>1018</v>
      </c>
      <c r="CY7" s="36" t="s">
        <v>1019</v>
      </c>
      <c r="CZ7" s="36" t="s">
        <v>1020</v>
      </c>
      <c r="DA7" s="36" t="s">
        <v>1021</v>
      </c>
      <c r="DC7" s="36" t="s">
        <v>1022</v>
      </c>
      <c r="DD7" s="36" t="s">
        <v>1023</v>
      </c>
      <c r="DI7" s="36" t="s">
        <v>1024</v>
      </c>
      <c r="DJ7" s="36" t="s">
        <v>1025</v>
      </c>
      <c r="DL7" s="36" t="s">
        <v>137</v>
      </c>
      <c r="DM7" s="36" t="s">
        <v>1026</v>
      </c>
      <c r="DN7" s="36" t="s">
        <v>138</v>
      </c>
      <c r="DP7" s="36" t="s">
        <v>139</v>
      </c>
      <c r="DR7" s="36" t="s">
        <v>1027</v>
      </c>
      <c r="DS7" s="36" t="s">
        <v>1028</v>
      </c>
      <c r="DU7" s="36" t="s">
        <v>54</v>
      </c>
      <c r="DZ7" s="36" t="s">
        <v>1029</v>
      </c>
      <c r="EA7" s="36" t="s">
        <v>1030</v>
      </c>
      <c r="EB7" s="36" t="s">
        <v>1031</v>
      </c>
      <c r="ED7" s="36" t="s">
        <v>1032</v>
      </c>
      <c r="EE7" s="36" t="s">
        <v>1033</v>
      </c>
      <c r="EF7" s="36" t="s">
        <v>1034</v>
      </c>
      <c r="EK7" s="36" t="s">
        <v>56</v>
      </c>
      <c r="EL7" s="36" t="s">
        <v>1035</v>
      </c>
      <c r="EM7" s="36" t="s">
        <v>57</v>
      </c>
      <c r="EN7" s="36" t="s">
        <v>58</v>
      </c>
      <c r="EP7" s="36" t="s">
        <v>142</v>
      </c>
      <c r="ER7" s="32" t="s">
        <v>1036</v>
      </c>
      <c r="ES7" s="36" t="s">
        <v>60</v>
      </c>
      <c r="EX7" s="36" t="s">
        <v>144</v>
      </c>
      <c r="EY7" s="36" t="s">
        <v>145</v>
      </c>
      <c r="EZ7" s="36" t="s">
        <v>146</v>
      </c>
      <c r="FA7" s="36" t="s">
        <v>147</v>
      </c>
      <c r="FB7" s="36" t="s">
        <v>148</v>
      </c>
      <c r="FC7" s="36" t="s">
        <v>149</v>
      </c>
      <c r="FD7" s="36" t="s">
        <v>150</v>
      </c>
      <c r="FE7" s="36" t="s">
        <v>1037</v>
      </c>
      <c r="FF7" s="36" t="s">
        <v>151</v>
      </c>
      <c r="FG7" s="36" t="s">
        <v>152</v>
      </c>
      <c r="FH7" s="36" t="s">
        <v>153</v>
      </c>
      <c r="FI7" s="36" t="s">
        <v>154</v>
      </c>
      <c r="FJ7" s="36" t="s">
        <v>155</v>
      </c>
      <c r="FK7" s="36" t="s">
        <v>156</v>
      </c>
      <c r="FL7" s="36" t="s">
        <v>157</v>
      </c>
      <c r="FM7" s="36" t="s">
        <v>158</v>
      </c>
      <c r="FN7" s="36" t="s">
        <v>62</v>
      </c>
      <c r="FO7" s="36" t="s">
        <v>63</v>
      </c>
      <c r="FP7" s="36" t="s">
        <v>64</v>
      </c>
      <c r="FT7" s="36" t="s">
        <v>160</v>
      </c>
      <c r="FU7" s="36" t="s">
        <v>161</v>
      </c>
      <c r="FV7" s="36" t="s">
        <v>162</v>
      </c>
      <c r="FW7" s="36" t="s">
        <v>163</v>
      </c>
      <c r="FX7" s="36" t="s">
        <v>164</v>
      </c>
      <c r="FY7" s="36" t="s">
        <v>165</v>
      </c>
      <c r="FZ7" s="36" t="s">
        <v>166</v>
      </c>
      <c r="GA7" s="36" t="s">
        <v>167</v>
      </c>
      <c r="GB7" s="36" t="s">
        <v>168</v>
      </c>
      <c r="GC7" s="36" t="s">
        <v>169</v>
      </c>
      <c r="GD7" s="36" t="s">
        <v>170</v>
      </c>
      <c r="GE7" s="36" t="s">
        <v>171</v>
      </c>
      <c r="GG7" s="36" t="s">
        <v>172</v>
      </c>
      <c r="GI7" s="36" t="s">
        <v>173</v>
      </c>
      <c r="GK7" s="36" t="s">
        <v>174</v>
      </c>
      <c r="GM7" s="36" t="s">
        <v>175</v>
      </c>
      <c r="GN7" s="36" t="s">
        <v>176</v>
      </c>
      <c r="GO7" s="36" t="s">
        <v>177</v>
      </c>
      <c r="GP7" s="36" t="s">
        <v>178</v>
      </c>
      <c r="GQ7" s="36" t="s">
        <v>179</v>
      </c>
      <c r="GR7" s="36" t="s">
        <v>180</v>
      </c>
      <c r="GS7" s="36" t="s">
        <v>181</v>
      </c>
      <c r="GT7" s="36" t="s">
        <v>182</v>
      </c>
      <c r="GV7" s="36" t="s">
        <v>183</v>
      </c>
      <c r="GX7" s="36" t="s">
        <v>184</v>
      </c>
      <c r="GZ7" s="36" t="s">
        <v>185</v>
      </c>
      <c r="HB7" s="36" t="s">
        <v>186</v>
      </c>
      <c r="HD7" s="36" t="s">
        <v>187</v>
      </c>
      <c r="HF7" s="36" t="s">
        <v>188</v>
      </c>
      <c r="HH7" s="36" t="s">
        <v>189</v>
      </c>
      <c r="HJ7" s="36" t="s">
        <v>190</v>
      </c>
      <c r="HL7" s="36" t="s">
        <v>191</v>
      </c>
      <c r="HN7" s="36" t="s">
        <v>192</v>
      </c>
      <c r="HO7" s="36" t="s">
        <v>193</v>
      </c>
      <c r="HQ7" s="36" t="s">
        <v>194</v>
      </c>
      <c r="HS7" s="36" t="s">
        <v>195</v>
      </c>
      <c r="HU7" s="36" t="s">
        <v>196</v>
      </c>
      <c r="HW7" s="36" t="s">
        <v>197</v>
      </c>
      <c r="HY7" s="36" t="s">
        <v>198</v>
      </c>
      <c r="IA7" s="36" t="s">
        <v>199</v>
      </c>
      <c r="IC7" s="36" t="s">
        <v>200</v>
      </c>
      <c r="IE7" s="36" t="s">
        <v>201</v>
      </c>
      <c r="IG7" s="36" t="s">
        <v>202</v>
      </c>
      <c r="II7" s="36" t="s">
        <v>203</v>
      </c>
      <c r="IJ7" s="36" t="s">
        <v>204</v>
      </c>
      <c r="IK7" s="36" t="s">
        <v>205</v>
      </c>
      <c r="IL7" s="36" t="s">
        <v>206</v>
      </c>
      <c r="IM7" s="36" t="s">
        <v>207</v>
      </c>
      <c r="IN7" s="36" t="s">
        <v>208</v>
      </c>
      <c r="IO7" s="36" t="s">
        <v>209</v>
      </c>
      <c r="IP7" s="36" t="s">
        <v>210</v>
      </c>
      <c r="IQ7" s="36" t="s">
        <v>211</v>
      </c>
      <c r="IR7" s="36" t="s">
        <v>212</v>
      </c>
      <c r="IS7" s="36" t="s">
        <v>213</v>
      </c>
      <c r="IT7" s="36" t="s">
        <v>214</v>
      </c>
      <c r="IU7" s="36" t="s">
        <v>215</v>
      </c>
      <c r="IW7" s="36" t="s">
        <v>216</v>
      </c>
      <c r="IY7" s="36" t="s">
        <v>217</v>
      </c>
      <c r="JA7" s="36" t="s">
        <v>218</v>
      </c>
      <c r="JB7" s="36" t="s">
        <v>219</v>
      </c>
      <c r="JC7" s="36" t="s">
        <v>220</v>
      </c>
      <c r="JD7" s="36" t="s">
        <v>221</v>
      </c>
      <c r="JE7" s="36" t="s">
        <v>222</v>
      </c>
      <c r="JF7" s="36" t="s">
        <v>223</v>
      </c>
      <c r="JG7" s="36" t="s">
        <v>224</v>
      </c>
      <c r="JH7" s="36" t="s">
        <v>225</v>
      </c>
      <c r="JI7" s="36" t="s">
        <v>226</v>
      </c>
      <c r="JJ7" s="36" t="s">
        <v>227</v>
      </c>
      <c r="JK7" s="36" t="s">
        <v>228</v>
      </c>
      <c r="JL7" s="36" t="s">
        <v>229</v>
      </c>
      <c r="JM7" s="36" t="s">
        <v>230</v>
      </c>
      <c r="JN7" s="36" t="s">
        <v>231</v>
      </c>
      <c r="JO7" s="36" t="s">
        <v>232</v>
      </c>
      <c r="JP7" s="36" t="s">
        <v>233</v>
      </c>
      <c r="JQ7" s="36" t="s">
        <v>234</v>
      </c>
      <c r="JR7" s="36" t="s">
        <v>235</v>
      </c>
      <c r="JS7" s="36" t="s">
        <v>236</v>
      </c>
      <c r="JT7" s="36" t="s">
        <v>237</v>
      </c>
      <c r="JV7" s="36" t="s">
        <v>238</v>
      </c>
      <c r="JX7" s="36" t="s">
        <v>239</v>
      </c>
      <c r="JZ7" s="36" t="s">
        <v>240</v>
      </c>
      <c r="KB7" s="36" t="s">
        <v>241</v>
      </c>
      <c r="KD7" s="36" t="s">
        <v>242</v>
      </c>
      <c r="KF7" s="36" t="s">
        <v>243</v>
      </c>
      <c r="KH7" s="36" t="s">
        <v>244</v>
      </c>
      <c r="KJ7" s="36" t="s">
        <v>245</v>
      </c>
      <c r="KL7" s="36" t="s">
        <v>246</v>
      </c>
      <c r="KN7" s="36" t="s">
        <v>247</v>
      </c>
      <c r="KP7" s="36" t="s">
        <v>248</v>
      </c>
      <c r="KR7" s="36" t="s">
        <v>249</v>
      </c>
      <c r="KT7" s="36" t="s">
        <v>250</v>
      </c>
      <c r="KV7" s="36" t="s">
        <v>251</v>
      </c>
      <c r="KX7" s="36" t="s">
        <v>252</v>
      </c>
      <c r="KZ7" s="36" t="s">
        <v>253</v>
      </c>
      <c r="LA7" s="36" t="s">
        <v>254</v>
      </c>
      <c r="LB7" s="36" t="s">
        <v>255</v>
      </c>
      <c r="LC7" s="36" t="s">
        <v>256</v>
      </c>
      <c r="LD7" s="36" t="s">
        <v>257</v>
      </c>
      <c r="LE7" s="36" t="s">
        <v>258</v>
      </c>
      <c r="LG7" s="36" t="s">
        <v>259</v>
      </c>
      <c r="LI7" s="36" t="s">
        <v>260</v>
      </c>
      <c r="LK7" s="36" t="s">
        <v>261</v>
      </c>
      <c r="LM7" s="36" t="s">
        <v>262</v>
      </c>
      <c r="LO7" s="36" t="s">
        <v>263</v>
      </c>
      <c r="LQ7" s="36" t="s">
        <v>264</v>
      </c>
      <c r="LS7" s="36" t="s">
        <v>265</v>
      </c>
      <c r="LT7" s="36" t="s">
        <v>266</v>
      </c>
      <c r="LV7" s="36" t="s">
        <v>267</v>
      </c>
      <c r="LW7" s="36" t="s">
        <v>268</v>
      </c>
      <c r="LY7" s="36" t="s">
        <v>269</v>
      </c>
      <c r="MB7" s="36">
        <v>110</v>
      </c>
      <c r="MC7" s="36" t="s">
        <v>271</v>
      </c>
      <c r="MD7" s="36" t="s">
        <v>272</v>
      </c>
      <c r="ME7" s="36" t="s">
        <v>273</v>
      </c>
      <c r="MF7" s="36" t="s">
        <v>1038</v>
      </c>
      <c r="MG7" s="36" t="s">
        <v>274</v>
      </c>
      <c r="MH7" s="36" t="s">
        <v>275</v>
      </c>
      <c r="MI7" s="36" t="s">
        <v>276</v>
      </c>
      <c r="MJ7" s="36" t="s">
        <v>277</v>
      </c>
      <c r="MK7" s="36" t="s">
        <v>1039</v>
      </c>
      <c r="ML7" s="36" t="s">
        <v>278</v>
      </c>
      <c r="MM7" s="36" t="s">
        <v>279</v>
      </c>
      <c r="MN7" s="36" t="s">
        <v>280</v>
      </c>
      <c r="MO7" s="36" t="s">
        <v>281</v>
      </c>
      <c r="MP7" s="36" t="s">
        <v>1040</v>
      </c>
      <c r="MQ7" s="36" t="s">
        <v>282</v>
      </c>
      <c r="MR7" s="36" t="s">
        <v>70</v>
      </c>
      <c r="MS7" s="36" t="s">
        <v>283</v>
      </c>
      <c r="MT7" s="36" t="s">
        <v>284</v>
      </c>
      <c r="MU7" s="36" t="s">
        <v>285</v>
      </c>
      <c r="MV7" s="36" t="s">
        <v>1041</v>
      </c>
      <c r="MZ7" s="36">
        <v>20</v>
      </c>
      <c r="NA7" s="36" t="s">
        <v>72</v>
      </c>
      <c r="NB7" s="36" t="s">
        <v>1042</v>
      </c>
      <c r="NC7" s="36" t="s">
        <v>73</v>
      </c>
      <c r="ND7" s="36" t="s">
        <v>74</v>
      </c>
      <c r="NG7" s="36" t="s">
        <v>1043</v>
      </c>
      <c r="NH7" s="36" t="s">
        <v>1044</v>
      </c>
      <c r="NI7" s="36" t="s">
        <v>1045</v>
      </c>
      <c r="NJ7" s="36" t="s">
        <v>1046</v>
      </c>
      <c r="NK7" s="36" t="s">
        <v>1047</v>
      </c>
      <c r="NL7" s="36" t="s">
        <v>1048</v>
      </c>
      <c r="NM7" s="36" t="s">
        <v>1049</v>
      </c>
      <c r="NN7" s="36" t="s">
        <v>1050</v>
      </c>
      <c r="NO7" s="36" t="s">
        <v>288</v>
      </c>
      <c r="NP7" s="36" t="s">
        <v>289</v>
      </c>
      <c r="NQ7" s="36" t="s">
        <v>290</v>
      </c>
      <c r="NR7" s="36" t="s">
        <v>291</v>
      </c>
      <c r="NS7" s="36" t="s">
        <v>292</v>
      </c>
      <c r="NT7" s="36" t="s">
        <v>293</v>
      </c>
      <c r="NU7" s="36" t="s">
        <v>294</v>
      </c>
      <c r="NV7" s="36" t="s">
        <v>295</v>
      </c>
      <c r="NW7" s="36" t="s">
        <v>296</v>
      </c>
      <c r="NX7" s="36" t="s">
        <v>297</v>
      </c>
      <c r="NY7" s="36" t="s">
        <v>298</v>
      </c>
      <c r="NZ7" s="36" t="s">
        <v>299</v>
      </c>
      <c r="OA7" s="36" t="s">
        <v>300</v>
      </c>
      <c r="OB7" s="36" t="s">
        <v>301</v>
      </c>
      <c r="OC7" s="36" t="s">
        <v>302</v>
      </c>
      <c r="OD7" s="36" t="s">
        <v>303</v>
      </c>
      <c r="OE7" s="36" t="s">
        <v>304</v>
      </c>
      <c r="OF7" s="36" t="s">
        <v>305</v>
      </c>
      <c r="OG7" s="36" t="s">
        <v>306</v>
      </c>
      <c r="OH7" s="36" t="s">
        <v>307</v>
      </c>
      <c r="OI7" s="36" t="s">
        <v>308</v>
      </c>
      <c r="OJ7" s="36" t="s">
        <v>309</v>
      </c>
      <c r="OK7" s="36" t="s">
        <v>310</v>
      </c>
      <c r="OL7" s="36" t="s">
        <v>311</v>
      </c>
      <c r="OM7" s="36" t="s">
        <v>312</v>
      </c>
      <c r="ON7" s="36" t="s">
        <v>313</v>
      </c>
      <c r="OO7" s="36" t="s">
        <v>314</v>
      </c>
      <c r="OP7" s="36" t="s">
        <v>315</v>
      </c>
      <c r="OQ7" s="36" t="s">
        <v>316</v>
      </c>
      <c r="OR7" s="36" t="s">
        <v>317</v>
      </c>
      <c r="OS7" s="36" t="s">
        <v>318</v>
      </c>
      <c r="OT7" s="36" t="s">
        <v>319</v>
      </c>
      <c r="OU7" s="36" t="s">
        <v>320</v>
      </c>
      <c r="OV7" s="36" t="s">
        <v>321</v>
      </c>
      <c r="OX7" s="36" t="s">
        <v>322</v>
      </c>
      <c r="OZ7" s="36" t="s">
        <v>323</v>
      </c>
      <c r="PB7" s="36" t="s">
        <v>324</v>
      </c>
      <c r="PC7" s="36" t="s">
        <v>325</v>
      </c>
      <c r="PD7" s="36" t="s">
        <v>326</v>
      </c>
      <c r="PE7" s="36" t="s">
        <v>327</v>
      </c>
      <c r="PF7" s="36" t="s">
        <v>328</v>
      </c>
      <c r="PG7" s="36" t="s">
        <v>329</v>
      </c>
      <c r="PH7" s="36" t="s">
        <v>330</v>
      </c>
      <c r="PI7" s="36" t="s">
        <v>331</v>
      </c>
      <c r="PJ7" s="36" t="s">
        <v>332</v>
      </c>
      <c r="PL7" s="36" t="s">
        <v>333</v>
      </c>
      <c r="PN7" s="36" t="s">
        <v>334</v>
      </c>
      <c r="PP7" s="36" t="s">
        <v>335</v>
      </c>
      <c r="PR7" s="36" t="s">
        <v>336</v>
      </c>
      <c r="PT7" s="36" t="s">
        <v>337</v>
      </c>
      <c r="PV7" s="36" t="s">
        <v>338</v>
      </c>
      <c r="PX7" s="36" t="s">
        <v>339</v>
      </c>
      <c r="PZ7" s="36" t="s">
        <v>340</v>
      </c>
      <c r="QB7" s="36" t="s">
        <v>341</v>
      </c>
      <c r="QD7" s="36" t="s">
        <v>342</v>
      </c>
      <c r="QF7" s="36" t="s">
        <v>343</v>
      </c>
      <c r="QH7" s="36" t="s">
        <v>344</v>
      </c>
      <c r="QJ7" s="36" t="s">
        <v>345</v>
      </c>
      <c r="QL7" s="36" t="s">
        <v>346</v>
      </c>
      <c r="QN7" s="36" t="s">
        <v>347</v>
      </c>
      <c r="QP7" s="36" t="s">
        <v>348</v>
      </c>
      <c r="QR7" s="36" t="s">
        <v>349</v>
      </c>
      <c r="QT7" s="36" t="s">
        <v>350</v>
      </c>
      <c r="QV7" s="36" t="s">
        <v>351</v>
      </c>
      <c r="QX7" s="36" t="s">
        <v>352</v>
      </c>
      <c r="QZ7" s="36" t="s">
        <v>353</v>
      </c>
      <c r="RB7" s="36" t="s">
        <v>354</v>
      </c>
      <c r="RC7" s="36" t="s">
        <v>355</v>
      </c>
      <c r="RD7" s="36" t="s">
        <v>356</v>
      </c>
      <c r="RE7" s="36" t="s">
        <v>357</v>
      </c>
      <c r="RF7" s="36" t="s">
        <v>358</v>
      </c>
      <c r="RG7" s="36" t="s">
        <v>359</v>
      </c>
      <c r="RH7" s="36" t="s">
        <v>360</v>
      </c>
      <c r="RI7" s="36" t="s">
        <v>361</v>
      </c>
      <c r="RJ7" s="36" t="s">
        <v>362</v>
      </c>
      <c r="RK7" s="36" t="s">
        <v>363</v>
      </c>
      <c r="RL7" s="36" t="s">
        <v>364</v>
      </c>
      <c r="RM7" s="36" t="s">
        <v>365</v>
      </c>
      <c r="RN7" s="36" t="s">
        <v>366</v>
      </c>
      <c r="RO7" s="36" t="s">
        <v>367</v>
      </c>
      <c r="RP7" s="36" t="s">
        <v>368</v>
      </c>
      <c r="RQ7" s="36" t="s">
        <v>369</v>
      </c>
      <c r="RR7" s="36" t="s">
        <v>370</v>
      </c>
      <c r="RS7" s="36" t="s">
        <v>371</v>
      </c>
      <c r="RT7" s="36" t="s">
        <v>372</v>
      </c>
      <c r="RU7" s="36" t="s">
        <v>373</v>
      </c>
      <c r="RV7" s="36" t="s">
        <v>374</v>
      </c>
      <c r="RW7" s="36" t="s">
        <v>375</v>
      </c>
      <c r="RZ7" s="36">
        <v>96</v>
      </c>
      <c r="SA7" s="36" t="s">
        <v>77</v>
      </c>
      <c r="SB7" s="36" t="s">
        <v>78</v>
      </c>
      <c r="SC7" s="36" t="s">
        <v>377</v>
      </c>
      <c r="SE7" s="36" t="s">
        <v>378</v>
      </c>
      <c r="SF7" s="36" t="s">
        <v>379</v>
      </c>
      <c r="SJ7" s="36" t="s">
        <v>79</v>
      </c>
      <c r="SK7" s="36" t="s">
        <v>80</v>
      </c>
      <c r="SL7" s="36" t="s">
        <v>380</v>
      </c>
      <c r="SM7" s="36" t="s">
        <v>381</v>
      </c>
      <c r="SR7" s="36" t="s">
        <v>82</v>
      </c>
      <c r="SS7" s="36" t="s">
        <v>1051</v>
      </c>
      <c r="ST7" s="36" t="s">
        <v>83</v>
      </c>
      <c r="SU7" s="36" t="s">
        <v>84</v>
      </c>
      <c r="SX7" s="36" t="s">
        <v>85</v>
      </c>
      <c r="SZ7" s="36" t="s">
        <v>1052</v>
      </c>
      <c r="TB7" s="36" t="s">
        <v>86</v>
      </c>
      <c r="TD7" s="36" t="s">
        <v>87</v>
      </c>
      <c r="TF7" s="36" t="s">
        <v>1053</v>
      </c>
      <c r="TG7" s="36" t="s">
        <v>88</v>
      </c>
      <c r="TI7" s="36" t="s">
        <v>1054</v>
      </c>
      <c r="TM7" s="36">
        <v>7</v>
      </c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1"/>
      <c r="UM7" s="11"/>
      <c r="UN7" s="1"/>
      <c r="UO7" s="1"/>
      <c r="UP7" s="1"/>
      <c r="UQ7" s="1"/>
      <c r="UR7" s="1"/>
      <c r="US7" s="1"/>
      <c r="UT7" s="1"/>
      <c r="UU7" s="1"/>
      <c r="UV7" s="1"/>
    </row>
    <row r="8" spans="1:610" x14ac:dyDescent="0.25">
      <c r="A8" t="s">
        <v>1055</v>
      </c>
      <c r="B8">
        <v>1</v>
      </c>
      <c r="C8">
        <v>0.5</v>
      </c>
      <c r="D8">
        <v>0.5</v>
      </c>
      <c r="E8">
        <v>1</v>
      </c>
      <c r="F8">
        <v>0</v>
      </c>
      <c r="G8">
        <v>1</v>
      </c>
      <c r="H8">
        <v>0.5</v>
      </c>
      <c r="I8">
        <v>0.5</v>
      </c>
      <c r="J8">
        <v>1</v>
      </c>
      <c r="K8">
        <v>0</v>
      </c>
      <c r="L8">
        <v>1</v>
      </c>
      <c r="M8">
        <v>0</v>
      </c>
      <c r="N8">
        <v>0.5</v>
      </c>
      <c r="O8">
        <v>0.5</v>
      </c>
      <c r="P8">
        <v>0.5</v>
      </c>
      <c r="Q8">
        <v>1</v>
      </c>
      <c r="R8">
        <v>997</v>
      </c>
      <c r="S8">
        <v>997</v>
      </c>
      <c r="T8">
        <v>997</v>
      </c>
      <c r="U8">
        <v>997</v>
      </c>
      <c r="V8">
        <v>997</v>
      </c>
      <c r="W8">
        <v>997</v>
      </c>
      <c r="X8">
        <v>997</v>
      </c>
      <c r="Y8">
        <v>997</v>
      </c>
      <c r="Z8">
        <v>997</v>
      </c>
      <c r="AA8">
        <v>997</v>
      </c>
      <c r="AB8">
        <v>997</v>
      </c>
      <c r="AC8">
        <v>997</v>
      </c>
      <c r="AD8">
        <v>997</v>
      </c>
      <c r="AE8">
        <v>997</v>
      </c>
      <c r="AF8">
        <v>997</v>
      </c>
      <c r="AG8">
        <v>997</v>
      </c>
      <c r="AH8" s="38">
        <f>AVERAGE(B8:Q8)</f>
        <v>0.59375</v>
      </c>
      <c r="AI8" s="6">
        <v>1</v>
      </c>
      <c r="AJ8">
        <v>1</v>
      </c>
      <c r="AK8">
        <v>1</v>
      </c>
      <c r="AL8">
        <v>0</v>
      </c>
      <c r="AM8">
        <v>0</v>
      </c>
      <c r="AN8">
        <v>1</v>
      </c>
      <c r="AO8">
        <v>1</v>
      </c>
      <c r="AP8">
        <v>1</v>
      </c>
      <c r="AQ8" s="2">
        <f>AVERAGE(AJ8:AP8)</f>
        <v>0.7142857142857143</v>
      </c>
      <c r="AR8" s="2">
        <v>1</v>
      </c>
      <c r="AS8">
        <v>997</v>
      </c>
      <c r="AT8">
        <v>997</v>
      </c>
      <c r="AU8">
        <v>1</v>
      </c>
      <c r="AV8" s="11">
        <f>1-((1-AU8)*(1-((1-(56327.7/9995.6))/5)))</f>
        <v>1</v>
      </c>
      <c r="AW8" s="39">
        <f>AVERAGE(AU8:AV8)</f>
        <v>1</v>
      </c>
      <c r="AX8" s="4">
        <v>1</v>
      </c>
      <c r="AY8">
        <v>1</v>
      </c>
      <c r="AZ8">
        <v>1</v>
      </c>
      <c r="BA8">
        <v>0.75</v>
      </c>
      <c r="BB8">
        <v>1</v>
      </c>
      <c r="BC8" s="2">
        <f>AVERAGE(AY8:BB8)</f>
        <v>0.9375</v>
      </c>
      <c r="BD8" s="2">
        <v>1</v>
      </c>
      <c r="BE8">
        <f>49.515979/100</f>
        <v>0.49515978999999999</v>
      </c>
      <c r="BF8" s="11">
        <f>1-((1-BE8)*(1-((1-(56327.7/9995.6))/5)))</f>
        <v>2.7147722815618835E-2</v>
      </c>
      <c r="BG8">
        <f>7.65816454/100</f>
        <v>7.6581645399999995E-2</v>
      </c>
      <c r="BH8" s="11">
        <v>0</v>
      </c>
      <c r="BI8">
        <v>0</v>
      </c>
      <c r="BJ8" s="11">
        <v>0</v>
      </c>
      <c r="BK8">
        <f>6.562/100</f>
        <v>6.5619999999999998E-2</v>
      </c>
      <c r="BL8" s="11">
        <v>0</v>
      </c>
      <c r="BN8" s="11"/>
      <c r="BP8" s="11"/>
      <c r="BQ8">
        <f>6.02/100</f>
        <v>6.0199999999999997E-2</v>
      </c>
      <c r="BR8" s="11">
        <v>0</v>
      </c>
      <c r="BS8">
        <f>26.92/100</f>
        <v>0.26919999999999999</v>
      </c>
      <c r="BT8" s="11">
        <f>1-((1-BS8)*(1-((1-(56327.7/9995.6))/5)))</f>
        <v>-0.40828806835007403</v>
      </c>
      <c r="BU8">
        <f>49/100</f>
        <v>0.49</v>
      </c>
      <c r="BV8" s="11">
        <f>1-((1-BU8)*(1-((1-(56327.7/9995.6))/5)))</f>
        <v>1.7204550002000829E-2</v>
      </c>
      <c r="BW8">
        <f>43.59/100</f>
        <v>0.43590000000000001</v>
      </c>
      <c r="BX8" s="11">
        <f>1-((1-BW8)*(1-((1-(56327.7/9995.6))/5)))</f>
        <v>-8.7048849693865282E-2</v>
      </c>
      <c r="BY8">
        <f>4.8/100</f>
        <v>4.8000000000000001E-2</v>
      </c>
      <c r="BZ8" s="11">
        <f>1-((1-BY8)*(1-((1-(56327.7/9995.6))/5)))</f>
        <v>-0.83455150666293165</v>
      </c>
      <c r="CA8">
        <f>101.62/100</f>
        <v>1.0162</v>
      </c>
      <c r="CB8" s="11">
        <f>1-((1-CA8)*(1-((1-(56327.7/9995.6))/5)))</f>
        <v>1.0312182084117012</v>
      </c>
      <c r="CC8" s="4">
        <f>AVERAGE(BE8,BG8,BI8,BK8,BQ8,BU8,BW8,BY8,BS8,CA8)</f>
        <v>0.29568614354</v>
      </c>
      <c r="CD8" s="4">
        <f>AVERAGE(CB8,BT8,BH8,BJ8,BL8,BR8,BV8,BX8,BZ8,BF8,)</f>
        <v>-2.3119813043413647E-2</v>
      </c>
      <c r="CE8" s="39">
        <f>(COUNT(BE8,BG8,BI8,BK8,BQ8,BS8,BU8,BW8,BY8,CA8))/12</f>
        <v>0.83333333333333337</v>
      </c>
      <c r="CF8">
        <v>1</v>
      </c>
      <c r="CG8">
        <f>10*(1/24)</f>
        <v>0.41666666666666663</v>
      </c>
      <c r="CH8">
        <v>1</v>
      </c>
      <c r="CI8" s="11">
        <f>1-((1-CH8)*(1-((1-(56327.7/9995.6))/5)))</f>
        <v>1</v>
      </c>
      <c r="CJ8">
        <f>10*(1/29)</f>
        <v>0.34482758620689657</v>
      </c>
      <c r="CK8" s="11">
        <f>1-((1-CJ8)*(1-((1-(56327.7/9995.6))/5)))</f>
        <v>-0.26254993576483998</v>
      </c>
      <c r="CL8">
        <f>10*(1/23.58)</f>
        <v>0.42408821034775235</v>
      </c>
      <c r="CM8">
        <f>10*(1/12)</f>
        <v>0.83333333333333326</v>
      </c>
      <c r="CN8" s="11">
        <f>1-((1-CM8)*(1-((1-(56327.7/9995.6))/5)))</f>
        <v>0.67882501634052295</v>
      </c>
      <c r="CO8" s="6">
        <f>AVERAGE(CF8:CH8,CJ8,CL8:CM8)</f>
        <v>0.66981929942577478</v>
      </c>
      <c r="CP8" s="6">
        <f>AVERAGE(CF8:CG8,CI8,CK8,CL8,CN8)</f>
        <v>0.54283832626501693</v>
      </c>
      <c r="CQ8">
        <f>(COUNT(CF8,CG8,CH8,CJ8,CL8,CM8))/6</f>
        <v>1</v>
      </c>
      <c r="CR8">
        <v>1</v>
      </c>
      <c r="CS8">
        <f>10*(1/(AVERAGE(10,25)))</f>
        <v>0.5714285714285714</v>
      </c>
      <c r="CT8">
        <v>1</v>
      </c>
      <c r="CU8" s="11">
        <f>1-((1-CT8)*(1-((1-(56327.7/9995.6))/5)))</f>
        <v>1</v>
      </c>
      <c r="CV8">
        <f>10*(1/(AVERAGE(10,25)))</f>
        <v>0.5714285714285714</v>
      </c>
      <c r="CW8" s="11">
        <f>1-((1-CV8)*(1-((1-(56327.7/9995.6))/5)))</f>
        <v>0.17412147058991667</v>
      </c>
      <c r="CX8">
        <f>10*(1/(AVERAGE(10,25)))</f>
        <v>0.5714285714285714</v>
      </c>
      <c r="CY8">
        <f>10*(1/(AVERAGE(10,25)))</f>
        <v>0.5714285714285714</v>
      </c>
      <c r="CZ8">
        <f>100/100</f>
        <v>1</v>
      </c>
      <c r="DA8">
        <f>100/100</f>
        <v>1</v>
      </c>
      <c r="DB8" s="11">
        <f>1-((1-DA8)*(1-((1-(56327.7/9995.6))/5)))</f>
        <v>1</v>
      </c>
      <c r="DC8">
        <f>100/100</f>
        <v>1</v>
      </c>
      <c r="DD8">
        <f>100/100</f>
        <v>1</v>
      </c>
      <c r="DE8" s="11">
        <f>1-((1-DD8)*(1-((1-(56327.7/9995.6))/5)))</f>
        <v>1</v>
      </c>
      <c r="DF8">
        <f>AVERAGE(CR8,CS8,CT8,CV8,CX8,CY8,CZ8,DA8,DC8,DD8)</f>
        <v>0.82857142857142851</v>
      </c>
      <c r="DG8">
        <f>AVERAGE(CR8:CS8,CU8,CV8,CX8:CZ8,DB8:DC8,DE8)</f>
        <v>0.82857142857142851</v>
      </c>
      <c r="DH8">
        <f>(COUNT(CR8:CT8,CV8,CX8:DA8,DC8:DD8))/10</f>
        <v>1</v>
      </c>
      <c r="DI8">
        <f>100/100</f>
        <v>1</v>
      </c>
      <c r="DJ8">
        <f>100/100</f>
        <v>1</v>
      </c>
      <c r="DK8" s="11">
        <f>1-((1-DJ8)*(1-((1-(56327.7/9995.6))/5)))</f>
        <v>1</v>
      </c>
      <c r="DL8">
        <v>1</v>
      </c>
      <c r="DM8">
        <f>10*(1/24)</f>
        <v>0.41666666666666663</v>
      </c>
      <c r="DN8">
        <v>1</v>
      </c>
      <c r="DO8" s="11">
        <f>1-((1-DN8)*(1-((1-(56327.7/9995.6))/5)))</f>
        <v>1</v>
      </c>
      <c r="DP8">
        <f>10*(1/29)</f>
        <v>0.34482758620689657</v>
      </c>
      <c r="DQ8" s="11">
        <f>1-((1-DP8)*(1-((1-(56327.7/9995.6))/5)))</f>
        <v>-0.26254993576483998</v>
      </c>
      <c r="DR8">
        <f>10*(1/23.58)</f>
        <v>0.42408821034775235</v>
      </c>
      <c r="DS8">
        <f>10*(1/12)</f>
        <v>0.83333333333333326</v>
      </c>
      <c r="DT8" s="11">
        <f>1-((1-DS8)*(1-((1-(56327.7/9995.6))/5)))</f>
        <v>0.67882501634052295</v>
      </c>
      <c r="DU8">
        <v>0.8</v>
      </c>
      <c r="DV8" s="11">
        <f>1-((1-DU8)*(1-((1-(56327.7/9995.6))/5)))</f>
        <v>0.61459001960862791</v>
      </c>
      <c r="DW8" s="4">
        <f>AVERAGE(DI8,DJ8,DR8,DL8:DN8,DP8,DS8,DU8)</f>
        <v>0.75765731072829423</v>
      </c>
      <c r="DX8" s="4">
        <f>AVERAGE(DI8,DK8:DM8,DO8,DQ8:DR8,DT8,DV8)</f>
        <v>0.6524022196887479</v>
      </c>
      <c r="DY8" s="4">
        <f>(COUNT(DI8,DJ8,DL8,DM8:DN8,DP8,DR8:DS8,DU8))/9</f>
        <v>1</v>
      </c>
      <c r="DZ8">
        <v>0</v>
      </c>
      <c r="EB8">
        <v>0</v>
      </c>
      <c r="EC8" s="11">
        <f>1-((1-EB8)*(1-((1-(56327.7/9995.6))/5)))</f>
        <v>-0.92704990195686099</v>
      </c>
      <c r="EE8">
        <v>1</v>
      </c>
      <c r="EF8">
        <v>1</v>
      </c>
      <c r="EG8" s="11">
        <f>1-((1-EF8)*(1-((1-(56327.7/9995.6))/5)))</f>
        <v>1</v>
      </c>
      <c r="EH8" s="4">
        <f>AVERAGE(DZ8,EB8,EE8,EF8)</f>
        <v>0.5</v>
      </c>
      <c r="EI8" s="4">
        <f>AVERAGE(EC8:EE8,EG8,DZ8:EA8)</f>
        <v>0.26823752451078475</v>
      </c>
      <c r="EJ8" s="4">
        <f>(COUNT(DZ8:EB8,EE8:EF8))/6</f>
        <v>0.66666666666666663</v>
      </c>
      <c r="EK8">
        <v>1</v>
      </c>
      <c r="EL8">
        <v>1</v>
      </c>
      <c r="EM8">
        <f>15.86/100</f>
        <v>0.15859999999999999</v>
      </c>
      <c r="EN8">
        <f>32.55/100</f>
        <v>0.32549999999999996</v>
      </c>
      <c r="EO8" s="11">
        <f>1-((1-EN8)*(1-((1-(56327.7/9995.6))/5)))</f>
        <v>-0.29979515886990282</v>
      </c>
      <c r="EP8">
        <v>0</v>
      </c>
      <c r="ER8" s="32" t="s">
        <v>1056</v>
      </c>
      <c r="ES8">
        <v>1</v>
      </c>
      <c r="ET8" s="11">
        <f>1-((1-ES8)*(1-((1-(56327.7/9995.6))/5)))</f>
        <v>1</v>
      </c>
      <c r="EU8" s="39">
        <f>AVERAGE(EK8:EM8,EN8,EP8,ES8)</f>
        <v>0.58068333333333333</v>
      </c>
      <c r="EV8" s="39">
        <f>AVERAGE(EK8:EM8,EO8,EP8,ET8)</f>
        <v>0.47646747352168289</v>
      </c>
      <c r="EW8" s="39">
        <f>(COUNT(EK8:EN8,EP8,ES8))/6</f>
        <v>1</v>
      </c>
      <c r="EX8">
        <v>1</v>
      </c>
      <c r="EY8">
        <v>1</v>
      </c>
      <c r="EZ8">
        <v>997</v>
      </c>
      <c r="FA8">
        <v>1</v>
      </c>
      <c r="FB8">
        <v>1</v>
      </c>
      <c r="FC8">
        <v>1</v>
      </c>
      <c r="FD8">
        <v>1</v>
      </c>
      <c r="FE8">
        <v>1</v>
      </c>
      <c r="FF8">
        <v>0</v>
      </c>
      <c r="FG8">
        <v>1</v>
      </c>
      <c r="FH8">
        <v>1</v>
      </c>
      <c r="FI8">
        <v>0</v>
      </c>
      <c r="FJ8">
        <v>1</v>
      </c>
      <c r="FK8">
        <v>1</v>
      </c>
      <c r="FL8">
        <v>1</v>
      </c>
      <c r="FM8">
        <v>1</v>
      </c>
      <c r="FN8">
        <v>997</v>
      </c>
      <c r="FO8">
        <v>1</v>
      </c>
      <c r="FP8">
        <v>0</v>
      </c>
      <c r="FQ8" s="2">
        <f>AVERAGE(EX8,EY8,FA8:FM8,FO8:FP8)</f>
        <v>0.82352941176470584</v>
      </c>
      <c r="FR8" s="2">
        <f>FQ8</f>
        <v>0.82352941176470584</v>
      </c>
      <c r="FS8" s="2">
        <v>1</v>
      </c>
      <c r="FT8" s="33">
        <f>106.57/100</f>
        <v>1.0656999999999999</v>
      </c>
      <c r="FU8">
        <f>106.88/100</f>
        <v>1.0688</v>
      </c>
      <c r="FV8">
        <f>106.24/100</f>
        <v>1.0624</v>
      </c>
      <c r="FW8" t="s">
        <v>1057</v>
      </c>
      <c r="FX8" t="s">
        <v>1058</v>
      </c>
      <c r="FY8" t="s">
        <v>1057</v>
      </c>
      <c r="FZ8" t="s">
        <v>1057</v>
      </c>
      <c r="GA8" t="s">
        <v>1057</v>
      </c>
      <c r="GB8" t="s">
        <v>1057</v>
      </c>
      <c r="GC8" t="s">
        <v>1057</v>
      </c>
      <c r="GD8" t="s">
        <v>1057</v>
      </c>
      <c r="GE8">
        <f>137.58/100</f>
        <v>1.3758000000000001</v>
      </c>
      <c r="GF8" s="11">
        <f>1-((1-GE8)*(1-((1-(56327.7/9995.6))/5)))</f>
        <v>1.7241853531553886</v>
      </c>
      <c r="GG8">
        <f>141.24/100</f>
        <v>1.4124000000000001</v>
      </c>
      <c r="GH8" s="11">
        <f>1-((1-GG8)*(1-((1-(56327.7/9995.6))/5)))</f>
        <v>1.7947153795670097</v>
      </c>
      <c r="GI8">
        <f>133.67/100</f>
        <v>1.3366999999999998</v>
      </c>
      <c r="GJ8" s="11">
        <f>1-((1-GI8)*(1-((1-(56327.7/9995.6))/5)))</f>
        <v>1.6488377019888747</v>
      </c>
      <c r="GK8" t="s">
        <v>1057</v>
      </c>
      <c r="GM8" t="s">
        <v>1057</v>
      </c>
      <c r="GN8" t="s">
        <v>1057</v>
      </c>
      <c r="GO8" t="s">
        <v>1057</v>
      </c>
      <c r="GP8" t="s">
        <v>1057</v>
      </c>
      <c r="GQ8" t="s">
        <v>1057</v>
      </c>
      <c r="GR8" t="s">
        <v>1057</v>
      </c>
      <c r="GS8" t="s">
        <v>1057</v>
      </c>
      <c r="GT8">
        <f>19.6/100</f>
        <v>0.19600000000000001</v>
      </c>
      <c r="GU8" s="11">
        <f>1-((1-GT8)*(1-((1-(56327.7/9995.6))/5)))</f>
        <v>-0.54934812117331622</v>
      </c>
      <c r="GV8">
        <f>22.1/100</f>
        <v>0.221</v>
      </c>
      <c r="GW8" s="11">
        <f>1-((1-GV8)*(1-((1-(56327.7/9995.6))/5)))</f>
        <v>-0.50117187362439486</v>
      </c>
      <c r="GX8">
        <f>17/100</f>
        <v>0.17</v>
      </c>
      <c r="GY8" s="11">
        <f>1-((1-GX8)*(1-((1-(56327.7/9995.6))/5)))</f>
        <v>-0.5994514186241946</v>
      </c>
      <c r="GZ8">
        <f>15.7/100</f>
        <v>0.157</v>
      </c>
      <c r="HA8" s="11">
        <f>1-((1-GZ8)*(1-((1-(56327.7/9995.6))/5)))</f>
        <v>-0.62450306734963368</v>
      </c>
      <c r="HB8">
        <f>24.95/100</f>
        <v>0.2495</v>
      </c>
      <c r="HC8" s="11">
        <f>1-((1-HB8)*(1-((1-(56327.7/9995.6))/5)))</f>
        <v>-0.44625095141862414</v>
      </c>
      <c r="HD8">
        <f>28.2/100</f>
        <v>0.28199999999999997</v>
      </c>
      <c r="HE8" s="11">
        <f>1-((1-HD8)*(1-((1-(56327.7/9995.6))/5)))</f>
        <v>-0.38362182960502622</v>
      </c>
      <c r="HF8">
        <f>24/100</f>
        <v>0.24</v>
      </c>
      <c r="HG8" s="11">
        <f>1-((1-HF8)*(1-((1-(56327.7/9995.6))/5)))</f>
        <v>-0.46455792548721431</v>
      </c>
      <c r="HH8">
        <f>18.8/100</f>
        <v>0.188</v>
      </c>
      <c r="HI8" s="11">
        <f>1-((1-HH8)*(1-((1-(56327.7/9995.6))/5)))</f>
        <v>-0.56476452038897129</v>
      </c>
      <c r="HJ8">
        <f>16.3/100</f>
        <v>0.16300000000000001</v>
      </c>
      <c r="HK8" s="11">
        <f>1-((1-HJ8)*(1-((1-(56327.7/9995.6))/5)))</f>
        <v>-0.61294076793789265</v>
      </c>
      <c r="HL8">
        <f>10.8/100</f>
        <v>0.10800000000000001</v>
      </c>
      <c r="HM8" s="11">
        <f>1-((1-HL8)*(1-((1-(56327.7/9995.6))/5)))</f>
        <v>-0.71892851254552004</v>
      </c>
      <c r="HN8" t="s">
        <v>1057</v>
      </c>
      <c r="HO8">
        <f>86.55/100</f>
        <v>0.86549999999999994</v>
      </c>
      <c r="HP8" s="11">
        <f>1-((1-HO8)*(1-((1-(56327.7/9995.6))/5)))</f>
        <v>0.74081178818680216</v>
      </c>
      <c r="HQ8">
        <f>72.46/100</f>
        <v>0.72459999999999991</v>
      </c>
      <c r="HR8" s="11">
        <f>1-((1-HQ8)*(1-((1-(56327.7/9995.6))/5)))</f>
        <v>0.4692904570010803</v>
      </c>
      <c r="HS8">
        <f>101.67/100</f>
        <v>1.0166999999999999</v>
      </c>
      <c r="HT8" s="11">
        <f>1-((1-HS8)*(1-((1-(56327.7/9995.6))/5)))</f>
        <v>1.0321817333626795</v>
      </c>
      <c r="HU8">
        <f>34.6/100</f>
        <v>0.34600000000000003</v>
      </c>
      <c r="HV8" s="11">
        <f>1-((1-HU8)*(1-((1-(56327.7/9995.6))/5)))</f>
        <v>-0.26029063587978696</v>
      </c>
      <c r="HW8">
        <f>6.7/100</f>
        <v>6.7000000000000004E-2</v>
      </c>
      <c r="HX8" s="11">
        <f>1-((1-HW8)*(1-((1-(56327.7/9995.6))/5)))</f>
        <v>-0.79793755852575132</v>
      </c>
      <c r="HY8">
        <f>26.7/100</f>
        <v>0.26700000000000002</v>
      </c>
      <c r="HZ8" s="11">
        <f>1-((1-HY8)*(1-((1-(56327.7/9995.6))/5)))</f>
        <v>-0.41252757813437912</v>
      </c>
      <c r="IA8">
        <f>37.1/100</f>
        <v>0.371</v>
      </c>
      <c r="IB8" s="11">
        <f>1-((1-IA8)*(1-((1-(56327.7/9995.6))/5)))</f>
        <v>-0.2121143883308656</v>
      </c>
      <c r="IC8">
        <f>43.9/100</f>
        <v>0.439</v>
      </c>
      <c r="ID8" s="11">
        <f>1-((1-IC8)*(1-((1-(56327.7/9995.6))/5)))</f>
        <v>-8.107499499779891E-2</v>
      </c>
      <c r="IE8">
        <f>55.1/100</f>
        <v>0.55100000000000005</v>
      </c>
      <c r="IF8" s="11">
        <f>1-((1-IE8)*(1-((1-(56327.7/9995.6))/5)))</f>
        <v>0.13475459402136947</v>
      </c>
      <c r="IG8">
        <f>67.2/100</f>
        <v>0.67200000000000004</v>
      </c>
      <c r="IH8" s="11">
        <f>1-((1-IG8)*(1-((1-(56327.7/9995.6))/5)))</f>
        <v>0.36792763215814972</v>
      </c>
      <c r="II8" t="s">
        <v>1057</v>
      </c>
      <c r="IJ8">
        <f>97.36/100</f>
        <v>0.97360000000000002</v>
      </c>
      <c r="IK8">
        <f>97.19/100</f>
        <v>0.97189999999999999</v>
      </c>
      <c r="IL8">
        <f>97.53/100</f>
        <v>0.97530000000000006</v>
      </c>
      <c r="IM8" t="s">
        <v>1057</v>
      </c>
      <c r="IN8" t="s">
        <v>1057</v>
      </c>
      <c r="IO8" t="s">
        <v>1057</v>
      </c>
      <c r="IP8" t="s">
        <v>1057</v>
      </c>
      <c r="IQ8" t="s">
        <v>1057</v>
      </c>
      <c r="IR8" t="s">
        <v>1057</v>
      </c>
      <c r="IS8" t="s">
        <v>1057</v>
      </c>
      <c r="IT8" t="s">
        <v>1057</v>
      </c>
      <c r="IU8">
        <f>86.83/100</f>
        <v>0.86829999999999996</v>
      </c>
      <c r="IV8" s="11">
        <f>1-((1-IU8)*(1-((1-(56327.7/9995.6))/5)))</f>
        <v>0.74620752791228129</v>
      </c>
      <c r="IW8">
        <f>85.57/100</f>
        <v>0.85569999999999991</v>
      </c>
      <c r="IX8" s="11">
        <f>1-((1-IW8)*(1-((1-(56327.7/9995.6))/5)))</f>
        <v>0.72192669914762475</v>
      </c>
      <c r="IY8">
        <f>88.18/100</f>
        <v>0.88180000000000003</v>
      </c>
      <c r="IZ8" s="11">
        <f>1-((1-IY8)*(1-((1-(56327.7/9995.6))/5)))</f>
        <v>0.7722227015886991</v>
      </c>
      <c r="JA8" t="s">
        <v>1057</v>
      </c>
      <c r="JB8" t="s">
        <v>1057</v>
      </c>
      <c r="JC8" t="s">
        <v>1057</v>
      </c>
      <c r="JD8" t="s">
        <v>1057</v>
      </c>
      <c r="JE8" t="s">
        <v>1057</v>
      </c>
      <c r="JF8" t="s">
        <v>1057</v>
      </c>
      <c r="JG8" t="s">
        <v>1057</v>
      </c>
      <c r="JH8" t="s">
        <v>1057</v>
      </c>
      <c r="JI8" t="s">
        <v>1057</v>
      </c>
      <c r="JJ8" t="s">
        <v>1057</v>
      </c>
      <c r="JK8" t="s">
        <v>1057</v>
      </c>
      <c r="JL8" t="s">
        <v>1057</v>
      </c>
      <c r="JM8" t="s">
        <v>1057</v>
      </c>
      <c r="JN8" t="s">
        <v>1057</v>
      </c>
      <c r="JO8" t="s">
        <v>1057</v>
      </c>
      <c r="JP8" t="s">
        <v>1057</v>
      </c>
      <c r="JQ8" t="s">
        <v>1057</v>
      </c>
      <c r="JR8" t="s">
        <v>1057</v>
      </c>
      <c r="JS8" t="s">
        <v>1057</v>
      </c>
      <c r="JT8">
        <f>74/100</f>
        <v>0.74</v>
      </c>
      <c r="JU8" s="11">
        <f>1-((1-JT8)*(1-((1-(56327.7/9995.6))/5)))</f>
        <v>0.49896702549121608</v>
      </c>
      <c r="JV8">
        <f>69.5/100</f>
        <v>0.69499999999999995</v>
      </c>
      <c r="JW8" s="11">
        <f>1-((1-JV8)*(1-((1-(56327.7/9995.6))/5)))</f>
        <v>0.41224977990315725</v>
      </c>
      <c r="JX8">
        <f>78.5/100</f>
        <v>0.78500000000000003</v>
      </c>
      <c r="JY8" s="11">
        <f>1-((1-JX8)*(1-((1-(56327.7/9995.6))/5)))</f>
        <v>0.5856842710792749</v>
      </c>
      <c r="JZ8">
        <f>88.2/100</f>
        <v>0.88200000000000001</v>
      </c>
      <c r="KA8" s="11">
        <f>1-((1-JZ8)*(1-((1-(56327.7/9995.6))/5)))</f>
        <v>0.77260811156909037</v>
      </c>
      <c r="KB8">
        <f>62.75/100</f>
        <v>0.62749999999999995</v>
      </c>
      <c r="KC8" s="11">
        <f>1-((1-KB8)*(1-((1-(56327.7/9995.6))/5)))</f>
        <v>0.28217391152106919</v>
      </c>
      <c r="KD8">
        <f>60.6/100</f>
        <v>0.60599999999999998</v>
      </c>
      <c r="KE8" s="11">
        <f>1-((1-KD8)*(1-((1-(56327.7/9995.6))/5)))</f>
        <v>0.24074233862899674</v>
      </c>
      <c r="KF8">
        <f>64.7/100</f>
        <v>0.64700000000000002</v>
      </c>
      <c r="KG8" s="11">
        <f>1-((1-KF8)*(1-((1-(56327.7/9995.6))/5)))</f>
        <v>0.31975138460922814</v>
      </c>
      <c r="KH8">
        <f>69.5/100</f>
        <v>0.69499999999999995</v>
      </c>
      <c r="KI8" s="11">
        <f>1-((1-KH8)*(1-((1-(56327.7/9995.6))/5)))</f>
        <v>0.41224977990315725</v>
      </c>
      <c r="KJ8">
        <f>78.7/100</f>
        <v>0.78700000000000003</v>
      </c>
      <c r="KK8" s="11">
        <f>1-((1-KJ8)*(1-((1-(56327.7/9995.6))/5)))</f>
        <v>0.58953837088318872</v>
      </c>
      <c r="KL8">
        <f>89.1/100</f>
        <v>0.8909999999999999</v>
      </c>
      <c r="KM8" s="11">
        <f>1-((1-KL8)*(1-((1-(56327.7/9995.6))/5)))</f>
        <v>0.78995156068670203</v>
      </c>
      <c r="KN8" t="s">
        <v>1057</v>
      </c>
      <c r="KO8" s="11"/>
      <c r="KP8">
        <f>77.6/100</f>
        <v>0.77599999999999991</v>
      </c>
      <c r="KQ8" s="11">
        <f>1-((1-KP8)*(1-((1-(56327.7/9995.6))/5)))</f>
        <v>0.56834082196166302</v>
      </c>
      <c r="KR8">
        <f>77.5/100</f>
        <v>0.77500000000000002</v>
      </c>
      <c r="KS8" s="11">
        <f>1-((1-KR8)*(1-((1-(56327.7/9995.6))/5)))</f>
        <v>0.56641377205970633</v>
      </c>
      <c r="KT8">
        <f>77.7/100</f>
        <v>0.77700000000000002</v>
      </c>
      <c r="KU8" s="11">
        <f>1-((1-KT8)*(1-((1-(56327.7/9995.6))/5)))</f>
        <v>0.57026787186362005</v>
      </c>
      <c r="KV8">
        <f>76.9/100</f>
        <v>0.76900000000000002</v>
      </c>
      <c r="KW8" s="11">
        <f>1-((1-KV8)*(1-((1-(56327.7/9995.6))/5)))</f>
        <v>0.55485147264796519</v>
      </c>
      <c r="KX8">
        <f>78.3/100</f>
        <v>0.78299999999999992</v>
      </c>
      <c r="KY8" s="11">
        <f>1-((1-KX8)*(1-((1-(56327.7/9995.6))/5)))</f>
        <v>0.58183017127536107</v>
      </c>
      <c r="KZ8" t="s">
        <v>1057</v>
      </c>
      <c r="LA8" t="s">
        <v>1057</v>
      </c>
      <c r="LB8" t="s">
        <v>1057</v>
      </c>
      <c r="LC8" t="s">
        <v>1057</v>
      </c>
      <c r="LD8" t="s">
        <v>1057</v>
      </c>
      <c r="LE8">
        <f>71.4/100</f>
        <v>0.71400000000000008</v>
      </c>
      <c r="LF8" s="11">
        <f>1-((1-LE8)*(1-((1-(56327.7/9995.6))/5)))</f>
        <v>0.44886372804033792</v>
      </c>
      <c r="LG8">
        <f>73.6/100</f>
        <v>0.73599999999999999</v>
      </c>
      <c r="LH8" s="11">
        <f>1-((1-LG8)*(1-((1-(56327.7/9995.6))/5)))</f>
        <v>0.49125882588338865</v>
      </c>
      <c r="LI8">
        <f>70.9/100</f>
        <v>0.70900000000000007</v>
      </c>
      <c r="LJ8" s="11">
        <f>1-((1-LI8)*(1-((1-(56327.7/9995.6))/5)))</f>
        <v>0.43922847853055358</v>
      </c>
      <c r="LK8">
        <f>75.5/100</f>
        <v>0.755</v>
      </c>
      <c r="LL8" s="11">
        <f>1-((1-LK8)*(1-((1-(56327.7/9995.6))/5)))</f>
        <v>0.52787277402056909</v>
      </c>
      <c r="LM8">
        <f>75/100</f>
        <v>0.75</v>
      </c>
      <c r="LN8" s="11">
        <f>1-((1-LM8)*(1-((1-(56327.7/9995.6))/5)))</f>
        <v>0.51823752451078475</v>
      </c>
      <c r="LO8">
        <f>69.8/100</f>
        <v>0.69799999999999995</v>
      </c>
      <c r="LP8" s="11">
        <f>1-((1-LO8)*(1-((1-(56327.7/9995.6))/5)))</f>
        <v>0.41803092960902788</v>
      </c>
      <c r="LQ8">
        <f>68.9/100</f>
        <v>0.68900000000000006</v>
      </c>
      <c r="LR8" s="11">
        <f>1-((1-LQ8)*(1-((1-(56327.7/9995.6))/5)))</f>
        <v>0.40068748049141634</v>
      </c>
      <c r="LS8" t="s">
        <v>1057</v>
      </c>
      <c r="LT8">
        <f>72.6/100</f>
        <v>0.72599999999999998</v>
      </c>
      <c r="LU8" s="11">
        <f>1-((1-LT8)*(1-((1-(56327.7/9995.6))/5)))</f>
        <v>0.47198832686382008</v>
      </c>
      <c r="LV8" t="s">
        <v>1057</v>
      </c>
      <c r="LW8">
        <f>77.7/100</f>
        <v>0.77700000000000002</v>
      </c>
      <c r="LX8" s="11">
        <f>1-((1-LW8)*(1-((1-(56327.7/9995.6))/5)))</f>
        <v>0.57026787186362005</v>
      </c>
      <c r="LY8" t="s">
        <v>1057</v>
      </c>
      <c r="LZ8" s="40">
        <f>AVERAGE(JX8,JV8,JT8,IY8,IW8,IU8,IJ8:IL8,HS8,HQ8,HO8,GI8,GG8,,GT8,GV8,GX8,GZ8,HB8,HD8,HF8,HH8,HJ8,HL8,HU8,HW8,HY8,IA8,IC8,IE8,IG8,GE8,FT8:FV8,KB8,JZ8,KD8,KF8,KJ8,KH8,KL8,KP8,KT8,KR8,KV8,KX8,LE8,LG8,LI8,LK8,LM8,LO8,LQ8,LT8,LW8)</f>
        <v>0.66547719298245622</v>
      </c>
      <c r="MA8" s="40">
        <f>AVERAGE(JY8,JW8,JU8,IZ8,IX8,IV8,IJ8:IL8,HT8,HR8,HP8,GJ8,GH8,,GU8,GW8,GY8,HA8,HC8,HE8,HG8,HI8,HK8,HM8,HV8,HX8,HZ8,IB8,ID8,IF8,IH8,GF8,FT8:FV8,KC8,KA8,KE8,KG8,KK8,KI8,KM8,KQ8,KU8,KS8,KW8,KY8,LF8,LH8,LJ8,LL8,LN8,LP8,LR8,LU8,LX8)</f>
        <v>0.36970761417479819</v>
      </c>
      <c r="MB8" s="4">
        <f>(COUNT(JX8,JV8,JT8,IY8,IW8,IU8,IJ8:IL8,HS8,HQ8,HO8,GI8,GG8,,GT8,GV8,GX8,GZ8,HB8,HD8,HF8,HH8,HJ8,HL8,HU8,HW8,HY8,IA8,IC8,IE8,IG8,GE8,FT8:FV8,KB8,JZ8,KD8,KF8,KJ8,KH8,KL8,KP8,KT8,KR8,KV8,KX8,LE8,LG8,LI8,LK8,LM8,LO8,LQ8,LT8,LW8))/110</f>
        <v>0.51818181818181819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0</v>
      </c>
      <c r="MS8">
        <v>1</v>
      </c>
      <c r="MT8">
        <v>1</v>
      </c>
      <c r="MU8">
        <v>1</v>
      </c>
      <c r="MV8">
        <v>0</v>
      </c>
      <c r="MW8" s="11">
        <f>1-((1-MV8)*(1-((1-(56327.7/9995.6))/5)))</f>
        <v>-0.92704990195686099</v>
      </c>
      <c r="MX8" s="8">
        <f>AVERAGE(MC8:MV8)</f>
        <v>0.9</v>
      </c>
      <c r="MY8" s="8">
        <f>AVERAGE(MC8:MU8,MW8)</f>
        <v>0.85364750490215702</v>
      </c>
      <c r="MZ8" s="8">
        <f>(COUNT(MC8:MV8))/20</f>
        <v>1</v>
      </c>
      <c r="NB8">
        <v>1</v>
      </c>
      <c r="ND8">
        <v>1</v>
      </c>
      <c r="NE8" s="9">
        <f>AVERAGE(NB8,ND8)</f>
        <v>1</v>
      </c>
      <c r="NF8" s="9">
        <v>0.5</v>
      </c>
      <c r="NG8">
        <v>1</v>
      </c>
      <c r="NH8">
        <v>1</v>
      </c>
      <c r="NI8">
        <v>1</v>
      </c>
      <c r="NJ8">
        <v>1</v>
      </c>
      <c r="NK8">
        <v>1</v>
      </c>
      <c r="NL8">
        <v>1</v>
      </c>
      <c r="NM8">
        <v>1</v>
      </c>
      <c r="NN8">
        <v>1</v>
      </c>
      <c r="NO8" t="s">
        <v>1059</v>
      </c>
      <c r="NP8" t="s">
        <v>1059</v>
      </c>
      <c r="NQ8" t="s">
        <v>1059</v>
      </c>
      <c r="NR8" t="s">
        <v>1059</v>
      </c>
      <c r="NS8" t="s">
        <v>1059</v>
      </c>
      <c r="NT8" t="s">
        <v>1059</v>
      </c>
      <c r="NU8" t="s">
        <v>1059</v>
      </c>
      <c r="NV8" t="s">
        <v>1059</v>
      </c>
      <c r="NW8" t="s">
        <v>1059</v>
      </c>
      <c r="NX8" t="s">
        <v>1059</v>
      </c>
      <c r="NY8" t="s">
        <v>1059</v>
      </c>
      <c r="NZ8">
        <f>93.3/100</f>
        <v>0.93299999999999994</v>
      </c>
      <c r="OA8">
        <f>91.7/100</f>
        <v>0.91700000000000004</v>
      </c>
      <c r="OB8">
        <f>95/100</f>
        <v>0.95</v>
      </c>
      <c r="OC8">
        <f>94.4/100</f>
        <v>0.94400000000000006</v>
      </c>
      <c r="OD8">
        <f>84.6/100</f>
        <v>0.84599999999999997</v>
      </c>
      <c r="OE8">
        <f>82.6/100</f>
        <v>0.82599999999999996</v>
      </c>
      <c r="OF8">
        <f>89.7/100</f>
        <v>0.89700000000000002</v>
      </c>
      <c r="OG8">
        <f>94.1/100</f>
        <v>0.94099999999999995</v>
      </c>
      <c r="OH8">
        <f>96.7/100</f>
        <v>0.96700000000000008</v>
      </c>
      <c r="OI8">
        <f>98/100</f>
        <v>0.98</v>
      </c>
      <c r="OJ8" t="s">
        <v>1057</v>
      </c>
      <c r="OK8">
        <f>95.1/100</f>
        <v>0.95099999999999996</v>
      </c>
      <c r="OL8">
        <f>94.5/100</f>
        <v>0.94499999999999995</v>
      </c>
      <c r="OM8">
        <f>95.7/100</f>
        <v>0.95700000000000007</v>
      </c>
      <c r="ON8">
        <f>95.9/100</f>
        <v>0.95900000000000007</v>
      </c>
      <c r="OO8">
        <f>88.4/100</f>
        <v>0.88400000000000001</v>
      </c>
      <c r="OP8">
        <f>86.2/100</f>
        <v>0.86199999999999999</v>
      </c>
      <c r="OQ8">
        <f>92.9/100</f>
        <v>0.92900000000000005</v>
      </c>
      <c r="OR8">
        <f>96.1/100</f>
        <v>0.96099999999999997</v>
      </c>
      <c r="OS8">
        <f>97.7/100</f>
        <v>0.97699999999999998</v>
      </c>
      <c r="OT8">
        <f>98.5/100</f>
        <v>0.98499999999999999</v>
      </c>
      <c r="OU8" t="s">
        <v>1057</v>
      </c>
      <c r="OV8" t="s">
        <v>1060</v>
      </c>
      <c r="OW8" s="11"/>
      <c r="OX8" t="s">
        <v>1059</v>
      </c>
      <c r="OY8" s="11"/>
      <c r="OZ8" t="s">
        <v>1059</v>
      </c>
      <c r="PA8" s="11"/>
      <c r="PB8" t="s">
        <v>1059</v>
      </c>
      <c r="PC8" t="s">
        <v>1059</v>
      </c>
      <c r="PD8" t="s">
        <v>1059</v>
      </c>
      <c r="PE8" t="s">
        <v>1059</v>
      </c>
      <c r="PF8" t="s">
        <v>1059</v>
      </c>
      <c r="PG8" t="s">
        <v>1059</v>
      </c>
      <c r="PH8" t="s">
        <v>1059</v>
      </c>
      <c r="PI8" t="s">
        <v>1059</v>
      </c>
      <c r="PJ8">
        <f>92.3/100</f>
        <v>0.92299999999999993</v>
      </c>
      <c r="PK8" s="11">
        <f>1-((1-PJ8)*(1-((1-(56327.7/9995.6))/5)))</f>
        <v>0.85161715754932155</v>
      </c>
      <c r="PL8">
        <f>90.2/100</f>
        <v>0.90200000000000002</v>
      </c>
      <c r="PM8" s="11">
        <f>1-((1-PL8)*(1-((1-(56327.7/9995.6))/5)))</f>
        <v>0.81114910960822773</v>
      </c>
      <c r="PN8">
        <f>94.6/100</f>
        <v>0.94599999999999995</v>
      </c>
      <c r="PO8" s="11">
        <f>1-((1-PN8)*(1-((1-(56327.7/9995.6))/5)))</f>
        <v>0.89593930529432941</v>
      </c>
      <c r="PP8">
        <f>93.4/100</f>
        <v>0.93400000000000005</v>
      </c>
      <c r="PQ8" s="11">
        <f>1-((1-PP8)*(1-((1-(56327.7/9995.6))/5)))</f>
        <v>0.87281470647084725</v>
      </c>
      <c r="PR8">
        <f>82.2/100</f>
        <v>0.82200000000000006</v>
      </c>
      <c r="PS8" s="11">
        <f>1-((1-PR8)*(1-((1-(56327.7/9995.6))/5)))</f>
        <v>0.65698511745167887</v>
      </c>
      <c r="PT8">
        <f>79.7/100</f>
        <v>0.79700000000000004</v>
      </c>
      <c r="PU8" s="11">
        <f>1-((1-PT8)*(1-((1-(56327.7/9995.6))/5)))</f>
        <v>0.60880886990275729</v>
      </c>
      <c r="PV8">
        <f>88.2/100</f>
        <v>0.88200000000000001</v>
      </c>
      <c r="PW8" s="11">
        <f>1-((1-PV8)*(1-((1-(56327.7/9995.6))/5)))</f>
        <v>0.77260811156909037</v>
      </c>
      <c r="PX8">
        <f>93.1/100</f>
        <v>0.93099999999999994</v>
      </c>
      <c r="PY8" s="11">
        <f>1-((1-PX8)*(1-((1-(56327.7/9995.6))/5)))</f>
        <v>0.86703355676497651</v>
      </c>
      <c r="PZ8">
        <f>96.1/100</f>
        <v>0.96099999999999997</v>
      </c>
      <c r="QA8" s="11">
        <f>1-((1-PZ8)*(1-((1-(56327.7/9995.6))/5)))</f>
        <v>0.92484505382368232</v>
      </c>
      <c r="QB8">
        <f>97.8/100</f>
        <v>0.97799999999999998</v>
      </c>
      <c r="QC8" s="11">
        <f>1-((1-QB8)*(1-((1-(56327.7/9995.6))/5)))</f>
        <v>0.95760490215694904</v>
      </c>
      <c r="QD8" t="s">
        <v>1057</v>
      </c>
      <c r="QE8" s="11"/>
      <c r="QF8">
        <f>95.7/100</f>
        <v>0.95700000000000007</v>
      </c>
      <c r="QG8" s="11">
        <f>1-((1-QF8)*(1-((1-(56327.7/9995.6))/5)))</f>
        <v>0.91713685421585511</v>
      </c>
      <c r="QH8">
        <f>95.4/100</f>
        <v>0.95400000000000007</v>
      </c>
      <c r="QI8" s="11">
        <f>1-((1-QH8)*(1-((1-(56327.7/9995.6))/5)))</f>
        <v>0.91135570450998449</v>
      </c>
      <c r="QJ8">
        <f>95.9/100</f>
        <v>0.95900000000000007</v>
      </c>
      <c r="QK8" s="11">
        <f>1-((1-QJ8)*(1-((1-(56327.7/9995.6))/5)))</f>
        <v>0.92099095401976883</v>
      </c>
      <c r="QL8">
        <f>96.2/100</f>
        <v>0.96200000000000008</v>
      </c>
      <c r="QM8" s="11">
        <f>1-((1-QL8)*(1-((1-(56327.7/9995.6))/5)))</f>
        <v>0.92677210372563945</v>
      </c>
      <c r="QN8">
        <f>90.6/100</f>
        <v>0.90599999999999992</v>
      </c>
      <c r="QO8" s="11">
        <f>1-((1-QN8)*(1-((1-(56327.7/9995.6))/5)))</f>
        <v>0.81885730921605493</v>
      </c>
      <c r="QP8">
        <f>87.1/100</f>
        <v>0.871</v>
      </c>
      <c r="QQ8" s="11">
        <f>1-((1-QP8)*(1-((1-(56327.7/9995.6))/5)))</f>
        <v>0.75141056264756489</v>
      </c>
      <c r="QR8">
        <f>93.8/100</f>
        <v>0.93799999999999994</v>
      </c>
      <c r="QS8" s="11">
        <f>1-((1-QR8)*(1-((1-(56327.7/9995.6))/5)))</f>
        <v>0.88052290607867456</v>
      </c>
      <c r="QT8">
        <f>96.4/100</f>
        <v>0.96400000000000008</v>
      </c>
      <c r="QU8" s="11">
        <f>1-((1-QT8)*(1-((1-(56327.7/9995.6))/5)))</f>
        <v>0.93062620352955316</v>
      </c>
      <c r="QV8">
        <f>97.9/100</f>
        <v>0.97900000000000009</v>
      </c>
      <c r="QW8" s="11">
        <f>1-((1-QV8)*(1-((1-(56327.7/9995.6))/5)))</f>
        <v>0.95953195205890607</v>
      </c>
      <c r="QX8">
        <f>98.7/100</f>
        <v>0.98699999999999999</v>
      </c>
      <c r="QY8" s="11">
        <f>1-((1-QX8)*(1-((1-(56327.7/9995.6))/5)))</f>
        <v>0.97494835127456081</v>
      </c>
      <c r="QZ8" t="s">
        <v>1057</v>
      </c>
      <c r="RA8" s="11"/>
      <c r="RB8">
        <f>99/100</f>
        <v>0.99</v>
      </c>
      <c r="RC8" t="s">
        <v>1057</v>
      </c>
      <c r="RD8" t="s">
        <v>1057</v>
      </c>
      <c r="RE8" t="s">
        <v>1057</v>
      </c>
      <c r="RF8" t="s">
        <v>1057</v>
      </c>
      <c r="RG8" t="s">
        <v>1057</v>
      </c>
      <c r="RH8" t="s">
        <v>1057</v>
      </c>
      <c r="RI8" t="s">
        <v>1057</v>
      </c>
      <c r="RJ8" t="s">
        <v>1057</v>
      </c>
      <c r="RK8" t="s">
        <v>1057</v>
      </c>
      <c r="RL8" t="s">
        <v>1057</v>
      </c>
      <c r="RM8">
        <f>96/100</f>
        <v>0.96</v>
      </c>
      <c r="RN8">
        <f>96/100</f>
        <v>0.96</v>
      </c>
      <c r="RO8">
        <f>96/100</f>
        <v>0.96</v>
      </c>
      <c r="RW8" t="s">
        <v>1057</v>
      </c>
      <c r="RX8" s="2">
        <f>AVERAGE(RM8:RO8,RB8:RD8,QF8,PJ8,OZ8,OX8,OV8,OK8,NO8:NQ8,QX8,QV8,QT8,QR8,QP8,QN8,QL8,QJ8,QH8,QB8,PZ8,PX8,PV8,PT8,PR8,PP8,PN8,PL8,OL8:OT8,NZ8:OH8,NG8:NN8)</f>
        <v>0.94223529411764728</v>
      </c>
      <c r="RY8" s="2">
        <f>AVERAGE(RM8:RO8,RB8:RD8,QG8,PK8,PA8,OY8,OW8,OK8,NZ8,NO8:NQ8,QY8,QW8,QU8,QS8,QQ8,QO8,QM8,QK8,QI8,QC8,QA8,PY8,PW8,PU8,PS8,PQ8,PO8,PM8,OL8:OT8,OA8:OI8,NG8:NN8)</f>
        <v>0.91716459215131585</v>
      </c>
      <c r="RZ8" s="4">
        <f>(COUNT(RM8:RO8,RB8,QX8,QV8,QT8,QR8,QP8,QN8,QL8,QJ8,QH8,QF8,QB8,PZ8,PX8,PV8,PT8,PR8,PP8,PN8,PL8,PJ8,OK8:OT8,NZ8:OI8,NG8:NN8))/96</f>
        <v>0.54166666666666663</v>
      </c>
      <c r="SA8">
        <v>1</v>
      </c>
      <c r="SB8">
        <v>1</v>
      </c>
      <c r="SC8">
        <f>8.22/100</f>
        <v>8.2200000000000009E-2</v>
      </c>
      <c r="SD8" s="11">
        <f>1-((1-SC8)*(1-((1-(56327.7/9995.6))/5)))</f>
        <v>-0.76864640001600693</v>
      </c>
      <c r="SG8" s="8">
        <f>AVERAGE(SA8:SC8)</f>
        <v>0.69406666666666661</v>
      </c>
      <c r="SH8" s="8">
        <f>AVERAGE(SA8:SB8,SD8)</f>
        <v>0.41045119999466434</v>
      </c>
      <c r="SI8" s="8">
        <f>(COUNT(SA8:SC8))/5</f>
        <v>0.6</v>
      </c>
      <c r="SJ8">
        <v>997</v>
      </c>
      <c r="SK8">
        <v>1</v>
      </c>
      <c r="SL8">
        <f>29.4/100</f>
        <v>0.29399999999999998</v>
      </c>
      <c r="SM8">
        <f>29.4/100</f>
        <v>0.29399999999999998</v>
      </c>
      <c r="SN8" s="11">
        <f>1-((1-SM8)*(1-((1-(56327.7/9995.6))/5)))</f>
        <v>-0.36049723078154372</v>
      </c>
      <c r="SO8" s="9">
        <f>AVERAGE(SK8:SM8)</f>
        <v>0.52933333333333332</v>
      </c>
      <c r="SP8" s="9">
        <f>AVERAGE(SK8:SL8,SN8)</f>
        <v>0.31116758973948544</v>
      </c>
      <c r="SQ8" s="9">
        <f>(COUNT(SK8,SL8:SM8))/4</f>
        <v>0.75</v>
      </c>
      <c r="SR8">
        <v>0.66</v>
      </c>
      <c r="SS8">
        <v>0</v>
      </c>
      <c r="ST8">
        <v>1</v>
      </c>
      <c r="SU8">
        <v>1</v>
      </c>
      <c r="SV8" s="9">
        <f>AVERAGE(SR8:SS8,ST8:SU8)</f>
        <v>0.66500000000000004</v>
      </c>
      <c r="SW8" s="9">
        <f>(COUNT(SR8:SU8)/4)</f>
        <v>1</v>
      </c>
      <c r="SX8">
        <v>1</v>
      </c>
      <c r="SY8" s="11">
        <f>1-((1-SX8)*(1-((1-(56327.7/9995.6))/5)))</f>
        <v>1</v>
      </c>
      <c r="SZ8">
        <f>2.8/100</f>
        <v>2.7999999999999997E-2</v>
      </c>
      <c r="TA8" s="11">
        <f>1-((1-SZ8)*(1-((1-(56327.7/9995.6))/5)))</f>
        <v>-0.87309250470206878</v>
      </c>
      <c r="TB8">
        <v>0</v>
      </c>
      <c r="TC8" s="11">
        <f>1-((1-TB8)*(1-((1-(56327.7/9995.6))/5)))</f>
        <v>-0.92704990195686099</v>
      </c>
      <c r="TD8">
        <v>1</v>
      </c>
      <c r="TE8" s="11">
        <f>1-((1-TD8)*(1-((1-(56327.7/9995.6))/5)))</f>
        <v>1</v>
      </c>
      <c r="TF8">
        <v>0</v>
      </c>
      <c r="TG8">
        <v>1</v>
      </c>
      <c r="TH8" s="11">
        <f>1-((1-TG8)*(1-((1-(56327.7/9995.6))/5)))</f>
        <v>1</v>
      </c>
      <c r="TI8">
        <v>1</v>
      </c>
      <c r="TJ8" s="11">
        <f>1-((1-TI8)*(1-((1-(56327.7/9995.6))/5)))</f>
        <v>1</v>
      </c>
      <c r="TK8" s="9">
        <f>AVERAGE(SX8,SZ8,TB8,TD8,TF8,TG8,TI8)</f>
        <v>0.57542857142857151</v>
      </c>
      <c r="TL8" s="9">
        <f>AVERAGE(SY8,TA8,TC8,TF8,TE8,TH8,TJ8)</f>
        <v>0.31426537047729575</v>
      </c>
      <c r="TM8" s="9">
        <f>(COUNT(SX8,SZ8,TB8,TD8,TF8:TG8,TI8))/7</f>
        <v>1</v>
      </c>
      <c r="TQ8" s="1">
        <f>AH8</f>
        <v>0.59375</v>
      </c>
      <c r="TR8" s="1">
        <f>AQ8</f>
        <v>0.7142857142857143</v>
      </c>
      <c r="TS8" s="1">
        <f>AW8</f>
        <v>1</v>
      </c>
      <c r="TT8" s="1">
        <f>BC8</f>
        <v>0.9375</v>
      </c>
      <c r="TU8" s="1">
        <f t="shared" ref="TU8:TV10" si="22">CC8</f>
        <v>0.29568614354</v>
      </c>
      <c r="TV8" s="1">
        <f t="shared" si="22"/>
        <v>-2.3119813043413647E-2</v>
      </c>
      <c r="TW8" s="1">
        <f t="shared" ref="TW8:TX10" si="23">CO8</f>
        <v>0.66981929942577478</v>
      </c>
      <c r="TX8" s="1">
        <f t="shared" si="23"/>
        <v>0.54283832626501693</v>
      </c>
      <c r="TY8" s="1">
        <f t="shared" ref="TY8:TZ10" si="24">DF8</f>
        <v>0.82857142857142851</v>
      </c>
      <c r="TZ8" s="1">
        <f t="shared" si="24"/>
        <v>0.82857142857142851</v>
      </c>
      <c r="UA8" s="1">
        <f t="shared" ref="UA8:UB10" si="25">DW8</f>
        <v>0.75765731072829423</v>
      </c>
      <c r="UB8" s="1">
        <f t="shared" si="25"/>
        <v>0.6524022196887479</v>
      </c>
      <c r="UC8" s="1">
        <f t="shared" ref="UC8:UD10" si="26">EH8</f>
        <v>0.5</v>
      </c>
      <c r="UD8" s="1">
        <f t="shared" si="26"/>
        <v>0.26823752451078475</v>
      </c>
      <c r="UE8" s="1">
        <f t="shared" ref="UE8:UF10" si="27">EU8</f>
        <v>0.58068333333333333</v>
      </c>
      <c r="UF8" s="1">
        <f t="shared" si="27"/>
        <v>0.47646747352168289</v>
      </c>
      <c r="UG8" s="1">
        <f t="shared" ref="UG8:UH10" si="28">FQ8</f>
        <v>0.82352941176470584</v>
      </c>
      <c r="UH8" s="1">
        <f t="shared" si="28"/>
        <v>0.82352941176470584</v>
      </c>
      <c r="UI8" s="1">
        <f t="shared" ref="UI8:UJ10" si="29">LZ8</f>
        <v>0.66547719298245622</v>
      </c>
      <c r="UJ8" s="1">
        <f t="shared" si="29"/>
        <v>0.36970761417479819</v>
      </c>
      <c r="UK8" s="1">
        <f t="shared" ref="UK8:UL10" si="30">MX8</f>
        <v>0.9</v>
      </c>
      <c r="UL8" s="11">
        <f t="shared" si="30"/>
        <v>0.85364750490215702</v>
      </c>
      <c r="UM8" s="11">
        <f>NE8</f>
        <v>1</v>
      </c>
      <c r="UN8" s="1">
        <f t="shared" ref="UN8:UO10" si="31">RX8</f>
        <v>0.94223529411764728</v>
      </c>
      <c r="UO8" s="1">
        <f t="shared" si="31"/>
        <v>0.91716459215131585</v>
      </c>
      <c r="UP8" s="1">
        <f t="shared" ref="UP8:UQ10" si="32">SG8</f>
        <v>0.69406666666666661</v>
      </c>
      <c r="UQ8" s="1">
        <f t="shared" si="32"/>
        <v>0.41045119999466434</v>
      </c>
      <c r="UR8" s="1">
        <f t="shared" ref="UR8:US10" si="33">SO8</f>
        <v>0.52933333333333332</v>
      </c>
      <c r="US8" s="1">
        <f t="shared" si="33"/>
        <v>0.31116758973948544</v>
      </c>
      <c r="UT8" s="1">
        <f>SV8</f>
        <v>0.66500000000000004</v>
      </c>
      <c r="UU8" s="1">
        <f t="shared" ref="UU8:UV10" si="34">TK8</f>
        <v>0.57542857142857151</v>
      </c>
      <c r="UV8" s="1">
        <f t="shared" si="34"/>
        <v>0.31426537047729575</v>
      </c>
      <c r="UX8" s="10">
        <f>AVERAGE(TQ8:TU8)</f>
        <v>0.70824437156514297</v>
      </c>
      <c r="UY8" s="10">
        <f>AVERAGE(TQ8:TT8,TV8)</f>
        <v>0.64448318024846007</v>
      </c>
      <c r="UZ8" s="10">
        <f>UY8*(38/40)</f>
        <v>0.61225902123603704</v>
      </c>
      <c r="VA8" s="10">
        <f t="shared" ref="VA8:VB10" si="35">AVERAGE(TW8,TY8,UA8,UC8)</f>
        <v>0.68901200968137433</v>
      </c>
      <c r="VB8" s="10">
        <f t="shared" si="35"/>
        <v>0.57301237475899447</v>
      </c>
      <c r="VC8" s="10">
        <f>VB8*(29/29)</f>
        <v>0.57301237475899447</v>
      </c>
      <c r="VD8" s="10">
        <f t="shared" ref="VD8:VE10" si="36">AVERAGE(UE8,UG8,UI8)</f>
        <v>0.68989664602683176</v>
      </c>
      <c r="VE8" s="10">
        <f t="shared" si="36"/>
        <v>0.55656816648706231</v>
      </c>
      <c r="VF8" s="10">
        <f>VE8*(82/82)</f>
        <v>0.55656816648706231</v>
      </c>
      <c r="VG8" s="10">
        <f>AVERAGE(UK8,UM8,UN8)</f>
        <v>0.9474117647058824</v>
      </c>
      <c r="VH8" s="10">
        <f>AVERAGE(UL8,UM8,UO8)</f>
        <v>0.92360403235115773</v>
      </c>
      <c r="VI8" s="10">
        <f>VH8*(74/74)</f>
        <v>0.92360403235115773</v>
      </c>
      <c r="VJ8" s="10">
        <f>AVERAGE(UP8,UR8,UT8,UU8,)</f>
        <v>0.49276571428571431</v>
      </c>
      <c r="VK8" s="10">
        <f>AVERAGE(UQ8,US8,UT8,UV8)</f>
        <v>0.42522104005286138</v>
      </c>
      <c r="VL8" s="10">
        <f>VK8*(17/17)</f>
        <v>0.42522104005286138</v>
      </c>
      <c r="VM8" s="10">
        <f t="shared" ref="VM8:VO10" si="37">AVERAGE(UX8,VA8,VD8,VG8,VJ8)</f>
        <v>0.70546610125298925</v>
      </c>
      <c r="VN8" s="10">
        <f t="shared" si="37"/>
        <v>0.62457775877970723</v>
      </c>
      <c r="VO8" s="10">
        <f t="shared" si="37"/>
        <v>0.61813292697722266</v>
      </c>
    </row>
    <row r="9" spans="1:610" x14ac:dyDescent="0.25">
      <c r="A9" t="s">
        <v>1061</v>
      </c>
      <c r="B9">
        <v>1</v>
      </c>
      <c r="C9">
        <v>0.5</v>
      </c>
      <c r="D9">
        <v>1</v>
      </c>
      <c r="E9">
        <v>0.5</v>
      </c>
      <c r="F9">
        <v>0</v>
      </c>
      <c r="G9">
        <v>0.5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1</v>
      </c>
      <c r="O9">
        <v>1</v>
      </c>
      <c r="P9">
        <v>0.5</v>
      </c>
      <c r="Q9">
        <v>0.5</v>
      </c>
      <c r="R9">
        <v>997</v>
      </c>
      <c r="S9">
        <v>997</v>
      </c>
      <c r="T9">
        <v>997</v>
      </c>
      <c r="U9">
        <v>997</v>
      </c>
      <c r="V9">
        <v>997</v>
      </c>
      <c r="W9">
        <v>1</v>
      </c>
      <c r="X9">
        <v>0</v>
      </c>
      <c r="Y9">
        <v>1</v>
      </c>
      <c r="Z9">
        <v>997</v>
      </c>
      <c r="AA9">
        <v>997</v>
      </c>
      <c r="AB9">
        <v>997</v>
      </c>
      <c r="AC9">
        <v>997</v>
      </c>
      <c r="AD9">
        <v>997</v>
      </c>
      <c r="AE9">
        <v>997</v>
      </c>
      <c r="AF9">
        <v>997</v>
      </c>
      <c r="AG9">
        <v>997</v>
      </c>
      <c r="AH9" s="38">
        <f>AVERAGE(B9:Q9,W9:Y9)</f>
        <v>0.60526315789473684</v>
      </c>
      <c r="AI9" s="6">
        <v>1</v>
      </c>
      <c r="AJ9">
        <v>1</v>
      </c>
      <c r="AK9">
        <v>1</v>
      </c>
      <c r="AL9">
        <v>0</v>
      </c>
      <c r="AM9">
        <v>0</v>
      </c>
      <c r="AN9">
        <v>1</v>
      </c>
      <c r="AO9">
        <v>1</v>
      </c>
      <c r="AP9">
        <v>1</v>
      </c>
      <c r="AQ9" s="2">
        <f>AVERAGE(AJ9:AP9)</f>
        <v>0.7142857142857143</v>
      </c>
      <c r="AR9" s="2">
        <v>1</v>
      </c>
      <c r="AS9">
        <v>997</v>
      </c>
      <c r="AT9">
        <v>997</v>
      </c>
      <c r="AU9">
        <v>997</v>
      </c>
      <c r="AV9" s="11"/>
      <c r="AW9" s="39"/>
      <c r="AX9" s="4">
        <v>1</v>
      </c>
      <c r="AY9">
        <v>0</v>
      </c>
      <c r="AZ9">
        <v>1</v>
      </c>
      <c r="BA9">
        <v>1</v>
      </c>
      <c r="BB9">
        <v>1</v>
      </c>
      <c r="BC9" s="2">
        <f>AVERAGE(AY9:BB9)</f>
        <v>0.75</v>
      </c>
      <c r="BD9" s="2">
        <v>1</v>
      </c>
      <c r="BE9">
        <f>25/100</f>
        <v>0.25</v>
      </c>
      <c r="BF9" s="11">
        <v>0</v>
      </c>
      <c r="BG9">
        <f>6.4/100</f>
        <v>6.4000000000000001E-2</v>
      </c>
      <c r="BH9" s="11">
        <v>0</v>
      </c>
      <c r="BI9">
        <v>0</v>
      </c>
      <c r="BJ9" s="11">
        <v>0</v>
      </c>
      <c r="BK9">
        <v>2.5999999999999999E-2</v>
      </c>
      <c r="BL9" s="11">
        <v>0</v>
      </c>
      <c r="BN9" s="11"/>
      <c r="BP9" s="11"/>
      <c r="BQ9">
        <f>7.1/100</f>
        <v>7.0999999999999994E-2</v>
      </c>
      <c r="BR9" s="11">
        <v>0</v>
      </c>
      <c r="BS9">
        <f>27.5/100</f>
        <v>0.27500000000000002</v>
      </c>
      <c r="BT9" s="11">
        <f>1-((1-BS9)*(1-((1-(43248.5/9995.6))/5)))</f>
        <v>-0.20737929689063184</v>
      </c>
      <c r="BU9">
        <f>43.6/100</f>
        <v>0.436</v>
      </c>
      <c r="BV9" s="11">
        <f>1-((1-BU9)*(1-((1-(43248.5/9995.6))/5)))</f>
        <v>6.0742174556804973E-2</v>
      </c>
      <c r="BX9" s="11"/>
      <c r="BY9">
        <f>7/100</f>
        <v>7.0000000000000007E-2</v>
      </c>
      <c r="BZ9" s="11">
        <f>1-((1-BY9)*(1-((1-(43248.5/9995.6))/5)))</f>
        <v>-0.54877620152867235</v>
      </c>
      <c r="CA9">
        <f>100/100</f>
        <v>1</v>
      </c>
      <c r="CB9" s="11">
        <f>1-((1-CA9)*(1-((1-(43248.5/9995.6))/5)))</f>
        <v>1</v>
      </c>
      <c r="CC9" s="4">
        <f>AVERAGE(BE9,BG9,BI9,BK9,BQ9,BU9,BY9,BS9,CA9)</f>
        <v>0.24355555555555558</v>
      </c>
      <c r="CD9" s="4">
        <f>AVERAGE(CB9,BT9,BH9,BJ9,BL9,BR9,BV9,BZ9,BF9,)</f>
        <v>3.045866761375008E-2</v>
      </c>
      <c r="CE9" s="39">
        <f>(COUNT(BE9,BG9,BI9,BK9,BQ9,BS9,BU9,BW9,BY9,CA9))/12</f>
        <v>0.75</v>
      </c>
      <c r="CF9">
        <v>0</v>
      </c>
      <c r="CH9">
        <v>0</v>
      </c>
      <c r="CI9" s="11">
        <f>1-((1-CH9)*(1-((1-(43248.5/9995.6))/5)))</f>
        <v>-0.66535075433190594</v>
      </c>
      <c r="CK9" s="11">
        <f>1-((1-CJ9)*(1-((1-(43248.5/9995.6))/5)))</f>
        <v>-0.66535075433190594</v>
      </c>
      <c r="CM9">
        <f>10*(1/15.3)</f>
        <v>0.65359477124183007</v>
      </c>
      <c r="CN9" s="11">
        <f>1-((1-CM9)*(1-((1-(43248.5/9995.6))/5)))</f>
        <v>0.42311379098306523</v>
      </c>
      <c r="CO9" s="6">
        <f>AVERAGE(CF9:CH9,CJ9,CL9:CM9)</f>
        <v>0.2178649237472767</v>
      </c>
      <c r="CP9" s="6">
        <f>AVERAGE(CF9:CG9,CI9,CK9,CL9,CN9)</f>
        <v>-0.22689692942018666</v>
      </c>
      <c r="CQ9">
        <f>(COUNT(CF9,CG9,CH9,CJ9,CL9,CM9))/6</f>
        <v>0.5</v>
      </c>
      <c r="CR9">
        <v>1</v>
      </c>
      <c r="CS9" s="34">
        <f>10*(1/30)</f>
        <v>0.33333333333333331</v>
      </c>
      <c r="CT9">
        <v>1</v>
      </c>
      <c r="CU9" s="11">
        <f>1-((1-CT9)*(1-((1-(43248.5/9995.6))/5)))</f>
        <v>1</v>
      </c>
      <c r="CV9" s="34">
        <f>10*(1/30)</f>
        <v>0.33333333333333331</v>
      </c>
      <c r="CW9" s="11">
        <f>1-((1-CV9)*(1-((1-(43248.5/9995.6))/5)))</f>
        <v>-0.1102338362212707</v>
      </c>
      <c r="DB9" s="11"/>
      <c r="DE9" s="11"/>
      <c r="DF9">
        <f>AVERAGE(CR9,CS9,CT9,CV9,CX9,CY9,CZ9,DA9,DC9,DD9)</f>
        <v>0.66666666666666663</v>
      </c>
      <c r="DG9">
        <f>AVERAGE(CR9:CS9,CU9,CV9,CX9:CZ9,DB9:DC9,DE9)</f>
        <v>0.66666666666666663</v>
      </c>
      <c r="DH9">
        <f>(COUNT(CR9:CT9,CV9,CX9:DA9,DC9:DD9))/10</f>
        <v>0.4</v>
      </c>
      <c r="DI9">
        <f>100/100</f>
        <v>1</v>
      </c>
      <c r="DJ9">
        <f>100/100</f>
        <v>1</v>
      </c>
      <c r="DK9" s="11">
        <f>1-((1-DJ9)*(1-((1-(43248.5/9995.6))/5)))</f>
        <v>1</v>
      </c>
      <c r="DL9">
        <v>0</v>
      </c>
      <c r="DM9"/>
      <c r="DN9">
        <v>0</v>
      </c>
      <c r="DO9" s="11">
        <f>1-((1-DN9)*(1-((1-(43248.5/9995.6))/5)))</f>
        <v>-0.66535075433190594</v>
      </c>
      <c r="DP9"/>
      <c r="DQ9" s="11"/>
      <c r="DR9">
        <f>10*(1/14.1)</f>
        <v>0.70921985815602839</v>
      </c>
      <c r="DS9">
        <f>10*(1/14.1)</f>
        <v>0.70921985815602839</v>
      </c>
      <c r="DT9" s="11">
        <f>1-((1-DS9)*(1-((1-(43248.5/9995.6))/5)))</f>
        <v>0.51574907143540327</v>
      </c>
      <c r="DU9">
        <v>1.29</v>
      </c>
      <c r="DV9" s="11">
        <f>1-((1-DU9)*(1-((1-(43248.5/9995.6))/5)))</f>
        <v>1.4829517187562526</v>
      </c>
      <c r="DW9" s="4">
        <f>AVERAGE(DI9,DJ9,DR9,DL9:DN9,DP9,DS9,DU9)</f>
        <v>0.67263424518743675</v>
      </c>
      <c r="DX9" s="4">
        <f>AVERAGE(DI9,DK9:DM9,DO9,DQ9:DR9,DT9,DV9)</f>
        <v>0.57750998485939697</v>
      </c>
      <c r="DY9" s="4">
        <f>(COUNT(DI9,DJ9,DL9,DM9:DN9,DP9,DR9:DS9,DU9))/9</f>
        <v>0.77777777777777779</v>
      </c>
      <c r="DZ9">
        <v>0</v>
      </c>
      <c r="EB9">
        <v>0</v>
      </c>
      <c r="EC9" s="11">
        <f>1-((1-EB9)*(1-((1-(43248.5/9995.6))/5)))</f>
        <v>-0.66535075433190594</v>
      </c>
      <c r="EG9" s="11"/>
      <c r="EH9" s="4">
        <f>AVERAGE(DZ9,EB9,EE9,EF9)</f>
        <v>0</v>
      </c>
      <c r="EI9" s="4">
        <f>AVERAGE(EC9:EE9,EG9,DZ9:EA9)</f>
        <v>-0.33267537716595297</v>
      </c>
      <c r="EJ9" s="4">
        <f>(COUNT(DZ9:EB9,EE9:EF9))/6</f>
        <v>0.33333333333333331</v>
      </c>
      <c r="EK9">
        <v>1</v>
      </c>
      <c r="EL9">
        <v>1</v>
      </c>
      <c r="EM9">
        <v>0.66</v>
      </c>
      <c r="EN9">
        <v>0.66</v>
      </c>
      <c r="EO9" s="11">
        <f>1-((1-EN9)*(1-((1-(43248.5/9995.6))/5)))</f>
        <v>0.43378074352715201</v>
      </c>
      <c r="EP9">
        <v>0</v>
      </c>
      <c r="ER9" s="32" t="s">
        <v>1062</v>
      </c>
      <c r="ES9">
        <v>1</v>
      </c>
      <c r="ET9" s="11">
        <f>1-((1-ES9)*(1-((1-(43248.5/9995.6))/5)))</f>
        <v>1</v>
      </c>
      <c r="EU9" s="39">
        <f>AVERAGE(EK9:EM9,EN9,EP9,ES9)</f>
        <v>0.72000000000000008</v>
      </c>
      <c r="EV9" s="39">
        <f>AVERAGE(EK9:EM9,EO9,EP9,ET9)</f>
        <v>0.68229679058785864</v>
      </c>
      <c r="EW9" s="39">
        <f>(COUNT(EK9:EN9,EP9,ES9))/6</f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0</v>
      </c>
      <c r="FQ9" s="2">
        <f>AVERAGE(EX9:FP9)</f>
        <v>0.94736842105263153</v>
      </c>
      <c r="FR9" s="2">
        <f>FQ9</f>
        <v>0.94736842105263153</v>
      </c>
      <c r="FS9" s="2">
        <v>1</v>
      </c>
      <c r="FT9">
        <f>100.57/100</f>
        <v>1.0057</v>
      </c>
      <c r="FU9">
        <f>100.05/100</f>
        <v>1.0004999999999999</v>
      </c>
      <c r="FV9">
        <f>101.12/100</f>
        <v>1.0112000000000001</v>
      </c>
      <c r="GE9">
        <f>109.93/100</f>
        <v>1.0993000000000002</v>
      </c>
      <c r="GF9" s="11">
        <f>1-((1-GE9)*(1-((1-(43248.5/9995.6))/5)))</f>
        <v>1.1653693299051586</v>
      </c>
      <c r="GG9">
        <f>109.83/100</f>
        <v>1.0983000000000001</v>
      </c>
      <c r="GH9" s="11">
        <f>1-((1-GG9)*(1-((1-(43248.5/9995.6))/5)))</f>
        <v>1.1637039791508264</v>
      </c>
      <c r="GI9">
        <f>110.04/100</f>
        <v>1.1004</v>
      </c>
      <c r="GJ9" s="11">
        <f>1-((1-GI9)*(1-((1-(43248.5/9995.6))/5)))</f>
        <v>1.1672012157349234</v>
      </c>
      <c r="GU9" s="11"/>
      <c r="GW9" s="11"/>
      <c r="GY9" s="11"/>
      <c r="HA9" s="11"/>
      <c r="HC9" s="11"/>
      <c r="HE9" s="11"/>
      <c r="HG9" s="11"/>
      <c r="HI9" s="11"/>
      <c r="HK9" s="11"/>
      <c r="HM9" s="11"/>
      <c r="HO9">
        <f>7.5/100</f>
        <v>7.4999999999999997E-2</v>
      </c>
      <c r="HP9" s="11">
        <f>1-((1-HO9)*(1-((1-(43248.5/9995.6))/5)))</f>
        <v>-0.54044944775701298</v>
      </c>
      <c r="HR9" s="11"/>
      <c r="HT9" s="11"/>
      <c r="HV9" s="11"/>
      <c r="HX9" s="11"/>
      <c r="HZ9" s="11"/>
      <c r="IB9" s="11"/>
      <c r="ID9" s="11"/>
      <c r="IF9" s="11"/>
      <c r="IH9" s="11"/>
      <c r="IJ9">
        <f>99.46/100</f>
        <v>0.99459999999999993</v>
      </c>
      <c r="IK9">
        <f>99.72/100</f>
        <v>0.99719999999999998</v>
      </c>
      <c r="IL9">
        <f>99.85/100</f>
        <v>0.99849999999999994</v>
      </c>
      <c r="IU9">
        <f>99.88/100</f>
        <v>0.99879999999999991</v>
      </c>
      <c r="IV9" s="11">
        <f>1-((1-IU9)*(1-((1-(43248.5/9995.6))/5)))</f>
        <v>0.99800157909480158</v>
      </c>
      <c r="IX9" s="11"/>
      <c r="IZ9" s="11"/>
      <c r="JT9">
        <f>81.6/100</f>
        <v>0.81599999999999995</v>
      </c>
      <c r="JU9" s="11">
        <f>1-((1-JT9)*(1-((1-(43248.5/9995.6))/5)))</f>
        <v>0.69357546120292923</v>
      </c>
      <c r="JV9">
        <f>77/100</f>
        <v>0.77</v>
      </c>
      <c r="JW9" s="11">
        <f>1-((1-JV9)*(1-((1-(43248.5/9995.6))/5)))</f>
        <v>0.61696932650366165</v>
      </c>
      <c r="JX9">
        <f>86/100</f>
        <v>0.86</v>
      </c>
      <c r="JY9" s="11">
        <f>1-((1-JX9)*(1-((1-(43248.5/9995.6))/5)))</f>
        <v>0.76685089439353316</v>
      </c>
      <c r="KA9" s="11"/>
      <c r="KC9" s="11"/>
      <c r="KE9" s="11"/>
      <c r="KG9" s="11"/>
      <c r="KI9" s="11"/>
      <c r="KK9" s="11"/>
      <c r="KM9" s="11"/>
      <c r="KO9" s="11"/>
      <c r="KP9">
        <f>64/100</f>
        <v>0.64</v>
      </c>
      <c r="KQ9" s="11">
        <f>1-((1-KP9)*(1-((1-(43248.5/9995.6))/5)))</f>
        <v>0.40047372844051388</v>
      </c>
      <c r="KS9" s="11"/>
      <c r="KU9" s="11"/>
      <c r="KW9" s="11"/>
      <c r="KY9" s="11"/>
      <c r="LF9" s="11"/>
      <c r="LG9">
        <f>68/100</f>
        <v>0.68</v>
      </c>
      <c r="LH9" s="11">
        <f>1-((1-LG9)*(1-((1-(43248.5/9995.6))/5)))</f>
        <v>0.46708775861379015</v>
      </c>
      <c r="LJ9" s="11"/>
      <c r="LL9" s="11"/>
      <c r="LN9" s="11"/>
      <c r="LP9" s="11"/>
      <c r="LR9" s="11"/>
      <c r="LU9" s="11"/>
      <c r="LX9" s="11"/>
      <c r="LZ9" s="40">
        <f>AVERAGE(JX9,JV9,JT9,IY9,IW9,IU9,IJ9:IL9,HS9,HQ9,HO9,GI9,GG9,,GT9,GV9,GX9,GZ9,HB9,HD9,HF9,HH9,HJ9,HL9,HU9,HW9,HY9,IA9,IC9,IE9,IG9,GE9,FT9:FV9,KB9,JZ9,KD9,KF9,KJ9,KH9,KL9,KP9,KT9,KR9,KV9,KX9,LE9,LG9,LI9,LK9,LM9,LO9,LQ9,LT9,LW9)</f>
        <v>0.8320882352941178</v>
      </c>
      <c r="MA9" s="40">
        <f>AVERAGE(JY9,JW9,JU9,IZ9,IX9,IV9,IJ9:IL9,HT9,HR9,HP9,GJ9,GH9,,GU9,GW9,GY9,HA9,HC9,HE9,HG9,HI9,HK9,HM9,HV9,HX9,HZ9,IB9,ID9,IF9,IH9,GF9,FT9:FV9,KC9,KA9,KE9,KG9,KK9,KI9,KM9,KQ9,KU9,KS9,KW9,KY9,LF9,LH9,LJ9,LL9,LN9,LP9,LR9,LU9,LX9)</f>
        <v>0.75920493089900731</v>
      </c>
      <c r="MB9" s="4">
        <f>(COUNT(JX9,JV9,JT9,IY9,IW9,IU9,IJ9:IL9,HS9,HQ9,HO9,GI9,GG9,,GT9,GV9,GX9,GZ9,HB9,HD9,HF9,HH9,HJ9,HL9,HU9,HW9,HY9,IA9,IC9,IE9,IG9,GE9,FT9:FV9,KB9,JZ9,KD9,KF9,KJ9,KH9,KL9,KP9,KT9,KR9,KV9,KX9,LE9,LG9,LI9,LK9,LM9,LO9,LQ9,LT9,LW9))/110</f>
        <v>0.15454545454545454</v>
      </c>
      <c r="MC9">
        <v>997</v>
      </c>
      <c r="MD9">
        <v>997</v>
      </c>
      <c r="ME9">
        <v>997</v>
      </c>
      <c r="MF9">
        <v>997</v>
      </c>
      <c r="MG9">
        <v>997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1</v>
      </c>
      <c r="MR9">
        <v>1</v>
      </c>
      <c r="MS9">
        <v>1</v>
      </c>
      <c r="MT9">
        <v>1</v>
      </c>
      <c r="MU9">
        <v>1</v>
      </c>
      <c r="MV9">
        <v>0</v>
      </c>
      <c r="MW9" s="11">
        <f>1-((1-MV9)*(1-((1-(43248.5/9995.6))/5)))</f>
        <v>-0.66535075433190594</v>
      </c>
      <c r="MX9" s="8">
        <f>AVERAGE(,MH9:MV9)</f>
        <v>0.875</v>
      </c>
      <c r="MY9" s="8">
        <f>AVERAGE(MH9:MU9,MW9)</f>
        <v>0.88897661637787295</v>
      </c>
      <c r="MZ9" s="8">
        <f>(COUNT(MH9:MV9))/20</f>
        <v>0.75</v>
      </c>
      <c r="NA9">
        <v>1</v>
      </c>
      <c r="NC9">
        <v>1</v>
      </c>
      <c r="ND9">
        <v>1</v>
      </c>
      <c r="NE9" s="9">
        <f>AVERAGE(NA9,NC9,ND9)</f>
        <v>1</v>
      </c>
      <c r="NF9" s="9">
        <v>0.75</v>
      </c>
      <c r="NG9">
        <v>997</v>
      </c>
      <c r="NH9">
        <v>997</v>
      </c>
      <c r="NI9">
        <v>997</v>
      </c>
      <c r="NJ9">
        <v>997</v>
      </c>
      <c r="NK9">
        <v>997</v>
      </c>
      <c r="NL9">
        <v>997</v>
      </c>
      <c r="NM9">
        <v>997</v>
      </c>
      <c r="NN9">
        <v>997</v>
      </c>
      <c r="NZ9">
        <f>88/100</f>
        <v>0.88</v>
      </c>
      <c r="OA9">
        <f>87/100</f>
        <v>0.87</v>
      </c>
      <c r="OB9">
        <f>91/100</f>
        <v>0.91</v>
      </c>
      <c r="OK9">
        <f>91/100</f>
        <v>0.91</v>
      </c>
      <c r="OL9">
        <f>92/100</f>
        <v>0.92</v>
      </c>
      <c r="OM9">
        <f>92/100</f>
        <v>0.92</v>
      </c>
      <c r="OW9" s="11"/>
      <c r="OY9" s="11"/>
      <c r="PA9" s="11"/>
      <c r="PJ9">
        <f>90/100</f>
        <v>0.9</v>
      </c>
      <c r="PK9" s="11">
        <f>1-((1-PJ9)*(1-((1-(43248.5/9995.6))/5)))</f>
        <v>0.83346492456680943</v>
      </c>
      <c r="PM9" s="11"/>
      <c r="PO9" s="11"/>
      <c r="PQ9" s="11"/>
      <c r="PS9" s="11"/>
      <c r="PU9" s="11"/>
      <c r="PW9" s="11"/>
      <c r="PY9" s="11"/>
      <c r="QA9" s="11"/>
      <c r="QC9" s="11"/>
      <c r="QE9" s="11"/>
      <c r="QF9">
        <f>86/100</f>
        <v>0.86</v>
      </c>
      <c r="QG9" s="11">
        <f>1-((1-QF9)*(1-((1-(43248.5/9995.6))/5)))</f>
        <v>0.76685089439353316</v>
      </c>
      <c r="QH9">
        <f>87/100</f>
        <v>0.87</v>
      </c>
      <c r="QI9" s="11">
        <f>1-((1-QH9)*(1-((1-(43248.5/9995.6))/5)))</f>
        <v>0.78350440193685222</v>
      </c>
      <c r="QJ9">
        <f>86/100</f>
        <v>0.86</v>
      </c>
      <c r="QK9" s="11">
        <f>1-((1-QJ9)*(1-((1-(43248.5/9995.6))/5)))</f>
        <v>0.76685089439353316</v>
      </c>
      <c r="QM9" s="11"/>
      <c r="QO9" s="11"/>
      <c r="QQ9" s="11"/>
      <c r="QS9" s="11"/>
      <c r="QU9" s="11"/>
      <c r="QW9" s="11"/>
      <c r="QY9" s="11"/>
      <c r="RA9" s="11"/>
      <c r="RB9">
        <f>90.5/100</f>
        <v>0.90500000000000003</v>
      </c>
      <c r="RM9">
        <f>78.5/100</f>
        <v>0.78500000000000003</v>
      </c>
      <c r="RX9" s="2">
        <f>AVERAGE(RM9:RO9,RB9:RD9,QF9,PJ9,OZ9,OX9,OV9,OK9,NO9:NQ9,QX9,QV9,QT9,QR9,QP9,QN9,QL9,QJ9,QH9,QB9,PZ9,PX9,PV9,PT9,PR9,PP9,PN9,PL9,OL9:OT9,NZ9:OH9)</f>
        <v>0.88249999999999995</v>
      </c>
      <c r="RY9" s="2">
        <f>AVERAGE(RM9:RO9,RB9:RD9,QG9,PK9,PA9,OY9,OW9,OK9,NZ9,NO9:NQ9,QY9,QW9,QU9,QS9,QQ9,QO9,QM9,QK9,QI9,QC9,QA9,PY9,PW9,PU9,PS9,PQ9,PO9,PM9,OL9:OT9,OA9:OI9)</f>
        <v>0.85422259294089409</v>
      </c>
      <c r="RZ9" s="4">
        <f>(COUNT(RM9:RO9,RB9,QX9,QV9,QT9,QR9,QP9,QN9,QL9,QJ9,QH9,QF9,QB9,PZ9,PX9,PV9,PT9,PR9,PP9,PN9,PL9,PJ9,OK9:OT9,NZ9:OI9))/96</f>
        <v>0.125</v>
      </c>
      <c r="SA9">
        <v>1</v>
      </c>
      <c r="SB9">
        <v>1</v>
      </c>
      <c r="SD9" s="11"/>
      <c r="SG9" s="8">
        <f>AVERAGE(SA9:SB9)</f>
        <v>1</v>
      </c>
      <c r="SH9" s="8">
        <f>AVERAGE(SA9:SB9)</f>
        <v>1</v>
      </c>
      <c r="SI9" s="8">
        <f>(COUNT(SA9:SB9))/5</f>
        <v>0.4</v>
      </c>
      <c r="SJ9">
        <v>0</v>
      </c>
      <c r="SK9">
        <v>1</v>
      </c>
      <c r="SL9" s="1">
        <v>0.13400000000000001</v>
      </c>
      <c r="SM9" s="1">
        <v>0.13400000000000001</v>
      </c>
      <c r="SN9" s="11">
        <f>1-((1-SM9)*(1-((1-(43248.5/9995.6))/5)))</f>
        <v>-0.44219375325143062</v>
      </c>
      <c r="SO9" s="9">
        <f>AVERAGE(SJ9:SM9)</f>
        <v>0.31699999999999995</v>
      </c>
      <c r="SP9" s="9">
        <f>AVERAGE(SJ9:SL9,SN9)</f>
        <v>0.17295156168714232</v>
      </c>
      <c r="SQ9" s="9">
        <f>(COUNT(SJ9:SM9))/4</f>
        <v>1</v>
      </c>
      <c r="SR9">
        <v>1</v>
      </c>
      <c r="SS9">
        <v>1</v>
      </c>
      <c r="ST9">
        <v>1</v>
      </c>
      <c r="SU9">
        <v>1</v>
      </c>
      <c r="SV9" s="9">
        <f>AVERAGE(SR9:SS9,ST9:SU9)</f>
        <v>1</v>
      </c>
      <c r="SW9" s="9">
        <f>(COUNT(SR9:SU9)/4)</f>
        <v>1</v>
      </c>
      <c r="SX9">
        <v>0</v>
      </c>
      <c r="SY9" s="11">
        <f>1-((1-SX9)*(1-((1-(43248.5/9995.6))/5)))</f>
        <v>-0.66535075433190594</v>
      </c>
      <c r="SZ9">
        <f>0.6/100</f>
        <v>6.0000000000000001E-3</v>
      </c>
      <c r="TA9" s="11">
        <f>1-((1-SZ9)*(1-((1-(43248.5/9995.6))/5)))</f>
        <v>-0.65535864980591452</v>
      </c>
      <c r="TB9">
        <v>0</v>
      </c>
      <c r="TC9" s="11">
        <f>1-((1-TB9)*(1-((1-(43248.5/9995.6))/5)))</f>
        <v>-0.66535075433190594</v>
      </c>
      <c r="TD9">
        <v>1</v>
      </c>
      <c r="TE9" s="11">
        <f>1-((1-TD9)*(1-((1-(43248.5/9995.6))/5)))</f>
        <v>1</v>
      </c>
      <c r="TG9">
        <v>1</v>
      </c>
      <c r="TH9" s="11">
        <f>1-((1-TG9)*(1-((1-(43248.5/9995.6))/5)))</f>
        <v>1</v>
      </c>
      <c r="TI9">
        <v>1</v>
      </c>
      <c r="TJ9" s="11">
        <f>1-((1-TI9)*(1-((1-(43248.5/9995.6))/5)))</f>
        <v>1</v>
      </c>
      <c r="TK9" s="9">
        <f>AVERAGE(SX9,SZ9,TB9,TD9,TF9,TG9,TI9)</f>
        <v>0.501</v>
      </c>
      <c r="TL9" s="9">
        <f>AVERAGE(SY9,TA9,TC9,TF9,TE9,TH9,TJ9)</f>
        <v>0.16898997358837894</v>
      </c>
      <c r="TM9" s="9">
        <f>(COUNT(SX9,SZ9,TB9,TD9,TF9:TG9,TI9))/7</f>
        <v>0.8571428571428571</v>
      </c>
      <c r="TQ9" s="1">
        <f>AH9</f>
        <v>0.60526315789473684</v>
      </c>
      <c r="TR9" s="1">
        <f>AQ9</f>
        <v>0.7142857142857143</v>
      </c>
      <c r="TS9" s="1">
        <f>AW9</f>
        <v>0</v>
      </c>
      <c r="TT9" s="1">
        <f>BC9</f>
        <v>0.75</v>
      </c>
      <c r="TU9" s="1">
        <f t="shared" si="22"/>
        <v>0.24355555555555558</v>
      </c>
      <c r="TV9" s="1">
        <f t="shared" si="22"/>
        <v>3.045866761375008E-2</v>
      </c>
      <c r="TW9" s="1">
        <f t="shared" si="23"/>
        <v>0.2178649237472767</v>
      </c>
      <c r="TX9" s="1">
        <f t="shared" si="23"/>
        <v>-0.22689692942018666</v>
      </c>
      <c r="TY9" s="1">
        <f t="shared" si="24"/>
        <v>0.66666666666666663</v>
      </c>
      <c r="TZ9" s="1">
        <f t="shared" si="24"/>
        <v>0.66666666666666663</v>
      </c>
      <c r="UA9" s="1">
        <f t="shared" si="25"/>
        <v>0.67263424518743675</v>
      </c>
      <c r="UB9" s="1">
        <f t="shared" si="25"/>
        <v>0.57750998485939697</v>
      </c>
      <c r="UC9" s="1">
        <f t="shared" si="26"/>
        <v>0</v>
      </c>
      <c r="UD9" s="1">
        <f t="shared" si="26"/>
        <v>-0.33267537716595297</v>
      </c>
      <c r="UE9" s="1">
        <f t="shared" si="27"/>
        <v>0.72000000000000008</v>
      </c>
      <c r="UF9" s="1">
        <f t="shared" si="27"/>
        <v>0.68229679058785864</v>
      </c>
      <c r="UG9" s="1">
        <f t="shared" si="28"/>
        <v>0.94736842105263153</v>
      </c>
      <c r="UH9" s="1">
        <f t="shared" si="28"/>
        <v>0.94736842105263153</v>
      </c>
      <c r="UI9" s="1">
        <f t="shared" si="29"/>
        <v>0.8320882352941178</v>
      </c>
      <c r="UJ9" s="1">
        <f t="shared" si="29"/>
        <v>0.75920493089900731</v>
      </c>
      <c r="UK9" s="1">
        <f t="shared" si="30"/>
        <v>0.875</v>
      </c>
      <c r="UL9" s="11">
        <f t="shared" si="30"/>
        <v>0.88897661637787295</v>
      </c>
      <c r="UM9" s="11">
        <f>NE9</f>
        <v>1</v>
      </c>
      <c r="UN9" s="1">
        <f t="shared" si="31"/>
        <v>0.88249999999999995</v>
      </c>
      <c r="UO9" s="1">
        <f t="shared" si="31"/>
        <v>0.85422259294089409</v>
      </c>
      <c r="UP9" s="1">
        <f t="shared" si="32"/>
        <v>1</v>
      </c>
      <c r="UQ9" s="1">
        <f t="shared" si="32"/>
        <v>1</v>
      </c>
      <c r="UR9" s="1">
        <f t="shared" si="33"/>
        <v>0.31699999999999995</v>
      </c>
      <c r="US9" s="1">
        <f t="shared" si="33"/>
        <v>0.17295156168714232</v>
      </c>
      <c r="UT9" s="1">
        <f>SV9</f>
        <v>1</v>
      </c>
      <c r="UU9" s="1">
        <f t="shared" si="34"/>
        <v>0.501</v>
      </c>
      <c r="UV9" s="1">
        <f t="shared" si="34"/>
        <v>0.16898997358837894</v>
      </c>
      <c r="UX9" s="10">
        <f>AVERAGE(TQ9:TU9)</f>
        <v>0.46262088554720132</v>
      </c>
      <c r="UY9" s="10">
        <f>AVERAGE(TQ9:TT9,TV9)</f>
        <v>0.42000150795884023</v>
      </c>
      <c r="UZ9" s="10">
        <f>UY9*(39/42)</f>
        <v>0.39000140024749452</v>
      </c>
      <c r="VA9" s="10">
        <f t="shared" si="35"/>
        <v>0.389291458900345</v>
      </c>
      <c r="VB9" s="10">
        <f t="shared" si="35"/>
        <v>0.17115108623498099</v>
      </c>
      <c r="VC9" s="10">
        <f>VB9*(16/29)</f>
        <v>9.4428185508955029E-2</v>
      </c>
      <c r="VD9" s="10">
        <f t="shared" si="36"/>
        <v>0.83315221878224976</v>
      </c>
      <c r="VE9" s="10">
        <f t="shared" si="36"/>
        <v>0.79629004751316579</v>
      </c>
      <c r="VF9" s="10">
        <f>VE9*(42/82)</f>
        <v>0.40785587799454837</v>
      </c>
      <c r="VG9" s="10">
        <f>AVERAGE(UK9,UM9,UN9)</f>
        <v>0.91916666666666658</v>
      </c>
      <c r="VH9" s="10">
        <f>AVERAGE(UL9,UM9,UO9)</f>
        <v>0.91439973643958894</v>
      </c>
      <c r="VI9" s="10">
        <f>VH9*(30/74)</f>
        <v>0.37070259585388743</v>
      </c>
      <c r="VJ9" s="10">
        <f>AVERAGE(UP9,UR9,UT9,UU9,)</f>
        <v>0.56359999999999999</v>
      </c>
      <c r="VK9" s="10">
        <f>AVERAGE(UQ9,US9,UT9,UV9)</f>
        <v>0.58548538381888038</v>
      </c>
      <c r="VL9" s="10">
        <f>VK9*(16/17)</f>
        <v>0.55104506712365209</v>
      </c>
      <c r="VM9" s="10">
        <f t="shared" si="37"/>
        <v>0.63356624597929256</v>
      </c>
      <c r="VN9" s="10">
        <f t="shared" si="37"/>
        <v>0.57746555239309127</v>
      </c>
      <c r="VO9" s="10">
        <f t="shared" si="37"/>
        <v>0.36280662534570751</v>
      </c>
    </row>
    <row r="10" spans="1:610" x14ac:dyDescent="0.25">
      <c r="A10" t="s">
        <v>1063</v>
      </c>
      <c r="B10">
        <v>0</v>
      </c>
      <c r="C10">
        <v>0</v>
      </c>
      <c r="D10">
        <v>0.5</v>
      </c>
      <c r="E10">
        <v>0</v>
      </c>
      <c r="F10">
        <v>0</v>
      </c>
      <c r="G10">
        <v>0</v>
      </c>
      <c r="H10">
        <v>0.5</v>
      </c>
      <c r="I10">
        <v>0</v>
      </c>
      <c r="J10">
        <v>0</v>
      </c>
      <c r="K10">
        <v>0</v>
      </c>
      <c r="L10">
        <v>1</v>
      </c>
      <c r="M10">
        <v>0</v>
      </c>
      <c r="N10">
        <v>0.5</v>
      </c>
      <c r="O10">
        <v>0.5</v>
      </c>
      <c r="P10">
        <v>0</v>
      </c>
      <c r="Q10">
        <v>0</v>
      </c>
      <c r="R10">
        <v>997</v>
      </c>
      <c r="S10">
        <v>997</v>
      </c>
      <c r="T10">
        <v>997</v>
      </c>
      <c r="U10">
        <v>997</v>
      </c>
      <c r="V10">
        <v>997</v>
      </c>
      <c r="W10">
        <v>0.5</v>
      </c>
      <c r="X10">
        <v>0</v>
      </c>
      <c r="Y10">
        <v>997</v>
      </c>
      <c r="Z10">
        <v>997</v>
      </c>
      <c r="AA10">
        <v>997</v>
      </c>
      <c r="AB10">
        <v>997</v>
      </c>
      <c r="AC10">
        <v>997</v>
      </c>
      <c r="AD10">
        <v>997</v>
      </c>
      <c r="AE10">
        <v>997</v>
      </c>
      <c r="AF10">
        <v>997</v>
      </c>
      <c r="AG10">
        <v>997</v>
      </c>
      <c r="AH10" s="38">
        <f>AVERAGE(B10:Q10,W10:X10)</f>
        <v>0.19444444444444445</v>
      </c>
      <c r="AI10" s="6">
        <v>1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1</v>
      </c>
      <c r="AP10">
        <v>1</v>
      </c>
      <c r="AQ10" s="2">
        <f>AVERAGE(AJ10:AP10)</f>
        <v>0.42857142857142855</v>
      </c>
      <c r="AR10" s="2">
        <v>1</v>
      </c>
      <c r="AS10">
        <v>1</v>
      </c>
      <c r="AT10">
        <v>997</v>
      </c>
      <c r="AU10">
        <v>1</v>
      </c>
      <c r="AV10" s="11">
        <f>1-((1-AU10)*(1-((1-(55836.8/9995.6))/5)))</f>
        <v>1</v>
      </c>
      <c r="AW10" s="39">
        <f>AVERAGE(AS10,AU10:AV10)</f>
        <v>1</v>
      </c>
      <c r="AX10" s="4">
        <v>1</v>
      </c>
      <c r="AY10">
        <v>1</v>
      </c>
      <c r="AZ10">
        <v>1</v>
      </c>
      <c r="BA10">
        <v>1</v>
      </c>
      <c r="BB10">
        <v>1</v>
      </c>
      <c r="BC10" s="2">
        <f>AVERAGE(AY10:BB10)</f>
        <v>1</v>
      </c>
      <c r="BD10" s="2">
        <v>1</v>
      </c>
      <c r="BE10">
        <f>20.6/100</f>
        <v>0.20600000000000002</v>
      </c>
      <c r="BF10" s="11">
        <v>0</v>
      </c>
      <c r="BG10">
        <f>5.2/100</f>
        <v>5.2000000000000005E-2</v>
      </c>
      <c r="BH10" s="11">
        <v>0</v>
      </c>
      <c r="BI10">
        <v>0</v>
      </c>
      <c r="BJ10" s="11">
        <v>0</v>
      </c>
      <c r="BK10">
        <v>7.1999999999999995E-2</v>
      </c>
      <c r="BL10" s="11">
        <v>0</v>
      </c>
      <c r="BM10">
        <f>31.59/100</f>
        <v>0.31590000000000001</v>
      </c>
      <c r="BN10" s="11">
        <v>0</v>
      </c>
      <c r="BO10">
        <f>35.87/100</f>
        <v>0.35869999999999996</v>
      </c>
      <c r="BP10" s="11">
        <v>0</v>
      </c>
      <c r="BR10" s="11"/>
      <c r="BS10">
        <f>26.11/100</f>
        <v>0.2611</v>
      </c>
      <c r="BT10" s="11">
        <f>1-((1-BS10)*(1-((1-(55836.8/9995.6))/5)))</f>
        <v>-0.41663945896194332</v>
      </c>
      <c r="BU10">
        <f>69.4/100</f>
        <v>0.69400000000000006</v>
      </c>
      <c r="BV10" s="11">
        <f>1-((1-BU10)*(1-((1-(55836.8/9995.6))/5)))</f>
        <v>0.41332836047861066</v>
      </c>
      <c r="BW10">
        <f>21.1/100</f>
        <v>0.21100000000000002</v>
      </c>
      <c r="BX10" s="11">
        <f>1-((1-BW10)*(1-((1-(55836.8/9995.6))/5)))</f>
        <v>-0.51269256072671965</v>
      </c>
      <c r="BY10">
        <f>9.6/100</f>
        <v>9.6000000000000002E-2</v>
      </c>
      <c r="BZ10" s="11">
        <f>1-((1-BY10)*(1-((1-(55836.8/9995.6))/5)))</f>
        <v>-0.73317373244227468</v>
      </c>
      <c r="CB10" s="11"/>
      <c r="CC10" s="4">
        <f>AVERAGE(BE10,BG10,BI10,BK10,BM10,BO10,BU10,BW10,BY10,BS10)</f>
        <v>0.22666999999999998</v>
      </c>
      <c r="CD10" s="4">
        <f>AVERAGE(BN10,BP10,BT10,BH10,BJ10,BL10,BV10,BX10,BZ10,BF10,)</f>
        <v>-0.11356158105930246</v>
      </c>
      <c r="CE10" s="39">
        <f>(COUNT(BE10,BG10,BI10,BK10,BM10,BO10,BQ10,BS10,BU10,BW10,BY10,CA10))/12</f>
        <v>0.83333333333333337</v>
      </c>
      <c r="CF10">
        <v>0</v>
      </c>
      <c r="CH10">
        <v>0</v>
      </c>
      <c r="CI10" s="11">
        <f>1-((1-CH10)*(1-((1-(55836.8/9995.6))/5)))</f>
        <v>-0.91722758013525962</v>
      </c>
      <c r="CJ10" t="s">
        <v>1064</v>
      </c>
      <c r="CK10" s="11"/>
      <c r="CL10">
        <f>10*(1/21.6)</f>
        <v>0.46296296296296291</v>
      </c>
      <c r="CM10">
        <f>10*(1/16.7)</f>
        <v>0.5988023952095809</v>
      </c>
      <c r="CN10" s="11">
        <f>1-((1-CM10)*(1-((1-(55836.8/9995.6))/5)))</f>
        <v>0.23081288701160252</v>
      </c>
      <c r="CO10" s="6">
        <f>AVERAGE(CF10:CH10,CJ10,CL10:CM10)</f>
        <v>0.26544133954313598</v>
      </c>
      <c r="CP10" s="6">
        <f>AVERAGE(CF10:CG10,CI10,CK10,CL10,CN10)</f>
        <v>-5.5862932540173549E-2</v>
      </c>
      <c r="CQ10">
        <f>(COUNT(CF10,CG10,CH10,CJ10,CL10,CM10))/6</f>
        <v>0.66666666666666663</v>
      </c>
      <c r="CR10">
        <v>0</v>
      </c>
      <c r="CT10">
        <v>0</v>
      </c>
      <c r="CU10" s="11">
        <f>1-((1-CT10)*(1-((1-(55836.8/9995.6))/5)))</f>
        <v>-0.91722758013525962</v>
      </c>
      <c r="CW10" s="11"/>
      <c r="DB10" s="11"/>
      <c r="DC10">
        <f>95/100</f>
        <v>0.95</v>
      </c>
      <c r="DD10">
        <f>94/100</f>
        <v>0.94</v>
      </c>
      <c r="DE10" s="11">
        <f>1-((1-DD10)*(1-((1-(55836.8/9995.6))/5)))</f>
        <v>0.88496634519188433</v>
      </c>
      <c r="DF10">
        <f>AVERAGE(CR10,CS10,CT10,CV10,CX10,CY10,CZ10,DA10,DC10,DD10)</f>
        <v>0.47249999999999998</v>
      </c>
      <c r="DG10">
        <f>AVERAGE(CR10:CS10,CU10,CV10,CX10:CZ10,DB10:DC10,DE10)</f>
        <v>0.22943469126415617</v>
      </c>
      <c r="DH10">
        <f>(COUNT(CR10:CT10,CV10,CX10:DA10,DC10:DD10))/10</f>
        <v>0.4</v>
      </c>
      <c r="DI10">
        <f>97/100</f>
        <v>0.97</v>
      </c>
      <c r="DJ10">
        <f>97/100</f>
        <v>0.97</v>
      </c>
      <c r="DK10" s="11">
        <f>1-((1-DJ10)*(1-((1-(55836.8/9995.6))/5)))</f>
        <v>0.94248317259594216</v>
      </c>
      <c r="DL10">
        <v>0</v>
      </c>
      <c r="DM10"/>
      <c r="DN10">
        <v>0</v>
      </c>
      <c r="DO10" s="11">
        <f>1-((1-DN10)*(1-((1-(55836.8/9995.6))/5)))</f>
        <v>-0.91722758013525962</v>
      </c>
      <c r="DP10"/>
      <c r="DQ10" s="11"/>
      <c r="DR10">
        <f>10*(1/14.94)</f>
        <v>0.66934404283801874</v>
      </c>
      <c r="DS10">
        <f>10*(1/15.15)</f>
        <v>0.66006600660066006</v>
      </c>
      <c r="DT10" s="11">
        <f>1-((1-DS10)*(1-((1-(55836.8/9995.6))/5)))</f>
        <v>0.34826917242926814</v>
      </c>
      <c r="DU10">
        <v>1.3</v>
      </c>
      <c r="DV10" s="11">
        <f>1-((1-DU10)*(1-((1-(55836.8/9995.6))/5)))</f>
        <v>1.5751682740405779</v>
      </c>
      <c r="DW10" s="4">
        <f>AVERAGE(DI10,DJ10,DR10,DL10:DN10,DP10,DS10,DU10)</f>
        <v>0.65277286420552549</v>
      </c>
      <c r="DX10" s="4">
        <f>AVERAGE(DI10,DK10:DM10,DO10,DQ10:DR10,DT10,DV10)</f>
        <v>0.51257672596693526</v>
      </c>
      <c r="DY10" s="4">
        <f>(COUNT(DI10,DJ10,DL10,DM10:DN10,DP10,DR10:DS10,DU10))/9</f>
        <v>0.77777777777777779</v>
      </c>
      <c r="DZ10">
        <v>0</v>
      </c>
      <c r="EB10">
        <v>0</v>
      </c>
      <c r="EC10" s="11">
        <f>1-((1-EB10)*(1-((1-(55836.8/9995.6))/5)))</f>
        <v>-0.91722758013525962</v>
      </c>
      <c r="EG10" s="11"/>
      <c r="EH10" s="4">
        <f>AVERAGE(DZ10,EB10,EE10,EF10)</f>
        <v>0</v>
      </c>
      <c r="EI10" s="4">
        <f>AVERAGE(EC10:EE10,EG10,DZ10:EA10)</f>
        <v>-0.45861379006762981</v>
      </c>
      <c r="EJ10" s="4">
        <f>(COUNT(DZ10:EB10,EE10:EF10))/6</f>
        <v>0.33333333333333331</v>
      </c>
      <c r="EK10">
        <v>1</v>
      </c>
      <c r="EL10">
        <v>1</v>
      </c>
      <c r="EM10">
        <f>18/100</f>
        <v>0.18</v>
      </c>
      <c r="EN10">
        <f>18/100</f>
        <v>0.18</v>
      </c>
      <c r="EO10" s="11">
        <f>1-((1-EN10)*(1-((1-(55836.8/9995.6))/5)))</f>
        <v>-0.57212661571091306</v>
      </c>
      <c r="EP10">
        <v>0</v>
      </c>
      <c r="ER10" s="35">
        <v>9410</v>
      </c>
      <c r="ES10">
        <v>1</v>
      </c>
      <c r="ET10" s="11">
        <f>1-((1-ES10)*(1-((1-(55836.8/9995.6))/5)))</f>
        <v>1</v>
      </c>
      <c r="EU10" s="39">
        <f>AVERAGE(EK10:EM10,EN10,EP10,ES10)</f>
        <v>0.56000000000000005</v>
      </c>
      <c r="EV10" s="39">
        <f>AVERAGE(EK10:EM10,EO10,EP10,ET10)</f>
        <v>0.43464556404818122</v>
      </c>
      <c r="EW10" s="39">
        <f>(COUNT(EK10:EN10,EP10,ES10))/6</f>
        <v>1</v>
      </c>
      <c r="EX10">
        <v>1</v>
      </c>
      <c r="EY10">
        <v>1</v>
      </c>
      <c r="EZ10">
        <v>0</v>
      </c>
      <c r="FA10">
        <v>1</v>
      </c>
      <c r="FB10">
        <v>0</v>
      </c>
      <c r="FC10">
        <v>1</v>
      </c>
      <c r="FD10">
        <v>0</v>
      </c>
      <c r="FE10">
        <v>0</v>
      </c>
      <c r="FF10">
        <v>0</v>
      </c>
      <c r="FG10">
        <v>1</v>
      </c>
      <c r="FH10">
        <v>1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1</v>
      </c>
      <c r="FO10">
        <v>0.66</v>
      </c>
      <c r="FP10">
        <v>1</v>
      </c>
      <c r="FQ10" s="2">
        <f>AVERAGE(EX10:FP10)</f>
        <v>0.45578947368421052</v>
      </c>
      <c r="FR10" s="2">
        <f>FQ10</f>
        <v>0.45578947368421052</v>
      </c>
      <c r="FS10" s="2">
        <v>1</v>
      </c>
      <c r="FT10">
        <f>99.42/100</f>
        <v>0.99419999999999997</v>
      </c>
      <c r="FU10">
        <f>99.91/100</f>
        <v>0.99909999999999999</v>
      </c>
      <c r="FV10">
        <f>98.91/100</f>
        <v>0.98909999999999998</v>
      </c>
      <c r="FW10" t="s">
        <v>1059</v>
      </c>
      <c r="FX10" t="s">
        <v>1059</v>
      </c>
      <c r="FY10" t="s">
        <v>1059</v>
      </c>
      <c r="FZ10" t="s">
        <v>1059</v>
      </c>
      <c r="GA10" t="s">
        <v>1059</v>
      </c>
      <c r="GB10" t="s">
        <v>1059</v>
      </c>
      <c r="GC10" t="s">
        <v>1059</v>
      </c>
      <c r="GD10" t="s">
        <v>1059</v>
      </c>
      <c r="GE10">
        <f>95.92/100</f>
        <v>0.95920000000000005</v>
      </c>
      <c r="GF10" s="11">
        <f>1-((1-GE10)*(1-((1-(55836.8/9995.6))/5)))</f>
        <v>0.92177711473048152</v>
      </c>
      <c r="GG10">
        <f>95.5/100</f>
        <v>0.95499999999999996</v>
      </c>
      <c r="GH10" s="11">
        <f>1-((1-GG10)*(1-((1-(55836.8/9995.6))/5)))</f>
        <v>0.91372475889391325</v>
      </c>
      <c r="GI10">
        <f>96.37/100</f>
        <v>0.9637</v>
      </c>
      <c r="GJ10" s="11">
        <f>1-((1-GI10)*(1-((1-(55836.8/9995.6))/5)))</f>
        <v>0.93040463884109004</v>
      </c>
      <c r="GK10" t="s">
        <v>1059</v>
      </c>
      <c r="GM10" t="s">
        <v>1059</v>
      </c>
      <c r="GN10" t="s">
        <v>1059</v>
      </c>
      <c r="GO10" t="s">
        <v>1059</v>
      </c>
      <c r="GP10" t="s">
        <v>1059</v>
      </c>
      <c r="GQ10" t="s">
        <v>1059</v>
      </c>
      <c r="GR10" t="s">
        <v>1059</v>
      </c>
      <c r="GS10" t="s">
        <v>1059</v>
      </c>
      <c r="GT10" t="s">
        <v>1059</v>
      </c>
      <c r="GU10" s="11"/>
      <c r="GV10" t="s">
        <v>1059</v>
      </c>
      <c r="GW10" s="11"/>
      <c r="GX10" t="s">
        <v>1059</v>
      </c>
      <c r="GY10" s="11"/>
      <c r="GZ10" t="s">
        <v>1059</v>
      </c>
      <c r="HA10" s="11"/>
      <c r="HB10" t="s">
        <v>1059</v>
      </c>
      <c r="HC10" s="11"/>
      <c r="HD10" t="s">
        <v>1059</v>
      </c>
      <c r="HE10" s="11"/>
      <c r="HF10" t="s">
        <v>1059</v>
      </c>
      <c r="HG10" s="11"/>
      <c r="HH10" t="s">
        <v>1059</v>
      </c>
      <c r="HI10" s="11"/>
      <c r="HJ10" t="s">
        <v>1059</v>
      </c>
      <c r="HK10" s="11"/>
      <c r="HL10" t="s">
        <v>1059</v>
      </c>
      <c r="HM10" s="11"/>
      <c r="HN10" t="s">
        <v>1059</v>
      </c>
      <c r="HO10">
        <f>88.8/100</f>
        <v>0.88800000000000001</v>
      </c>
      <c r="HP10" s="11">
        <f>1-((1-HO10)*(1-((1-(55836.8/9995.6))/5)))</f>
        <v>0.7852705110248509</v>
      </c>
      <c r="HQ10">
        <f>74.84/100</f>
        <v>0.74840000000000007</v>
      </c>
      <c r="HR10" s="11">
        <f>1-((1-HQ10)*(1-((1-(55836.8/9995.6))/5)))</f>
        <v>0.51762554083796886</v>
      </c>
      <c r="HS10">
        <f>103.65/100</f>
        <v>1.0365</v>
      </c>
      <c r="HT10" s="11">
        <f>1-((1-HS10)*(1-((1-(55836.8/9995.6))/5)))</f>
        <v>1.0699788066749369</v>
      </c>
      <c r="HU10" t="s">
        <v>1059</v>
      </c>
      <c r="HV10" s="11"/>
      <c r="HW10" t="s">
        <v>1059</v>
      </c>
      <c r="HX10" s="11"/>
      <c r="HY10" t="s">
        <v>1059</v>
      </c>
      <c r="HZ10" s="11"/>
      <c r="IA10" t="s">
        <v>1059</v>
      </c>
      <c r="IB10" s="11"/>
      <c r="IC10" t="s">
        <v>1059</v>
      </c>
      <c r="ID10" s="11"/>
      <c r="IE10" t="s">
        <v>1059</v>
      </c>
      <c r="IF10" s="11"/>
      <c r="IG10" t="s">
        <v>1059</v>
      </c>
      <c r="IH10" s="11"/>
      <c r="II10" t="s">
        <v>1059</v>
      </c>
      <c r="IJ10">
        <f>92.77/100</f>
        <v>0.92769999999999997</v>
      </c>
      <c r="IK10">
        <f>92.92/100</f>
        <v>0.92920000000000003</v>
      </c>
      <c r="IL10">
        <f>92.62/100</f>
        <v>0.92620000000000002</v>
      </c>
      <c r="IM10" t="s">
        <v>1059</v>
      </c>
      <c r="IN10" t="s">
        <v>1059</v>
      </c>
      <c r="IO10" t="s">
        <v>1059</v>
      </c>
      <c r="IP10" t="s">
        <v>1059</v>
      </c>
      <c r="IQ10" t="s">
        <v>1059</v>
      </c>
      <c r="IR10" t="s">
        <v>1059</v>
      </c>
      <c r="IS10" t="s">
        <v>1059</v>
      </c>
      <c r="IT10" t="s">
        <v>1059</v>
      </c>
      <c r="IU10">
        <f>88.11/100</f>
        <v>0.88109999999999999</v>
      </c>
      <c r="IV10" s="11">
        <f>1-((1-IU10)*(1-((1-(55836.8/9995.6))/5)))</f>
        <v>0.77204164072191761</v>
      </c>
      <c r="IW10">
        <f>86.84/100</f>
        <v>0.86840000000000006</v>
      </c>
      <c r="IX10" s="11">
        <f>1-((1-IW10)*(1-((1-(55836.8/9995.6))/5)))</f>
        <v>0.74769285045419998</v>
      </c>
      <c r="IY10">
        <f>89.46/100</f>
        <v>0.89459999999999995</v>
      </c>
      <c r="IZ10" s="11">
        <f>1-((1-IY10)*(1-((1-(55836.8/9995.6))/5)))</f>
        <v>0.7979242130537435</v>
      </c>
      <c r="JA10" t="s">
        <v>1059</v>
      </c>
      <c r="JB10" t="s">
        <v>1059</v>
      </c>
      <c r="JC10" t="s">
        <v>1059</v>
      </c>
      <c r="JD10" t="s">
        <v>1059</v>
      </c>
      <c r="JE10" t="s">
        <v>1059</v>
      </c>
      <c r="JF10" t="s">
        <v>1059</v>
      </c>
      <c r="JG10" t="s">
        <v>1059</v>
      </c>
      <c r="JH10" t="s">
        <v>1059</v>
      </c>
      <c r="JI10">
        <f>99/100</f>
        <v>0.99</v>
      </c>
      <c r="JJ10">
        <f>99/100</f>
        <v>0.99</v>
      </c>
      <c r="JK10">
        <f>99/100</f>
        <v>0.99</v>
      </c>
      <c r="JL10" t="s">
        <v>1059</v>
      </c>
      <c r="JM10" t="s">
        <v>1059</v>
      </c>
      <c r="JN10" t="s">
        <v>1059</v>
      </c>
      <c r="JO10" t="s">
        <v>1059</v>
      </c>
      <c r="JP10" t="s">
        <v>1059</v>
      </c>
      <c r="JQ10" t="s">
        <v>1059</v>
      </c>
      <c r="JR10" t="s">
        <v>1059</v>
      </c>
      <c r="JS10" t="s">
        <v>1059</v>
      </c>
      <c r="JT10">
        <f>91.3/100</f>
        <v>0.91299999999999992</v>
      </c>
      <c r="JU10" s="11">
        <f>1-((1-JT10)*(1-((1-(55836.8/9995.6))/5)))</f>
        <v>0.83320120052823232</v>
      </c>
      <c r="JV10">
        <f>92.3/100</f>
        <v>0.92299999999999993</v>
      </c>
      <c r="JW10" s="11">
        <f>1-((1-JV10)*(1-((1-(55836.8/9995.6))/5)))</f>
        <v>0.85237347632958493</v>
      </c>
      <c r="JX10">
        <f>90.3/100</f>
        <v>0.90300000000000002</v>
      </c>
      <c r="JY10" s="11">
        <f>1-((1-JX10)*(1-((1-(55836.8/9995.6))/5)))</f>
        <v>0.81402892472687993</v>
      </c>
      <c r="JZ10" t="s">
        <v>1059</v>
      </c>
      <c r="KA10" s="11"/>
      <c r="KB10" t="s">
        <v>1059</v>
      </c>
      <c r="KC10" s="11"/>
      <c r="KD10" t="s">
        <v>1059</v>
      </c>
      <c r="KE10" s="11"/>
      <c r="KF10" t="s">
        <v>1059</v>
      </c>
      <c r="KG10" s="11"/>
      <c r="KH10" t="s">
        <v>1059</v>
      </c>
      <c r="KI10" s="11"/>
      <c r="KJ10" t="s">
        <v>1059</v>
      </c>
      <c r="KK10" s="11"/>
      <c r="KL10" t="s">
        <v>1059</v>
      </c>
      <c r="KM10" s="11"/>
      <c r="KN10">
        <f>81.5/100</f>
        <v>0.81499999999999995</v>
      </c>
      <c r="KO10" s="11">
        <f>1-((1-KN10)*(1-((1-(55836.8/9995.6))/5)))</f>
        <v>0.6453128976749769</v>
      </c>
      <c r="KP10" t="s">
        <v>1059</v>
      </c>
      <c r="KQ10" s="11"/>
      <c r="KR10" t="s">
        <v>1059</v>
      </c>
      <c r="KS10" s="11"/>
      <c r="KT10" t="s">
        <v>1059</v>
      </c>
      <c r="KU10" s="11"/>
      <c r="KV10" t="s">
        <v>1059</v>
      </c>
      <c r="KW10" s="11"/>
      <c r="KX10" t="s">
        <v>1059</v>
      </c>
      <c r="KY10" s="11"/>
      <c r="KZ10" t="s">
        <v>1059</v>
      </c>
      <c r="LA10" t="s">
        <v>1059</v>
      </c>
      <c r="LB10" t="s">
        <v>1059</v>
      </c>
      <c r="LC10" t="s">
        <v>1059</v>
      </c>
      <c r="LD10" t="s">
        <v>1059</v>
      </c>
      <c r="LE10" t="s">
        <v>1059</v>
      </c>
      <c r="LF10" s="11"/>
      <c r="LG10" t="s">
        <v>1059</v>
      </c>
      <c r="LH10" s="11"/>
      <c r="LI10" t="s">
        <v>1059</v>
      </c>
      <c r="LJ10" s="11"/>
      <c r="LK10" t="s">
        <v>1059</v>
      </c>
      <c r="LL10" s="11"/>
      <c r="LM10" t="s">
        <v>1059</v>
      </c>
      <c r="LN10" s="11"/>
      <c r="LO10" t="s">
        <v>1059</v>
      </c>
      <c r="LP10" s="11"/>
      <c r="LQ10" t="s">
        <v>1059</v>
      </c>
      <c r="LR10" s="11"/>
      <c r="LS10" t="s">
        <v>1059</v>
      </c>
      <c r="LT10" t="s">
        <v>1059</v>
      </c>
      <c r="LU10" s="11"/>
      <c r="LV10" t="s">
        <v>1059</v>
      </c>
      <c r="LW10" t="s">
        <v>1059</v>
      </c>
      <c r="LX10" s="11"/>
      <c r="LY10" t="s">
        <v>1059</v>
      </c>
      <c r="LZ10" s="40">
        <f>AVERAGE(JX10,JV10,JT10,IY10,IW10,IU10,IJ10:IL10,HS10,HQ10,HO10,GI10,GG10,,GT10,GV10,GX10,GZ10,HB10,HD10,HF10,HH10,HJ10,HL10,HU10,HW10,HY10,IA10,IC10,IE10,IG10,GE10,FT10:FV10,KB10,JZ10,KD10,KF10,KJ10,KH10,KL10,KP10,KT10,KR10,KV10,KX10,LE10,LG10,LI10,LK10,LM10,LO10,LQ10,LT10,LW10,KN10,JI10:JK10)</f>
        <v>0.89062608695652146</v>
      </c>
      <c r="MA10" s="40">
        <f>AVERAGE(JY10,JW10,JU10,IZ10,IX10,IV10,IJ10:IL10,HT10,HR10,HP10,GJ10,GH10,,GU10,GW10,GY10,HA10,HC10,HE10,HG10,HI10,HK10,HM10,HV10,HX10,HZ10,IB10,ID10,IF10,IH10,GF10,FT10:FV10,KC10,KA10,KE10,KG10,KK10,KI10,KM10,KQ10,KU10,KS10,KW10,KY10,LF10,LH10,LJ10,LL10,LN10,LP10,LR10,LU10,LX10,KO10,JI10:JK10,)</f>
        <v>0.8057023572705323</v>
      </c>
      <c r="MB10" s="4">
        <f>(COUNT(KN10,JX10,JV10,JT10,JI10:JK10,IY10,IW10,IU10,IJ10:IL10,HS10,HQ10,HO10,GI10,GG10,GE10,FT10:FV10))/110</f>
        <v>0.2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</v>
      </c>
      <c r="MT10">
        <v>1</v>
      </c>
      <c r="MU10">
        <v>1</v>
      </c>
      <c r="MV10">
        <v>0</v>
      </c>
      <c r="MW10" s="11">
        <f>1-((1-MV10)*(1-((1-(55836.8/9995.6))/5)))</f>
        <v>-0.91722758013525962</v>
      </c>
      <c r="MX10" s="8">
        <f>AVERAGE(MC10:MV10)</f>
        <v>0.65</v>
      </c>
      <c r="MY10" s="8">
        <f>AVERAGE(MC10:MU10,MW10)</f>
        <v>0.60413862099323701</v>
      </c>
      <c r="MZ10" s="8">
        <f>(COUNT(MC10:MV10))/20</f>
        <v>1</v>
      </c>
      <c r="NA10">
        <v>1</v>
      </c>
      <c r="NB10">
        <v>0.33</v>
      </c>
      <c r="NC10">
        <v>0</v>
      </c>
      <c r="ND10">
        <v>0.66</v>
      </c>
      <c r="NE10" s="9">
        <f>AVERAGE(NA10:ND10)</f>
        <v>0.49750000000000005</v>
      </c>
      <c r="NF10" s="9">
        <v>1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1</v>
      </c>
      <c r="NM10">
        <v>1</v>
      </c>
      <c r="NN10">
        <v>1</v>
      </c>
      <c r="NO10" t="s">
        <v>1059</v>
      </c>
      <c r="NP10" t="s">
        <v>1059</v>
      </c>
      <c r="NQ10" t="s">
        <v>1059</v>
      </c>
      <c r="NR10" t="s">
        <v>1059</v>
      </c>
      <c r="NS10" t="s">
        <v>1059</v>
      </c>
      <c r="NT10" t="s">
        <v>1059</v>
      </c>
      <c r="NU10" t="s">
        <v>1059</v>
      </c>
      <c r="NV10" t="s">
        <v>1059</v>
      </c>
      <c r="NW10" t="s">
        <v>1059</v>
      </c>
      <c r="NX10" t="s">
        <v>1059</v>
      </c>
      <c r="NY10" t="s">
        <v>1059</v>
      </c>
      <c r="NZ10">
        <f>33/100</f>
        <v>0.33</v>
      </c>
      <c r="OA10">
        <f>32/100</f>
        <v>0.32</v>
      </c>
      <c r="OB10">
        <f>33/100</f>
        <v>0.33</v>
      </c>
      <c r="OC10">
        <f>34/100</f>
        <v>0.34</v>
      </c>
      <c r="OD10">
        <f>35/100</f>
        <v>0.35</v>
      </c>
      <c r="OE10" t="s">
        <v>1059</v>
      </c>
      <c r="OF10" t="s">
        <v>1059</v>
      </c>
      <c r="OG10" t="s">
        <v>1059</v>
      </c>
      <c r="OH10" t="s">
        <v>1059</v>
      </c>
      <c r="OI10" t="s">
        <v>1059</v>
      </c>
      <c r="OJ10">
        <f>21/100</f>
        <v>0.21</v>
      </c>
      <c r="OK10">
        <f>42/100</f>
        <v>0.42</v>
      </c>
      <c r="OL10">
        <f>40/100</f>
        <v>0.4</v>
      </c>
      <c r="OM10">
        <f>43/100</f>
        <v>0.43</v>
      </c>
      <c r="ON10">
        <f>42/100</f>
        <v>0.42</v>
      </c>
      <c r="OO10">
        <f>44/100</f>
        <v>0.44</v>
      </c>
      <c r="OP10" t="s">
        <v>1059</v>
      </c>
      <c r="OQ10" t="s">
        <v>1059</v>
      </c>
      <c r="OR10" t="s">
        <v>1059</v>
      </c>
      <c r="OS10" t="s">
        <v>1059</v>
      </c>
      <c r="OT10" t="s">
        <v>1059</v>
      </c>
      <c r="OU10">
        <f>38/100</f>
        <v>0.38</v>
      </c>
      <c r="OV10" t="s">
        <v>1059</v>
      </c>
      <c r="OW10" s="11"/>
      <c r="OX10" t="s">
        <v>1059</v>
      </c>
      <c r="OY10" s="11"/>
      <c r="OZ10" t="s">
        <v>1059</v>
      </c>
      <c r="PA10" s="11"/>
      <c r="PB10" t="s">
        <v>1059</v>
      </c>
      <c r="PC10" t="s">
        <v>1059</v>
      </c>
      <c r="PD10" t="s">
        <v>1059</v>
      </c>
      <c r="PE10" t="s">
        <v>1059</v>
      </c>
      <c r="PF10" t="s">
        <v>1059</v>
      </c>
      <c r="PG10" t="s">
        <v>1059</v>
      </c>
      <c r="PH10" t="s">
        <v>1059</v>
      </c>
      <c r="PI10" t="s">
        <v>1059</v>
      </c>
      <c r="PJ10">
        <f>42/100</f>
        <v>0.42</v>
      </c>
      <c r="PK10" s="11">
        <f>1-((1-PJ10)*(1-((1-(55836.8/9995.6))/5)))</f>
        <v>-0.11199199647845082</v>
      </c>
      <c r="PL10">
        <f>42/100</f>
        <v>0.42</v>
      </c>
      <c r="PM10" s="11">
        <f>1-((1-PL10)*(1-((1-(55836.8/9995.6))/5)))</f>
        <v>-0.11199199647845082</v>
      </c>
      <c r="PN10">
        <f>41/100</f>
        <v>0.41</v>
      </c>
      <c r="PO10" s="11">
        <f>1-((1-PN10)*(1-((1-(55836.8/9995.6))/5)))</f>
        <v>-0.13116427227980343</v>
      </c>
      <c r="PP10">
        <f>41/100</f>
        <v>0.41</v>
      </c>
      <c r="PQ10" s="11">
        <f>1-((1-PP10)*(1-((1-(55836.8/9995.6))/5)))</f>
        <v>-0.13116427227980343</v>
      </c>
      <c r="PR10">
        <f>44/100</f>
        <v>0.44</v>
      </c>
      <c r="PS10" s="11">
        <f>1-((1-PR10)*(1-((1-(55836.8/9995.6))/5)))</f>
        <v>-7.3647444875745594E-2</v>
      </c>
      <c r="PT10" t="s">
        <v>1059</v>
      </c>
      <c r="PU10" s="11"/>
      <c r="PV10" t="s">
        <v>1059</v>
      </c>
      <c r="PW10" s="11"/>
      <c r="PX10" t="s">
        <v>1059</v>
      </c>
      <c r="PY10" s="11"/>
      <c r="PZ10" t="s">
        <v>1059</v>
      </c>
      <c r="QA10" s="11"/>
      <c r="QB10" t="s">
        <v>1059</v>
      </c>
      <c r="QC10" s="11"/>
      <c r="QD10">
        <f>21/100</f>
        <v>0.21</v>
      </c>
      <c r="QE10" s="11">
        <f>1-((1-QD10)*(1-((1-(55836.8/9995.6))/5)))</f>
        <v>-0.51460978830685522</v>
      </c>
      <c r="QF10">
        <f>38/100</f>
        <v>0.38</v>
      </c>
      <c r="QG10" s="11">
        <f>1-((1-QF10)*(1-((1-(55836.8/9995.6))/5)))</f>
        <v>-0.18868109968386104</v>
      </c>
      <c r="QH10">
        <f>37/100</f>
        <v>0.37</v>
      </c>
      <c r="QI10" s="11">
        <f>1-((1-QH10)*(1-((1-(55836.8/9995.6))/5)))</f>
        <v>-0.20785337548521365</v>
      </c>
      <c r="QJ10">
        <f>39/100</f>
        <v>0.39</v>
      </c>
      <c r="QK10" s="11">
        <f>1-((1-QJ10)*(1-((1-(55836.8/9995.6))/5)))</f>
        <v>-0.16950882388250843</v>
      </c>
      <c r="QL10">
        <f>36/100</f>
        <v>0.36</v>
      </c>
      <c r="QM10" s="11">
        <f>1-((1-QL10)*(1-((1-(55836.8/9995.6))/5)))</f>
        <v>-0.22702565128656627</v>
      </c>
      <c r="QN10">
        <f>41/100</f>
        <v>0.41</v>
      </c>
      <c r="QO10" s="11">
        <f>1-((1-QN10)*(1-((1-(55836.8/9995.6))/5)))</f>
        <v>-0.13116427227980343</v>
      </c>
      <c r="QP10" t="s">
        <v>1059</v>
      </c>
      <c r="QQ10" s="11"/>
      <c r="QR10" t="s">
        <v>1059</v>
      </c>
      <c r="QS10" s="11"/>
      <c r="QT10" t="s">
        <v>1059</v>
      </c>
      <c r="QU10" s="11"/>
      <c r="QV10" t="s">
        <v>1059</v>
      </c>
      <c r="QW10" s="11"/>
      <c r="QX10" t="s">
        <v>1059</v>
      </c>
      <c r="QY10" s="11"/>
      <c r="QZ10">
        <f>24/100</f>
        <v>0.24</v>
      </c>
      <c r="RA10" s="11">
        <f>1-((1-QZ10)*(1-((1-(55836.8/9995.6))/5)))</f>
        <v>-0.45709296090279739</v>
      </c>
      <c r="RB10">
        <f>89/100</f>
        <v>0.89</v>
      </c>
      <c r="RM10">
        <f>86/100</f>
        <v>0.86</v>
      </c>
      <c r="RN10">
        <f>85/100</f>
        <v>0.85</v>
      </c>
      <c r="RO10">
        <f>88/100</f>
        <v>0.88</v>
      </c>
      <c r="RX10" s="2">
        <f>AVERAGE(RM10:RO10,RB10:RD10,QF10,PJ10,OZ10,OX10,OV10,OK10,NO10:NQ10,QX10,QV10,QT10,QR10,QP10,QN10,QL10,QJ10,QH10,QB10,PZ10,PX10,PV10,PT10,PR10,PP10,PN10,PL10,OL10:OT10,NZ10:OH10,NG10:NN10,QZ10,QD10,OU10,OJ10,)</f>
        <v>0.41378378378378383</v>
      </c>
      <c r="RY10" s="2">
        <f>AVERAGE(RM10:RO10,RB10:RD10,QG10,PK10,PA10,OY10,OW10,OK10,NZ10,NO10:NQ10,QY10,QW10,QU10,QS10,QQ10,QO10,QM10,QK10,QI10,QC10,QA10,PY10,PW10,PU10,PS10,PQ10,PO10,PM10,OL10:OT10,OA10:OI10,NG10:NN10,QE10,OU10,OJ10,)</f>
        <v>0.24586658351897059</v>
      </c>
      <c r="RZ10" s="4">
        <f>(COUNT(RM10:RO10,RB10,QN10,QL10,QJ10,QH10,QF10,PR10,PP10,PN10,PL10,PJ10,OK10:OO10,NZ10:OD10,QZ10,QD10,NG10:NN10,OU10,OJ10,))/96</f>
        <v>0.38541666666666669</v>
      </c>
      <c r="SA10">
        <v>1</v>
      </c>
      <c r="SB10">
        <v>1</v>
      </c>
      <c r="SD10" s="11"/>
      <c r="SG10" s="8">
        <f>AVERAGE(SA10:SB10)</f>
        <v>1</v>
      </c>
      <c r="SH10" s="8">
        <f>AVERAGE(SA10:SB10)</f>
        <v>1</v>
      </c>
      <c r="SI10" s="8">
        <f>(COUNT(SA10:SB10))/5</f>
        <v>0.4</v>
      </c>
      <c r="SJ10">
        <v>997</v>
      </c>
      <c r="SK10">
        <v>0</v>
      </c>
      <c r="SM10">
        <f>37.25/100</f>
        <v>0.3725</v>
      </c>
      <c r="SN10" s="11">
        <f>1-((1-SM10)*(1-((1-(55836.8/9995.6))/5)))</f>
        <v>-0.20306030653487528</v>
      </c>
      <c r="SO10" s="9">
        <f>AVERAGE(SK10:SM10)</f>
        <v>0.18625</v>
      </c>
      <c r="SP10" s="9">
        <f>AVERAGE(SK10,SN10)</f>
        <v>-0.10153015326743764</v>
      </c>
      <c r="SQ10" s="9">
        <f>(COUNT(SK10:SM10))/4</f>
        <v>0.5</v>
      </c>
      <c r="SR10">
        <v>0.66</v>
      </c>
      <c r="SS10">
        <v>1</v>
      </c>
      <c r="ST10">
        <v>1</v>
      </c>
      <c r="SU10">
        <v>0</v>
      </c>
      <c r="SV10" s="9">
        <f>AVERAGE(SR10:SS10,ST10:SU10)</f>
        <v>0.66500000000000004</v>
      </c>
      <c r="SW10" s="9">
        <f>(COUNT(SR10:SU10)/4)</f>
        <v>1</v>
      </c>
      <c r="SX10">
        <v>0</v>
      </c>
      <c r="SY10" s="11">
        <f>1-((1-SX10)*(1-((1-(55836.8/9995.6))/5)))</f>
        <v>-0.91722758013525962</v>
      </c>
      <c r="SZ10">
        <f>6/100</f>
        <v>0.06</v>
      </c>
      <c r="TA10" s="11">
        <f>1-((1-SZ10)*(1-((1-(55836.8/9995.6))/5)))</f>
        <v>-0.80219392532714395</v>
      </c>
      <c r="TB10">
        <v>0</v>
      </c>
      <c r="TC10" s="11">
        <f>1-((1-TB10)*(1-((1-(55836.8/9995.6))/5)))</f>
        <v>-0.91722758013525962</v>
      </c>
      <c r="TD10">
        <v>1</v>
      </c>
      <c r="TE10" s="11">
        <f>1-((1-TD10)*(1-((1-(55836.8/9995.6))/5)))</f>
        <v>1</v>
      </c>
      <c r="TG10">
        <v>1</v>
      </c>
      <c r="TH10" s="11">
        <f>1-((1-TG10)*(1-((1-(55836.8/9995.6))/5)))</f>
        <v>1</v>
      </c>
      <c r="TI10">
        <v>1</v>
      </c>
      <c r="TJ10" s="11">
        <f>1-((1-TI10)*(1-((1-(55836.8/9995.6))/5)))</f>
        <v>1</v>
      </c>
      <c r="TK10" s="9">
        <f>AVERAGE(SX10,SZ10,TB10,TD10,TF10,TG10,TI10)</f>
        <v>0.51</v>
      </c>
      <c r="TL10" s="9">
        <f>AVERAGE(SY10,TA10,TC10,TF10,TE10,TH10,TJ10)</f>
        <v>6.0558485733722765E-2</v>
      </c>
      <c r="TM10" s="9">
        <f>(COUNT(SX10,SZ10,TB10,TD10,TF10:TG10,TI10))/7</f>
        <v>0.8571428571428571</v>
      </c>
      <c r="TQ10" s="1">
        <f>AH10</f>
        <v>0.19444444444444445</v>
      </c>
      <c r="TR10" s="1">
        <f>AQ10</f>
        <v>0.42857142857142855</v>
      </c>
      <c r="TS10" s="1">
        <f>AW10</f>
        <v>1</v>
      </c>
      <c r="TT10" s="1">
        <f>BC10</f>
        <v>1</v>
      </c>
      <c r="TU10" s="1">
        <f t="shared" si="22"/>
        <v>0.22666999999999998</v>
      </c>
      <c r="TV10" s="1">
        <f t="shared" si="22"/>
        <v>-0.11356158105930246</v>
      </c>
      <c r="TW10" s="1">
        <f t="shared" si="23"/>
        <v>0.26544133954313598</v>
      </c>
      <c r="TX10" s="1">
        <f t="shared" si="23"/>
        <v>-5.5862932540173549E-2</v>
      </c>
      <c r="TY10" s="1">
        <f t="shared" si="24"/>
        <v>0.47249999999999998</v>
      </c>
      <c r="TZ10" s="1">
        <f t="shared" si="24"/>
        <v>0.22943469126415617</v>
      </c>
      <c r="UA10" s="1">
        <f t="shared" si="25"/>
        <v>0.65277286420552549</v>
      </c>
      <c r="UB10" s="1">
        <f t="shared" si="25"/>
        <v>0.51257672596693526</v>
      </c>
      <c r="UC10" s="1">
        <f t="shared" si="26"/>
        <v>0</v>
      </c>
      <c r="UD10" s="1">
        <f t="shared" si="26"/>
        <v>-0.45861379006762981</v>
      </c>
      <c r="UE10" s="1">
        <f t="shared" si="27"/>
        <v>0.56000000000000005</v>
      </c>
      <c r="UF10" s="1">
        <f t="shared" si="27"/>
        <v>0.43464556404818122</v>
      </c>
      <c r="UG10" s="1">
        <f t="shared" si="28"/>
        <v>0.45578947368421052</v>
      </c>
      <c r="UH10" s="1">
        <f t="shared" si="28"/>
        <v>0.45578947368421052</v>
      </c>
      <c r="UI10" s="1">
        <f t="shared" si="29"/>
        <v>0.89062608695652146</v>
      </c>
      <c r="UJ10" s="1">
        <f t="shared" si="29"/>
        <v>0.8057023572705323</v>
      </c>
      <c r="UK10" s="1">
        <f t="shared" si="30"/>
        <v>0.65</v>
      </c>
      <c r="UL10" s="11">
        <f t="shared" si="30"/>
        <v>0.60413862099323701</v>
      </c>
      <c r="UM10" s="11">
        <f>NE10</f>
        <v>0.49750000000000005</v>
      </c>
      <c r="UN10" s="1">
        <f t="shared" si="31"/>
        <v>0.41378378378378383</v>
      </c>
      <c r="UO10" s="1">
        <f t="shared" si="31"/>
        <v>0.24586658351897059</v>
      </c>
      <c r="UP10" s="1">
        <f t="shared" si="32"/>
        <v>1</v>
      </c>
      <c r="UQ10" s="1">
        <f t="shared" si="32"/>
        <v>1</v>
      </c>
      <c r="UR10" s="1">
        <f t="shared" si="33"/>
        <v>0.18625</v>
      </c>
      <c r="US10" s="1">
        <f t="shared" si="33"/>
        <v>-0.10153015326743764</v>
      </c>
      <c r="UT10" s="1">
        <f>SV10</f>
        <v>0.66500000000000004</v>
      </c>
      <c r="UU10" s="1">
        <f t="shared" si="34"/>
        <v>0.51</v>
      </c>
      <c r="UV10" s="1">
        <f t="shared" si="34"/>
        <v>6.0558485733722765E-2</v>
      </c>
      <c r="UX10" s="10">
        <f>AVERAGE(TQ10:TU10)</f>
        <v>0.56993717460317461</v>
      </c>
      <c r="UY10" s="10">
        <f>AVERAGE(TQ10:TT10,TV10)</f>
        <v>0.5018908583913142</v>
      </c>
      <c r="UZ10" s="10">
        <f>UY10*(41/43)</f>
        <v>0.47854709753590424</v>
      </c>
      <c r="VA10" s="10">
        <f t="shared" si="35"/>
        <v>0.34767855093716538</v>
      </c>
      <c r="VB10" s="10">
        <f t="shared" si="35"/>
        <v>5.6883673655822004E-2</v>
      </c>
      <c r="VC10" s="10">
        <f>VB10*((17/29))</f>
        <v>3.3345601798240483E-2</v>
      </c>
      <c r="VD10" s="10">
        <f t="shared" si="36"/>
        <v>0.63547185354691071</v>
      </c>
      <c r="VE10" s="10">
        <f t="shared" si="36"/>
        <v>0.56537913166764131</v>
      </c>
      <c r="VF10" s="10">
        <f>VE10*(47/82)</f>
        <v>0.3240587705899895</v>
      </c>
      <c r="VG10" s="10">
        <f>AVERAGE(UK10,UM10,UN10)</f>
        <v>0.52042792792792791</v>
      </c>
      <c r="VH10" s="10">
        <f>AVERAGE(UL10,UM10,UO10)</f>
        <v>0.44916840150406928</v>
      </c>
      <c r="VI10" s="10">
        <f>VH10*(61/74)</f>
        <v>0.37026043907767875</v>
      </c>
      <c r="VJ10" s="10">
        <f>AVERAGE(UP10,UR10,UT10,UU10,)</f>
        <v>0.47225</v>
      </c>
      <c r="VK10" s="10">
        <f>AVERAGE(UQ10,US10,UT10,UV10)</f>
        <v>0.40600708311657124</v>
      </c>
      <c r="VL10" s="10">
        <f>VK10*14/16</f>
        <v>0.35525619772699984</v>
      </c>
      <c r="VM10" s="10">
        <f t="shared" si="37"/>
        <v>0.50915310140303571</v>
      </c>
      <c r="VN10" s="10">
        <f t="shared" si="37"/>
        <v>0.39586582966708361</v>
      </c>
      <c r="VO10" s="10">
        <f t="shared" si="37"/>
        <v>0.31229362134576255</v>
      </c>
    </row>
    <row r="11" spans="1:610" x14ac:dyDescent="0.25">
      <c r="CC11" s="4"/>
      <c r="CD11" s="4"/>
      <c r="DL11"/>
      <c r="DM11"/>
      <c r="DR11" s="16"/>
      <c r="DS11" s="16"/>
      <c r="DU11"/>
      <c r="DW11" s="16"/>
      <c r="MB11" s="41"/>
      <c r="RZ11" s="16"/>
      <c r="SN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N6" sqref="N6"/>
    </sheetView>
  </sheetViews>
  <sheetFormatPr defaultRowHeight="15" x14ac:dyDescent="0.25"/>
  <cols>
    <col min="1" max="1" width="11.7109375" bestFit="1" customWidth="1"/>
    <col min="2" max="2" width="18.5703125" bestFit="1" customWidth="1"/>
    <col min="3" max="3" width="61.85546875" bestFit="1" customWidth="1"/>
  </cols>
  <sheetData>
    <row r="1" spans="1:16" x14ac:dyDescent="0.25">
      <c r="A1" t="s">
        <v>1135</v>
      </c>
      <c r="B1" t="s">
        <v>1136</v>
      </c>
      <c r="C1" t="s">
        <v>1137</v>
      </c>
      <c r="D1" t="s">
        <v>1138</v>
      </c>
      <c r="H1" t="s">
        <v>1135</v>
      </c>
      <c r="I1" t="s">
        <v>1136</v>
      </c>
      <c r="J1" t="s">
        <v>1138</v>
      </c>
      <c r="N1" t="s">
        <v>1164</v>
      </c>
      <c r="O1" t="s">
        <v>1170</v>
      </c>
      <c r="P1" t="s">
        <v>1165</v>
      </c>
    </row>
    <row r="2" spans="1:16" x14ac:dyDescent="0.25">
      <c r="A2" s="24" t="s">
        <v>1055</v>
      </c>
      <c r="B2" s="42">
        <v>56327.7</v>
      </c>
      <c r="D2">
        <f t="shared" ref="D2:D17" si="0">LOG(B2)</f>
        <v>4.7507220182742032</v>
      </c>
      <c r="H2" s="24" t="s">
        <v>392</v>
      </c>
      <c r="I2" s="42">
        <v>13383.9</v>
      </c>
      <c r="J2">
        <f t="shared" ref="J2:J10" si="1">LOG(I2)</f>
        <v>4.1265826830641386</v>
      </c>
      <c r="N2" t="s">
        <v>392</v>
      </c>
      <c r="O2" t="s">
        <v>1166</v>
      </c>
      <c r="P2" t="s">
        <v>1139</v>
      </c>
    </row>
    <row r="3" spans="1:16" x14ac:dyDescent="0.25">
      <c r="A3" s="24" t="s">
        <v>1061</v>
      </c>
      <c r="B3" s="42">
        <v>43248.5</v>
      </c>
      <c r="D3">
        <f t="shared" si="0"/>
        <v>4.635971049303266</v>
      </c>
      <c r="H3" s="24" t="s">
        <v>395</v>
      </c>
      <c r="I3" s="42">
        <v>2640.3</v>
      </c>
      <c r="J3">
        <f t="shared" si="1"/>
        <v>3.4216532757116433</v>
      </c>
      <c r="N3" t="s">
        <v>400</v>
      </c>
      <c r="P3" t="s">
        <v>1140</v>
      </c>
    </row>
    <row r="4" spans="1:16" x14ac:dyDescent="0.25">
      <c r="A4" s="24" t="s">
        <v>392</v>
      </c>
      <c r="B4" s="42">
        <v>13383.9</v>
      </c>
      <c r="D4">
        <f t="shared" si="0"/>
        <v>4.1265826830641386</v>
      </c>
      <c r="H4" s="24" t="s">
        <v>396</v>
      </c>
      <c r="I4" s="42">
        <v>2899.4</v>
      </c>
      <c r="J4">
        <f t="shared" si="1"/>
        <v>3.4623081345716908</v>
      </c>
      <c r="N4" t="s">
        <v>1063</v>
      </c>
      <c r="P4" t="s">
        <v>1167</v>
      </c>
    </row>
    <row r="5" spans="1:16" x14ac:dyDescent="0.25">
      <c r="A5" s="24" t="s">
        <v>1139</v>
      </c>
      <c r="B5" s="43">
        <v>456.1</v>
      </c>
      <c r="D5">
        <f t="shared" si="0"/>
        <v>2.6590600722409383</v>
      </c>
      <c r="H5" s="24" t="s">
        <v>398</v>
      </c>
      <c r="I5" s="43">
        <v>864.9</v>
      </c>
      <c r="J5">
        <f t="shared" si="1"/>
        <v>2.93696589710787</v>
      </c>
      <c r="N5" t="s">
        <v>1146</v>
      </c>
      <c r="P5" t="s">
        <v>1168</v>
      </c>
    </row>
    <row r="6" spans="1:16" x14ac:dyDescent="0.25">
      <c r="A6" s="24" t="s">
        <v>1140</v>
      </c>
      <c r="B6" s="43">
        <v>619.1</v>
      </c>
      <c r="D6">
        <f t="shared" si="0"/>
        <v>2.7917608040129052</v>
      </c>
      <c r="H6" s="24" t="s">
        <v>400</v>
      </c>
      <c r="I6">
        <v>890.4</v>
      </c>
      <c r="J6">
        <f t="shared" si="1"/>
        <v>2.949585151326652</v>
      </c>
      <c r="N6" t="s">
        <v>1171</v>
      </c>
      <c r="P6" t="s">
        <v>1144</v>
      </c>
    </row>
    <row r="7" spans="1:16" x14ac:dyDescent="0.25">
      <c r="A7" s="24" t="s">
        <v>1141</v>
      </c>
      <c r="B7" s="42">
        <v>2495.6</v>
      </c>
      <c r="D7">
        <f t="shared" si="0"/>
        <v>3.3971749769583255</v>
      </c>
      <c r="H7" s="24" t="s">
        <v>1142</v>
      </c>
      <c r="I7">
        <v>9995.6</v>
      </c>
      <c r="J7">
        <f t="shared" si="1"/>
        <v>3.9998088683759212</v>
      </c>
      <c r="N7" t="s">
        <v>1055</v>
      </c>
      <c r="P7" t="s">
        <v>1169</v>
      </c>
    </row>
    <row r="8" spans="1:16" x14ac:dyDescent="0.25">
      <c r="A8" s="24" t="s">
        <v>1143</v>
      </c>
      <c r="B8" s="42">
        <v>3346.5</v>
      </c>
      <c r="D8">
        <f t="shared" si="0"/>
        <v>3.5245908293395192</v>
      </c>
      <c r="H8" t="s">
        <v>1055</v>
      </c>
      <c r="I8" s="42">
        <v>56327.7</v>
      </c>
      <c r="J8">
        <f t="shared" si="1"/>
        <v>4.7507220182742032</v>
      </c>
      <c r="P8" t="s">
        <v>396</v>
      </c>
    </row>
    <row r="9" spans="1:16" x14ac:dyDescent="0.25">
      <c r="A9" s="24" t="s">
        <v>1142</v>
      </c>
      <c r="B9">
        <v>9995.6</v>
      </c>
      <c r="D9">
        <f t="shared" si="0"/>
        <v>3.9998088683759212</v>
      </c>
      <c r="H9" t="s">
        <v>1061</v>
      </c>
      <c r="I9" s="42">
        <v>43248.5</v>
      </c>
      <c r="J9">
        <f t="shared" si="1"/>
        <v>4.635971049303266</v>
      </c>
      <c r="P9" t="s">
        <v>1145</v>
      </c>
    </row>
    <row r="10" spans="1:16" x14ac:dyDescent="0.25">
      <c r="A10" s="24" t="s">
        <v>395</v>
      </c>
      <c r="B10" s="42">
        <v>2640.3</v>
      </c>
      <c r="D10">
        <f t="shared" si="0"/>
        <v>3.4216532757116433</v>
      </c>
      <c r="H10" t="s">
        <v>1063</v>
      </c>
      <c r="I10">
        <v>55836.800000000003</v>
      </c>
      <c r="J10">
        <f t="shared" si="1"/>
        <v>4.7469205209660306</v>
      </c>
      <c r="P10" t="s">
        <v>398</v>
      </c>
    </row>
    <row r="11" spans="1:16" x14ac:dyDescent="0.25">
      <c r="A11" s="24" t="s">
        <v>1144</v>
      </c>
      <c r="B11">
        <v>2866.8</v>
      </c>
      <c r="D11">
        <f t="shared" si="0"/>
        <v>3.4573973957975026</v>
      </c>
      <c r="P11" t="s">
        <v>400</v>
      </c>
    </row>
    <row r="12" spans="1:16" x14ac:dyDescent="0.25">
      <c r="A12" s="24" t="s">
        <v>396</v>
      </c>
      <c r="B12" s="42">
        <v>2899.4</v>
      </c>
      <c r="D12">
        <f t="shared" si="0"/>
        <v>3.4623081345716908</v>
      </c>
      <c r="P12" t="s">
        <v>1171</v>
      </c>
    </row>
    <row r="13" spans="1:16" x14ac:dyDescent="0.25">
      <c r="A13" s="24" t="s">
        <v>1145</v>
      </c>
      <c r="B13" s="42">
        <v>27221.5</v>
      </c>
      <c r="D13">
        <f t="shared" si="0"/>
        <v>4.4349120526738615</v>
      </c>
    </row>
    <row r="14" spans="1:16" x14ac:dyDescent="0.25">
      <c r="A14" s="24" t="s">
        <v>398</v>
      </c>
      <c r="B14" s="43">
        <v>864.9</v>
      </c>
      <c r="D14">
        <f t="shared" si="0"/>
        <v>2.93696589710787</v>
      </c>
    </row>
    <row r="15" spans="1:16" x14ac:dyDescent="0.25">
      <c r="A15" s="24" t="s">
        <v>1146</v>
      </c>
      <c r="B15">
        <v>43734</v>
      </c>
      <c r="D15">
        <f t="shared" si="0"/>
        <v>4.6408192006122313</v>
      </c>
    </row>
    <row r="16" spans="1:16" x14ac:dyDescent="0.25">
      <c r="A16" s="24" t="s">
        <v>1063</v>
      </c>
      <c r="B16">
        <v>55836.800000000003</v>
      </c>
      <c r="D16">
        <f t="shared" si="0"/>
        <v>4.7469205209660306</v>
      </c>
    </row>
    <row r="17" spans="1:4" x14ac:dyDescent="0.25">
      <c r="A17" s="24" t="s">
        <v>400</v>
      </c>
      <c r="B17">
        <v>890.4</v>
      </c>
      <c r="D17">
        <f t="shared" si="0"/>
        <v>2.949585151326652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3" sqref="A3:I14"/>
    </sheetView>
  </sheetViews>
  <sheetFormatPr defaultRowHeight="15" x14ac:dyDescent="0.25"/>
  <cols>
    <col min="1" max="1" width="25.7109375" bestFit="1" customWidth="1"/>
  </cols>
  <sheetData>
    <row r="1" spans="1:10" x14ac:dyDescent="0.25">
      <c r="A1" t="s">
        <v>1147</v>
      </c>
    </row>
    <row r="2" spans="1:10" x14ac:dyDescent="0.25">
      <c r="B2" t="s">
        <v>1148</v>
      </c>
      <c r="C2" t="s">
        <v>395</v>
      </c>
      <c r="D2" t="s">
        <v>396</v>
      </c>
      <c r="E2" t="s">
        <v>1149</v>
      </c>
      <c r="F2" t="s">
        <v>400</v>
      </c>
      <c r="G2" t="s">
        <v>1055</v>
      </c>
      <c r="H2" t="s">
        <v>1061</v>
      </c>
      <c r="I2" t="s">
        <v>1150</v>
      </c>
      <c r="J2" t="s">
        <v>1151</v>
      </c>
    </row>
    <row r="3" spans="1:10" x14ac:dyDescent="0.25">
      <c r="A3" t="s">
        <v>1152</v>
      </c>
      <c r="B3">
        <f>18+7+1+2+4</f>
        <v>32</v>
      </c>
      <c r="C3">
        <f>21+7+3+2+4</f>
        <v>37</v>
      </c>
      <c r="D3">
        <f>16+7+3+2+11</f>
        <v>39</v>
      </c>
      <c r="E3">
        <f>21+7+3+2+9</f>
        <v>42</v>
      </c>
      <c r="F3">
        <f>21+7+2+2+6</f>
        <v>38</v>
      </c>
      <c r="G3">
        <f>16+7+1+4+10</f>
        <v>38</v>
      </c>
      <c r="H3">
        <f>19+7+4+9</f>
        <v>39</v>
      </c>
      <c r="I3">
        <f>18+7+2+4+10</f>
        <v>41</v>
      </c>
      <c r="J3">
        <f>1+2</f>
        <v>3</v>
      </c>
    </row>
    <row r="4" spans="1:10" x14ac:dyDescent="0.25">
      <c r="A4" t="s">
        <v>1153</v>
      </c>
      <c r="B4" s="36">
        <f>18+7+1+2+12</f>
        <v>40</v>
      </c>
      <c r="C4" s="36">
        <f>21+7+3+2+12</f>
        <v>45</v>
      </c>
      <c r="D4" s="36">
        <f>16+7+3+2+12</f>
        <v>40</v>
      </c>
      <c r="E4" s="36">
        <f>21+7+3+2+12</f>
        <v>45</v>
      </c>
      <c r="F4" s="36">
        <f>21+7+2+2+12</f>
        <v>44</v>
      </c>
      <c r="G4" s="36">
        <f>16+7+1+4+12</f>
        <v>40</v>
      </c>
      <c r="H4" s="36">
        <f>19+7+4+12</f>
        <v>42</v>
      </c>
      <c r="I4" s="36">
        <f>18+7+2+4+12</f>
        <v>43</v>
      </c>
    </row>
    <row r="5" spans="1:10" x14ac:dyDescent="0.25">
      <c r="A5" t="s">
        <v>1154</v>
      </c>
      <c r="B5">
        <f>2+2+5+2</f>
        <v>11</v>
      </c>
      <c r="C5">
        <f>2+4+4+1</f>
        <v>11</v>
      </c>
      <c r="D5">
        <f>2+4+3+2</f>
        <v>11</v>
      </c>
      <c r="E5">
        <f>2+4+5+2</f>
        <v>13</v>
      </c>
      <c r="F5">
        <f>2+3+5+2</f>
        <v>12</v>
      </c>
      <c r="G5">
        <f>6+10+9+4</f>
        <v>29</v>
      </c>
      <c r="H5">
        <f>3+4+7+2</f>
        <v>16</v>
      </c>
      <c r="I5">
        <f>4+4+7+2</f>
        <v>17</v>
      </c>
      <c r="J5">
        <f>4+6+4+4</f>
        <v>18</v>
      </c>
    </row>
    <row r="6" spans="1:10" x14ac:dyDescent="0.25">
      <c r="A6" t="s">
        <v>1155</v>
      </c>
      <c r="B6" s="36">
        <f>2+4+5+2</f>
        <v>13</v>
      </c>
      <c r="C6" s="36">
        <f>2+4+5+2</f>
        <v>13</v>
      </c>
      <c r="D6" s="36">
        <f>2+4+5+2</f>
        <v>13</v>
      </c>
      <c r="E6" s="36">
        <f>2+4+5+2</f>
        <v>13</v>
      </c>
      <c r="F6" s="36">
        <f>2+4+5+2</f>
        <v>13</v>
      </c>
      <c r="G6" s="36">
        <f>6+10+9+6</f>
        <v>31</v>
      </c>
      <c r="H6" s="36">
        <f>6+10+9+6</f>
        <v>31</v>
      </c>
      <c r="I6" s="36">
        <f>6+10+9+6</f>
        <v>31</v>
      </c>
    </row>
    <row r="7" spans="1:10" x14ac:dyDescent="0.25">
      <c r="A7" t="s">
        <v>1156</v>
      </c>
      <c r="B7">
        <f>5+19+24</f>
        <v>48</v>
      </c>
      <c r="C7">
        <f>4+19+17</f>
        <v>40</v>
      </c>
      <c r="D7">
        <f>5+19+10</f>
        <v>34</v>
      </c>
      <c r="E7">
        <f>5+19+21</f>
        <v>45</v>
      </c>
      <c r="F7">
        <f>5+19+21</f>
        <v>45</v>
      </c>
      <c r="G7">
        <f>6+19+57</f>
        <v>82</v>
      </c>
      <c r="H7">
        <f>6+19+17</f>
        <v>42</v>
      </c>
      <c r="I7">
        <f>6+19+22</f>
        <v>47</v>
      </c>
      <c r="J7">
        <f>1</f>
        <v>1</v>
      </c>
    </row>
    <row r="8" spans="1:10" x14ac:dyDescent="0.25">
      <c r="A8" t="s">
        <v>1157</v>
      </c>
      <c r="B8">
        <f>5+19+110</f>
        <v>134</v>
      </c>
      <c r="C8">
        <f>5+19+110</f>
        <v>134</v>
      </c>
      <c r="D8">
        <f>5+19+110</f>
        <v>134</v>
      </c>
      <c r="E8">
        <f>5+19+110</f>
        <v>134</v>
      </c>
      <c r="F8">
        <f>5+19+110</f>
        <v>134</v>
      </c>
      <c r="G8">
        <f>6+19+110</f>
        <v>135</v>
      </c>
      <c r="H8">
        <f>6+19+110</f>
        <v>135</v>
      </c>
      <c r="I8">
        <f>6+19+110</f>
        <v>135</v>
      </c>
    </row>
    <row r="9" spans="1:10" x14ac:dyDescent="0.25">
      <c r="A9" t="s">
        <v>1158</v>
      </c>
      <c r="B9">
        <f>20+3+14</f>
        <v>37</v>
      </c>
      <c r="C9">
        <f>19+3+11</f>
        <v>33</v>
      </c>
      <c r="D9">
        <f>20+3+15</f>
        <v>38</v>
      </c>
      <c r="E9">
        <f>19+3+12</f>
        <v>34</v>
      </c>
      <c r="F9">
        <f>20+3+12</f>
        <v>35</v>
      </c>
      <c r="G9">
        <f>20+2+52</f>
        <v>74</v>
      </c>
      <c r="H9">
        <f>15+3+12</f>
        <v>30</v>
      </c>
      <c r="I9">
        <f>20+4+37</f>
        <v>61</v>
      </c>
      <c r="J9">
        <f>1+8</f>
        <v>9</v>
      </c>
    </row>
    <row r="10" spans="1:10" x14ac:dyDescent="0.25">
      <c r="A10" t="s">
        <v>1159</v>
      </c>
      <c r="B10" s="36">
        <f>20+3+88</f>
        <v>111</v>
      </c>
      <c r="C10" s="36">
        <f>20+3+88</f>
        <v>111</v>
      </c>
      <c r="D10" s="36">
        <f>20+3+88</f>
        <v>111</v>
      </c>
      <c r="E10" s="36">
        <f>20+3+88</f>
        <v>111</v>
      </c>
      <c r="F10" s="36">
        <f>20+3+88</f>
        <v>111</v>
      </c>
      <c r="G10" s="36">
        <f>20+4+96</f>
        <v>120</v>
      </c>
      <c r="H10" s="36">
        <f>20+4+96</f>
        <v>120</v>
      </c>
      <c r="I10" s="36">
        <f>20+4+96</f>
        <v>120</v>
      </c>
    </row>
    <row r="11" spans="1:10" x14ac:dyDescent="0.25">
      <c r="A11" t="s">
        <v>1160</v>
      </c>
      <c r="B11">
        <f>3+3+2+7</f>
        <v>15</v>
      </c>
      <c r="C11">
        <f>2+3+2+7</f>
        <v>14</v>
      </c>
      <c r="D11">
        <f>3+2+2+7</f>
        <v>14</v>
      </c>
      <c r="E11">
        <f>2+4+3+7</f>
        <v>16</v>
      </c>
      <c r="F11">
        <f>2+1+3+7</f>
        <v>13</v>
      </c>
      <c r="G11">
        <f>3+3+4+7</f>
        <v>17</v>
      </c>
      <c r="H11">
        <f>2+4+4+6</f>
        <v>16</v>
      </c>
      <c r="I11">
        <f>2+2+4+6</f>
        <v>14</v>
      </c>
      <c r="J11">
        <v>1</v>
      </c>
    </row>
    <row r="12" spans="1:10" x14ac:dyDescent="0.25">
      <c r="A12" t="s">
        <v>1161</v>
      </c>
      <c r="B12" s="36">
        <f>5+4+3+7</f>
        <v>19</v>
      </c>
      <c r="C12" s="36">
        <f>5+4+3+7</f>
        <v>19</v>
      </c>
      <c r="D12" s="36">
        <f>5+4+3+7</f>
        <v>19</v>
      </c>
      <c r="E12" s="36">
        <f>5+4+3+7</f>
        <v>19</v>
      </c>
      <c r="F12" s="36">
        <f>5+4+3+7</f>
        <v>19</v>
      </c>
      <c r="G12" s="36">
        <f>5+4+4+7</f>
        <v>20</v>
      </c>
      <c r="H12" s="36">
        <f>5+4+4+7</f>
        <v>20</v>
      </c>
      <c r="I12" s="36">
        <f>5+4+4+7</f>
        <v>20</v>
      </c>
    </row>
    <row r="13" spans="1:10" x14ac:dyDescent="0.25">
      <c r="A13" t="s">
        <v>1162</v>
      </c>
      <c r="B13">
        <f>SUM(B5,B3,B7,B9,B11)</f>
        <v>143</v>
      </c>
      <c r="C13">
        <f t="shared" ref="C13:I13" si="0">SUM(C5,C3,C7,C9,C11)</f>
        <v>135</v>
      </c>
      <c r="D13">
        <f t="shared" si="0"/>
        <v>136</v>
      </c>
      <c r="E13">
        <f t="shared" si="0"/>
        <v>150</v>
      </c>
      <c r="F13">
        <f t="shared" si="0"/>
        <v>143</v>
      </c>
      <c r="G13">
        <f t="shared" si="0"/>
        <v>240</v>
      </c>
      <c r="H13">
        <f t="shared" si="0"/>
        <v>143</v>
      </c>
      <c r="I13">
        <f t="shared" si="0"/>
        <v>180</v>
      </c>
    </row>
    <row r="14" spans="1:10" x14ac:dyDescent="0.25">
      <c r="A14" t="s">
        <v>1163</v>
      </c>
      <c r="B14">
        <f>SUM(B4,B6,B8,B10,B12)</f>
        <v>317</v>
      </c>
      <c r="C14">
        <f t="shared" ref="C14:I14" si="1">SUM(C4,C6,C8,C10,C12)</f>
        <v>322</v>
      </c>
      <c r="D14">
        <f t="shared" si="1"/>
        <v>317</v>
      </c>
      <c r="E14">
        <f t="shared" si="1"/>
        <v>322</v>
      </c>
      <c r="F14">
        <f t="shared" si="1"/>
        <v>321</v>
      </c>
      <c r="G14">
        <f t="shared" si="1"/>
        <v>346</v>
      </c>
      <c r="H14">
        <f t="shared" si="1"/>
        <v>348</v>
      </c>
      <c r="I14">
        <f t="shared" si="1"/>
        <v>349</v>
      </c>
    </row>
    <row r="16" spans="1:10" x14ac:dyDescent="0.25">
      <c r="B16" t="s">
        <v>1256</v>
      </c>
    </row>
    <row r="17" spans="1:9" x14ac:dyDescent="0.25">
      <c r="A17">
        <v>1.1000000000000001</v>
      </c>
      <c r="B17">
        <v>18</v>
      </c>
      <c r="C17">
        <v>21</v>
      </c>
      <c r="D17">
        <v>16</v>
      </c>
      <c r="E17">
        <v>21</v>
      </c>
      <c r="F17">
        <v>21</v>
      </c>
      <c r="G17">
        <v>16</v>
      </c>
      <c r="H17">
        <v>19</v>
      </c>
      <c r="I17">
        <v>18</v>
      </c>
    </row>
    <row r="18" spans="1:9" x14ac:dyDescent="0.25">
      <c r="A18">
        <v>1.2</v>
      </c>
      <c r="B18">
        <v>7</v>
      </c>
      <c r="C18">
        <v>7</v>
      </c>
      <c r="D18">
        <v>7</v>
      </c>
      <c r="E18">
        <v>7</v>
      </c>
      <c r="F18">
        <v>7</v>
      </c>
      <c r="G18">
        <v>7</v>
      </c>
      <c r="H18">
        <v>7</v>
      </c>
      <c r="I18">
        <v>7</v>
      </c>
    </row>
    <row r="19" spans="1:9" x14ac:dyDescent="0.25">
      <c r="A19">
        <v>1.3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</row>
    <row r="20" spans="1:9" x14ac:dyDescent="0.25">
      <c r="A20">
        <v>1.4</v>
      </c>
      <c r="B20">
        <v>2</v>
      </c>
      <c r="C20">
        <v>2</v>
      </c>
      <c r="D20">
        <v>2</v>
      </c>
      <c r="E20">
        <v>2</v>
      </c>
      <c r="F20">
        <v>2</v>
      </c>
      <c r="G20">
        <v>4</v>
      </c>
      <c r="H20">
        <v>4</v>
      </c>
      <c r="I20">
        <v>4</v>
      </c>
    </row>
    <row r="21" spans="1:9" x14ac:dyDescent="0.25">
      <c r="A21">
        <v>1.5</v>
      </c>
      <c r="B21">
        <v>12</v>
      </c>
      <c r="C21">
        <v>12</v>
      </c>
      <c r="D21">
        <v>12</v>
      </c>
      <c r="E21">
        <v>12</v>
      </c>
      <c r="F21">
        <v>12</v>
      </c>
      <c r="G21">
        <v>12</v>
      </c>
      <c r="H21">
        <v>12</v>
      </c>
      <c r="I21">
        <v>12</v>
      </c>
    </row>
    <row r="22" spans="1:9" x14ac:dyDescent="0.25">
      <c r="A22">
        <v>2.1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</row>
    <row r="23" spans="1:9" x14ac:dyDescent="0.25">
      <c r="A23">
        <v>2.2000000000000002</v>
      </c>
      <c r="B23">
        <v>3</v>
      </c>
      <c r="C23">
        <v>3</v>
      </c>
      <c r="D23">
        <v>3</v>
      </c>
      <c r="E23">
        <v>3</v>
      </c>
      <c r="F23">
        <v>3</v>
      </c>
      <c r="G23">
        <v>8</v>
      </c>
      <c r="H23">
        <v>8</v>
      </c>
      <c r="I23">
        <v>7</v>
      </c>
    </row>
    <row r="24" spans="1:9" x14ac:dyDescent="0.25">
      <c r="A24">
        <v>2.2999999999999998</v>
      </c>
      <c r="G24">
        <v>7</v>
      </c>
      <c r="H24">
        <v>7</v>
      </c>
      <c r="I24">
        <v>7</v>
      </c>
    </row>
    <row r="25" spans="1:9" x14ac:dyDescent="0.25">
      <c r="A25">
        <v>2.4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5"/>
  <sheetViews>
    <sheetView tabSelected="1" topLeftCell="A13" workbookViewId="0">
      <selection activeCell="D400" sqref="D400:D401"/>
    </sheetView>
  </sheetViews>
  <sheetFormatPr defaultRowHeight="15" x14ac:dyDescent="0.25"/>
  <cols>
    <col min="4" max="4" width="32.7109375" customWidth="1"/>
    <col min="5" max="5" width="49.140625" customWidth="1"/>
  </cols>
  <sheetData>
    <row r="1" spans="1:6" x14ac:dyDescent="0.25">
      <c r="A1" t="s">
        <v>991</v>
      </c>
      <c r="E1" s="44" t="s">
        <v>1232</v>
      </c>
      <c r="F1" t="s">
        <v>1242</v>
      </c>
    </row>
    <row r="2" spans="1:6" x14ac:dyDescent="0.25">
      <c r="A2">
        <v>999</v>
      </c>
      <c r="B2" t="s">
        <v>394</v>
      </c>
      <c r="E2" s="44" t="s">
        <v>1233</v>
      </c>
      <c r="F2" t="s">
        <v>1247</v>
      </c>
    </row>
    <row r="3" spans="1:6" x14ac:dyDescent="0.25">
      <c r="A3">
        <v>997</v>
      </c>
      <c r="B3" t="s">
        <v>459</v>
      </c>
      <c r="E3" s="44" t="s">
        <v>1234</v>
      </c>
      <c r="F3" t="s">
        <v>1243</v>
      </c>
    </row>
    <row r="4" spans="1:6" x14ac:dyDescent="0.25">
      <c r="A4" t="s">
        <v>788</v>
      </c>
      <c r="B4" t="s">
        <v>465</v>
      </c>
      <c r="E4" s="44" t="s">
        <v>1235</v>
      </c>
      <c r="F4" t="s">
        <v>1247</v>
      </c>
    </row>
    <row r="5" spans="1:6" x14ac:dyDescent="0.25">
      <c r="A5" t="s">
        <v>466</v>
      </c>
      <c r="B5" t="s">
        <v>467</v>
      </c>
      <c r="E5" s="44" t="s">
        <v>1236</v>
      </c>
      <c r="F5" t="s">
        <v>1244</v>
      </c>
    </row>
    <row r="6" spans="1:6" x14ac:dyDescent="0.25">
      <c r="A6" t="s">
        <v>388</v>
      </c>
      <c r="B6" t="s">
        <v>471</v>
      </c>
      <c r="E6" s="44" t="s">
        <v>1237</v>
      </c>
      <c r="F6" t="s">
        <v>1247</v>
      </c>
    </row>
    <row r="7" spans="1:6" x14ac:dyDescent="0.25">
      <c r="A7" t="s">
        <v>389</v>
      </c>
      <c r="B7" t="s">
        <v>472</v>
      </c>
      <c r="E7" s="44" t="s">
        <v>1238</v>
      </c>
      <c r="F7" t="s">
        <v>1245</v>
      </c>
    </row>
    <row r="8" spans="1:6" x14ac:dyDescent="0.25">
      <c r="A8" t="s">
        <v>386</v>
      </c>
      <c r="B8" t="s">
        <v>473</v>
      </c>
      <c r="E8" s="44" t="s">
        <v>1239</v>
      </c>
      <c r="F8" t="s">
        <v>1247</v>
      </c>
    </row>
    <row r="9" spans="1:6" x14ac:dyDescent="0.25">
      <c r="A9" t="s">
        <v>387</v>
      </c>
      <c r="B9" t="s">
        <v>474</v>
      </c>
      <c r="E9" s="44" t="s">
        <v>1240</v>
      </c>
      <c r="F9" t="s">
        <v>1246</v>
      </c>
    </row>
    <row r="10" spans="1:6" x14ac:dyDescent="0.25">
      <c r="A10" t="s">
        <v>390</v>
      </c>
      <c r="B10" t="s">
        <v>475</v>
      </c>
      <c r="E10" s="44" t="s">
        <v>1241</v>
      </c>
      <c r="F10" t="s">
        <v>1247</v>
      </c>
    </row>
    <row r="11" spans="1:6" x14ac:dyDescent="0.25">
      <c r="A11" t="s">
        <v>391</v>
      </c>
      <c r="B11" t="s">
        <v>476</v>
      </c>
    </row>
    <row r="13" spans="1:6" ht="15.75" thickBot="1" x14ac:dyDescent="0.3"/>
    <row r="14" spans="1:6" ht="15.75" thickBot="1" x14ac:dyDescent="0.3">
      <c r="A14" s="17" t="s">
        <v>867</v>
      </c>
      <c r="B14" s="17" t="s">
        <v>0</v>
      </c>
      <c r="C14" s="18" t="s">
        <v>6</v>
      </c>
      <c r="D14" s="18" t="s">
        <v>26</v>
      </c>
      <c r="E14" s="18" t="s">
        <v>868</v>
      </c>
      <c r="F14" s="18" t="s">
        <v>869</v>
      </c>
    </row>
    <row r="15" spans="1:6" ht="25.5" x14ac:dyDescent="0.25">
      <c r="A15" s="47" t="s">
        <v>870</v>
      </c>
      <c r="B15" s="47" t="s">
        <v>1</v>
      </c>
      <c r="C15" s="49" t="s">
        <v>7</v>
      </c>
      <c r="D15" s="51" t="s">
        <v>27</v>
      </c>
      <c r="E15" s="21" t="s">
        <v>94</v>
      </c>
      <c r="F15" s="21" t="s">
        <v>871</v>
      </c>
    </row>
    <row r="16" spans="1:6" x14ac:dyDescent="0.25">
      <c r="A16" s="48"/>
      <c r="B16" s="48"/>
      <c r="C16" s="50"/>
      <c r="D16" s="52"/>
      <c r="E16" s="23" t="s">
        <v>95</v>
      </c>
      <c r="F16" s="1"/>
    </row>
    <row r="17" spans="1:6" ht="25.5" x14ac:dyDescent="0.25">
      <c r="A17" s="48"/>
      <c r="B17" s="48"/>
      <c r="C17" s="50"/>
      <c r="D17" s="52"/>
      <c r="E17" s="23" t="s">
        <v>96</v>
      </c>
      <c r="F17" s="1"/>
    </row>
    <row r="18" spans="1:6" ht="25.5" x14ac:dyDescent="0.25">
      <c r="A18" s="48"/>
      <c r="B18" s="48"/>
      <c r="C18" s="50"/>
      <c r="D18" s="52"/>
      <c r="E18" s="23" t="s">
        <v>97</v>
      </c>
      <c r="F18" s="1"/>
    </row>
    <row r="19" spans="1:6" ht="38.25" x14ac:dyDescent="0.25">
      <c r="A19" s="48"/>
      <c r="B19" s="48"/>
      <c r="C19" s="50"/>
      <c r="D19" s="52"/>
      <c r="E19" s="23" t="s">
        <v>872</v>
      </c>
      <c r="F19" s="1"/>
    </row>
    <row r="20" spans="1:6" x14ac:dyDescent="0.25">
      <c r="A20" s="48"/>
      <c r="B20" s="48"/>
      <c r="C20" s="50"/>
      <c r="D20" s="52"/>
      <c r="E20" s="23" t="s">
        <v>98</v>
      </c>
      <c r="F20" s="1"/>
    </row>
    <row r="21" spans="1:6" ht="25.5" x14ac:dyDescent="0.25">
      <c r="A21" s="48"/>
      <c r="B21" s="48"/>
      <c r="C21" s="50"/>
      <c r="D21" s="52"/>
      <c r="E21" s="23" t="s">
        <v>99</v>
      </c>
      <c r="F21" s="1"/>
    </row>
    <row r="22" spans="1:6" ht="25.5" x14ac:dyDescent="0.25">
      <c r="A22" s="48"/>
      <c r="B22" s="48"/>
      <c r="C22" s="50"/>
      <c r="D22" s="52"/>
      <c r="E22" s="23" t="s">
        <v>873</v>
      </c>
      <c r="F22" s="1"/>
    </row>
    <row r="23" spans="1:6" ht="25.5" x14ac:dyDescent="0.25">
      <c r="A23" s="48"/>
      <c r="B23" s="48"/>
      <c r="C23" s="50"/>
      <c r="D23" s="20" t="s">
        <v>28</v>
      </c>
      <c r="E23" s="23" t="s">
        <v>100</v>
      </c>
      <c r="F23" s="23" t="s">
        <v>871</v>
      </c>
    </row>
    <row r="24" spans="1:6" x14ac:dyDescent="0.25">
      <c r="A24" s="48"/>
      <c r="B24" s="48"/>
      <c r="C24" s="50"/>
      <c r="D24" s="46" t="s">
        <v>29</v>
      </c>
      <c r="E24" s="23" t="s">
        <v>101</v>
      </c>
      <c r="F24" s="23" t="s">
        <v>871</v>
      </c>
    </row>
    <row r="25" spans="1:6" x14ac:dyDescent="0.25">
      <c r="A25" s="48"/>
      <c r="B25" s="48"/>
      <c r="C25" s="50"/>
      <c r="D25" s="46"/>
      <c r="E25" s="23" t="s">
        <v>102</v>
      </c>
      <c r="F25" s="1"/>
    </row>
    <row r="26" spans="1:6" x14ac:dyDescent="0.25">
      <c r="A26" s="48"/>
      <c r="B26" s="48"/>
      <c r="C26" s="50"/>
      <c r="D26" s="46"/>
      <c r="E26" s="23" t="s">
        <v>103</v>
      </c>
      <c r="F26" s="1"/>
    </row>
    <row r="27" spans="1:6" ht="25.5" x14ac:dyDescent="0.25">
      <c r="A27" s="48"/>
      <c r="B27" s="48"/>
      <c r="C27" s="50"/>
      <c r="D27" s="46" t="s">
        <v>30</v>
      </c>
      <c r="E27" s="23" t="s">
        <v>104</v>
      </c>
      <c r="F27" s="23" t="s">
        <v>871</v>
      </c>
    </row>
    <row r="28" spans="1:6" ht="25.5" x14ac:dyDescent="0.25">
      <c r="A28" s="48"/>
      <c r="B28" s="48"/>
      <c r="C28" s="50"/>
      <c r="D28" s="46"/>
      <c r="E28" s="23" t="s">
        <v>104</v>
      </c>
      <c r="F28" s="1"/>
    </row>
    <row r="29" spans="1:6" ht="25.5" x14ac:dyDescent="0.25">
      <c r="A29" s="48"/>
      <c r="B29" s="48"/>
      <c r="C29" s="50"/>
      <c r="D29" s="46"/>
      <c r="E29" s="23" t="s">
        <v>105</v>
      </c>
      <c r="F29" s="1"/>
    </row>
    <row r="30" spans="1:6" ht="38.25" x14ac:dyDescent="0.25">
      <c r="A30" s="48"/>
      <c r="B30" s="48"/>
      <c r="C30" s="50"/>
      <c r="D30" s="46"/>
      <c r="E30" s="23" t="s">
        <v>106</v>
      </c>
      <c r="F30" s="1"/>
    </row>
    <row r="31" spans="1:6" ht="38.25" x14ac:dyDescent="0.25">
      <c r="A31" s="48"/>
      <c r="B31" s="48"/>
      <c r="C31" s="50"/>
      <c r="D31" s="46"/>
      <c r="E31" s="23" t="s">
        <v>106</v>
      </c>
      <c r="F31" s="1"/>
    </row>
    <row r="32" spans="1:6" ht="38.25" x14ac:dyDescent="0.25">
      <c r="A32" s="48"/>
      <c r="B32" s="48"/>
      <c r="C32" s="50"/>
      <c r="D32" s="46"/>
      <c r="E32" s="23" t="s">
        <v>107</v>
      </c>
      <c r="F32" s="1"/>
    </row>
    <row r="33" spans="1:6" ht="25.5" x14ac:dyDescent="0.25">
      <c r="A33" s="48"/>
      <c r="B33" s="48"/>
      <c r="C33" s="50"/>
      <c r="D33" s="46" t="s">
        <v>31</v>
      </c>
      <c r="E33" s="23" t="s">
        <v>108</v>
      </c>
      <c r="F33" s="23" t="s">
        <v>871</v>
      </c>
    </row>
    <row r="34" spans="1:6" ht="38.25" x14ac:dyDescent="0.25">
      <c r="A34" s="48"/>
      <c r="B34" s="48"/>
      <c r="C34" s="50"/>
      <c r="D34" s="46"/>
      <c r="E34" s="23" t="s">
        <v>874</v>
      </c>
      <c r="F34" s="1"/>
    </row>
    <row r="35" spans="1:6" ht="25.5" x14ac:dyDescent="0.25">
      <c r="A35" s="48"/>
      <c r="B35" s="48"/>
      <c r="C35" s="50"/>
      <c r="D35" s="46"/>
      <c r="E35" s="23" t="s">
        <v>109</v>
      </c>
      <c r="F35" s="1"/>
    </row>
    <row r="36" spans="1:6" x14ac:dyDescent="0.25">
      <c r="A36" s="48"/>
      <c r="B36" s="48"/>
      <c r="C36" s="50"/>
      <c r="D36" s="46"/>
      <c r="E36" s="23" t="s">
        <v>110</v>
      </c>
      <c r="F36" s="1"/>
    </row>
    <row r="37" spans="1:6" ht="25.5" x14ac:dyDescent="0.25">
      <c r="A37" s="48"/>
      <c r="B37" s="48"/>
      <c r="C37" s="50"/>
      <c r="D37" s="46"/>
      <c r="E37" s="23" t="s">
        <v>111</v>
      </c>
    </row>
    <row r="38" spans="1:6" ht="25.5" x14ac:dyDescent="0.25">
      <c r="A38" s="48"/>
      <c r="B38" s="48"/>
      <c r="C38" s="50"/>
      <c r="D38" s="46"/>
      <c r="E38" s="23" t="s">
        <v>112</v>
      </c>
    </row>
    <row r="39" spans="1:6" ht="38.25" x14ac:dyDescent="0.25">
      <c r="A39" s="48"/>
      <c r="B39" s="48"/>
      <c r="C39" s="50"/>
      <c r="D39" s="46"/>
      <c r="E39" s="23" t="s">
        <v>113</v>
      </c>
    </row>
    <row r="40" spans="1:6" ht="25.5" x14ac:dyDescent="0.25">
      <c r="A40" s="48"/>
      <c r="B40" s="48"/>
      <c r="C40" s="50"/>
      <c r="D40" s="46"/>
      <c r="E40" s="23" t="s">
        <v>114</v>
      </c>
      <c r="F40" s="24"/>
    </row>
    <row r="41" spans="1:6" x14ac:dyDescent="0.25">
      <c r="A41" s="48"/>
      <c r="B41" s="48"/>
      <c r="C41" s="50"/>
      <c r="D41" s="46"/>
      <c r="E41" s="23" t="s">
        <v>115</v>
      </c>
    </row>
    <row r="42" spans="1:6" ht="25.5" x14ac:dyDescent="0.25">
      <c r="A42" s="48"/>
      <c r="B42" s="48"/>
      <c r="C42" s="50"/>
      <c r="D42" s="46"/>
      <c r="E42" s="23" t="s">
        <v>116</v>
      </c>
    </row>
    <row r="43" spans="1:6" x14ac:dyDescent="0.25">
      <c r="A43" s="48"/>
      <c r="B43" s="48"/>
      <c r="C43" s="50"/>
      <c r="D43" s="46"/>
      <c r="E43" s="23" t="s">
        <v>117</v>
      </c>
    </row>
    <row r="44" spans="1:6" ht="25.5" x14ac:dyDescent="0.25">
      <c r="A44" s="48"/>
      <c r="B44" s="48"/>
      <c r="C44" s="50"/>
      <c r="D44" s="46"/>
      <c r="E44" s="23" t="s">
        <v>118</v>
      </c>
    </row>
    <row r="45" spans="1:6" ht="25.5" x14ac:dyDescent="0.25">
      <c r="A45" s="48"/>
      <c r="B45" s="48"/>
      <c r="C45" s="50"/>
      <c r="D45" s="46"/>
      <c r="E45" s="23" t="s">
        <v>119</v>
      </c>
    </row>
    <row r="46" spans="1:6" ht="25.5" x14ac:dyDescent="0.25">
      <c r="A46" s="48"/>
      <c r="B46" s="53"/>
      <c r="C46" s="1"/>
      <c r="D46" s="46"/>
      <c r="E46" s="23" t="s">
        <v>875</v>
      </c>
    </row>
    <row r="47" spans="1:6" ht="38.25" x14ac:dyDescent="0.25">
      <c r="A47" s="48"/>
      <c r="B47" s="53"/>
      <c r="C47" s="1"/>
      <c r="D47" s="46"/>
      <c r="E47" s="23" t="s">
        <v>120</v>
      </c>
    </row>
    <row r="48" spans="1:6" ht="25.5" x14ac:dyDescent="0.25">
      <c r="A48" s="48"/>
      <c r="B48" s="53"/>
      <c r="C48" s="1"/>
      <c r="D48" s="46"/>
      <c r="E48" s="23" t="s">
        <v>121</v>
      </c>
    </row>
    <row r="49" spans="1:6" ht="25.5" x14ac:dyDescent="0.25">
      <c r="A49" s="48"/>
      <c r="B49" s="53"/>
      <c r="C49" s="55" t="s">
        <v>8</v>
      </c>
      <c r="D49" s="46" t="s">
        <v>32</v>
      </c>
      <c r="E49" s="23" t="s">
        <v>122</v>
      </c>
      <c r="F49" s="23" t="s">
        <v>871</v>
      </c>
    </row>
    <row r="50" spans="1:6" ht="25.5" x14ac:dyDescent="0.25">
      <c r="A50" s="48"/>
      <c r="B50" s="53"/>
      <c r="C50" s="55"/>
      <c r="D50" s="46"/>
      <c r="E50" s="23" t="s">
        <v>123</v>
      </c>
      <c r="F50" s="22"/>
    </row>
    <row r="51" spans="1:6" ht="25.5" x14ac:dyDescent="0.25">
      <c r="A51" s="48"/>
      <c r="B51" s="53"/>
      <c r="C51" s="55"/>
      <c r="D51" s="46"/>
      <c r="E51" s="23" t="s">
        <v>124</v>
      </c>
      <c r="F51" s="22"/>
    </row>
    <row r="52" spans="1:6" ht="25.5" x14ac:dyDescent="0.25">
      <c r="A52" s="48"/>
      <c r="B52" s="53"/>
      <c r="C52" s="55"/>
      <c r="D52" s="46"/>
      <c r="E52" s="23" t="s">
        <v>125</v>
      </c>
      <c r="F52" s="22"/>
    </row>
    <row r="53" spans="1:6" ht="25.5" x14ac:dyDescent="0.25">
      <c r="A53" s="48"/>
      <c r="B53" s="53"/>
      <c r="C53" s="55"/>
      <c r="D53" s="46"/>
      <c r="E53" s="23" t="s">
        <v>876</v>
      </c>
      <c r="F53" s="24"/>
    </row>
    <row r="54" spans="1:6" ht="45.75" x14ac:dyDescent="0.25">
      <c r="A54" s="19" t="s">
        <v>877</v>
      </c>
      <c r="B54" s="53"/>
      <c r="C54" s="55"/>
      <c r="D54" s="20" t="s">
        <v>878</v>
      </c>
      <c r="E54" s="23" t="s">
        <v>878</v>
      </c>
      <c r="F54" s="23" t="s">
        <v>879</v>
      </c>
    </row>
    <row r="55" spans="1:6" ht="38.25" x14ac:dyDescent="0.25">
      <c r="A55" s="56" t="s">
        <v>870</v>
      </c>
      <c r="B55" s="53"/>
      <c r="C55" s="55"/>
      <c r="D55" s="20" t="s">
        <v>33</v>
      </c>
      <c r="E55" s="23" t="s">
        <v>880</v>
      </c>
      <c r="F55" s="23" t="s">
        <v>879</v>
      </c>
    </row>
    <row r="56" spans="1:6" ht="38.25" x14ac:dyDescent="0.25">
      <c r="A56" s="56"/>
      <c r="B56" s="53"/>
      <c r="C56" s="55"/>
      <c r="D56" s="20" t="s">
        <v>34</v>
      </c>
      <c r="E56" s="23" t="s">
        <v>881</v>
      </c>
      <c r="F56" s="23" t="s">
        <v>879</v>
      </c>
    </row>
    <row r="57" spans="1:6" ht="63.75" x14ac:dyDescent="0.25">
      <c r="A57" s="56"/>
      <c r="B57" s="53"/>
      <c r="C57" s="55"/>
      <c r="D57" s="20" t="s">
        <v>35</v>
      </c>
      <c r="E57" s="23" t="s">
        <v>882</v>
      </c>
      <c r="F57" s="25" t="s">
        <v>879</v>
      </c>
    </row>
    <row r="58" spans="1:6" ht="38.25" x14ac:dyDescent="0.25">
      <c r="A58" s="56"/>
      <c r="B58" s="53"/>
      <c r="C58" s="55" t="s">
        <v>9</v>
      </c>
      <c r="D58" s="20" t="s">
        <v>36</v>
      </c>
      <c r="E58" s="23" t="s">
        <v>36</v>
      </c>
      <c r="F58" s="23" t="s">
        <v>879</v>
      </c>
    </row>
    <row r="59" spans="1:6" ht="38.25" x14ac:dyDescent="0.25">
      <c r="A59" s="56"/>
      <c r="B59" s="53"/>
      <c r="C59" s="55"/>
      <c r="D59" s="20" t="s">
        <v>37</v>
      </c>
      <c r="E59" s="23" t="s">
        <v>37</v>
      </c>
      <c r="F59" s="23" t="s">
        <v>879</v>
      </c>
    </row>
    <row r="60" spans="1:6" ht="51" x14ac:dyDescent="0.25">
      <c r="A60" s="56"/>
      <c r="B60" s="53"/>
      <c r="C60" s="55"/>
      <c r="D60" s="20" t="s">
        <v>38</v>
      </c>
      <c r="E60" s="23" t="s">
        <v>38</v>
      </c>
      <c r="F60" s="23" t="s">
        <v>879</v>
      </c>
    </row>
    <row r="61" spans="1:6" ht="38.25" x14ac:dyDescent="0.25">
      <c r="A61" s="56"/>
      <c r="B61" s="53"/>
      <c r="C61" s="55" t="s">
        <v>10</v>
      </c>
      <c r="D61" s="20" t="s">
        <v>39</v>
      </c>
      <c r="E61" s="23" t="s">
        <v>39</v>
      </c>
      <c r="F61" s="23" t="s">
        <v>879</v>
      </c>
    </row>
    <row r="62" spans="1:6" ht="25.5" x14ac:dyDescent="0.25">
      <c r="A62" s="56"/>
      <c r="B62" s="53"/>
      <c r="C62" s="55"/>
      <c r="D62" s="20" t="s">
        <v>40</v>
      </c>
      <c r="E62" s="23" t="s">
        <v>40</v>
      </c>
      <c r="F62" s="23" t="s">
        <v>879</v>
      </c>
    </row>
    <row r="63" spans="1:6" ht="38.25" x14ac:dyDescent="0.25">
      <c r="A63" s="56"/>
      <c r="B63" s="53"/>
      <c r="C63" s="55"/>
      <c r="D63" s="20" t="s">
        <v>883</v>
      </c>
      <c r="E63" s="23" t="s">
        <v>883</v>
      </c>
      <c r="F63" s="23" t="s">
        <v>884</v>
      </c>
    </row>
    <row r="64" spans="1:6" ht="26.25" x14ac:dyDescent="0.25">
      <c r="A64" s="19">
        <v>2016</v>
      </c>
      <c r="B64" s="53"/>
      <c r="C64" s="55"/>
      <c r="D64" s="20" t="s">
        <v>41</v>
      </c>
      <c r="E64" s="23" t="s">
        <v>41</v>
      </c>
      <c r="F64" s="23" t="s">
        <v>879</v>
      </c>
    </row>
    <row r="65" spans="1:6" ht="38.25" x14ac:dyDescent="0.25">
      <c r="A65" s="57" t="s">
        <v>870</v>
      </c>
      <c r="B65" s="53"/>
      <c r="C65" s="55" t="s">
        <v>11</v>
      </c>
      <c r="D65" s="20" t="s">
        <v>42</v>
      </c>
      <c r="E65" s="23" t="s">
        <v>42</v>
      </c>
      <c r="F65" s="25" t="s">
        <v>885</v>
      </c>
    </row>
    <row r="66" spans="1:6" ht="51" x14ac:dyDescent="0.25">
      <c r="A66" s="57"/>
      <c r="B66" s="53"/>
      <c r="C66" s="55"/>
      <c r="D66" s="20" t="s">
        <v>43</v>
      </c>
      <c r="E66" s="23" t="s">
        <v>43</v>
      </c>
      <c r="F66" s="25" t="s">
        <v>885</v>
      </c>
    </row>
    <row r="67" spans="1:6" ht="38.25" x14ac:dyDescent="0.25">
      <c r="A67" s="57"/>
      <c r="B67" s="53"/>
      <c r="C67" s="55"/>
      <c r="D67" s="20" t="s">
        <v>44</v>
      </c>
      <c r="E67" s="23" t="s">
        <v>44</v>
      </c>
      <c r="F67" s="25" t="s">
        <v>885</v>
      </c>
    </row>
    <row r="68" spans="1:6" ht="38.25" x14ac:dyDescent="0.25">
      <c r="A68" s="57"/>
      <c r="B68" s="53"/>
      <c r="C68" s="55"/>
      <c r="D68" s="20" t="s">
        <v>45</v>
      </c>
      <c r="E68" s="23" t="s">
        <v>45</v>
      </c>
      <c r="F68" s="25" t="s">
        <v>885</v>
      </c>
    </row>
    <row r="69" spans="1:6" x14ac:dyDescent="0.25">
      <c r="A69" s="57"/>
      <c r="B69" s="53"/>
      <c r="C69" s="55"/>
      <c r="D69" s="46" t="s">
        <v>886</v>
      </c>
      <c r="E69" s="23" t="s">
        <v>127</v>
      </c>
      <c r="F69" s="25" t="s">
        <v>885</v>
      </c>
    </row>
    <row r="70" spans="1:6" x14ac:dyDescent="0.25">
      <c r="A70" s="57"/>
      <c r="B70" s="53"/>
      <c r="C70" s="55"/>
      <c r="D70" s="46"/>
      <c r="E70" s="23" t="s">
        <v>128</v>
      </c>
      <c r="F70" s="25" t="s">
        <v>885</v>
      </c>
    </row>
    <row r="71" spans="1:6" x14ac:dyDescent="0.25">
      <c r="A71" s="57"/>
      <c r="B71" s="53"/>
      <c r="C71" s="55"/>
      <c r="D71" s="46"/>
      <c r="E71" s="23" t="s">
        <v>129</v>
      </c>
      <c r="F71" s="25" t="s">
        <v>885</v>
      </c>
    </row>
    <row r="72" spans="1:6" x14ac:dyDescent="0.25">
      <c r="A72" s="57"/>
      <c r="B72" s="53"/>
      <c r="C72" s="55"/>
      <c r="D72" s="46"/>
      <c r="E72" s="23" t="s">
        <v>130</v>
      </c>
      <c r="F72" s="25" t="s">
        <v>885</v>
      </c>
    </row>
    <row r="73" spans="1:6" x14ac:dyDescent="0.25">
      <c r="A73" s="57"/>
      <c r="B73" s="53"/>
      <c r="C73" s="55"/>
      <c r="D73" s="46" t="s">
        <v>887</v>
      </c>
      <c r="E73" s="23" t="s">
        <v>131</v>
      </c>
      <c r="F73" s="25" t="s">
        <v>885</v>
      </c>
    </row>
    <row r="74" spans="1:6" ht="25.5" x14ac:dyDescent="0.25">
      <c r="A74" s="57"/>
      <c r="B74" s="53"/>
      <c r="C74" s="55"/>
      <c r="D74" s="46"/>
      <c r="E74" s="23" t="s">
        <v>132</v>
      </c>
      <c r="F74" s="25" t="s">
        <v>885</v>
      </c>
    </row>
    <row r="75" spans="1:6" x14ac:dyDescent="0.25">
      <c r="A75" s="57"/>
      <c r="B75" s="53"/>
      <c r="C75" s="55"/>
      <c r="D75" s="46"/>
      <c r="E75" s="23" t="s">
        <v>133</v>
      </c>
      <c r="F75" s="25" t="s">
        <v>885</v>
      </c>
    </row>
    <row r="76" spans="1:6" ht="39" thickBot="1" x14ac:dyDescent="0.3">
      <c r="A76" s="58"/>
      <c r="B76" s="54"/>
      <c r="C76" s="59"/>
      <c r="D76" s="20" t="s">
        <v>888</v>
      </c>
      <c r="E76" s="23" t="s">
        <v>888</v>
      </c>
      <c r="F76" s="25" t="s">
        <v>885</v>
      </c>
    </row>
    <row r="77" spans="1:6" ht="25.5" x14ac:dyDescent="0.25">
      <c r="A77" s="60">
        <v>2016</v>
      </c>
      <c r="B77" s="60" t="s">
        <v>2</v>
      </c>
      <c r="C77" s="61" t="s">
        <v>12</v>
      </c>
      <c r="D77" s="51" t="s">
        <v>46</v>
      </c>
      <c r="E77" s="21" t="s">
        <v>889</v>
      </c>
      <c r="F77" s="27" t="s">
        <v>879</v>
      </c>
    </row>
    <row r="78" spans="1:6" ht="25.5" x14ac:dyDescent="0.25">
      <c r="A78" s="57"/>
      <c r="B78" s="57"/>
      <c r="C78" s="55"/>
      <c r="D78" s="52"/>
      <c r="E78" s="23" t="s">
        <v>890</v>
      </c>
      <c r="F78" s="23" t="s">
        <v>891</v>
      </c>
    </row>
    <row r="79" spans="1:6" ht="25.5" x14ac:dyDescent="0.25">
      <c r="A79" s="57"/>
      <c r="B79" s="57"/>
      <c r="C79" s="55"/>
      <c r="D79" s="52"/>
      <c r="E79" s="23" t="s">
        <v>892</v>
      </c>
      <c r="F79" s="25" t="s">
        <v>879</v>
      </c>
    </row>
    <row r="80" spans="1:6" ht="25.5" x14ac:dyDescent="0.25">
      <c r="A80" s="57"/>
      <c r="B80" s="57"/>
      <c r="C80" s="55"/>
      <c r="D80" s="52"/>
      <c r="E80" s="23" t="s">
        <v>893</v>
      </c>
      <c r="F80" s="23" t="s">
        <v>891</v>
      </c>
    </row>
    <row r="81" spans="1:6" x14ac:dyDescent="0.25">
      <c r="A81" s="57" t="s">
        <v>894</v>
      </c>
      <c r="B81" s="57"/>
      <c r="C81" s="55"/>
      <c r="D81" s="46" t="s">
        <v>47</v>
      </c>
      <c r="E81" s="23" t="s">
        <v>895</v>
      </c>
      <c r="F81" s="23" t="s">
        <v>891</v>
      </c>
    </row>
    <row r="82" spans="1:6" x14ac:dyDescent="0.25">
      <c r="A82" s="57"/>
      <c r="B82" s="57"/>
      <c r="C82" s="55"/>
      <c r="D82" s="46"/>
      <c r="E82" s="23" t="s">
        <v>896</v>
      </c>
      <c r="F82" s="23" t="s">
        <v>891</v>
      </c>
    </row>
    <row r="83" spans="1:6" ht="25.5" x14ac:dyDescent="0.25">
      <c r="A83" s="57">
        <v>2016</v>
      </c>
      <c r="B83" s="57"/>
      <c r="C83" s="55" t="s">
        <v>13</v>
      </c>
      <c r="D83" s="46" t="s">
        <v>48</v>
      </c>
      <c r="E83" s="23" t="s">
        <v>897</v>
      </c>
      <c r="F83" s="25" t="s">
        <v>879</v>
      </c>
    </row>
    <row r="84" spans="1:6" ht="25.5" x14ac:dyDescent="0.25">
      <c r="A84" s="57"/>
      <c r="B84" s="57"/>
      <c r="C84" s="55"/>
      <c r="D84" s="46"/>
      <c r="E84" s="23" t="s">
        <v>898</v>
      </c>
      <c r="F84" s="23" t="s">
        <v>891</v>
      </c>
    </row>
    <row r="85" spans="1:6" ht="25.5" x14ac:dyDescent="0.25">
      <c r="A85" s="57"/>
      <c r="B85" s="57"/>
      <c r="C85" s="55"/>
      <c r="D85" s="46"/>
      <c r="E85" s="23" t="s">
        <v>899</v>
      </c>
      <c r="F85" s="25" t="s">
        <v>879</v>
      </c>
    </row>
    <row r="86" spans="1:6" ht="25.5" x14ac:dyDescent="0.25">
      <c r="A86" s="57"/>
      <c r="B86" s="57"/>
      <c r="C86" s="55"/>
      <c r="D86" s="46"/>
      <c r="E86" s="23" t="s">
        <v>900</v>
      </c>
      <c r="F86" s="23" t="s">
        <v>891</v>
      </c>
    </row>
    <row r="87" spans="1:6" x14ac:dyDescent="0.25">
      <c r="A87" s="57"/>
      <c r="B87" s="57"/>
      <c r="C87" s="55"/>
      <c r="D87" s="46" t="s">
        <v>49</v>
      </c>
      <c r="E87" s="23" t="s">
        <v>901</v>
      </c>
      <c r="F87" s="23" t="s">
        <v>891</v>
      </c>
    </row>
    <row r="88" spans="1:6" x14ac:dyDescent="0.25">
      <c r="A88" s="57"/>
      <c r="B88" s="57"/>
      <c r="C88" s="55"/>
      <c r="D88" s="46"/>
      <c r="E88" s="23" t="s">
        <v>902</v>
      </c>
      <c r="F88" s="23" t="s">
        <v>891</v>
      </c>
    </row>
    <row r="89" spans="1:6" x14ac:dyDescent="0.25">
      <c r="A89" s="57" t="s">
        <v>894</v>
      </c>
      <c r="B89" s="57"/>
      <c r="C89" s="55"/>
      <c r="D89" s="46" t="s">
        <v>50</v>
      </c>
      <c r="E89" s="23" t="s">
        <v>903</v>
      </c>
      <c r="F89" s="23" t="s">
        <v>904</v>
      </c>
    </row>
    <row r="90" spans="1:6" x14ac:dyDescent="0.25">
      <c r="A90" s="57"/>
      <c r="B90" s="57"/>
      <c r="C90" s="55"/>
      <c r="D90" s="46"/>
      <c r="E90" s="23" t="s">
        <v>905</v>
      </c>
      <c r="F90" s="23" t="s">
        <v>904</v>
      </c>
    </row>
    <row r="91" spans="1:6" x14ac:dyDescent="0.25">
      <c r="A91" s="57"/>
      <c r="B91" s="57"/>
      <c r="C91" s="55"/>
      <c r="D91" s="46" t="s">
        <v>51</v>
      </c>
      <c r="E91" s="23" t="s">
        <v>906</v>
      </c>
      <c r="F91" s="23" t="s">
        <v>904</v>
      </c>
    </row>
    <row r="92" spans="1:6" x14ac:dyDescent="0.25">
      <c r="A92" s="57"/>
      <c r="B92" s="57"/>
      <c r="C92" s="55"/>
      <c r="D92" s="46"/>
      <c r="E92" s="23" t="s">
        <v>907</v>
      </c>
      <c r="F92" s="23" t="s">
        <v>904</v>
      </c>
    </row>
    <row r="93" spans="1:6" x14ac:dyDescent="0.25">
      <c r="A93" s="57"/>
      <c r="B93" s="57"/>
      <c r="C93" s="55" t="s">
        <v>14</v>
      </c>
      <c r="D93" s="46" t="s">
        <v>908</v>
      </c>
      <c r="E93" s="23" t="s">
        <v>909</v>
      </c>
      <c r="F93" s="23" t="s">
        <v>904</v>
      </c>
    </row>
    <row r="94" spans="1:6" x14ac:dyDescent="0.25">
      <c r="A94" s="57"/>
      <c r="B94" s="57"/>
      <c r="C94" s="55"/>
      <c r="D94" s="46"/>
      <c r="E94" s="23" t="s">
        <v>910</v>
      </c>
      <c r="F94" s="23" t="s">
        <v>904</v>
      </c>
    </row>
    <row r="95" spans="1:6" ht="25.5" x14ac:dyDescent="0.25">
      <c r="A95" s="56">
        <v>2016</v>
      </c>
      <c r="B95" s="57"/>
      <c r="C95" s="55"/>
      <c r="D95" s="46" t="s">
        <v>52</v>
      </c>
      <c r="E95" s="23" t="s">
        <v>137</v>
      </c>
      <c r="F95" s="25" t="s">
        <v>879</v>
      </c>
    </row>
    <row r="96" spans="1:6" ht="25.5" x14ac:dyDescent="0.25">
      <c r="A96" s="56"/>
      <c r="B96" s="57"/>
      <c r="C96" s="55"/>
      <c r="D96" s="46"/>
      <c r="E96" s="23" t="s">
        <v>911</v>
      </c>
      <c r="F96" s="23" t="s">
        <v>891</v>
      </c>
    </row>
    <row r="97" spans="1:6" ht="25.5" x14ac:dyDescent="0.25">
      <c r="A97" s="56"/>
      <c r="B97" s="57"/>
      <c r="C97" s="55"/>
      <c r="D97" s="46"/>
      <c r="E97" s="23" t="s">
        <v>138</v>
      </c>
      <c r="F97" s="25" t="s">
        <v>879</v>
      </c>
    </row>
    <row r="98" spans="1:6" ht="25.5" x14ac:dyDescent="0.25">
      <c r="A98" s="56"/>
      <c r="B98" s="57"/>
      <c r="C98" s="55"/>
      <c r="D98" s="46"/>
      <c r="E98" s="23" t="s">
        <v>139</v>
      </c>
      <c r="F98" s="23" t="s">
        <v>891</v>
      </c>
    </row>
    <row r="99" spans="1:6" x14ac:dyDescent="0.25">
      <c r="A99" s="57" t="s">
        <v>894</v>
      </c>
      <c r="B99" s="57"/>
      <c r="C99" s="55"/>
      <c r="D99" s="46" t="s">
        <v>53</v>
      </c>
      <c r="E99" s="23" t="s">
        <v>912</v>
      </c>
      <c r="F99" s="23" t="s">
        <v>891</v>
      </c>
    </row>
    <row r="100" spans="1:6" x14ac:dyDescent="0.25">
      <c r="A100" s="57"/>
      <c r="B100" s="57"/>
      <c r="C100" s="55"/>
      <c r="D100" s="46"/>
      <c r="E100" s="23" t="s">
        <v>913</v>
      </c>
      <c r="F100" s="23" t="s">
        <v>891</v>
      </c>
    </row>
    <row r="101" spans="1:6" ht="25.5" x14ac:dyDescent="0.25">
      <c r="A101" s="57"/>
      <c r="B101" s="57"/>
      <c r="C101" s="55"/>
      <c r="D101" s="20" t="s">
        <v>54</v>
      </c>
      <c r="E101" s="23" t="s">
        <v>54</v>
      </c>
      <c r="F101" s="23" t="s">
        <v>904</v>
      </c>
    </row>
    <row r="102" spans="1:6" ht="25.5" x14ac:dyDescent="0.25">
      <c r="A102" s="57">
        <v>2016</v>
      </c>
      <c r="B102" s="57"/>
      <c r="C102" s="55" t="s">
        <v>15</v>
      </c>
      <c r="D102" s="46" t="s">
        <v>914</v>
      </c>
      <c r="E102" s="23" t="s">
        <v>915</v>
      </c>
      <c r="F102" s="23" t="s">
        <v>879</v>
      </c>
    </row>
    <row r="103" spans="1:6" ht="25.5" x14ac:dyDescent="0.25">
      <c r="A103" s="57"/>
      <c r="B103" s="57"/>
      <c r="C103" s="55"/>
      <c r="D103" s="46"/>
      <c r="E103" s="23" t="s">
        <v>916</v>
      </c>
      <c r="F103" s="23" t="s">
        <v>891</v>
      </c>
    </row>
    <row r="104" spans="1:6" ht="25.5" x14ac:dyDescent="0.25">
      <c r="A104" s="57"/>
      <c r="B104" s="57"/>
      <c r="C104" s="55"/>
      <c r="D104" s="46"/>
      <c r="E104" s="23" t="s">
        <v>917</v>
      </c>
      <c r="F104" s="23" t="s">
        <v>879</v>
      </c>
    </row>
    <row r="105" spans="1:6" ht="25.5" x14ac:dyDescent="0.25">
      <c r="A105" s="57"/>
      <c r="B105" s="57"/>
      <c r="C105" s="55"/>
      <c r="D105" s="46"/>
      <c r="E105" s="23" t="s">
        <v>918</v>
      </c>
      <c r="F105" s="23" t="s">
        <v>891</v>
      </c>
    </row>
    <row r="106" spans="1:6" x14ac:dyDescent="0.25">
      <c r="A106" s="57" t="s">
        <v>894</v>
      </c>
      <c r="B106" s="57"/>
      <c r="C106" s="55"/>
      <c r="D106" s="46" t="s">
        <v>55</v>
      </c>
      <c r="E106" s="23" t="s">
        <v>919</v>
      </c>
      <c r="F106" s="23" t="s">
        <v>891</v>
      </c>
    </row>
    <row r="107" spans="1:6" ht="15.75" thickBot="1" x14ac:dyDescent="0.3">
      <c r="A107" s="58"/>
      <c r="B107" s="58"/>
      <c r="C107" s="59"/>
      <c r="D107" s="63"/>
      <c r="E107" s="28" t="s">
        <v>920</v>
      </c>
      <c r="F107" s="28" t="s">
        <v>891</v>
      </c>
    </row>
    <row r="108" spans="1:6" ht="25.5" x14ac:dyDescent="0.25">
      <c r="A108" s="60" t="s">
        <v>894</v>
      </c>
      <c r="B108" s="60" t="s">
        <v>3</v>
      </c>
      <c r="C108" s="61" t="s">
        <v>16</v>
      </c>
      <c r="D108" s="62" t="s">
        <v>56</v>
      </c>
      <c r="E108" s="23" t="s">
        <v>921</v>
      </c>
      <c r="F108" s="23" t="s">
        <v>871</v>
      </c>
    </row>
    <row r="109" spans="1:6" ht="25.5" x14ac:dyDescent="0.25">
      <c r="A109" s="57"/>
      <c r="B109" s="57"/>
      <c r="C109" s="55"/>
      <c r="D109" s="46"/>
      <c r="E109" s="23" t="s">
        <v>922</v>
      </c>
      <c r="F109" s="22"/>
    </row>
    <row r="110" spans="1:6" ht="25.5" x14ac:dyDescent="0.25">
      <c r="A110" s="57"/>
      <c r="B110" s="57"/>
      <c r="C110" s="55"/>
      <c r="D110" s="46"/>
      <c r="E110" s="23" t="s">
        <v>923</v>
      </c>
      <c r="F110" s="22"/>
    </row>
    <row r="111" spans="1:6" x14ac:dyDescent="0.25">
      <c r="A111" s="57"/>
      <c r="B111" s="57"/>
      <c r="C111" s="55"/>
      <c r="D111" s="46"/>
      <c r="E111" s="23" t="s">
        <v>924</v>
      </c>
      <c r="F111" s="22"/>
    </row>
    <row r="112" spans="1:6" ht="25.5" x14ac:dyDescent="0.25">
      <c r="A112" s="57"/>
      <c r="B112" s="57"/>
      <c r="C112" s="55"/>
      <c r="D112" s="46" t="s">
        <v>925</v>
      </c>
      <c r="E112" s="23" t="s">
        <v>926</v>
      </c>
      <c r="F112" s="29" t="s">
        <v>884</v>
      </c>
    </row>
    <row r="113" spans="1:6" x14ac:dyDescent="0.25">
      <c r="A113" s="57"/>
      <c r="B113" s="57"/>
      <c r="C113" s="55"/>
      <c r="D113" s="46"/>
      <c r="E113" s="23" t="s">
        <v>927</v>
      </c>
      <c r="F113" s="22"/>
    </row>
    <row r="114" spans="1:6" x14ac:dyDescent="0.25">
      <c r="A114" s="57"/>
      <c r="B114" s="57"/>
      <c r="C114" s="55"/>
      <c r="D114" s="46"/>
      <c r="E114" s="23" t="s">
        <v>928</v>
      </c>
      <c r="F114" s="22"/>
    </row>
    <row r="115" spans="1:6" x14ac:dyDescent="0.25">
      <c r="A115" s="57"/>
      <c r="B115" s="57"/>
      <c r="C115" s="55"/>
      <c r="D115" s="46"/>
      <c r="E115" s="23" t="s">
        <v>929</v>
      </c>
      <c r="F115" s="22"/>
    </row>
    <row r="116" spans="1:6" x14ac:dyDescent="0.25">
      <c r="A116" s="57"/>
      <c r="B116" s="57"/>
      <c r="C116" s="55"/>
      <c r="D116" s="46"/>
      <c r="E116" s="23" t="s">
        <v>930</v>
      </c>
      <c r="F116" s="22"/>
    </row>
    <row r="117" spans="1:6" x14ac:dyDescent="0.25">
      <c r="A117" s="57"/>
      <c r="B117" s="57"/>
      <c r="C117" s="55"/>
      <c r="D117" s="46"/>
      <c r="E117" s="23" t="s">
        <v>924</v>
      </c>
      <c r="F117" s="22"/>
    </row>
    <row r="118" spans="1:6" ht="38.25" x14ac:dyDescent="0.25">
      <c r="A118" s="57"/>
      <c r="B118" s="57"/>
      <c r="C118" s="55"/>
      <c r="D118" s="20" t="s">
        <v>57</v>
      </c>
      <c r="E118" s="23" t="s">
        <v>931</v>
      </c>
      <c r="F118" s="23" t="s">
        <v>932</v>
      </c>
    </row>
    <row r="119" spans="1:6" ht="38.25" x14ac:dyDescent="0.25">
      <c r="A119" s="57"/>
      <c r="B119" s="57"/>
      <c r="C119" s="55"/>
      <c r="D119" s="20" t="s">
        <v>58</v>
      </c>
      <c r="E119" s="23" t="s">
        <v>58</v>
      </c>
      <c r="F119" s="23" t="s">
        <v>932</v>
      </c>
    </row>
    <row r="120" spans="1:6" ht="25.5" x14ac:dyDescent="0.25">
      <c r="A120" s="57"/>
      <c r="B120" s="57"/>
      <c r="C120" s="55"/>
      <c r="D120" s="46" t="s">
        <v>59</v>
      </c>
      <c r="E120" s="23" t="s">
        <v>142</v>
      </c>
      <c r="F120" s="25" t="s">
        <v>879</v>
      </c>
    </row>
    <row r="121" spans="1:6" ht="25.5" x14ac:dyDescent="0.25">
      <c r="A121" s="57"/>
      <c r="B121" s="57"/>
      <c r="C121" s="55"/>
      <c r="D121" s="46"/>
      <c r="E121" s="23" t="s">
        <v>933</v>
      </c>
      <c r="F121" s="30" t="s">
        <v>934</v>
      </c>
    </row>
    <row r="122" spans="1:6" ht="38.25" x14ac:dyDescent="0.25">
      <c r="A122" s="57"/>
      <c r="B122" s="57"/>
      <c r="C122" s="55"/>
      <c r="D122" s="20" t="s">
        <v>60</v>
      </c>
      <c r="E122" s="23" t="s">
        <v>935</v>
      </c>
      <c r="F122" s="25" t="s">
        <v>879</v>
      </c>
    </row>
    <row r="123" spans="1:6" x14ac:dyDescent="0.25">
      <c r="A123" s="57"/>
      <c r="B123" s="57"/>
      <c r="C123" s="55" t="s">
        <v>17</v>
      </c>
      <c r="D123" s="46" t="s">
        <v>61</v>
      </c>
      <c r="E123" s="23" t="s">
        <v>144</v>
      </c>
      <c r="F123" s="25" t="s">
        <v>879</v>
      </c>
    </row>
    <row r="124" spans="1:6" x14ac:dyDescent="0.25">
      <c r="A124" s="57"/>
      <c r="B124" s="57"/>
      <c r="C124" s="55"/>
      <c r="D124" s="46"/>
      <c r="E124" s="23" t="s">
        <v>145</v>
      </c>
    </row>
    <row r="125" spans="1:6" x14ac:dyDescent="0.25">
      <c r="A125" s="57"/>
      <c r="B125" s="57"/>
      <c r="C125" s="55"/>
      <c r="D125" s="46"/>
      <c r="E125" s="23" t="s">
        <v>146</v>
      </c>
    </row>
    <row r="126" spans="1:6" x14ac:dyDescent="0.25">
      <c r="A126" s="57"/>
      <c r="B126" s="57"/>
      <c r="C126" s="55"/>
      <c r="D126" s="46"/>
      <c r="E126" s="23" t="s">
        <v>147</v>
      </c>
    </row>
    <row r="127" spans="1:6" x14ac:dyDescent="0.25">
      <c r="A127" s="57"/>
      <c r="B127" s="57"/>
      <c r="C127" s="55"/>
      <c r="D127" s="46"/>
      <c r="E127" s="23" t="s">
        <v>148</v>
      </c>
    </row>
    <row r="128" spans="1:6" x14ac:dyDescent="0.25">
      <c r="A128" s="57"/>
      <c r="B128" s="57"/>
      <c r="C128" s="55"/>
      <c r="D128" s="46"/>
      <c r="E128" s="23" t="s">
        <v>149</v>
      </c>
    </row>
    <row r="129" spans="1:6" x14ac:dyDescent="0.25">
      <c r="A129" s="57"/>
      <c r="B129" s="57"/>
      <c r="C129" s="55"/>
      <c r="D129" s="46"/>
      <c r="E129" s="23" t="s">
        <v>150</v>
      </c>
    </row>
    <row r="130" spans="1:6" x14ac:dyDescent="0.25">
      <c r="A130" s="57"/>
      <c r="B130" s="57"/>
      <c r="C130" s="55"/>
      <c r="D130" s="46"/>
      <c r="E130" s="23" t="s">
        <v>936</v>
      </c>
    </row>
    <row r="131" spans="1:6" x14ac:dyDescent="0.25">
      <c r="A131" s="57"/>
      <c r="B131" s="57"/>
      <c r="C131" s="55"/>
      <c r="D131" s="46"/>
      <c r="E131" s="23" t="s">
        <v>151</v>
      </c>
    </row>
    <row r="132" spans="1:6" x14ac:dyDescent="0.25">
      <c r="A132" s="57"/>
      <c r="B132" s="57"/>
      <c r="C132" s="55"/>
      <c r="D132" s="46"/>
      <c r="E132" s="23" t="s">
        <v>152</v>
      </c>
    </row>
    <row r="133" spans="1:6" x14ac:dyDescent="0.25">
      <c r="A133" s="57"/>
      <c r="B133" s="57"/>
      <c r="C133" s="55"/>
      <c r="D133" s="46"/>
      <c r="E133" s="23" t="s">
        <v>153</v>
      </c>
    </row>
    <row r="134" spans="1:6" x14ac:dyDescent="0.25">
      <c r="A134" s="57"/>
      <c r="B134" s="57"/>
      <c r="C134" s="55"/>
      <c r="D134" s="46"/>
      <c r="E134" s="23" t="s">
        <v>154</v>
      </c>
    </row>
    <row r="135" spans="1:6" x14ac:dyDescent="0.25">
      <c r="A135" s="57"/>
      <c r="B135" s="57"/>
      <c r="C135" s="55"/>
      <c r="D135" s="46"/>
      <c r="E135" s="23" t="s">
        <v>155</v>
      </c>
    </row>
    <row r="136" spans="1:6" x14ac:dyDescent="0.25">
      <c r="A136" s="57"/>
      <c r="B136" s="57"/>
      <c r="C136" s="55"/>
      <c r="D136" s="46"/>
      <c r="E136" s="23" t="s">
        <v>156</v>
      </c>
    </row>
    <row r="137" spans="1:6" x14ac:dyDescent="0.25">
      <c r="A137" s="57"/>
      <c r="B137" s="57"/>
      <c r="C137" s="55"/>
      <c r="D137" s="46"/>
      <c r="E137" s="23" t="s">
        <v>157</v>
      </c>
    </row>
    <row r="138" spans="1:6" x14ac:dyDescent="0.25">
      <c r="A138" s="57"/>
      <c r="B138" s="57"/>
      <c r="C138" s="55"/>
      <c r="D138" s="46"/>
      <c r="E138" s="23" t="s">
        <v>158</v>
      </c>
    </row>
    <row r="139" spans="1:6" ht="51" x14ac:dyDescent="0.25">
      <c r="A139" s="57"/>
      <c r="B139" s="57"/>
      <c r="C139" s="55"/>
      <c r="D139" s="20" t="s">
        <v>62</v>
      </c>
      <c r="E139" s="23" t="s">
        <v>935</v>
      </c>
      <c r="F139" s="25" t="s">
        <v>937</v>
      </c>
    </row>
    <row r="140" spans="1:6" ht="25.5" x14ac:dyDescent="0.25">
      <c r="A140" s="57"/>
      <c r="B140" s="57"/>
      <c r="C140" s="55"/>
      <c r="D140" s="46" t="s">
        <v>63</v>
      </c>
      <c r="E140" s="23" t="s">
        <v>938</v>
      </c>
      <c r="F140" s="20" t="s">
        <v>939</v>
      </c>
    </row>
    <row r="141" spans="1:6" x14ac:dyDescent="0.25">
      <c r="A141" s="57"/>
      <c r="B141" s="57"/>
      <c r="C141" s="55"/>
      <c r="D141" s="46"/>
      <c r="E141" s="23" t="s">
        <v>940</v>
      </c>
      <c r="F141" s="22"/>
    </row>
    <row r="142" spans="1:6" x14ac:dyDescent="0.25">
      <c r="A142" s="57"/>
      <c r="B142" s="57"/>
      <c r="C142" s="55"/>
      <c r="D142" s="46"/>
      <c r="E142" s="23" t="s">
        <v>941</v>
      </c>
      <c r="F142" s="22"/>
    </row>
    <row r="143" spans="1:6" x14ac:dyDescent="0.25">
      <c r="A143" s="57"/>
      <c r="B143" s="57"/>
      <c r="C143" s="55"/>
      <c r="D143" s="46"/>
      <c r="E143" s="23" t="s">
        <v>942</v>
      </c>
      <c r="F143" s="22"/>
    </row>
    <row r="144" spans="1:6" x14ac:dyDescent="0.25">
      <c r="A144" s="57"/>
      <c r="B144" s="57"/>
      <c r="C144" s="55"/>
      <c r="D144" s="46"/>
      <c r="E144" s="23" t="s">
        <v>943</v>
      </c>
      <c r="F144" s="22"/>
    </row>
    <row r="145" spans="1:6" ht="51" x14ac:dyDescent="0.25">
      <c r="A145" s="57"/>
      <c r="B145" s="57"/>
      <c r="C145" s="55"/>
      <c r="D145" s="20" t="s">
        <v>64</v>
      </c>
      <c r="E145" s="23" t="s">
        <v>935</v>
      </c>
      <c r="F145" s="25" t="s">
        <v>879</v>
      </c>
    </row>
    <row r="146" spans="1:6" x14ac:dyDescent="0.25">
      <c r="A146" s="57"/>
      <c r="B146" s="57"/>
      <c r="C146" s="55" t="s">
        <v>18</v>
      </c>
      <c r="D146" s="46" t="s">
        <v>944</v>
      </c>
      <c r="E146" s="23" t="s">
        <v>160</v>
      </c>
      <c r="F146" s="30" t="s">
        <v>904</v>
      </c>
    </row>
    <row r="147" spans="1:6" x14ac:dyDescent="0.25">
      <c r="A147" s="57"/>
      <c r="B147" s="57"/>
      <c r="C147" s="55"/>
      <c r="D147" s="46"/>
      <c r="E147" s="23" t="s">
        <v>161</v>
      </c>
    </row>
    <row r="148" spans="1:6" x14ac:dyDescent="0.25">
      <c r="A148" s="57"/>
      <c r="B148" s="57"/>
      <c r="C148" s="55"/>
      <c r="D148" s="46"/>
      <c r="E148" s="23" t="s">
        <v>162</v>
      </c>
    </row>
    <row r="149" spans="1:6" x14ac:dyDescent="0.25">
      <c r="A149" s="57"/>
      <c r="B149" s="57"/>
      <c r="C149" s="55"/>
      <c r="D149" s="46"/>
      <c r="E149" s="23" t="s">
        <v>163</v>
      </c>
    </row>
    <row r="150" spans="1:6" x14ac:dyDescent="0.25">
      <c r="A150" s="57"/>
      <c r="B150" s="57"/>
      <c r="C150" s="55"/>
      <c r="D150" s="46"/>
      <c r="E150" s="23" t="s">
        <v>164</v>
      </c>
    </row>
    <row r="151" spans="1:6" x14ac:dyDescent="0.25">
      <c r="A151" s="57"/>
      <c r="B151" s="57"/>
      <c r="C151" s="55"/>
      <c r="D151" s="46"/>
      <c r="E151" s="23" t="s">
        <v>165</v>
      </c>
    </row>
    <row r="152" spans="1:6" x14ac:dyDescent="0.25">
      <c r="A152" s="57"/>
      <c r="B152" s="57"/>
      <c r="C152" s="55"/>
      <c r="D152" s="46"/>
      <c r="E152" s="23" t="s">
        <v>166</v>
      </c>
    </row>
    <row r="153" spans="1:6" x14ac:dyDescent="0.25">
      <c r="A153" s="57"/>
      <c r="B153" s="57"/>
      <c r="C153" s="55"/>
      <c r="D153" s="46"/>
      <c r="E153" s="23" t="s">
        <v>167</v>
      </c>
    </row>
    <row r="154" spans="1:6" x14ac:dyDescent="0.25">
      <c r="A154" s="57"/>
      <c r="B154" s="57"/>
      <c r="C154" s="55"/>
      <c r="D154" s="46"/>
      <c r="E154" s="23" t="s">
        <v>168</v>
      </c>
    </row>
    <row r="155" spans="1:6" x14ac:dyDescent="0.25">
      <c r="A155" s="57"/>
      <c r="B155" s="57"/>
      <c r="C155" s="55"/>
      <c r="D155" s="46"/>
      <c r="E155" s="23" t="s">
        <v>169</v>
      </c>
    </row>
    <row r="156" spans="1:6" x14ac:dyDescent="0.25">
      <c r="A156" s="57"/>
      <c r="B156" s="57"/>
      <c r="C156" s="55"/>
      <c r="D156" s="46"/>
      <c r="E156" s="23" t="s">
        <v>170</v>
      </c>
    </row>
    <row r="157" spans="1:6" x14ac:dyDescent="0.25">
      <c r="A157" s="57"/>
      <c r="B157" s="57"/>
      <c r="C157" s="55"/>
      <c r="D157" s="46" t="s">
        <v>945</v>
      </c>
      <c r="E157" s="23" t="s">
        <v>171</v>
      </c>
    </row>
    <row r="158" spans="1:6" x14ac:dyDescent="0.25">
      <c r="A158" s="57"/>
      <c r="B158" s="57"/>
      <c r="C158" s="55"/>
      <c r="D158" s="46"/>
      <c r="E158" s="23" t="s">
        <v>172</v>
      </c>
    </row>
    <row r="159" spans="1:6" x14ac:dyDescent="0.25">
      <c r="A159" s="57"/>
      <c r="B159" s="57"/>
      <c r="C159" s="55"/>
      <c r="D159" s="46"/>
      <c r="E159" s="23" t="s">
        <v>173</v>
      </c>
    </row>
    <row r="160" spans="1:6" x14ac:dyDescent="0.25">
      <c r="A160" s="57"/>
      <c r="B160" s="57"/>
      <c r="C160" s="55"/>
      <c r="D160" s="46"/>
      <c r="E160" s="23" t="s">
        <v>174</v>
      </c>
    </row>
    <row r="161" spans="1:5" x14ac:dyDescent="0.25">
      <c r="A161" s="57"/>
      <c r="B161" s="57"/>
      <c r="C161" s="55"/>
      <c r="D161" s="46"/>
      <c r="E161" s="23" t="s">
        <v>175</v>
      </c>
    </row>
    <row r="162" spans="1:5" x14ac:dyDescent="0.25">
      <c r="A162" s="57"/>
      <c r="B162" s="57"/>
      <c r="C162" s="55"/>
      <c r="D162" s="46"/>
      <c r="E162" s="23" t="s">
        <v>176</v>
      </c>
    </row>
    <row r="163" spans="1:5" x14ac:dyDescent="0.25">
      <c r="A163" s="57"/>
      <c r="B163" s="57"/>
      <c r="C163" s="55"/>
      <c r="D163" s="46"/>
      <c r="E163" s="23" t="s">
        <v>177</v>
      </c>
    </row>
    <row r="164" spans="1:5" x14ac:dyDescent="0.25">
      <c r="A164" s="57"/>
      <c r="B164" s="57"/>
      <c r="C164" s="55"/>
      <c r="D164" s="46"/>
      <c r="E164" s="23" t="s">
        <v>178</v>
      </c>
    </row>
    <row r="165" spans="1:5" x14ac:dyDescent="0.25">
      <c r="A165" s="57"/>
      <c r="B165" s="57"/>
      <c r="C165" s="55"/>
      <c r="D165" s="46"/>
      <c r="E165" s="23" t="s">
        <v>179</v>
      </c>
    </row>
    <row r="166" spans="1:5" x14ac:dyDescent="0.25">
      <c r="A166" s="57"/>
      <c r="B166" s="57"/>
      <c r="C166" s="55"/>
      <c r="D166" s="46"/>
      <c r="E166" s="23" t="s">
        <v>180</v>
      </c>
    </row>
    <row r="167" spans="1:5" x14ac:dyDescent="0.25">
      <c r="A167" s="57"/>
      <c r="B167" s="57"/>
      <c r="C167" s="55"/>
      <c r="D167" s="46"/>
      <c r="E167" s="23" t="s">
        <v>181</v>
      </c>
    </row>
    <row r="168" spans="1:5" x14ac:dyDescent="0.25">
      <c r="A168" s="57"/>
      <c r="B168" s="57"/>
      <c r="C168" s="55"/>
      <c r="D168" s="46" t="s">
        <v>946</v>
      </c>
      <c r="E168" s="23" t="s">
        <v>182</v>
      </c>
    </row>
    <row r="169" spans="1:5" x14ac:dyDescent="0.25">
      <c r="A169" s="57"/>
      <c r="B169" s="57"/>
      <c r="C169" s="55"/>
      <c r="D169" s="46"/>
      <c r="E169" s="23" t="s">
        <v>183</v>
      </c>
    </row>
    <row r="170" spans="1:5" x14ac:dyDescent="0.25">
      <c r="A170" s="57"/>
      <c r="B170" s="57"/>
      <c r="C170" s="55"/>
      <c r="D170" s="46"/>
      <c r="E170" s="23" t="s">
        <v>184</v>
      </c>
    </row>
    <row r="171" spans="1:5" x14ac:dyDescent="0.25">
      <c r="A171" s="57"/>
      <c r="B171" s="57"/>
      <c r="C171" s="55"/>
      <c r="D171" s="46"/>
      <c r="E171" s="23" t="s">
        <v>185</v>
      </c>
    </row>
    <row r="172" spans="1:5" x14ac:dyDescent="0.25">
      <c r="A172" s="57"/>
      <c r="B172" s="57"/>
      <c r="C172" s="55"/>
      <c r="D172" s="46"/>
      <c r="E172" s="23" t="s">
        <v>186</v>
      </c>
    </row>
    <row r="173" spans="1:5" x14ac:dyDescent="0.25">
      <c r="A173" s="57"/>
      <c r="B173" s="57"/>
      <c r="C173" s="55"/>
      <c r="D173" s="46"/>
      <c r="E173" s="23" t="s">
        <v>187</v>
      </c>
    </row>
    <row r="174" spans="1:5" x14ac:dyDescent="0.25">
      <c r="A174" s="57"/>
      <c r="B174" s="57"/>
      <c r="C174" s="55"/>
      <c r="D174" s="46"/>
      <c r="E174" s="23" t="s">
        <v>188</v>
      </c>
    </row>
    <row r="175" spans="1:5" x14ac:dyDescent="0.25">
      <c r="A175" s="57"/>
      <c r="B175" s="57"/>
      <c r="C175" s="55"/>
      <c r="D175" s="46"/>
      <c r="E175" s="23" t="s">
        <v>189</v>
      </c>
    </row>
    <row r="176" spans="1:5" x14ac:dyDescent="0.25">
      <c r="A176" s="57"/>
      <c r="B176" s="57"/>
      <c r="C176" s="55"/>
      <c r="D176" s="46"/>
      <c r="E176" s="23" t="s">
        <v>190</v>
      </c>
    </row>
    <row r="177" spans="1:6" x14ac:dyDescent="0.25">
      <c r="A177" s="57"/>
      <c r="B177" s="57"/>
      <c r="C177" s="55"/>
      <c r="D177" s="46"/>
      <c r="E177" s="23" t="s">
        <v>191</v>
      </c>
    </row>
    <row r="178" spans="1:6" x14ac:dyDescent="0.25">
      <c r="A178" s="57"/>
      <c r="B178" s="57"/>
      <c r="C178" s="55"/>
      <c r="D178" s="46"/>
      <c r="E178" s="23" t="s">
        <v>192</v>
      </c>
    </row>
    <row r="179" spans="1:6" x14ac:dyDescent="0.25">
      <c r="A179" s="57"/>
      <c r="B179" s="57"/>
      <c r="C179" s="55"/>
      <c r="D179" s="46" t="s">
        <v>947</v>
      </c>
      <c r="E179" s="23" t="s">
        <v>193</v>
      </c>
    </row>
    <row r="180" spans="1:6" x14ac:dyDescent="0.25">
      <c r="A180" s="57"/>
      <c r="B180" s="57"/>
      <c r="C180" s="55"/>
      <c r="D180" s="46"/>
      <c r="E180" s="23" t="s">
        <v>194</v>
      </c>
    </row>
    <row r="181" spans="1:6" x14ac:dyDescent="0.25">
      <c r="A181" s="57"/>
      <c r="B181" s="57"/>
      <c r="C181" s="55"/>
      <c r="D181" s="46"/>
      <c r="E181" s="23" t="s">
        <v>195</v>
      </c>
    </row>
    <row r="182" spans="1:6" x14ac:dyDescent="0.25">
      <c r="A182" s="57"/>
      <c r="B182" s="57"/>
      <c r="C182" s="55"/>
      <c r="D182" s="46"/>
      <c r="E182" s="23" t="s">
        <v>196</v>
      </c>
    </row>
    <row r="183" spans="1:6" x14ac:dyDescent="0.25">
      <c r="A183" s="57"/>
      <c r="B183" s="57"/>
      <c r="C183" s="55"/>
      <c r="D183" s="46"/>
      <c r="E183" s="23" t="s">
        <v>197</v>
      </c>
    </row>
    <row r="184" spans="1:6" x14ac:dyDescent="0.25">
      <c r="A184" s="57"/>
      <c r="B184" s="57"/>
      <c r="C184" s="55"/>
      <c r="D184" s="46"/>
      <c r="E184" s="23" t="s">
        <v>198</v>
      </c>
    </row>
    <row r="185" spans="1:6" x14ac:dyDescent="0.25">
      <c r="A185" s="57"/>
      <c r="B185" s="57"/>
      <c r="C185" s="55"/>
      <c r="D185" s="46"/>
      <c r="E185" s="23" t="s">
        <v>199</v>
      </c>
    </row>
    <row r="186" spans="1:6" x14ac:dyDescent="0.25">
      <c r="A186" s="57"/>
      <c r="B186" s="57"/>
      <c r="C186" s="55"/>
      <c r="D186" s="46"/>
      <c r="E186" s="23" t="s">
        <v>200</v>
      </c>
    </row>
    <row r="187" spans="1:6" x14ac:dyDescent="0.25">
      <c r="A187" s="57"/>
      <c r="B187" s="57"/>
      <c r="C187" s="55"/>
      <c r="D187" s="46"/>
      <c r="E187" s="23" t="s">
        <v>201</v>
      </c>
    </row>
    <row r="188" spans="1:6" x14ac:dyDescent="0.25">
      <c r="A188" s="57"/>
      <c r="B188" s="57"/>
      <c r="C188" s="55"/>
      <c r="D188" s="46"/>
      <c r="E188" s="23" t="s">
        <v>202</v>
      </c>
    </row>
    <row r="189" spans="1:6" x14ac:dyDescent="0.25">
      <c r="A189" s="57"/>
      <c r="B189" s="57"/>
      <c r="C189" s="55"/>
      <c r="D189" s="46"/>
      <c r="E189" s="23" t="s">
        <v>203</v>
      </c>
    </row>
    <row r="190" spans="1:6" x14ac:dyDescent="0.25">
      <c r="A190" s="57"/>
      <c r="B190" s="57"/>
      <c r="C190" s="55"/>
      <c r="D190" s="46" t="s">
        <v>65</v>
      </c>
      <c r="E190" s="23" t="s">
        <v>204</v>
      </c>
      <c r="F190" s="30" t="s">
        <v>904</v>
      </c>
    </row>
    <row r="191" spans="1:6" x14ac:dyDescent="0.25">
      <c r="A191" s="57"/>
      <c r="B191" s="57"/>
      <c r="C191" s="55"/>
      <c r="D191" s="46"/>
      <c r="E191" s="23" t="s">
        <v>205</v>
      </c>
    </row>
    <row r="192" spans="1:6" x14ac:dyDescent="0.25">
      <c r="A192" s="57"/>
      <c r="B192" s="57"/>
      <c r="C192" s="55"/>
      <c r="D192" s="46"/>
      <c r="E192" s="23" t="s">
        <v>206</v>
      </c>
    </row>
    <row r="193" spans="1:5" x14ac:dyDescent="0.25">
      <c r="A193" s="57"/>
      <c r="B193" s="57"/>
      <c r="C193" s="55"/>
      <c r="D193" s="46"/>
      <c r="E193" s="23" t="s">
        <v>207</v>
      </c>
    </row>
    <row r="194" spans="1:5" x14ac:dyDescent="0.25">
      <c r="A194" s="57"/>
      <c r="B194" s="57"/>
      <c r="C194" s="55"/>
      <c r="D194" s="46"/>
      <c r="E194" s="23" t="s">
        <v>208</v>
      </c>
    </row>
    <row r="195" spans="1:5" x14ac:dyDescent="0.25">
      <c r="A195" s="57"/>
      <c r="B195" s="57"/>
      <c r="C195" s="55"/>
      <c r="D195" s="46"/>
      <c r="E195" s="23" t="s">
        <v>209</v>
      </c>
    </row>
    <row r="196" spans="1:5" x14ac:dyDescent="0.25">
      <c r="A196" s="57"/>
      <c r="B196" s="57"/>
      <c r="C196" s="55"/>
      <c r="D196" s="46"/>
      <c r="E196" s="23" t="s">
        <v>210</v>
      </c>
    </row>
    <row r="197" spans="1:5" x14ac:dyDescent="0.25">
      <c r="A197" s="57"/>
      <c r="B197" s="57"/>
      <c r="C197" s="55"/>
      <c r="D197" s="46"/>
      <c r="E197" s="23" t="s">
        <v>211</v>
      </c>
    </row>
    <row r="198" spans="1:5" x14ac:dyDescent="0.25">
      <c r="A198" s="57"/>
      <c r="B198" s="57"/>
      <c r="C198" s="55"/>
      <c r="D198" s="46"/>
      <c r="E198" s="23" t="s">
        <v>212</v>
      </c>
    </row>
    <row r="199" spans="1:5" x14ac:dyDescent="0.25">
      <c r="A199" s="57"/>
      <c r="B199" s="57"/>
      <c r="C199" s="55"/>
      <c r="D199" s="46"/>
      <c r="E199" s="23" t="s">
        <v>213</v>
      </c>
    </row>
    <row r="200" spans="1:5" x14ac:dyDescent="0.25">
      <c r="A200" s="57"/>
      <c r="B200" s="57"/>
      <c r="C200" s="55"/>
      <c r="D200" s="46"/>
      <c r="E200" s="23" t="s">
        <v>214</v>
      </c>
    </row>
    <row r="201" spans="1:5" x14ac:dyDescent="0.25">
      <c r="A201" s="57"/>
      <c r="B201" s="57"/>
      <c r="C201" s="55"/>
      <c r="D201" s="46"/>
      <c r="E201" s="23" t="s">
        <v>215</v>
      </c>
    </row>
    <row r="202" spans="1:5" x14ac:dyDescent="0.25">
      <c r="A202" s="57"/>
      <c r="B202" s="57"/>
      <c r="C202" s="55"/>
      <c r="D202" s="46"/>
      <c r="E202" s="23" t="s">
        <v>216</v>
      </c>
    </row>
    <row r="203" spans="1:5" x14ac:dyDescent="0.25">
      <c r="A203" s="57"/>
      <c r="B203" s="57"/>
      <c r="C203" s="55"/>
      <c r="D203" s="46"/>
      <c r="E203" s="23" t="s">
        <v>217</v>
      </c>
    </row>
    <row r="204" spans="1:5" x14ac:dyDescent="0.25">
      <c r="A204" s="57"/>
      <c r="B204" s="57"/>
      <c r="C204" s="55"/>
      <c r="D204" s="46"/>
      <c r="E204" s="23" t="s">
        <v>218</v>
      </c>
    </row>
    <row r="205" spans="1:5" x14ac:dyDescent="0.25">
      <c r="A205" s="57"/>
      <c r="B205" s="57"/>
      <c r="C205" s="55"/>
      <c r="D205" s="46"/>
      <c r="E205" s="23" t="s">
        <v>219</v>
      </c>
    </row>
    <row r="206" spans="1:5" x14ac:dyDescent="0.25">
      <c r="A206" s="57"/>
      <c r="B206" s="57"/>
      <c r="C206" s="55"/>
      <c r="D206" s="46"/>
      <c r="E206" s="23" t="s">
        <v>220</v>
      </c>
    </row>
    <row r="207" spans="1:5" x14ac:dyDescent="0.25">
      <c r="A207" s="57"/>
      <c r="B207" s="57"/>
      <c r="C207" s="55"/>
      <c r="D207" s="46"/>
      <c r="E207" s="23" t="s">
        <v>221</v>
      </c>
    </row>
    <row r="208" spans="1:5" x14ac:dyDescent="0.25">
      <c r="A208" s="57"/>
      <c r="B208" s="57"/>
      <c r="C208" s="55"/>
      <c r="D208" s="46"/>
      <c r="E208" s="23" t="s">
        <v>222</v>
      </c>
    </row>
    <row r="209" spans="1:6" x14ac:dyDescent="0.25">
      <c r="A209" s="57"/>
      <c r="B209" s="57"/>
      <c r="C209" s="55"/>
      <c r="D209" s="46"/>
      <c r="E209" s="23" t="s">
        <v>223</v>
      </c>
    </row>
    <row r="210" spans="1:6" x14ac:dyDescent="0.25">
      <c r="A210" s="57"/>
      <c r="B210" s="57"/>
      <c r="C210" s="55"/>
      <c r="D210" s="46"/>
      <c r="E210" s="23" t="s">
        <v>224</v>
      </c>
    </row>
    <row r="211" spans="1:6" x14ac:dyDescent="0.25">
      <c r="A211" s="57"/>
      <c r="B211" s="57"/>
      <c r="C211" s="55"/>
      <c r="D211" s="46"/>
      <c r="E211" s="23" t="s">
        <v>225</v>
      </c>
    </row>
    <row r="212" spans="1:6" ht="25.5" x14ac:dyDescent="0.25">
      <c r="A212" s="26">
        <v>2015</v>
      </c>
      <c r="B212" s="57"/>
      <c r="C212" s="55"/>
      <c r="D212" s="20" t="s">
        <v>948</v>
      </c>
      <c r="E212" s="23" t="s">
        <v>948</v>
      </c>
      <c r="F212" s="30" t="s">
        <v>904</v>
      </c>
    </row>
    <row r="213" spans="1:6" x14ac:dyDescent="0.25">
      <c r="A213" s="57" t="s">
        <v>894</v>
      </c>
      <c r="B213" s="57"/>
      <c r="C213" s="55"/>
      <c r="D213" s="46" t="s">
        <v>66</v>
      </c>
      <c r="E213" s="23" t="s">
        <v>226</v>
      </c>
    </row>
    <row r="214" spans="1:6" x14ac:dyDescent="0.25">
      <c r="A214" s="57"/>
      <c r="B214" s="57"/>
      <c r="C214" s="55"/>
      <c r="D214" s="46"/>
      <c r="E214" s="23" t="s">
        <v>227</v>
      </c>
    </row>
    <row r="215" spans="1:6" x14ac:dyDescent="0.25">
      <c r="A215" s="57"/>
      <c r="B215" s="57"/>
      <c r="C215" s="55"/>
      <c r="D215" s="46"/>
      <c r="E215" s="23" t="s">
        <v>228</v>
      </c>
    </row>
    <row r="216" spans="1:6" x14ac:dyDescent="0.25">
      <c r="A216" s="57"/>
      <c r="B216" s="57"/>
      <c r="C216" s="55"/>
      <c r="D216" s="46"/>
      <c r="E216" s="23" t="s">
        <v>229</v>
      </c>
    </row>
    <row r="217" spans="1:6" x14ac:dyDescent="0.25">
      <c r="A217" s="57"/>
      <c r="B217" s="57"/>
      <c r="C217" s="55"/>
      <c r="D217" s="46"/>
      <c r="E217" s="23" t="s">
        <v>230</v>
      </c>
    </row>
    <row r="218" spans="1:6" x14ac:dyDescent="0.25">
      <c r="A218" s="57"/>
      <c r="B218" s="57"/>
      <c r="C218" s="55"/>
      <c r="D218" s="46"/>
      <c r="E218" s="23" t="s">
        <v>231</v>
      </c>
    </row>
    <row r="219" spans="1:6" x14ac:dyDescent="0.25">
      <c r="A219" s="57"/>
      <c r="B219" s="57"/>
      <c r="C219" s="55"/>
      <c r="D219" s="46"/>
      <c r="E219" s="23" t="s">
        <v>232</v>
      </c>
    </row>
    <row r="220" spans="1:6" x14ac:dyDescent="0.25">
      <c r="A220" s="57"/>
      <c r="B220" s="57"/>
      <c r="C220" s="55"/>
      <c r="D220" s="46"/>
      <c r="E220" s="23" t="s">
        <v>233</v>
      </c>
    </row>
    <row r="221" spans="1:6" x14ac:dyDescent="0.25">
      <c r="A221" s="57"/>
      <c r="B221" s="57"/>
      <c r="C221" s="55"/>
      <c r="D221" s="46"/>
      <c r="E221" s="23" t="s">
        <v>234</v>
      </c>
    </row>
    <row r="222" spans="1:6" x14ac:dyDescent="0.25">
      <c r="A222" s="57"/>
      <c r="B222" s="57"/>
      <c r="C222" s="55"/>
      <c r="D222" s="46"/>
      <c r="E222" s="23" t="s">
        <v>235</v>
      </c>
    </row>
    <row r="223" spans="1:6" x14ac:dyDescent="0.25">
      <c r="A223" s="57"/>
      <c r="B223" s="57"/>
      <c r="C223" s="55"/>
      <c r="D223" s="46"/>
      <c r="E223" s="23" t="s">
        <v>236</v>
      </c>
    </row>
    <row r="224" spans="1:6" x14ac:dyDescent="0.25">
      <c r="A224" s="57"/>
      <c r="B224" s="57"/>
      <c r="C224" s="55"/>
      <c r="D224" s="46"/>
      <c r="E224" s="23" t="s">
        <v>237</v>
      </c>
    </row>
    <row r="225" spans="1:5" x14ac:dyDescent="0.25">
      <c r="A225" s="57"/>
      <c r="B225" s="57"/>
      <c r="C225" s="55"/>
      <c r="D225" s="46"/>
      <c r="E225" s="23" t="s">
        <v>238</v>
      </c>
    </row>
    <row r="226" spans="1:5" x14ac:dyDescent="0.25">
      <c r="A226" s="57"/>
      <c r="B226" s="57"/>
      <c r="C226" s="55"/>
      <c r="D226" s="46"/>
      <c r="E226" s="23" t="s">
        <v>239</v>
      </c>
    </row>
    <row r="227" spans="1:5" x14ac:dyDescent="0.25">
      <c r="A227" s="57"/>
      <c r="B227" s="57"/>
      <c r="C227" s="55"/>
      <c r="D227" s="46"/>
      <c r="E227" s="23" t="s">
        <v>240</v>
      </c>
    </row>
    <row r="228" spans="1:5" x14ac:dyDescent="0.25">
      <c r="A228" s="57"/>
      <c r="B228" s="57"/>
      <c r="C228" s="55"/>
      <c r="D228" s="46"/>
      <c r="E228" s="23" t="s">
        <v>241</v>
      </c>
    </row>
    <row r="229" spans="1:5" x14ac:dyDescent="0.25">
      <c r="A229" s="57"/>
      <c r="B229" s="57"/>
      <c r="C229" s="55"/>
      <c r="D229" s="46"/>
      <c r="E229" s="23" t="s">
        <v>242</v>
      </c>
    </row>
    <row r="230" spans="1:5" x14ac:dyDescent="0.25">
      <c r="A230" s="57"/>
      <c r="B230" s="57"/>
      <c r="C230" s="55"/>
      <c r="D230" s="46"/>
      <c r="E230" s="23" t="s">
        <v>243</v>
      </c>
    </row>
    <row r="231" spans="1:5" x14ac:dyDescent="0.25">
      <c r="A231" s="57"/>
      <c r="B231" s="57"/>
      <c r="C231" s="55"/>
      <c r="D231" s="46"/>
      <c r="E231" s="23" t="s">
        <v>244</v>
      </c>
    </row>
    <row r="232" spans="1:5" x14ac:dyDescent="0.25">
      <c r="A232" s="57"/>
      <c r="B232" s="57"/>
      <c r="C232" s="55"/>
      <c r="D232" s="46"/>
      <c r="E232" s="23" t="s">
        <v>245</v>
      </c>
    </row>
    <row r="233" spans="1:5" x14ac:dyDescent="0.25">
      <c r="A233" s="57"/>
      <c r="B233" s="57"/>
      <c r="C233" s="55"/>
      <c r="D233" s="46"/>
      <c r="E233" s="23" t="s">
        <v>246</v>
      </c>
    </row>
    <row r="234" spans="1:5" x14ac:dyDescent="0.25">
      <c r="A234" s="57"/>
      <c r="B234" s="57"/>
      <c r="C234" s="55"/>
      <c r="D234" s="46"/>
      <c r="E234" s="23" t="s">
        <v>247</v>
      </c>
    </row>
    <row r="235" spans="1:5" x14ac:dyDescent="0.25">
      <c r="A235" s="57"/>
      <c r="B235" s="57"/>
      <c r="C235" s="55"/>
      <c r="D235" s="46"/>
      <c r="E235" s="23" t="s">
        <v>248</v>
      </c>
    </row>
    <row r="236" spans="1:5" x14ac:dyDescent="0.25">
      <c r="A236" s="57"/>
      <c r="B236" s="57"/>
      <c r="C236" s="55"/>
      <c r="D236" s="46"/>
      <c r="E236" s="23" t="s">
        <v>249</v>
      </c>
    </row>
    <row r="237" spans="1:5" x14ac:dyDescent="0.25">
      <c r="A237" s="57"/>
      <c r="B237" s="57"/>
      <c r="C237" s="55"/>
      <c r="D237" s="46"/>
      <c r="E237" s="23" t="s">
        <v>250</v>
      </c>
    </row>
    <row r="238" spans="1:5" x14ac:dyDescent="0.25">
      <c r="A238" s="57"/>
      <c r="B238" s="57"/>
      <c r="C238" s="55"/>
      <c r="D238" s="46"/>
      <c r="E238" s="23" t="s">
        <v>251</v>
      </c>
    </row>
    <row r="239" spans="1:5" x14ac:dyDescent="0.25">
      <c r="A239" s="57"/>
      <c r="B239" s="57"/>
      <c r="C239" s="55"/>
      <c r="D239" s="46"/>
      <c r="E239" s="23" t="s">
        <v>252</v>
      </c>
    </row>
    <row r="240" spans="1:5" x14ac:dyDescent="0.25">
      <c r="A240" s="57"/>
      <c r="B240" s="57"/>
      <c r="C240" s="55"/>
      <c r="D240" s="46"/>
      <c r="E240" s="23" t="s">
        <v>253</v>
      </c>
    </row>
    <row r="241" spans="1:5" x14ac:dyDescent="0.25">
      <c r="A241" s="57"/>
      <c r="B241" s="57"/>
      <c r="C241" s="55"/>
      <c r="D241" s="46"/>
      <c r="E241" s="23" t="s">
        <v>254</v>
      </c>
    </row>
    <row r="242" spans="1:5" x14ac:dyDescent="0.25">
      <c r="A242" s="57"/>
      <c r="B242" s="57"/>
      <c r="C242" s="55"/>
      <c r="D242" s="46"/>
      <c r="E242" s="23" t="s">
        <v>255</v>
      </c>
    </row>
    <row r="243" spans="1:5" x14ac:dyDescent="0.25">
      <c r="A243" s="57"/>
      <c r="B243" s="57"/>
      <c r="C243" s="55"/>
      <c r="D243" s="46"/>
      <c r="E243" s="23" t="s">
        <v>256</v>
      </c>
    </row>
    <row r="244" spans="1:5" x14ac:dyDescent="0.25">
      <c r="A244" s="57"/>
      <c r="B244" s="57"/>
      <c r="C244" s="55"/>
      <c r="D244" s="46"/>
      <c r="E244" s="23" t="s">
        <v>257</v>
      </c>
    </row>
    <row r="245" spans="1:5" x14ac:dyDescent="0.25">
      <c r="A245" s="57"/>
      <c r="B245" s="57"/>
      <c r="C245" s="55"/>
      <c r="D245" s="46"/>
      <c r="E245" s="23" t="s">
        <v>258</v>
      </c>
    </row>
    <row r="246" spans="1:5" x14ac:dyDescent="0.25">
      <c r="A246" s="57"/>
      <c r="B246" s="57"/>
      <c r="C246" s="55"/>
      <c r="D246" s="46"/>
      <c r="E246" s="23" t="s">
        <v>259</v>
      </c>
    </row>
    <row r="247" spans="1:5" x14ac:dyDescent="0.25">
      <c r="A247" s="57"/>
      <c r="B247" s="57"/>
      <c r="C247" s="55"/>
      <c r="D247" s="46"/>
      <c r="E247" s="23" t="s">
        <v>260</v>
      </c>
    </row>
    <row r="248" spans="1:5" x14ac:dyDescent="0.25">
      <c r="A248" s="57"/>
      <c r="B248" s="57"/>
      <c r="C248" s="55"/>
      <c r="D248" s="46"/>
      <c r="E248" s="23" t="s">
        <v>261</v>
      </c>
    </row>
    <row r="249" spans="1:5" x14ac:dyDescent="0.25">
      <c r="A249" s="57"/>
      <c r="B249" s="57"/>
      <c r="C249" s="55"/>
      <c r="D249" s="46"/>
      <c r="E249" s="23" t="s">
        <v>262</v>
      </c>
    </row>
    <row r="250" spans="1:5" x14ac:dyDescent="0.25">
      <c r="A250" s="57"/>
      <c r="B250" s="57"/>
      <c r="C250" s="55"/>
      <c r="D250" s="46"/>
      <c r="E250" s="23" t="s">
        <v>263</v>
      </c>
    </row>
    <row r="251" spans="1:5" x14ac:dyDescent="0.25">
      <c r="A251" s="57"/>
      <c r="B251" s="57"/>
      <c r="C251" s="55"/>
      <c r="D251" s="46"/>
      <c r="E251" s="23" t="s">
        <v>264</v>
      </c>
    </row>
    <row r="252" spans="1:5" x14ac:dyDescent="0.25">
      <c r="A252" s="57"/>
      <c r="B252" s="57"/>
      <c r="C252" s="55"/>
      <c r="D252" s="46"/>
      <c r="E252" s="23" t="s">
        <v>265</v>
      </c>
    </row>
    <row r="253" spans="1:5" x14ac:dyDescent="0.25">
      <c r="A253" s="57"/>
      <c r="B253" s="57"/>
      <c r="C253" s="55"/>
      <c r="D253" s="46"/>
      <c r="E253" s="23" t="s">
        <v>266</v>
      </c>
    </row>
    <row r="254" spans="1:5" x14ac:dyDescent="0.25">
      <c r="A254" s="57"/>
      <c r="B254" s="57"/>
      <c r="C254" s="55"/>
      <c r="D254" s="46"/>
      <c r="E254" s="23" t="s">
        <v>267</v>
      </c>
    </row>
    <row r="255" spans="1:5" x14ac:dyDescent="0.25">
      <c r="A255" s="57"/>
      <c r="B255" s="57"/>
      <c r="C255" s="55"/>
      <c r="D255" s="46"/>
      <c r="E255" s="23" t="s">
        <v>268</v>
      </c>
    </row>
    <row r="256" spans="1:5" ht="15.75" thickBot="1" x14ac:dyDescent="0.3">
      <c r="A256" s="57"/>
      <c r="B256" s="58"/>
      <c r="C256" s="59"/>
      <c r="D256" s="63"/>
      <c r="E256" s="23" t="s">
        <v>269</v>
      </c>
    </row>
    <row r="257" spans="1:6" ht="25.5" x14ac:dyDescent="0.25">
      <c r="A257" s="57"/>
      <c r="B257" s="60" t="s">
        <v>4</v>
      </c>
      <c r="C257" s="61" t="s">
        <v>19</v>
      </c>
      <c r="D257" s="62" t="s">
        <v>67</v>
      </c>
      <c r="E257" s="21" t="s">
        <v>271</v>
      </c>
      <c r="F257" s="27" t="s">
        <v>937</v>
      </c>
    </row>
    <row r="258" spans="1:6" ht="25.5" x14ac:dyDescent="0.25">
      <c r="A258" s="57"/>
      <c r="B258" s="57"/>
      <c r="C258" s="55"/>
      <c r="D258" s="46"/>
      <c r="E258" s="23" t="s">
        <v>272</v>
      </c>
    </row>
    <row r="259" spans="1:6" ht="38.25" x14ac:dyDescent="0.25">
      <c r="A259" s="57"/>
      <c r="B259" s="57"/>
      <c r="C259" s="55"/>
      <c r="D259" s="46"/>
      <c r="E259" s="23" t="s">
        <v>273</v>
      </c>
    </row>
    <row r="260" spans="1:6" ht="38.25" x14ac:dyDescent="0.25">
      <c r="A260" s="57"/>
      <c r="B260" s="57"/>
      <c r="C260" s="55"/>
      <c r="D260" s="46"/>
      <c r="E260" s="23" t="s">
        <v>949</v>
      </c>
    </row>
    <row r="261" spans="1:6" ht="25.5" x14ac:dyDescent="0.25">
      <c r="A261" s="57"/>
      <c r="B261" s="57"/>
      <c r="C261" s="55"/>
      <c r="D261" s="46"/>
      <c r="E261" s="23" t="s">
        <v>274</v>
      </c>
    </row>
    <row r="262" spans="1:6" ht="25.5" x14ac:dyDescent="0.25">
      <c r="A262" s="57"/>
      <c r="B262" s="57"/>
      <c r="C262" s="55"/>
      <c r="D262" s="46" t="s">
        <v>68</v>
      </c>
      <c r="E262" s="23" t="s">
        <v>275</v>
      </c>
      <c r="F262" s="25" t="s">
        <v>937</v>
      </c>
    </row>
    <row r="263" spans="1:6" ht="25.5" x14ac:dyDescent="0.25">
      <c r="A263" s="57"/>
      <c r="B263" s="57"/>
      <c r="C263" s="55"/>
      <c r="D263" s="46"/>
      <c r="E263" s="23" t="s">
        <v>276</v>
      </c>
    </row>
    <row r="264" spans="1:6" ht="38.25" x14ac:dyDescent="0.25">
      <c r="A264" s="57"/>
      <c r="B264" s="57"/>
      <c r="C264" s="55"/>
      <c r="D264" s="46"/>
      <c r="E264" s="23" t="s">
        <v>277</v>
      </c>
    </row>
    <row r="265" spans="1:6" ht="38.25" x14ac:dyDescent="0.25">
      <c r="A265" s="57"/>
      <c r="B265" s="57"/>
      <c r="C265" s="55"/>
      <c r="D265" s="46"/>
      <c r="E265" s="23" t="s">
        <v>950</v>
      </c>
    </row>
    <row r="266" spans="1:6" ht="25.5" x14ac:dyDescent="0.25">
      <c r="A266" s="57"/>
      <c r="B266" s="57"/>
      <c r="C266" s="55"/>
      <c r="D266" s="46"/>
      <c r="E266" s="23" t="s">
        <v>278</v>
      </c>
    </row>
    <row r="267" spans="1:6" ht="25.5" x14ac:dyDescent="0.25">
      <c r="A267" s="57"/>
      <c r="B267" s="57"/>
      <c r="C267" s="55"/>
      <c r="D267" s="46" t="s">
        <v>69</v>
      </c>
      <c r="E267" s="23" t="s">
        <v>279</v>
      </c>
      <c r="F267" s="25" t="s">
        <v>937</v>
      </c>
    </row>
    <row r="268" spans="1:6" ht="25.5" x14ac:dyDescent="0.25">
      <c r="A268" s="57"/>
      <c r="B268" s="57"/>
      <c r="C268" s="55"/>
      <c r="D268" s="46"/>
      <c r="E268" s="23" t="s">
        <v>280</v>
      </c>
    </row>
    <row r="269" spans="1:6" ht="38.25" x14ac:dyDescent="0.25">
      <c r="A269" s="57"/>
      <c r="B269" s="57"/>
      <c r="C269" s="55"/>
      <c r="D269" s="46"/>
      <c r="E269" s="23" t="s">
        <v>281</v>
      </c>
    </row>
    <row r="270" spans="1:6" ht="38.25" x14ac:dyDescent="0.25">
      <c r="A270" s="57"/>
      <c r="B270" s="57"/>
      <c r="C270" s="55"/>
      <c r="D270" s="46"/>
      <c r="E270" s="23" t="s">
        <v>951</v>
      </c>
    </row>
    <row r="271" spans="1:6" ht="25.5" x14ac:dyDescent="0.25">
      <c r="A271" s="57"/>
      <c r="B271" s="57"/>
      <c r="C271" s="55"/>
      <c r="D271" s="46"/>
      <c r="E271" s="23" t="s">
        <v>282</v>
      </c>
    </row>
    <row r="272" spans="1:6" ht="63.75" x14ac:dyDescent="0.25">
      <c r="A272" s="57"/>
      <c r="B272" s="57"/>
      <c r="C272" s="55"/>
      <c r="D272" s="20" t="s">
        <v>70</v>
      </c>
      <c r="E272" s="23" t="s">
        <v>935</v>
      </c>
      <c r="F272" s="25" t="s">
        <v>937</v>
      </c>
    </row>
    <row r="273" spans="1:6" x14ac:dyDescent="0.25">
      <c r="A273" s="57"/>
      <c r="B273" s="57"/>
      <c r="C273" s="55"/>
      <c r="D273" s="46" t="s">
        <v>71</v>
      </c>
      <c r="E273" s="23" t="s">
        <v>283</v>
      </c>
      <c r="F273" s="25" t="s">
        <v>937</v>
      </c>
    </row>
    <row r="274" spans="1:6" x14ac:dyDescent="0.25">
      <c r="A274" s="57"/>
      <c r="B274" s="57"/>
      <c r="C274" s="55"/>
      <c r="D274" s="46"/>
      <c r="E274" s="23" t="s">
        <v>284</v>
      </c>
    </row>
    <row r="275" spans="1:6" x14ac:dyDescent="0.25">
      <c r="A275" s="57"/>
      <c r="B275" s="57"/>
      <c r="C275" s="55"/>
      <c r="D275" s="46"/>
      <c r="E275" s="23" t="s">
        <v>285</v>
      </c>
    </row>
    <row r="276" spans="1:6" ht="51" x14ac:dyDescent="0.25">
      <c r="A276" s="57"/>
      <c r="B276" s="57"/>
      <c r="C276" s="55"/>
      <c r="D276" s="20" t="s">
        <v>952</v>
      </c>
      <c r="E276" s="23" t="s">
        <v>935</v>
      </c>
      <c r="F276" s="25" t="s">
        <v>937</v>
      </c>
    </row>
    <row r="277" spans="1:6" ht="51" x14ac:dyDescent="0.25">
      <c r="A277" s="57"/>
      <c r="B277" s="57"/>
      <c r="C277" s="55" t="s">
        <v>20</v>
      </c>
      <c r="D277" s="20" t="s">
        <v>72</v>
      </c>
      <c r="E277" s="23" t="s">
        <v>935</v>
      </c>
      <c r="F277" s="25" t="s">
        <v>937</v>
      </c>
    </row>
    <row r="278" spans="1:6" x14ac:dyDescent="0.25">
      <c r="A278" s="57">
        <v>2016</v>
      </c>
      <c r="B278" s="57"/>
      <c r="C278" s="55"/>
      <c r="D278" s="46" t="s">
        <v>953</v>
      </c>
      <c r="E278" s="23" t="s">
        <v>954</v>
      </c>
      <c r="F278" s="25" t="s">
        <v>939</v>
      </c>
    </row>
    <row r="279" spans="1:6" x14ac:dyDescent="0.25">
      <c r="A279" s="57"/>
      <c r="B279" s="57"/>
      <c r="C279" s="55"/>
      <c r="D279" s="46"/>
      <c r="E279" s="23" t="s">
        <v>955</v>
      </c>
      <c r="F279" s="24"/>
    </row>
    <row r="280" spans="1:6" x14ac:dyDescent="0.25">
      <c r="A280" s="57"/>
      <c r="B280" s="57"/>
      <c r="C280" s="55"/>
      <c r="D280" s="46"/>
      <c r="E280" s="23" t="s">
        <v>956</v>
      </c>
      <c r="F280" s="24"/>
    </row>
    <row r="281" spans="1:6" x14ac:dyDescent="0.25">
      <c r="A281" s="57"/>
      <c r="B281" s="57"/>
      <c r="C281" s="55"/>
      <c r="D281" s="46"/>
      <c r="E281" s="23" t="s">
        <v>957</v>
      </c>
      <c r="F281" s="24"/>
    </row>
    <row r="282" spans="1:6" x14ac:dyDescent="0.25">
      <c r="A282" s="57"/>
      <c r="B282" s="57"/>
      <c r="C282" s="55"/>
      <c r="D282" s="46"/>
      <c r="E282" s="23" t="s">
        <v>958</v>
      </c>
      <c r="F282" s="24"/>
    </row>
    <row r="283" spans="1:6" ht="25.5" x14ac:dyDescent="0.25">
      <c r="A283" s="57" t="s">
        <v>894</v>
      </c>
      <c r="B283" s="57"/>
      <c r="C283" s="55"/>
      <c r="D283" s="20" t="s">
        <v>73</v>
      </c>
      <c r="E283" s="23" t="s">
        <v>73</v>
      </c>
      <c r="F283" s="25" t="s">
        <v>937</v>
      </c>
    </row>
    <row r="284" spans="1:6" x14ac:dyDescent="0.25">
      <c r="A284" s="57"/>
      <c r="B284" s="57"/>
      <c r="C284" s="55"/>
      <c r="D284" s="46" t="s">
        <v>74</v>
      </c>
      <c r="E284" s="23" t="s">
        <v>959</v>
      </c>
      <c r="F284" s="25" t="s">
        <v>939</v>
      </c>
    </row>
    <row r="285" spans="1:6" x14ac:dyDescent="0.25">
      <c r="A285" s="57"/>
      <c r="B285" s="57"/>
      <c r="C285" s="55"/>
      <c r="D285" s="46"/>
      <c r="E285" s="23" t="s">
        <v>960</v>
      </c>
      <c r="F285" s="24"/>
    </row>
    <row r="286" spans="1:6" x14ac:dyDescent="0.25">
      <c r="A286" s="57"/>
      <c r="B286" s="57"/>
      <c r="C286" s="55"/>
      <c r="D286" s="46"/>
      <c r="E286" s="23" t="s">
        <v>961</v>
      </c>
      <c r="F286" s="24"/>
    </row>
    <row r="287" spans="1:6" x14ac:dyDescent="0.25">
      <c r="A287" s="57"/>
      <c r="B287" s="57"/>
      <c r="C287" s="55"/>
      <c r="D287" s="46"/>
      <c r="E287" s="23" t="s">
        <v>957</v>
      </c>
      <c r="F287" s="24"/>
    </row>
    <row r="288" spans="1:6" x14ac:dyDescent="0.25">
      <c r="A288" s="57"/>
      <c r="B288" s="57"/>
      <c r="C288" s="55"/>
      <c r="D288" s="46"/>
      <c r="E288" s="23" t="s">
        <v>958</v>
      </c>
      <c r="F288" s="24"/>
    </row>
    <row r="289" spans="1:6" ht="25.5" x14ac:dyDescent="0.25">
      <c r="A289" s="57">
        <v>2016</v>
      </c>
      <c r="B289" s="57"/>
      <c r="C289" s="55" t="s">
        <v>21</v>
      </c>
      <c r="D289" s="46" t="s">
        <v>962</v>
      </c>
      <c r="E289" s="23" t="s">
        <v>963</v>
      </c>
      <c r="F289" s="25" t="s">
        <v>937</v>
      </c>
    </row>
    <row r="290" spans="1:6" ht="25.5" x14ac:dyDescent="0.25">
      <c r="A290" s="57"/>
      <c r="B290" s="57"/>
      <c r="C290" s="55"/>
      <c r="D290" s="46"/>
      <c r="E290" s="23" t="s">
        <v>964</v>
      </c>
    </row>
    <row r="291" spans="1:6" ht="38.25" x14ac:dyDescent="0.25">
      <c r="A291" s="57"/>
      <c r="B291" s="57"/>
      <c r="C291" s="55"/>
      <c r="D291" s="46"/>
      <c r="E291" s="23" t="s">
        <v>965</v>
      </c>
    </row>
    <row r="292" spans="1:6" ht="38.25" x14ac:dyDescent="0.25">
      <c r="A292" s="57"/>
      <c r="B292" s="57"/>
      <c r="C292" s="55"/>
      <c r="D292" s="46"/>
      <c r="E292" s="23" t="s">
        <v>966</v>
      </c>
    </row>
    <row r="293" spans="1:6" x14ac:dyDescent="0.25">
      <c r="A293" s="57"/>
      <c r="B293" s="57"/>
      <c r="C293" s="55"/>
      <c r="D293" s="46"/>
      <c r="E293" s="23" t="s">
        <v>967</v>
      </c>
    </row>
    <row r="294" spans="1:6" x14ac:dyDescent="0.25">
      <c r="A294" s="57"/>
      <c r="B294" s="57"/>
      <c r="C294" s="55"/>
      <c r="D294" s="46" t="s">
        <v>968</v>
      </c>
      <c r="E294" s="23" t="s">
        <v>969</v>
      </c>
      <c r="F294" s="25" t="s">
        <v>937</v>
      </c>
    </row>
    <row r="295" spans="1:6" x14ac:dyDescent="0.25">
      <c r="A295" s="57"/>
      <c r="B295" s="57"/>
      <c r="C295" s="55"/>
      <c r="D295" s="46"/>
      <c r="E295" s="23" t="s">
        <v>970</v>
      </c>
    </row>
    <row r="296" spans="1:6" x14ac:dyDescent="0.25">
      <c r="A296" s="57"/>
      <c r="B296" s="57"/>
      <c r="C296" s="55"/>
      <c r="D296" s="46"/>
      <c r="E296" s="23" t="s">
        <v>971</v>
      </c>
    </row>
    <row r="297" spans="1:6" x14ac:dyDescent="0.25">
      <c r="A297" s="57" t="s">
        <v>894</v>
      </c>
      <c r="B297" s="57"/>
      <c r="C297" s="55"/>
      <c r="D297" s="46" t="s">
        <v>75</v>
      </c>
      <c r="E297" s="23" t="s">
        <v>288</v>
      </c>
      <c r="F297" s="25" t="s">
        <v>904</v>
      </c>
    </row>
    <row r="298" spans="1:6" x14ac:dyDescent="0.25">
      <c r="A298" s="57"/>
      <c r="B298" s="57"/>
      <c r="C298" s="55"/>
      <c r="D298" s="46"/>
      <c r="E298" s="23" t="s">
        <v>289</v>
      </c>
    </row>
    <row r="299" spans="1:6" x14ac:dyDescent="0.25">
      <c r="A299" s="57"/>
      <c r="B299" s="57"/>
      <c r="C299" s="55"/>
      <c r="D299" s="46"/>
      <c r="E299" s="23" t="s">
        <v>290</v>
      </c>
    </row>
    <row r="300" spans="1:6" x14ac:dyDescent="0.25">
      <c r="A300" s="57"/>
      <c r="B300" s="57"/>
      <c r="C300" s="55"/>
      <c r="D300" s="46"/>
      <c r="E300" s="23" t="s">
        <v>291</v>
      </c>
    </row>
    <row r="301" spans="1:6" x14ac:dyDescent="0.25">
      <c r="A301" s="57"/>
      <c r="B301" s="57"/>
      <c r="C301" s="55"/>
      <c r="D301" s="46"/>
      <c r="E301" s="23" t="s">
        <v>292</v>
      </c>
    </row>
    <row r="302" spans="1:6" x14ac:dyDescent="0.25">
      <c r="A302" s="57"/>
      <c r="B302" s="57"/>
      <c r="C302" s="55"/>
      <c r="D302" s="46"/>
      <c r="E302" s="23" t="s">
        <v>293</v>
      </c>
    </row>
    <row r="303" spans="1:6" x14ac:dyDescent="0.25">
      <c r="A303" s="57"/>
      <c r="B303" s="57"/>
      <c r="C303" s="55"/>
      <c r="D303" s="46"/>
      <c r="E303" s="23" t="s">
        <v>294</v>
      </c>
    </row>
    <row r="304" spans="1:6" x14ac:dyDescent="0.25">
      <c r="A304" s="57"/>
      <c r="B304" s="57"/>
      <c r="C304" s="55"/>
      <c r="D304" s="46"/>
      <c r="E304" s="23" t="s">
        <v>295</v>
      </c>
    </row>
    <row r="305" spans="1:5" x14ac:dyDescent="0.25">
      <c r="A305" s="57"/>
      <c r="B305" s="57"/>
      <c r="C305" s="55"/>
      <c r="D305" s="46"/>
      <c r="E305" s="23" t="s">
        <v>296</v>
      </c>
    </row>
    <row r="306" spans="1:5" x14ac:dyDescent="0.25">
      <c r="A306" s="57"/>
      <c r="B306" s="57"/>
      <c r="C306" s="55"/>
      <c r="D306" s="46"/>
      <c r="E306" s="23" t="s">
        <v>297</v>
      </c>
    </row>
    <row r="307" spans="1:5" x14ac:dyDescent="0.25">
      <c r="A307" s="57"/>
      <c r="B307" s="57"/>
      <c r="C307" s="55"/>
      <c r="D307" s="46"/>
      <c r="E307" s="23" t="s">
        <v>298</v>
      </c>
    </row>
    <row r="308" spans="1:5" x14ac:dyDescent="0.25">
      <c r="A308" s="57"/>
      <c r="B308" s="57"/>
      <c r="C308" s="55"/>
      <c r="D308" s="46"/>
      <c r="E308" s="23" t="s">
        <v>299</v>
      </c>
    </row>
    <row r="309" spans="1:5" x14ac:dyDescent="0.25">
      <c r="A309" s="57"/>
      <c r="B309" s="57"/>
      <c r="C309" s="55"/>
      <c r="D309" s="46"/>
      <c r="E309" s="23" t="s">
        <v>300</v>
      </c>
    </row>
    <row r="310" spans="1:5" x14ac:dyDescent="0.25">
      <c r="A310" s="57"/>
      <c r="B310" s="57"/>
      <c r="C310" s="55"/>
      <c r="D310" s="46"/>
      <c r="E310" s="23" t="s">
        <v>301</v>
      </c>
    </row>
    <row r="311" spans="1:5" x14ac:dyDescent="0.25">
      <c r="A311" s="57"/>
      <c r="B311" s="57"/>
      <c r="C311" s="55"/>
      <c r="D311" s="46"/>
      <c r="E311" s="23" t="s">
        <v>302</v>
      </c>
    </row>
    <row r="312" spans="1:5" x14ac:dyDescent="0.25">
      <c r="A312" s="57"/>
      <c r="B312" s="57"/>
      <c r="C312" s="55"/>
      <c r="D312" s="46"/>
      <c r="E312" s="23" t="s">
        <v>303</v>
      </c>
    </row>
    <row r="313" spans="1:5" x14ac:dyDescent="0.25">
      <c r="A313" s="57"/>
      <c r="B313" s="57"/>
      <c r="C313" s="55"/>
      <c r="D313" s="46"/>
      <c r="E313" s="23" t="s">
        <v>304</v>
      </c>
    </row>
    <row r="314" spans="1:5" x14ac:dyDescent="0.25">
      <c r="A314" s="57"/>
      <c r="B314" s="57"/>
      <c r="C314" s="55"/>
      <c r="D314" s="46"/>
      <c r="E314" s="23" t="s">
        <v>305</v>
      </c>
    </row>
    <row r="315" spans="1:5" x14ac:dyDescent="0.25">
      <c r="A315" s="57"/>
      <c r="B315" s="57"/>
      <c r="C315" s="55"/>
      <c r="D315" s="46"/>
      <c r="E315" s="23" t="s">
        <v>306</v>
      </c>
    </row>
    <row r="316" spans="1:5" x14ac:dyDescent="0.25">
      <c r="A316" s="57"/>
      <c r="B316" s="57"/>
      <c r="C316" s="55"/>
      <c r="D316" s="46"/>
      <c r="E316" s="23" t="s">
        <v>307</v>
      </c>
    </row>
    <row r="317" spans="1:5" x14ac:dyDescent="0.25">
      <c r="A317" s="57"/>
      <c r="B317" s="57"/>
      <c r="C317" s="55"/>
      <c r="D317" s="46"/>
      <c r="E317" s="23" t="s">
        <v>308</v>
      </c>
    </row>
    <row r="318" spans="1:5" x14ac:dyDescent="0.25">
      <c r="A318" s="57"/>
      <c r="B318" s="57"/>
      <c r="C318" s="55"/>
      <c r="D318" s="46"/>
      <c r="E318" s="23" t="s">
        <v>309</v>
      </c>
    </row>
    <row r="319" spans="1:5" x14ac:dyDescent="0.25">
      <c r="A319" s="57"/>
      <c r="B319" s="57"/>
      <c r="C319" s="55"/>
      <c r="D319" s="46"/>
      <c r="E319" s="23" t="s">
        <v>310</v>
      </c>
    </row>
    <row r="320" spans="1:5" x14ac:dyDescent="0.25">
      <c r="A320" s="57"/>
      <c r="B320" s="57"/>
      <c r="C320" s="55"/>
      <c r="D320" s="46"/>
      <c r="E320" s="23" t="s">
        <v>311</v>
      </c>
    </row>
    <row r="321" spans="1:5" x14ac:dyDescent="0.25">
      <c r="A321" s="57"/>
      <c r="B321" s="57"/>
      <c r="C321" s="55"/>
      <c r="D321" s="46"/>
      <c r="E321" s="23" t="s">
        <v>312</v>
      </c>
    </row>
    <row r="322" spans="1:5" x14ac:dyDescent="0.25">
      <c r="A322" s="57"/>
      <c r="B322" s="57"/>
      <c r="C322" s="55"/>
      <c r="D322" s="46"/>
      <c r="E322" s="23" t="s">
        <v>313</v>
      </c>
    </row>
    <row r="323" spans="1:5" x14ac:dyDescent="0.25">
      <c r="A323" s="57"/>
      <c r="B323" s="57"/>
      <c r="C323" s="55"/>
      <c r="D323" s="46"/>
      <c r="E323" s="23" t="s">
        <v>314</v>
      </c>
    </row>
    <row r="324" spans="1:5" x14ac:dyDescent="0.25">
      <c r="A324" s="57"/>
      <c r="B324" s="57"/>
      <c r="C324" s="55"/>
      <c r="D324" s="46"/>
      <c r="E324" s="23" t="s">
        <v>315</v>
      </c>
    </row>
    <row r="325" spans="1:5" x14ac:dyDescent="0.25">
      <c r="A325" s="57"/>
      <c r="B325" s="57"/>
      <c r="C325" s="55"/>
      <c r="D325" s="46"/>
      <c r="E325" s="23" t="s">
        <v>316</v>
      </c>
    </row>
    <row r="326" spans="1:5" x14ac:dyDescent="0.25">
      <c r="A326" s="57"/>
      <c r="B326" s="57"/>
      <c r="C326" s="55"/>
      <c r="D326" s="46"/>
      <c r="E326" s="23" t="s">
        <v>317</v>
      </c>
    </row>
    <row r="327" spans="1:5" x14ac:dyDescent="0.25">
      <c r="A327" s="57"/>
      <c r="B327" s="57"/>
      <c r="C327" s="55"/>
      <c r="D327" s="46"/>
      <c r="E327" s="23" t="s">
        <v>318</v>
      </c>
    </row>
    <row r="328" spans="1:5" x14ac:dyDescent="0.25">
      <c r="A328" s="57"/>
      <c r="B328" s="57"/>
      <c r="C328" s="55"/>
      <c r="D328" s="46"/>
      <c r="E328" s="23" t="s">
        <v>319</v>
      </c>
    </row>
    <row r="329" spans="1:5" x14ac:dyDescent="0.25">
      <c r="A329" s="57"/>
      <c r="B329" s="57"/>
      <c r="C329" s="55"/>
      <c r="D329" s="46"/>
      <c r="E329" s="23" t="s">
        <v>320</v>
      </c>
    </row>
    <row r="330" spans="1:5" x14ac:dyDescent="0.25">
      <c r="A330" s="57"/>
      <c r="B330" s="57"/>
      <c r="C330" s="55"/>
      <c r="D330" s="46"/>
      <c r="E330" s="23" t="s">
        <v>321</v>
      </c>
    </row>
    <row r="331" spans="1:5" x14ac:dyDescent="0.25">
      <c r="A331" s="57"/>
      <c r="B331" s="57"/>
      <c r="C331" s="55"/>
      <c r="D331" s="46"/>
      <c r="E331" s="23" t="s">
        <v>322</v>
      </c>
    </row>
    <row r="332" spans="1:5" x14ac:dyDescent="0.25">
      <c r="A332" s="57"/>
      <c r="B332" s="57"/>
      <c r="C332" s="55"/>
      <c r="D332" s="46"/>
      <c r="E332" s="23" t="s">
        <v>323</v>
      </c>
    </row>
    <row r="333" spans="1:5" x14ac:dyDescent="0.25">
      <c r="A333" s="57"/>
      <c r="B333" s="57"/>
      <c r="C333" s="55"/>
      <c r="D333" s="46"/>
      <c r="E333" s="23" t="s">
        <v>324</v>
      </c>
    </row>
    <row r="334" spans="1:5" x14ac:dyDescent="0.25">
      <c r="A334" s="57"/>
      <c r="B334" s="57"/>
      <c r="C334" s="55"/>
      <c r="D334" s="46"/>
      <c r="E334" s="23" t="s">
        <v>325</v>
      </c>
    </row>
    <row r="335" spans="1:5" x14ac:dyDescent="0.25">
      <c r="A335" s="57"/>
      <c r="B335" s="57"/>
      <c r="C335" s="55"/>
      <c r="D335" s="46"/>
      <c r="E335" s="23" t="s">
        <v>326</v>
      </c>
    </row>
    <row r="336" spans="1:5" x14ac:dyDescent="0.25">
      <c r="A336" s="57"/>
      <c r="B336" s="57"/>
      <c r="C336" s="55"/>
      <c r="D336" s="46"/>
      <c r="E336" s="23" t="s">
        <v>327</v>
      </c>
    </row>
    <row r="337" spans="1:5" x14ac:dyDescent="0.25">
      <c r="A337" s="57"/>
      <c r="B337" s="57"/>
      <c r="C337" s="55"/>
      <c r="D337" s="46"/>
      <c r="E337" s="23" t="s">
        <v>328</v>
      </c>
    </row>
    <row r="338" spans="1:5" x14ac:dyDescent="0.25">
      <c r="A338" s="57"/>
      <c r="B338" s="57"/>
      <c r="C338" s="55"/>
      <c r="D338" s="46"/>
      <c r="E338" s="23" t="s">
        <v>329</v>
      </c>
    </row>
    <row r="339" spans="1:5" x14ac:dyDescent="0.25">
      <c r="A339" s="57"/>
      <c r="B339" s="57"/>
      <c r="C339" s="55"/>
      <c r="D339" s="46"/>
      <c r="E339" s="23" t="s">
        <v>330</v>
      </c>
    </row>
    <row r="340" spans="1:5" x14ac:dyDescent="0.25">
      <c r="A340" s="57"/>
      <c r="B340" s="57"/>
      <c r="C340" s="55"/>
      <c r="D340" s="46"/>
      <c r="E340" s="23" t="s">
        <v>331</v>
      </c>
    </row>
    <row r="341" spans="1:5" x14ac:dyDescent="0.25">
      <c r="A341" s="57"/>
      <c r="B341" s="57"/>
      <c r="C341" s="55"/>
      <c r="D341" s="46"/>
      <c r="E341" s="23" t="s">
        <v>332</v>
      </c>
    </row>
    <row r="342" spans="1:5" x14ac:dyDescent="0.25">
      <c r="A342" s="57"/>
      <c r="B342" s="57"/>
      <c r="C342" s="55"/>
      <c r="D342" s="46"/>
      <c r="E342" s="23" t="s">
        <v>333</v>
      </c>
    </row>
    <row r="343" spans="1:5" x14ac:dyDescent="0.25">
      <c r="A343" s="57"/>
      <c r="B343" s="57"/>
      <c r="C343" s="55"/>
      <c r="D343" s="46"/>
      <c r="E343" s="23" t="s">
        <v>334</v>
      </c>
    </row>
    <row r="344" spans="1:5" x14ac:dyDescent="0.25">
      <c r="A344" s="57"/>
      <c r="B344" s="57"/>
      <c r="C344" s="55"/>
      <c r="D344" s="46"/>
      <c r="E344" s="23" t="s">
        <v>335</v>
      </c>
    </row>
    <row r="345" spans="1:5" x14ac:dyDescent="0.25">
      <c r="A345" s="57"/>
      <c r="B345" s="57"/>
      <c r="C345" s="55"/>
      <c r="D345" s="46"/>
      <c r="E345" s="23" t="s">
        <v>336</v>
      </c>
    </row>
    <row r="346" spans="1:5" x14ac:dyDescent="0.25">
      <c r="A346" s="57"/>
      <c r="B346" s="57"/>
      <c r="C346" s="55"/>
      <c r="D346" s="46"/>
      <c r="E346" s="23" t="s">
        <v>337</v>
      </c>
    </row>
    <row r="347" spans="1:5" x14ac:dyDescent="0.25">
      <c r="A347" s="57"/>
      <c r="B347" s="57"/>
      <c r="C347" s="55"/>
      <c r="D347" s="46"/>
      <c r="E347" s="23" t="s">
        <v>338</v>
      </c>
    </row>
    <row r="348" spans="1:5" x14ac:dyDescent="0.25">
      <c r="A348" s="57"/>
      <c r="B348" s="57"/>
      <c r="C348" s="55"/>
      <c r="D348" s="46"/>
      <c r="E348" s="23" t="s">
        <v>339</v>
      </c>
    </row>
    <row r="349" spans="1:5" x14ac:dyDescent="0.25">
      <c r="A349" s="57"/>
      <c r="B349" s="57"/>
      <c r="C349" s="55"/>
      <c r="D349" s="46"/>
      <c r="E349" s="23" t="s">
        <v>340</v>
      </c>
    </row>
    <row r="350" spans="1:5" x14ac:dyDescent="0.25">
      <c r="A350" s="57"/>
      <c r="B350" s="57"/>
      <c r="C350" s="55"/>
      <c r="D350" s="46"/>
      <c r="E350" s="23" t="s">
        <v>341</v>
      </c>
    </row>
    <row r="351" spans="1:5" x14ac:dyDescent="0.25">
      <c r="A351" s="57"/>
      <c r="B351" s="57"/>
      <c r="C351" s="55"/>
      <c r="D351" s="46"/>
      <c r="E351" s="23" t="s">
        <v>342</v>
      </c>
    </row>
    <row r="352" spans="1:5" x14ac:dyDescent="0.25">
      <c r="A352" s="57"/>
      <c r="B352" s="57"/>
      <c r="C352" s="55"/>
      <c r="D352" s="46"/>
      <c r="E352" s="23" t="s">
        <v>343</v>
      </c>
    </row>
    <row r="353" spans="1:6" x14ac:dyDescent="0.25">
      <c r="A353" s="57"/>
      <c r="B353" s="57"/>
      <c r="C353" s="55"/>
      <c r="D353" s="46"/>
      <c r="E353" s="23" t="s">
        <v>344</v>
      </c>
    </row>
    <row r="354" spans="1:6" x14ac:dyDescent="0.25">
      <c r="A354" s="57"/>
      <c r="B354" s="57"/>
      <c r="C354" s="55"/>
      <c r="D354" s="46"/>
      <c r="E354" s="23" t="s">
        <v>345</v>
      </c>
    </row>
    <row r="355" spans="1:6" x14ac:dyDescent="0.25">
      <c r="A355" s="57"/>
      <c r="B355" s="57"/>
      <c r="C355" s="55"/>
      <c r="D355" s="46"/>
      <c r="E355" s="23" t="s">
        <v>346</v>
      </c>
    </row>
    <row r="356" spans="1:6" x14ac:dyDescent="0.25">
      <c r="A356" s="57"/>
      <c r="B356" s="57"/>
      <c r="C356" s="55"/>
      <c r="D356" s="46"/>
      <c r="E356" s="23" t="s">
        <v>347</v>
      </c>
    </row>
    <row r="357" spans="1:6" x14ac:dyDescent="0.25">
      <c r="A357" s="57"/>
      <c r="B357" s="57"/>
      <c r="C357" s="55"/>
      <c r="D357" s="46"/>
      <c r="E357" s="23" t="s">
        <v>348</v>
      </c>
    </row>
    <row r="358" spans="1:6" x14ac:dyDescent="0.25">
      <c r="A358" s="57"/>
      <c r="B358" s="57"/>
      <c r="C358" s="55"/>
      <c r="D358" s="46"/>
      <c r="E358" s="23" t="s">
        <v>349</v>
      </c>
    </row>
    <row r="359" spans="1:6" x14ac:dyDescent="0.25">
      <c r="A359" s="57"/>
      <c r="B359" s="57"/>
      <c r="C359" s="55"/>
      <c r="D359" s="46"/>
      <c r="E359" s="23" t="s">
        <v>350</v>
      </c>
    </row>
    <row r="360" spans="1:6" x14ac:dyDescent="0.25">
      <c r="A360" s="57"/>
      <c r="B360" s="57"/>
      <c r="C360" s="55"/>
      <c r="D360" s="46"/>
      <c r="E360" s="23" t="s">
        <v>351</v>
      </c>
    </row>
    <row r="361" spans="1:6" x14ac:dyDescent="0.25">
      <c r="A361" s="57"/>
      <c r="B361" s="57"/>
      <c r="C361" s="55"/>
      <c r="D361" s="46"/>
      <c r="E361" s="23" t="s">
        <v>352</v>
      </c>
    </row>
    <row r="362" spans="1:6" x14ac:dyDescent="0.25">
      <c r="A362" s="57"/>
      <c r="B362" s="57"/>
      <c r="C362" s="55"/>
      <c r="D362" s="46"/>
      <c r="E362" s="23" t="s">
        <v>353</v>
      </c>
    </row>
    <row r="363" spans="1:6" x14ac:dyDescent="0.25">
      <c r="A363" s="57"/>
      <c r="B363" s="57"/>
      <c r="C363" s="55"/>
      <c r="D363" s="46" t="s">
        <v>76</v>
      </c>
      <c r="E363" s="23" t="s">
        <v>354</v>
      </c>
      <c r="F363" s="25" t="s">
        <v>904</v>
      </c>
    </row>
    <row r="364" spans="1:6" x14ac:dyDescent="0.25">
      <c r="A364" s="57"/>
      <c r="B364" s="57"/>
      <c r="C364" s="55"/>
      <c r="D364" s="46"/>
      <c r="E364" s="23" t="s">
        <v>355</v>
      </c>
    </row>
    <row r="365" spans="1:6" x14ac:dyDescent="0.25">
      <c r="A365" s="57"/>
      <c r="B365" s="57"/>
      <c r="C365" s="55"/>
      <c r="D365" s="46"/>
      <c r="E365" s="23" t="s">
        <v>356</v>
      </c>
    </row>
    <row r="366" spans="1:6" x14ac:dyDescent="0.25">
      <c r="A366" s="57"/>
      <c r="B366" s="57"/>
      <c r="C366" s="55"/>
      <c r="D366" s="46"/>
      <c r="E366" s="23" t="s">
        <v>357</v>
      </c>
    </row>
    <row r="367" spans="1:6" x14ac:dyDescent="0.25">
      <c r="A367" s="57"/>
      <c r="B367" s="57"/>
      <c r="C367" s="55"/>
      <c r="D367" s="46"/>
      <c r="E367" s="23" t="s">
        <v>358</v>
      </c>
    </row>
    <row r="368" spans="1:6" x14ac:dyDescent="0.25">
      <c r="A368" s="57"/>
      <c r="B368" s="57"/>
      <c r="C368" s="55"/>
      <c r="D368" s="46"/>
      <c r="E368" s="23" t="s">
        <v>359</v>
      </c>
    </row>
    <row r="369" spans="1:5" x14ac:dyDescent="0.25">
      <c r="A369" s="57"/>
      <c r="B369" s="57"/>
      <c r="C369" s="55"/>
      <c r="D369" s="46"/>
      <c r="E369" s="23" t="s">
        <v>360</v>
      </c>
    </row>
    <row r="370" spans="1:5" x14ac:dyDescent="0.25">
      <c r="A370" s="57"/>
      <c r="B370" s="57"/>
      <c r="C370" s="55"/>
      <c r="D370" s="46"/>
      <c r="E370" s="23" t="s">
        <v>361</v>
      </c>
    </row>
    <row r="371" spans="1:5" x14ac:dyDescent="0.25">
      <c r="A371" s="57"/>
      <c r="B371" s="57"/>
      <c r="C371" s="55"/>
      <c r="D371" s="46"/>
      <c r="E371" s="23" t="s">
        <v>362</v>
      </c>
    </row>
    <row r="372" spans="1:5" x14ac:dyDescent="0.25">
      <c r="A372" s="57"/>
      <c r="B372" s="57"/>
      <c r="C372" s="55"/>
      <c r="D372" s="46"/>
      <c r="E372" s="23" t="s">
        <v>363</v>
      </c>
    </row>
    <row r="373" spans="1:5" x14ac:dyDescent="0.25">
      <c r="A373" s="57"/>
      <c r="B373" s="57"/>
      <c r="C373" s="55"/>
      <c r="D373" s="46"/>
      <c r="E373" s="23" t="s">
        <v>364</v>
      </c>
    </row>
    <row r="374" spans="1:5" x14ac:dyDescent="0.25">
      <c r="A374" s="57"/>
      <c r="B374" s="57"/>
      <c r="C374" s="55"/>
      <c r="D374" s="46"/>
      <c r="E374" s="23" t="s">
        <v>365</v>
      </c>
    </row>
    <row r="375" spans="1:5" x14ac:dyDescent="0.25">
      <c r="A375" s="57"/>
      <c r="B375" s="57"/>
      <c r="C375" s="55"/>
      <c r="D375" s="46"/>
      <c r="E375" s="23" t="s">
        <v>366</v>
      </c>
    </row>
    <row r="376" spans="1:5" x14ac:dyDescent="0.25">
      <c r="A376" s="57"/>
      <c r="B376" s="57"/>
      <c r="C376" s="55"/>
      <c r="D376" s="46"/>
      <c r="E376" s="23" t="s">
        <v>367</v>
      </c>
    </row>
    <row r="377" spans="1:5" x14ac:dyDescent="0.25">
      <c r="A377" s="57"/>
      <c r="B377" s="57"/>
      <c r="C377" s="55"/>
      <c r="D377" s="46"/>
      <c r="E377" s="23" t="s">
        <v>368</v>
      </c>
    </row>
    <row r="378" spans="1:5" x14ac:dyDescent="0.25">
      <c r="A378" s="57"/>
      <c r="B378" s="57"/>
      <c r="C378" s="55"/>
      <c r="D378" s="46"/>
      <c r="E378" s="23" t="s">
        <v>369</v>
      </c>
    </row>
    <row r="379" spans="1:5" x14ac:dyDescent="0.25">
      <c r="A379" s="57"/>
      <c r="B379" s="57"/>
      <c r="C379" s="55"/>
      <c r="D379" s="46"/>
      <c r="E379" s="23" t="s">
        <v>370</v>
      </c>
    </row>
    <row r="380" spans="1:5" x14ac:dyDescent="0.25">
      <c r="A380" s="57"/>
      <c r="B380" s="57"/>
      <c r="C380" s="55"/>
      <c r="D380" s="46"/>
      <c r="E380" s="23" t="s">
        <v>371</v>
      </c>
    </row>
    <row r="381" spans="1:5" x14ac:dyDescent="0.25">
      <c r="A381" s="57"/>
      <c r="B381" s="57"/>
      <c r="C381" s="55"/>
      <c r="D381" s="46"/>
      <c r="E381" s="23" t="s">
        <v>372</v>
      </c>
    </row>
    <row r="382" spans="1:5" x14ac:dyDescent="0.25">
      <c r="A382" s="57"/>
      <c r="B382" s="57"/>
      <c r="C382" s="55"/>
      <c r="D382" s="46"/>
      <c r="E382" s="23" t="s">
        <v>373</v>
      </c>
    </row>
    <row r="383" spans="1:5" x14ac:dyDescent="0.25">
      <c r="A383" s="57"/>
      <c r="B383" s="57"/>
      <c r="C383" s="55"/>
      <c r="D383" s="46"/>
      <c r="E383" s="23" t="s">
        <v>374</v>
      </c>
    </row>
    <row r="384" spans="1:5" ht="15.75" thickBot="1" x14ac:dyDescent="0.3">
      <c r="A384" s="57"/>
      <c r="B384" s="58"/>
      <c r="C384" s="59"/>
      <c r="D384" s="63"/>
      <c r="E384" s="23" t="s">
        <v>375</v>
      </c>
    </row>
    <row r="385" spans="1:6" ht="38.25" x14ac:dyDescent="0.25">
      <c r="A385" s="57"/>
      <c r="B385" s="60" t="s">
        <v>5</v>
      </c>
      <c r="C385" s="61" t="s">
        <v>22</v>
      </c>
      <c r="D385" s="20" t="s">
        <v>77</v>
      </c>
      <c r="E385" s="21" t="s">
        <v>935</v>
      </c>
      <c r="F385" s="27" t="s">
        <v>937</v>
      </c>
    </row>
    <row r="386" spans="1:6" x14ac:dyDescent="0.25">
      <c r="A386" s="57"/>
      <c r="B386" s="57"/>
      <c r="C386" s="55"/>
      <c r="D386" s="46" t="s">
        <v>78</v>
      </c>
      <c r="E386" s="23" t="s">
        <v>972</v>
      </c>
      <c r="F386" s="25" t="s">
        <v>939</v>
      </c>
    </row>
    <row r="387" spans="1:6" x14ac:dyDescent="0.25">
      <c r="A387" s="57"/>
      <c r="B387" s="57"/>
      <c r="C387" s="55"/>
      <c r="D387" s="46"/>
      <c r="E387" s="23" t="s">
        <v>973</v>
      </c>
      <c r="F387" s="24"/>
    </row>
    <row r="388" spans="1:6" x14ac:dyDescent="0.25">
      <c r="A388" s="57"/>
      <c r="B388" s="57"/>
      <c r="C388" s="55"/>
      <c r="D388" s="46"/>
      <c r="E388" s="23" t="s">
        <v>974</v>
      </c>
      <c r="F388" s="24"/>
    </row>
    <row r="389" spans="1:6" x14ac:dyDescent="0.25">
      <c r="A389" s="57"/>
      <c r="B389" s="57"/>
      <c r="C389" s="55"/>
      <c r="D389" s="46"/>
      <c r="E389" s="23" t="s">
        <v>975</v>
      </c>
      <c r="F389" s="24"/>
    </row>
    <row r="390" spans="1:6" x14ac:dyDescent="0.25">
      <c r="A390" s="57"/>
      <c r="B390" s="57"/>
      <c r="C390" s="55"/>
      <c r="D390" s="46"/>
      <c r="E390" s="23" t="s">
        <v>958</v>
      </c>
      <c r="F390" s="24"/>
    </row>
    <row r="391" spans="1:6" x14ac:dyDescent="0.25">
      <c r="A391" s="57"/>
      <c r="B391" s="57"/>
      <c r="C391" s="55"/>
      <c r="D391" s="46" t="s">
        <v>976</v>
      </c>
      <c r="E391" s="23" t="s">
        <v>377</v>
      </c>
      <c r="F391" s="25" t="s">
        <v>904</v>
      </c>
    </row>
    <row r="392" spans="1:6" x14ac:dyDescent="0.25">
      <c r="A392" s="57"/>
      <c r="B392" s="57"/>
      <c r="C392" s="55"/>
      <c r="D392" s="46"/>
      <c r="E392" s="23" t="s">
        <v>378</v>
      </c>
      <c r="F392" s="25" t="s">
        <v>904</v>
      </c>
    </row>
    <row r="393" spans="1:6" x14ac:dyDescent="0.25">
      <c r="A393" s="57"/>
      <c r="B393" s="57"/>
      <c r="C393" s="55"/>
      <c r="D393" s="46"/>
      <c r="E393" s="23" t="s">
        <v>379</v>
      </c>
      <c r="F393" s="25" t="s">
        <v>904</v>
      </c>
    </row>
    <row r="394" spans="1:6" x14ac:dyDescent="0.25">
      <c r="A394" s="57"/>
      <c r="B394" s="57"/>
      <c r="C394" s="55" t="s">
        <v>23</v>
      </c>
      <c r="D394" s="46" t="s">
        <v>79</v>
      </c>
      <c r="E394" s="23" t="s">
        <v>977</v>
      </c>
      <c r="F394" s="25" t="s">
        <v>939</v>
      </c>
    </row>
    <row r="395" spans="1:6" x14ac:dyDescent="0.25">
      <c r="A395" s="57"/>
      <c r="B395" s="57"/>
      <c r="C395" s="55"/>
      <c r="D395" s="46"/>
      <c r="E395" s="23" t="s">
        <v>978</v>
      </c>
      <c r="F395" s="24"/>
    </row>
    <row r="396" spans="1:6" x14ac:dyDescent="0.25">
      <c r="A396" s="57"/>
      <c r="B396" s="57"/>
      <c r="C396" s="55"/>
      <c r="D396" s="46"/>
      <c r="E396" s="23" t="s">
        <v>979</v>
      </c>
      <c r="F396" s="24"/>
    </row>
    <row r="397" spans="1:6" x14ac:dyDescent="0.25">
      <c r="A397" s="57"/>
      <c r="B397" s="57"/>
      <c r="C397" s="55"/>
      <c r="D397" s="46"/>
      <c r="E397" s="23" t="s">
        <v>975</v>
      </c>
      <c r="F397" s="24"/>
    </row>
    <row r="398" spans="1:6" x14ac:dyDescent="0.25">
      <c r="A398" s="57"/>
      <c r="B398" s="57"/>
      <c r="C398" s="55"/>
      <c r="D398" s="46"/>
      <c r="E398" s="23" t="s">
        <v>958</v>
      </c>
      <c r="F398" s="24"/>
    </row>
    <row r="399" spans="1:6" ht="38.25" x14ac:dyDescent="0.25">
      <c r="A399" s="57"/>
      <c r="B399" s="57"/>
      <c r="C399" s="55"/>
      <c r="D399" s="20" t="s">
        <v>80</v>
      </c>
      <c r="E399" s="23" t="s">
        <v>935</v>
      </c>
      <c r="F399" s="25" t="s">
        <v>937</v>
      </c>
    </row>
    <row r="400" spans="1:6" x14ac:dyDescent="0.25">
      <c r="A400" s="57"/>
      <c r="B400" s="57"/>
      <c r="C400" s="55"/>
      <c r="D400" s="46" t="s">
        <v>81</v>
      </c>
      <c r="E400" s="23" t="s">
        <v>380</v>
      </c>
      <c r="F400" s="25" t="s">
        <v>904</v>
      </c>
    </row>
    <row r="401" spans="1:6" x14ac:dyDescent="0.25">
      <c r="A401" s="57"/>
      <c r="B401" s="57"/>
      <c r="C401" s="55"/>
      <c r="D401" s="46"/>
      <c r="E401" s="23" t="s">
        <v>381</v>
      </c>
      <c r="F401" s="25" t="s">
        <v>904</v>
      </c>
    </row>
    <row r="402" spans="1:6" x14ac:dyDescent="0.25">
      <c r="A402" s="57"/>
      <c r="B402" s="57"/>
      <c r="C402" s="55" t="s">
        <v>24</v>
      </c>
      <c r="D402" s="46" t="s">
        <v>82</v>
      </c>
      <c r="E402" s="23" t="s">
        <v>980</v>
      </c>
      <c r="F402" s="25" t="s">
        <v>939</v>
      </c>
    </row>
    <row r="403" spans="1:6" x14ac:dyDescent="0.25">
      <c r="A403" s="57"/>
      <c r="B403" s="57"/>
      <c r="C403" s="55"/>
      <c r="D403" s="46"/>
      <c r="E403" s="23" t="s">
        <v>981</v>
      </c>
      <c r="F403" s="24"/>
    </row>
    <row r="404" spans="1:6" x14ac:dyDescent="0.25">
      <c r="A404" s="57"/>
      <c r="B404" s="57"/>
      <c r="C404" s="55"/>
      <c r="D404" s="46"/>
      <c r="E404" s="23" t="s">
        <v>974</v>
      </c>
      <c r="F404" s="24"/>
    </row>
    <row r="405" spans="1:6" x14ac:dyDescent="0.25">
      <c r="A405" s="57"/>
      <c r="B405" s="57"/>
      <c r="C405" s="55"/>
      <c r="D405" s="46"/>
      <c r="E405" s="23" t="s">
        <v>975</v>
      </c>
      <c r="F405" s="24"/>
    </row>
    <row r="406" spans="1:6" x14ac:dyDescent="0.25">
      <c r="A406" s="57"/>
      <c r="B406" s="57"/>
      <c r="C406" s="55"/>
      <c r="D406" s="46"/>
      <c r="E406" s="23" t="s">
        <v>958</v>
      </c>
      <c r="F406" s="24"/>
    </row>
    <row r="407" spans="1:6" ht="38.25" x14ac:dyDescent="0.25">
      <c r="A407" s="26">
        <v>2016</v>
      </c>
      <c r="B407" s="57"/>
      <c r="C407" s="55"/>
      <c r="D407" s="20" t="s">
        <v>982</v>
      </c>
      <c r="E407" s="23" t="s">
        <v>935</v>
      </c>
      <c r="F407" s="25" t="s">
        <v>937</v>
      </c>
    </row>
    <row r="408" spans="1:6" x14ac:dyDescent="0.25">
      <c r="A408" s="57" t="s">
        <v>894</v>
      </c>
      <c r="B408" s="57"/>
      <c r="C408" s="55"/>
      <c r="D408" s="46" t="s">
        <v>83</v>
      </c>
      <c r="E408" s="23" t="s">
        <v>980</v>
      </c>
      <c r="F408" s="25" t="s">
        <v>939</v>
      </c>
    </row>
    <row r="409" spans="1:6" x14ac:dyDescent="0.25">
      <c r="A409" s="57"/>
      <c r="B409" s="57"/>
      <c r="C409" s="55"/>
      <c r="D409" s="46"/>
      <c r="E409" s="23" t="s">
        <v>983</v>
      </c>
      <c r="F409" s="24"/>
    </row>
    <row r="410" spans="1:6" x14ac:dyDescent="0.25">
      <c r="A410" s="57"/>
      <c r="B410" s="57"/>
      <c r="C410" s="55"/>
      <c r="D410" s="46"/>
      <c r="E410" s="23" t="s">
        <v>974</v>
      </c>
      <c r="F410" s="24"/>
    </row>
    <row r="411" spans="1:6" x14ac:dyDescent="0.25">
      <c r="A411" s="57"/>
      <c r="B411" s="57"/>
      <c r="C411" s="55"/>
      <c r="D411" s="46"/>
      <c r="E411" s="23" t="s">
        <v>975</v>
      </c>
      <c r="F411" s="24"/>
    </row>
    <row r="412" spans="1:6" x14ac:dyDescent="0.25">
      <c r="A412" s="57"/>
      <c r="B412" s="57"/>
      <c r="C412" s="55"/>
      <c r="D412" s="46"/>
      <c r="E412" s="23" t="s">
        <v>958</v>
      </c>
      <c r="F412" s="24"/>
    </row>
    <row r="413" spans="1:6" ht="38.25" x14ac:dyDescent="0.25">
      <c r="A413" s="57"/>
      <c r="B413" s="57"/>
      <c r="C413" s="55"/>
      <c r="D413" s="20" t="s">
        <v>84</v>
      </c>
      <c r="E413" s="23" t="s">
        <v>935</v>
      </c>
      <c r="F413" s="25" t="s">
        <v>937</v>
      </c>
    </row>
    <row r="414" spans="1:6" ht="38.25" x14ac:dyDescent="0.25">
      <c r="A414" s="26">
        <v>2015</v>
      </c>
      <c r="B414" s="57"/>
      <c r="C414" s="55"/>
      <c r="D414" s="20" t="s">
        <v>984</v>
      </c>
      <c r="E414" s="23" t="s">
        <v>935</v>
      </c>
    </row>
    <row r="415" spans="1:6" ht="25.5" x14ac:dyDescent="0.25">
      <c r="A415" s="57" t="s">
        <v>894</v>
      </c>
      <c r="B415" s="57"/>
      <c r="C415" s="55" t="s">
        <v>25</v>
      </c>
      <c r="D415" s="20" t="s">
        <v>85</v>
      </c>
      <c r="E415" s="23" t="s">
        <v>935</v>
      </c>
      <c r="F415" s="25" t="s">
        <v>937</v>
      </c>
    </row>
    <row r="416" spans="1:6" ht="25.5" x14ac:dyDescent="0.25">
      <c r="A416" s="57"/>
      <c r="B416" s="57"/>
      <c r="C416" s="55"/>
      <c r="D416" s="20" t="s">
        <v>985</v>
      </c>
      <c r="E416" s="23" t="s">
        <v>985</v>
      </c>
      <c r="F416" s="25" t="s">
        <v>904</v>
      </c>
    </row>
    <row r="417" spans="1:6" ht="25.5" x14ac:dyDescent="0.25">
      <c r="A417" s="57"/>
      <c r="B417" s="57"/>
      <c r="C417" s="55"/>
      <c r="D417" s="20" t="s">
        <v>86</v>
      </c>
      <c r="E417" s="23" t="s">
        <v>935</v>
      </c>
      <c r="F417" s="25" t="s">
        <v>937</v>
      </c>
    </row>
    <row r="418" spans="1:6" ht="25.5" x14ac:dyDescent="0.25">
      <c r="A418" s="57"/>
      <c r="B418" s="57"/>
      <c r="C418" s="55"/>
      <c r="D418" s="20" t="s">
        <v>87</v>
      </c>
      <c r="E418" s="23" t="s">
        <v>935</v>
      </c>
      <c r="F418" s="25" t="s">
        <v>937</v>
      </c>
    </row>
    <row r="419" spans="1:6" ht="25.5" x14ac:dyDescent="0.25">
      <c r="A419" s="57"/>
      <c r="B419" s="57"/>
      <c r="C419" s="55"/>
      <c r="D419" s="20" t="s">
        <v>986</v>
      </c>
      <c r="E419" s="23" t="s">
        <v>986</v>
      </c>
      <c r="F419" s="25" t="s">
        <v>904</v>
      </c>
    </row>
    <row r="420" spans="1:6" ht="25.5" x14ac:dyDescent="0.25">
      <c r="A420" s="57"/>
      <c r="B420" s="57"/>
      <c r="C420" s="55"/>
      <c r="D420" s="20" t="s">
        <v>88</v>
      </c>
      <c r="E420" s="23" t="s">
        <v>935</v>
      </c>
      <c r="F420" s="25" t="s">
        <v>937</v>
      </c>
    </row>
    <row r="421" spans="1:6" x14ac:dyDescent="0.25">
      <c r="A421" s="57"/>
      <c r="B421" s="57"/>
      <c r="C421" s="55"/>
      <c r="D421" s="46" t="s">
        <v>987</v>
      </c>
      <c r="E421" s="23" t="s">
        <v>988</v>
      </c>
      <c r="F421" s="25" t="s">
        <v>939</v>
      </c>
    </row>
    <row r="422" spans="1:6" x14ac:dyDescent="0.25">
      <c r="A422" s="57"/>
      <c r="B422" s="57"/>
      <c r="C422" s="55"/>
      <c r="D422" s="46"/>
      <c r="E422" s="23" t="s">
        <v>989</v>
      </c>
      <c r="F422" s="24"/>
    </row>
    <row r="423" spans="1:6" x14ac:dyDescent="0.25">
      <c r="A423" s="57"/>
      <c r="B423" s="57"/>
      <c r="C423" s="55"/>
      <c r="D423" s="46"/>
      <c r="E423" s="23" t="s">
        <v>990</v>
      </c>
      <c r="F423" s="24"/>
    </row>
    <row r="424" spans="1:6" x14ac:dyDescent="0.25">
      <c r="A424" s="57"/>
      <c r="B424" s="57"/>
      <c r="C424" s="55"/>
      <c r="D424" s="46"/>
      <c r="E424" s="23" t="s">
        <v>975</v>
      </c>
      <c r="F424" s="24"/>
    </row>
    <row r="425" spans="1:6" ht="15.75" thickBot="1" x14ac:dyDescent="0.3">
      <c r="A425" s="58"/>
      <c r="B425" s="58"/>
      <c r="C425" s="59"/>
      <c r="D425" s="63"/>
      <c r="E425" s="28" t="s">
        <v>958</v>
      </c>
      <c r="F425" s="31"/>
    </row>
  </sheetData>
  <mergeCells count="90">
    <mergeCell ref="A415:A425"/>
    <mergeCell ref="C415:C425"/>
    <mergeCell ref="D421:D425"/>
    <mergeCell ref="B385:B425"/>
    <mergeCell ref="C385:C393"/>
    <mergeCell ref="D386:D390"/>
    <mergeCell ref="D391:D393"/>
    <mergeCell ref="C394:C401"/>
    <mergeCell ref="D394:D398"/>
    <mergeCell ref="D400:D401"/>
    <mergeCell ref="C402:C414"/>
    <mergeCell ref="D402:D406"/>
    <mergeCell ref="D294:D296"/>
    <mergeCell ref="A297:A406"/>
    <mergeCell ref="D297:D362"/>
    <mergeCell ref="D363:D384"/>
    <mergeCell ref="A408:A413"/>
    <mergeCell ref="D408:D412"/>
    <mergeCell ref="A213:A277"/>
    <mergeCell ref="D213:D256"/>
    <mergeCell ref="B257:B384"/>
    <mergeCell ref="C257:C276"/>
    <mergeCell ref="D257:D261"/>
    <mergeCell ref="D262:D266"/>
    <mergeCell ref="D267:D271"/>
    <mergeCell ref="D273:D275"/>
    <mergeCell ref="C277:C288"/>
    <mergeCell ref="A278:A282"/>
    <mergeCell ref="D278:D282"/>
    <mergeCell ref="A283:A288"/>
    <mergeCell ref="D284:D288"/>
    <mergeCell ref="A289:A296"/>
    <mergeCell ref="C289:C384"/>
    <mergeCell ref="D289:D293"/>
    <mergeCell ref="D123:D138"/>
    <mergeCell ref="D140:D144"/>
    <mergeCell ref="C146:C256"/>
    <mergeCell ref="D146:D156"/>
    <mergeCell ref="D157:D167"/>
    <mergeCell ref="D168:D178"/>
    <mergeCell ref="D179:D189"/>
    <mergeCell ref="D190:D211"/>
    <mergeCell ref="A95:A98"/>
    <mergeCell ref="D95:D98"/>
    <mergeCell ref="A99:A101"/>
    <mergeCell ref="D99:D100"/>
    <mergeCell ref="A108:A211"/>
    <mergeCell ref="B108:B256"/>
    <mergeCell ref="C108:C122"/>
    <mergeCell ref="D108:D111"/>
    <mergeCell ref="D112:D117"/>
    <mergeCell ref="A102:A105"/>
    <mergeCell ref="C102:C107"/>
    <mergeCell ref="D102:D105"/>
    <mergeCell ref="A106:A107"/>
    <mergeCell ref="D106:D107"/>
    <mergeCell ref="D120:D121"/>
    <mergeCell ref="C123:C145"/>
    <mergeCell ref="C65:C76"/>
    <mergeCell ref="A77:A80"/>
    <mergeCell ref="B77:B107"/>
    <mergeCell ref="C77:C82"/>
    <mergeCell ref="D77:D80"/>
    <mergeCell ref="A81:A82"/>
    <mergeCell ref="D81:D82"/>
    <mergeCell ref="A83:A88"/>
    <mergeCell ref="C83:C92"/>
    <mergeCell ref="D83:D86"/>
    <mergeCell ref="D87:D88"/>
    <mergeCell ref="A89:A94"/>
    <mergeCell ref="D89:D90"/>
    <mergeCell ref="D91:D92"/>
    <mergeCell ref="C93:C101"/>
    <mergeCell ref="D93:D94"/>
    <mergeCell ref="D69:D72"/>
    <mergeCell ref="D73:D75"/>
    <mergeCell ref="A15:A53"/>
    <mergeCell ref="B15:B45"/>
    <mergeCell ref="C15:C45"/>
    <mergeCell ref="D15:D22"/>
    <mergeCell ref="D24:D26"/>
    <mergeCell ref="D27:D32"/>
    <mergeCell ref="D33:D48"/>
    <mergeCell ref="B46:B76"/>
    <mergeCell ref="C49:C57"/>
    <mergeCell ref="D49:D53"/>
    <mergeCell ref="A55:A63"/>
    <mergeCell ref="C58:C60"/>
    <mergeCell ref="C61:C64"/>
    <mergeCell ref="A65:A7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9312FC7F948F4E899D09FB3B1B7749" ma:contentTypeVersion="2" ma:contentTypeDescription="Create a new document." ma:contentTypeScope="" ma:versionID="6de1a2b9954188080d9c4bcdcaaaf906">
  <xsd:schema xmlns:xsd="http://www.w3.org/2001/XMLSchema" xmlns:xs="http://www.w3.org/2001/XMLSchema" xmlns:p="http://schemas.microsoft.com/office/2006/metadata/properties" xmlns:ns2="876372d7-2542-4065-ad3b-22612840f7b4" targetNamespace="http://schemas.microsoft.com/office/2006/metadata/properties" ma:root="true" ma:fieldsID="543b86bee8c888cfe64041e990e53d99" ns2:_="">
    <xsd:import namespace="876372d7-2542-4065-ad3b-22612840f7b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6372d7-2542-4065-ad3b-22612840f7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B3DB01-E082-4124-91AA-E92DFF8D4D00}">
  <ds:schemaRefs>
    <ds:schemaRef ds:uri="http://purl.org/dc/elements/1.1/"/>
    <ds:schemaRef ds:uri="http://schemas.microsoft.com/office/2006/metadata/properties"/>
    <ds:schemaRef ds:uri="876372d7-2542-4065-ad3b-22612840f7b4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E648BC4-6090-4B43-AD1C-A67ECF56E1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6372d7-2542-4065-ad3b-22612840f7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AE12E8-E55D-4120-B04C-9497FE8551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LOGGDP</vt:lpstr>
      <vt:lpstr>CompressionFactor</vt:lpstr>
      <vt:lpstr>State Capacity adjustments</vt:lpstr>
      <vt:lpstr>Data availability weights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Allyson Krupar</dc:creator>
  <cp:lastModifiedBy>Ally K</cp:lastModifiedBy>
  <dcterms:created xsi:type="dcterms:W3CDTF">2016-08-17T14:58:49Z</dcterms:created>
  <dcterms:modified xsi:type="dcterms:W3CDTF">2016-08-26T19:06:56Z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0x010100979312FC7F948F4E899D09FB3B1B7749</vt:lpwstr>
  </property>
</Properties>
</file>