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qwerty\Desktop\Python\JNotebook\start\Fin Modeling\GLOBAL\"/>
    </mc:Choice>
  </mc:AlternateContent>
  <xr:revisionPtr revIDLastSave="0" documentId="13_ncr:1_{4220CD69-7F04-4911-BA26-49EF44D218A0}" xr6:coauthVersionLast="47" xr6:coauthVersionMax="47" xr10:uidLastSave="{00000000-0000-0000-0000-000000000000}"/>
  <bookViews>
    <workbookView xWindow="-108" yWindow="-108" windowWidth="23256" windowHeight="14016" activeTab="4" xr2:uid="{00000000-000D-0000-FFFF-FFFF00000000}"/>
  </bookViews>
  <sheets>
    <sheet name="Cover" sheetId="6" r:id="rId1"/>
    <sheet name="Summary" sheetId="7" r:id="rId2"/>
    <sheet name="Assumptions" sheetId="8" r:id="rId3"/>
    <sheet name="Model" sheetId="9" r:id="rId4"/>
    <sheet name="Scenarios" sheetId="3" r:id="rId5"/>
  </sheets>
  <definedNames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NAMES_REVISION_DATE_" hidden="1">40869.3787037037</definedName>
    <definedName name="IQ_NTM" hidden="1">6000</definedName>
    <definedName name="IQ_OPENED55" hidden="1">1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IQRA8" hidden="1">"$A$9:$A$261"</definedName>
    <definedName name="IQRB8" hidden="1">"$B$9:$B$261"</definedName>
    <definedName name="IQRC8" hidden="1">"$C$9:$C$261"</definedName>
    <definedName name="_xlnm.Print_Area" localSheetId="2">Assumptions!$A$1:$N$46,Assumptions!$A$48:$N$100</definedName>
    <definedName name="_xlnm.Print_Area" localSheetId="0">Cover!$A$1:$L$18</definedName>
    <definedName name="_xlnm.Print_Area" localSheetId="3">Model!$A$1:$O$23,Model!$A$26:$O$48,Model!$A$50:$O$75,Model!$A$77:$O$106,Model!$A$108:$O$130,Model!$A$132:$O$189,Model!$A$191:$O$269,Model!$A$271:$O$309,Model!$A$311:$O$357</definedName>
    <definedName name="_xlnm.Print_Area" localSheetId="4">Scenarios!$A$1:$N$34</definedName>
    <definedName name="_xlnm.Print_Area" localSheetId="1">Summary!$A$1:$O$49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1" i="9" l="1"/>
  <c r="L121" i="9"/>
  <c r="M121" i="9"/>
  <c r="N121" i="9"/>
  <c r="I228" i="9" l="1"/>
  <c r="J225" i="9" s="1"/>
  <c r="K217" i="9"/>
  <c r="L217" i="9"/>
  <c r="M217" i="9"/>
  <c r="N217" i="9"/>
  <c r="J217" i="9"/>
  <c r="K212" i="9"/>
  <c r="L212" i="9"/>
  <c r="M212" i="9"/>
  <c r="N212" i="9"/>
  <c r="K213" i="9"/>
  <c r="K300" i="9" s="1"/>
  <c r="K156" i="9" s="1"/>
  <c r="L213" i="9"/>
  <c r="L300" i="9" s="1"/>
  <c r="L156" i="9" s="1"/>
  <c r="M213" i="9"/>
  <c r="M300" i="9" s="1"/>
  <c r="M156" i="9" s="1"/>
  <c r="N213" i="9"/>
  <c r="N300" i="9" s="1"/>
  <c r="N156" i="9" s="1"/>
  <c r="J213" i="9"/>
  <c r="J300" i="9" s="1"/>
  <c r="J156" i="9" s="1"/>
  <c r="J212" i="9"/>
  <c r="K207" i="9"/>
  <c r="L207" i="9"/>
  <c r="M207" i="9"/>
  <c r="N207" i="9"/>
  <c r="J207" i="9"/>
  <c r="J203" i="9"/>
  <c r="K202" i="9"/>
  <c r="K299" i="9" s="1"/>
  <c r="K155" i="9" s="1"/>
  <c r="L202" i="9"/>
  <c r="L299" i="9" s="1"/>
  <c r="L155" i="9" s="1"/>
  <c r="M202" i="9"/>
  <c r="M299" i="9" s="1"/>
  <c r="M155" i="9" s="1"/>
  <c r="N202" i="9"/>
  <c r="N299" i="9" s="1"/>
  <c r="N155" i="9" s="1"/>
  <c r="J202" i="9"/>
  <c r="J299" i="9" s="1"/>
  <c r="J155" i="9" s="1"/>
  <c r="K203" i="9"/>
  <c r="L203" i="9"/>
  <c r="M203" i="9"/>
  <c r="N203" i="9"/>
  <c r="I204" i="9"/>
  <c r="J201" i="9" s="1"/>
  <c r="H198" i="9"/>
  <c r="I198" i="9" s="1"/>
  <c r="J198" i="9" s="1"/>
  <c r="K198" i="9" s="1"/>
  <c r="L198" i="9" s="1"/>
  <c r="M198" i="9" s="1"/>
  <c r="N198" i="9" s="1"/>
  <c r="L192" i="9"/>
  <c r="K185" i="9"/>
  <c r="L185" i="9"/>
  <c r="M185" i="9"/>
  <c r="N185" i="9"/>
  <c r="J185" i="9"/>
  <c r="K182" i="9"/>
  <c r="K298" i="9" s="1"/>
  <c r="K154" i="9" s="1"/>
  <c r="L182" i="9"/>
  <c r="L298" i="9" s="1"/>
  <c r="L154" i="9" s="1"/>
  <c r="M182" i="9"/>
  <c r="M298" i="9" s="1"/>
  <c r="M154" i="9" s="1"/>
  <c r="N182" i="9"/>
  <c r="N298" i="9" s="1"/>
  <c r="N154" i="9" s="1"/>
  <c r="J182" i="9"/>
  <c r="J298" i="9" s="1"/>
  <c r="J154" i="9" s="1"/>
  <c r="K173" i="9"/>
  <c r="K297" i="9" s="1"/>
  <c r="K153" i="9" s="1"/>
  <c r="L173" i="9"/>
  <c r="L297" i="9" s="1"/>
  <c r="L153" i="9" s="1"/>
  <c r="M173" i="9"/>
  <c r="M297" i="9" s="1"/>
  <c r="M153" i="9" s="1"/>
  <c r="N173" i="9"/>
  <c r="N297" i="9" s="1"/>
  <c r="N153" i="9" s="1"/>
  <c r="J173" i="9"/>
  <c r="J297" i="9" s="1"/>
  <c r="J153" i="9" s="1"/>
  <c r="I174" i="9"/>
  <c r="J172" i="9" s="1"/>
  <c r="K167" i="9"/>
  <c r="L167" i="9"/>
  <c r="M167" i="9"/>
  <c r="N167" i="9"/>
  <c r="J167" i="9"/>
  <c r="I165" i="9"/>
  <c r="J163" i="9" s="1"/>
  <c r="K303" i="9"/>
  <c r="K159" i="9" s="1"/>
  <c r="L303" i="9"/>
  <c r="L159" i="9" s="1"/>
  <c r="M303" i="9"/>
  <c r="M159" i="9" s="1"/>
  <c r="N303" i="9"/>
  <c r="N159" i="9" s="1"/>
  <c r="J303" i="9"/>
  <c r="J159" i="9" s="1"/>
  <c r="K146" i="9"/>
  <c r="L146" i="9"/>
  <c r="M146" i="9"/>
  <c r="N146" i="9"/>
  <c r="J146" i="9"/>
  <c r="K291" i="9"/>
  <c r="L291" i="9"/>
  <c r="M291" i="9"/>
  <c r="N291" i="9"/>
  <c r="J291" i="9"/>
  <c r="K290" i="9"/>
  <c r="L290" i="9"/>
  <c r="M290" i="9"/>
  <c r="N290" i="9"/>
  <c r="J290" i="9"/>
  <c r="K289" i="9"/>
  <c r="L289" i="9"/>
  <c r="M289" i="9"/>
  <c r="N289" i="9"/>
  <c r="J289" i="9"/>
  <c r="K284" i="9"/>
  <c r="L284" i="9"/>
  <c r="M284" i="9"/>
  <c r="N284" i="9"/>
  <c r="J284" i="9"/>
  <c r="I144" i="9"/>
  <c r="J142" i="9" s="1"/>
  <c r="H153" i="9"/>
  <c r="I153" i="9"/>
  <c r="H155" i="9"/>
  <c r="I155" i="9"/>
  <c r="H156" i="9"/>
  <c r="H157" i="9"/>
  <c r="I157" i="9"/>
  <c r="H158" i="9"/>
  <c r="I158" i="9"/>
  <c r="G155" i="9"/>
  <c r="G157" i="9"/>
  <c r="G158" i="9"/>
  <c r="G153" i="9"/>
  <c r="H139" i="9"/>
  <c r="I139" i="9" s="1"/>
  <c r="J139" i="9" s="1"/>
  <c r="K139" i="9" s="1"/>
  <c r="L139" i="9" s="1"/>
  <c r="M139" i="9" s="1"/>
  <c r="N139" i="9" s="1"/>
  <c r="L133" i="9"/>
  <c r="J121" i="9"/>
  <c r="K256" i="9"/>
  <c r="L256" i="9"/>
  <c r="M256" i="9"/>
  <c r="N256" i="9"/>
  <c r="J256" i="9"/>
  <c r="K250" i="9"/>
  <c r="L250" i="9"/>
  <c r="M250" i="9"/>
  <c r="N250" i="9"/>
  <c r="J250" i="9"/>
  <c r="E117" i="9"/>
  <c r="H115" i="9"/>
  <c r="I115" i="9" s="1"/>
  <c r="J115" i="9" s="1"/>
  <c r="K115" i="9" s="1"/>
  <c r="L115" i="9" s="1"/>
  <c r="M115" i="9" s="1"/>
  <c r="N115" i="9" s="1"/>
  <c r="L109" i="9"/>
  <c r="H87" i="9"/>
  <c r="I87" i="9"/>
  <c r="J247" i="9"/>
  <c r="G87" i="9"/>
  <c r="G86" i="9"/>
  <c r="H101" i="9"/>
  <c r="I101" i="9"/>
  <c r="G101" i="9"/>
  <c r="H98" i="9"/>
  <c r="I98" i="9"/>
  <c r="H99" i="9"/>
  <c r="I99" i="9"/>
  <c r="G99" i="9"/>
  <c r="G98" i="9"/>
  <c r="H84" i="9"/>
  <c r="I84" i="9" s="1"/>
  <c r="J84" i="9" s="1"/>
  <c r="K84" i="9" s="1"/>
  <c r="L84" i="9" s="1"/>
  <c r="M84" i="9" s="1"/>
  <c r="N84" i="9" s="1"/>
  <c r="N86" i="9" s="1"/>
  <c r="L78" i="9"/>
  <c r="K60" i="9"/>
  <c r="L60" i="9"/>
  <c r="M60" i="9"/>
  <c r="N60" i="9"/>
  <c r="I74" i="9"/>
  <c r="J59" i="9" s="1"/>
  <c r="J60" i="9"/>
  <c r="E66" i="9" a="1"/>
  <c r="E66" i="9" s="1"/>
  <c r="E64" i="9"/>
  <c r="E63" i="9"/>
  <c r="H57" i="9"/>
  <c r="I57" i="9" s="1"/>
  <c r="J57" i="9" s="1"/>
  <c r="L51" i="9"/>
  <c r="H44" i="9"/>
  <c r="H33" i="9"/>
  <c r="I33" i="9" s="1"/>
  <c r="J33" i="9" s="1"/>
  <c r="K33" i="9" s="1"/>
  <c r="L33" i="9" s="1"/>
  <c r="M33" i="9" s="1"/>
  <c r="N33" i="9" s="1"/>
  <c r="L27" i="9"/>
  <c r="I16" i="9"/>
  <c r="I20" i="9"/>
  <c r="I22" i="9"/>
  <c r="H8" i="9"/>
  <c r="I8" i="9" s="1"/>
  <c r="J8" i="9" s="1"/>
  <c r="K8" i="9" s="1"/>
  <c r="L8" i="9" s="1"/>
  <c r="M8" i="9" s="1"/>
  <c r="N8" i="9" s="1"/>
  <c r="L2" i="9"/>
  <c r="W10" i="7"/>
  <c r="V10" i="7"/>
  <c r="U10" i="7"/>
  <c r="P7" i="7"/>
  <c r="L312" i="9"/>
  <c r="L271" i="9"/>
  <c r="L232" i="9"/>
  <c r="H36" i="7"/>
  <c r="I36" i="7" s="1"/>
  <c r="J36" i="7" s="1"/>
  <c r="K36" i="7" s="1"/>
  <c r="L36" i="7" s="1"/>
  <c r="M36" i="7" s="1"/>
  <c r="N36" i="7" s="1"/>
  <c r="H22" i="7"/>
  <c r="I22" i="7" s="1"/>
  <c r="J22" i="7" s="1"/>
  <c r="K22" i="7" s="1"/>
  <c r="L22" i="7" s="1"/>
  <c r="M22" i="7" s="1"/>
  <c r="N22" i="7" s="1"/>
  <c r="K28" i="3"/>
  <c r="N11" i="9" s="1"/>
  <c r="J28" i="3"/>
  <c r="M11" i="9" s="1"/>
  <c r="I28" i="3"/>
  <c r="L11" i="9" s="1"/>
  <c r="H28" i="3"/>
  <c r="K11" i="9" s="1"/>
  <c r="G28" i="3"/>
  <c r="J11" i="9" s="1"/>
  <c r="H31" i="3"/>
  <c r="H32" i="3" s="1"/>
  <c r="I31" i="3"/>
  <c r="I32" i="3" s="1"/>
  <c r="J31" i="3"/>
  <c r="J32" i="3" s="1"/>
  <c r="K31" i="3"/>
  <c r="K32" i="3" s="1"/>
  <c r="G31" i="3"/>
  <c r="G32" i="3" s="1"/>
  <c r="H22" i="3"/>
  <c r="K15" i="9" s="1"/>
  <c r="I22" i="3"/>
  <c r="L15" i="9" s="1"/>
  <c r="J22" i="3"/>
  <c r="M15" i="9" s="1"/>
  <c r="K22" i="3"/>
  <c r="N15" i="9" s="1"/>
  <c r="G22" i="3"/>
  <c r="J15" i="9" s="1"/>
  <c r="H25" i="3"/>
  <c r="H26" i="3" s="1"/>
  <c r="I25" i="3"/>
  <c r="I26" i="3" s="1"/>
  <c r="J25" i="3"/>
  <c r="J26" i="3" s="1"/>
  <c r="K25" i="3"/>
  <c r="K26" i="3" s="1"/>
  <c r="G25" i="3"/>
  <c r="G26" i="3" s="1"/>
  <c r="C26" i="3"/>
  <c r="C25" i="3"/>
  <c r="H13" i="3"/>
  <c r="K41" i="8" s="1"/>
  <c r="I13" i="3"/>
  <c r="L41" i="8" s="1"/>
  <c r="J13" i="3"/>
  <c r="M41" i="8" s="1"/>
  <c r="K13" i="3"/>
  <c r="N36" i="9" s="1"/>
  <c r="G13" i="3"/>
  <c r="J41" i="8" s="1"/>
  <c r="J42" i="8" s="1"/>
  <c r="G53" i="8"/>
  <c r="H53" i="8" s="1"/>
  <c r="I53" i="8" s="1"/>
  <c r="J53" i="8" s="1"/>
  <c r="K53" i="8" s="1"/>
  <c r="L53" i="8" s="1"/>
  <c r="M53" i="8" s="1"/>
  <c r="H79" i="8"/>
  <c r="I77" i="8" s="1"/>
  <c r="I79" i="8" s="1"/>
  <c r="J77" i="8" s="1"/>
  <c r="J79" i="8" s="1"/>
  <c r="K77" i="8" s="1"/>
  <c r="K79" i="8" s="1"/>
  <c r="L77" i="8" s="1"/>
  <c r="L79" i="8" s="1"/>
  <c r="M77" i="8" s="1"/>
  <c r="M79" i="8" s="1"/>
  <c r="N327" i="9" s="1"/>
  <c r="J61" i="8"/>
  <c r="K176" i="9" s="1"/>
  <c r="K61" i="8"/>
  <c r="L176" i="9" s="1"/>
  <c r="L61" i="8"/>
  <c r="M176" i="9" s="1"/>
  <c r="M61" i="8"/>
  <c r="N176" i="9" s="1"/>
  <c r="I61" i="8"/>
  <c r="J176" i="9" s="1"/>
  <c r="I45" i="8"/>
  <c r="J45" i="8" s="1"/>
  <c r="K45" i="8" s="1"/>
  <c r="L45" i="8" s="1"/>
  <c r="M45" i="8" s="1"/>
  <c r="N20" i="9" s="1"/>
  <c r="J174" i="9" l="1"/>
  <c r="K172" i="9" s="1"/>
  <c r="J168" i="9"/>
  <c r="J36" i="9"/>
  <c r="M36" i="9"/>
  <c r="L36" i="9"/>
  <c r="K36" i="9"/>
  <c r="J204" i="9"/>
  <c r="J341" i="9"/>
  <c r="K42" i="8"/>
  <c r="L42" i="8" s="1"/>
  <c r="M42" i="8" s="1"/>
  <c r="N247" i="9" s="1"/>
  <c r="J147" i="9"/>
  <c r="K174" i="9"/>
  <c r="J177" i="9"/>
  <c r="K177" i="9"/>
  <c r="M292" i="9"/>
  <c r="M152" i="9" s="1"/>
  <c r="L292" i="9"/>
  <c r="L152" i="9" s="1"/>
  <c r="J292" i="9"/>
  <c r="J152" i="9" s="1"/>
  <c r="N292" i="9"/>
  <c r="N152" i="9" s="1"/>
  <c r="K292" i="9"/>
  <c r="K152" i="9" s="1"/>
  <c r="M327" i="9"/>
  <c r="L327" i="9"/>
  <c r="K327" i="9"/>
  <c r="J327" i="9"/>
  <c r="K247" i="9"/>
  <c r="G91" i="9"/>
  <c r="F32" i="8" s="1"/>
  <c r="J86" i="9"/>
  <c r="H86" i="9"/>
  <c r="H91" i="9" s="1"/>
  <c r="G32" i="8" s="1"/>
  <c r="I86" i="9"/>
  <c r="I91" i="9" s="1"/>
  <c r="H32" i="8" s="1"/>
  <c r="M86" i="9"/>
  <c r="L86" i="9"/>
  <c r="K86" i="9"/>
  <c r="K57" i="9"/>
  <c r="L63" i="9"/>
  <c r="M63" i="9"/>
  <c r="J63" i="9"/>
  <c r="K63" i="9"/>
  <c r="N63" i="9"/>
  <c r="J16" i="9"/>
  <c r="K16" i="9" s="1"/>
  <c r="L16" i="9" s="1"/>
  <c r="M16" i="9" s="1"/>
  <c r="N16" i="9" s="1"/>
  <c r="L20" i="9"/>
  <c r="K20" i="9"/>
  <c r="M20" i="9"/>
  <c r="J20" i="9"/>
  <c r="I19" i="9"/>
  <c r="I12" i="9" s="1"/>
  <c r="V11" i="7"/>
  <c r="W11" i="7"/>
  <c r="G23" i="8"/>
  <c r="H23" i="8" s="1"/>
  <c r="I23" i="8" s="1"/>
  <c r="J23" i="8" s="1"/>
  <c r="K23" i="8" s="1"/>
  <c r="L23" i="8" s="1"/>
  <c r="M23" i="8" s="1"/>
  <c r="K14" i="8"/>
  <c r="I352" i="9"/>
  <c r="H95" i="8" s="1"/>
  <c r="I93" i="8" s="1"/>
  <c r="I95" i="8" s="1"/>
  <c r="H352" i="9"/>
  <c r="G352" i="9"/>
  <c r="I350" i="9"/>
  <c r="I214" i="9" s="1"/>
  <c r="J211" i="9" s="1"/>
  <c r="J214" i="9" s="1"/>
  <c r="H350" i="9"/>
  <c r="G350" i="9"/>
  <c r="I344" i="9"/>
  <c r="H91" i="8" s="1"/>
  <c r="H344" i="9"/>
  <c r="G344" i="9"/>
  <c r="I342" i="9"/>
  <c r="I183" i="9" s="1"/>
  <c r="J181" i="9" s="1"/>
  <c r="J183" i="9" s="1"/>
  <c r="H342" i="9"/>
  <c r="G342" i="9"/>
  <c r="I338" i="9"/>
  <c r="H338" i="9"/>
  <c r="G338" i="9"/>
  <c r="I329" i="9"/>
  <c r="H87" i="8" s="1"/>
  <c r="I85" i="8" s="1"/>
  <c r="I87" i="8" s="1"/>
  <c r="H329" i="9"/>
  <c r="G329" i="9"/>
  <c r="I328" i="9"/>
  <c r="H328" i="9"/>
  <c r="G328" i="9"/>
  <c r="I323" i="9"/>
  <c r="H323" i="9"/>
  <c r="G323" i="9"/>
  <c r="G318" i="9"/>
  <c r="B317" i="9"/>
  <c r="B313" i="9"/>
  <c r="I303" i="9"/>
  <c r="I159" i="9" s="1"/>
  <c r="H303" i="9"/>
  <c r="H159" i="9" s="1"/>
  <c r="G303" i="9"/>
  <c r="G159" i="9" s="1"/>
  <c r="I300" i="9"/>
  <c r="I156" i="9" s="1"/>
  <c r="G300" i="9"/>
  <c r="G156" i="9" s="1"/>
  <c r="I298" i="9"/>
  <c r="I154" i="9" s="1"/>
  <c r="H298" i="9"/>
  <c r="H154" i="9" s="1"/>
  <c r="G298" i="9"/>
  <c r="G154" i="9" s="1"/>
  <c r="I291" i="9"/>
  <c r="I292" i="9" s="1"/>
  <c r="I152" i="9" s="1"/>
  <c r="H291" i="9"/>
  <c r="H292" i="9" s="1"/>
  <c r="H152" i="9" s="1"/>
  <c r="G291" i="9"/>
  <c r="G292" i="9" s="1"/>
  <c r="G152" i="9" s="1"/>
  <c r="I284" i="9"/>
  <c r="H284" i="9"/>
  <c r="G284" i="9"/>
  <c r="I283" i="9"/>
  <c r="H283" i="9"/>
  <c r="G283" i="9"/>
  <c r="G277" i="9"/>
  <c r="B275" i="9"/>
  <c r="B272" i="9"/>
  <c r="I261" i="9"/>
  <c r="I262" i="9" s="1"/>
  <c r="H261" i="9"/>
  <c r="H262" i="9" s="1"/>
  <c r="G261" i="9"/>
  <c r="G262" i="9" s="1"/>
  <c r="I257" i="9"/>
  <c r="H257" i="9"/>
  <c r="G257" i="9"/>
  <c r="H256" i="9"/>
  <c r="G256" i="9"/>
  <c r="I250" i="9"/>
  <c r="H250" i="9"/>
  <c r="G250" i="9"/>
  <c r="I247" i="9"/>
  <c r="I242" i="9" s="1"/>
  <c r="H247" i="9"/>
  <c r="H242" i="9" s="1"/>
  <c r="G247" i="9"/>
  <c r="G242" i="9" s="1"/>
  <c r="I246" i="9"/>
  <c r="I88" i="9" s="1"/>
  <c r="H246" i="9"/>
  <c r="G246" i="9"/>
  <c r="I240" i="9"/>
  <c r="H240" i="9"/>
  <c r="H238" i="9"/>
  <c r="H277" i="9" s="1"/>
  <c r="H8" i="7"/>
  <c r="I8" i="7" s="1"/>
  <c r="L247" i="9" l="1"/>
  <c r="M247" i="9"/>
  <c r="K201" i="9"/>
  <c r="K204" i="9" s="1"/>
  <c r="J349" i="9"/>
  <c r="J350" i="9"/>
  <c r="K211" i="9"/>
  <c r="K214" i="9" s="1"/>
  <c r="L172" i="9"/>
  <c r="L174" i="9" s="1"/>
  <c r="K341" i="9"/>
  <c r="K181" i="9"/>
  <c r="K186" i="9" s="1"/>
  <c r="J342" i="9"/>
  <c r="J208" i="9"/>
  <c r="J186" i="9"/>
  <c r="J188" i="9" s="1"/>
  <c r="J257" i="9" s="1"/>
  <c r="J352" i="9"/>
  <c r="J93" i="8"/>
  <c r="J95" i="8" s="1"/>
  <c r="J85" i="8"/>
  <c r="J87" i="8" s="1"/>
  <c r="J329" i="9"/>
  <c r="K15" i="8"/>
  <c r="H46" i="9" s="1"/>
  <c r="H45" i="9"/>
  <c r="I32" i="8"/>
  <c r="J91" i="9" s="1"/>
  <c r="M32" i="8"/>
  <c r="N91" i="9" s="1"/>
  <c r="L32" i="8"/>
  <c r="M91" i="9" s="1"/>
  <c r="J32" i="8"/>
  <c r="K91" i="9" s="1"/>
  <c r="K32" i="8"/>
  <c r="L91" i="9" s="1"/>
  <c r="G241" i="9"/>
  <c r="G88" i="9"/>
  <c r="H241" i="9"/>
  <c r="H88" i="9"/>
  <c r="I92" i="9"/>
  <c r="H33" i="8" s="1"/>
  <c r="I94" i="9"/>
  <c r="H35" i="8" s="1"/>
  <c r="G324" i="9"/>
  <c r="G100" i="9"/>
  <c r="G339" i="9"/>
  <c r="G102" i="9"/>
  <c r="H339" i="9"/>
  <c r="H102" i="9"/>
  <c r="H95" i="9" s="1"/>
  <c r="G36" i="8" s="1"/>
  <c r="H324" i="9"/>
  <c r="H100" i="9"/>
  <c r="I324" i="9"/>
  <c r="I100" i="9"/>
  <c r="I339" i="9"/>
  <c r="I102" i="9"/>
  <c r="I95" i="9" s="1"/>
  <c r="H36" i="8" s="1"/>
  <c r="L57" i="9"/>
  <c r="J12" i="9"/>
  <c r="J35" i="9" s="1"/>
  <c r="I35" i="9"/>
  <c r="I241" i="9"/>
  <c r="I46" i="9"/>
  <c r="H345" i="9"/>
  <c r="I345" i="9"/>
  <c r="G248" i="9"/>
  <c r="G251" i="9" s="1"/>
  <c r="G254" i="9" s="1"/>
  <c r="G258" i="9" s="1"/>
  <c r="U13" i="7" s="1"/>
  <c r="U14" i="7" s="1"/>
  <c r="G304" i="9"/>
  <c r="H304" i="9"/>
  <c r="G285" i="9"/>
  <c r="G151" i="9" s="1"/>
  <c r="G160" i="9" s="1"/>
  <c r="H330" i="9"/>
  <c r="G345" i="9"/>
  <c r="G353" i="9"/>
  <c r="I304" i="9"/>
  <c r="G330" i="9"/>
  <c r="I238" i="9"/>
  <c r="H353" i="9"/>
  <c r="H318" i="9"/>
  <c r="I285" i="9"/>
  <c r="I151" i="9" s="1"/>
  <c r="I160" i="9" s="1"/>
  <c r="I353" i="9"/>
  <c r="I89" i="8"/>
  <c r="I91" i="8" s="1"/>
  <c r="I248" i="9"/>
  <c r="I251" i="9" s="1"/>
  <c r="I254" i="9" s="1"/>
  <c r="I258" i="9" s="1"/>
  <c r="I330" i="9"/>
  <c r="H83" i="8"/>
  <c r="I81" i="8" s="1"/>
  <c r="I83" i="8" s="1"/>
  <c r="H285" i="9"/>
  <c r="H151" i="9" s="1"/>
  <c r="H160" i="9" s="1"/>
  <c r="H248" i="9"/>
  <c r="H251" i="9" s="1"/>
  <c r="H254" i="9" s="1"/>
  <c r="H258" i="9" s="1"/>
  <c r="J8" i="7"/>
  <c r="K8" i="7" s="1"/>
  <c r="L8" i="7" s="1"/>
  <c r="M8" i="7" s="1"/>
  <c r="N8" i="7" s="1"/>
  <c r="M172" i="9" l="1"/>
  <c r="L341" i="9"/>
  <c r="L177" i="9"/>
  <c r="L211" i="9"/>
  <c r="L214" i="9" s="1"/>
  <c r="K350" i="9"/>
  <c r="J266" i="9"/>
  <c r="J301" i="9"/>
  <c r="J157" i="9" s="1"/>
  <c r="L201" i="9"/>
  <c r="L204" i="9" s="1"/>
  <c r="K349" i="9"/>
  <c r="K208" i="9"/>
  <c r="K183" i="9"/>
  <c r="G95" i="9"/>
  <c r="F36" i="8" s="1"/>
  <c r="M36" i="8" s="1"/>
  <c r="N95" i="9" s="1"/>
  <c r="K93" i="8"/>
  <c r="K95" i="8" s="1"/>
  <c r="K352" i="9"/>
  <c r="J81" i="8"/>
  <c r="J83" i="8" s="1"/>
  <c r="J328" i="9"/>
  <c r="J89" i="8"/>
  <c r="J91" i="8" s="1"/>
  <c r="J344" i="9"/>
  <c r="K85" i="8"/>
  <c r="K87" i="8" s="1"/>
  <c r="K329" i="9"/>
  <c r="I332" i="9"/>
  <c r="I347" i="9"/>
  <c r="I355" i="9" s="1"/>
  <c r="H104" i="9"/>
  <c r="G332" i="9"/>
  <c r="I93" i="9"/>
  <c r="H34" i="8" s="1"/>
  <c r="I104" i="9"/>
  <c r="G93" i="9"/>
  <c r="F34" i="8" s="1"/>
  <c r="G104" i="9"/>
  <c r="G92" i="9"/>
  <c r="F33" i="8" s="1"/>
  <c r="G94" i="9"/>
  <c r="F35" i="8" s="1"/>
  <c r="H332" i="9"/>
  <c r="H93" i="9"/>
  <c r="G34" i="8" s="1"/>
  <c r="H94" i="9"/>
  <c r="G35" i="8" s="1"/>
  <c r="H92" i="9"/>
  <c r="G33" i="8" s="1"/>
  <c r="H347" i="9"/>
  <c r="H355" i="9" s="1"/>
  <c r="G347" i="9"/>
  <c r="G355" i="9" s="1"/>
  <c r="M57" i="9"/>
  <c r="J19" i="9"/>
  <c r="J22" i="9" s="1"/>
  <c r="J244" i="9" s="1"/>
  <c r="K12" i="9"/>
  <c r="K35" i="9" s="1"/>
  <c r="I44" i="9"/>
  <c r="I39" i="9" s="1"/>
  <c r="J39" i="9" s="1"/>
  <c r="I45" i="9"/>
  <c r="H306" i="9"/>
  <c r="G306" i="9"/>
  <c r="G308" i="9" s="1"/>
  <c r="H307" i="9" s="1"/>
  <c r="I306" i="9"/>
  <c r="G264" i="9"/>
  <c r="U17" i="7" s="1"/>
  <c r="U18" i="7" s="1"/>
  <c r="H264" i="9"/>
  <c r="V13" i="7"/>
  <c r="J238" i="9"/>
  <c r="K238" i="9" s="1"/>
  <c r="L238" i="9" s="1"/>
  <c r="M238" i="9" s="1"/>
  <c r="N238" i="9" s="1"/>
  <c r="I318" i="9"/>
  <c r="J318" i="9" s="1"/>
  <c r="K318" i="9" s="1"/>
  <c r="L318" i="9" s="1"/>
  <c r="M318" i="9" s="1"/>
  <c r="N318" i="9" s="1"/>
  <c r="I264" i="9"/>
  <c r="W13" i="7"/>
  <c r="I277" i="9"/>
  <c r="J277" i="9" s="1"/>
  <c r="K277" i="9" s="1"/>
  <c r="L277" i="9" s="1"/>
  <c r="M277" i="9" s="1"/>
  <c r="N277" i="9" s="1"/>
  <c r="I358" i="9" l="1"/>
  <c r="H358" i="9"/>
  <c r="G358" i="9"/>
  <c r="M211" i="9"/>
  <c r="M214" i="9" s="1"/>
  <c r="L350" i="9"/>
  <c r="M201" i="9"/>
  <c r="M204" i="9" s="1"/>
  <c r="L349" i="9"/>
  <c r="L208" i="9"/>
  <c r="L181" i="9"/>
  <c r="K342" i="9"/>
  <c r="K266" i="9"/>
  <c r="K301" i="9"/>
  <c r="K157" i="9" s="1"/>
  <c r="M174" i="9"/>
  <c r="M177" i="9"/>
  <c r="K36" i="8"/>
  <c r="L95" i="9" s="1"/>
  <c r="J36" i="8"/>
  <c r="K95" i="9" s="1"/>
  <c r="L36" i="8"/>
  <c r="M95" i="9" s="1"/>
  <c r="I36" i="8"/>
  <c r="J95" i="9" s="1"/>
  <c r="L93" i="8"/>
  <c r="L95" i="8" s="1"/>
  <c r="L352" i="9"/>
  <c r="K89" i="8"/>
  <c r="K91" i="8" s="1"/>
  <c r="K344" i="9"/>
  <c r="L85" i="8"/>
  <c r="L87" i="8" s="1"/>
  <c r="L329" i="9"/>
  <c r="K81" i="8"/>
  <c r="K83" i="8" s="1"/>
  <c r="K328" i="9"/>
  <c r="J240" i="9"/>
  <c r="J242" i="9"/>
  <c r="H105" i="9"/>
  <c r="K34" i="8"/>
  <c r="L93" i="9" s="1"/>
  <c r="I105" i="9"/>
  <c r="J34" i="8"/>
  <c r="K93" i="9" s="1"/>
  <c r="M35" i="8"/>
  <c r="N94" i="9" s="1"/>
  <c r="I35" i="8"/>
  <c r="J94" i="9" s="1"/>
  <c r="J35" i="8"/>
  <c r="K94" i="9" s="1"/>
  <c r="K35" i="8"/>
  <c r="L94" i="9" s="1"/>
  <c r="L35" i="8"/>
  <c r="M94" i="9" s="1"/>
  <c r="K33" i="8"/>
  <c r="L92" i="9" s="1"/>
  <c r="I33" i="8"/>
  <c r="J92" i="9" s="1"/>
  <c r="J33" i="8"/>
  <c r="K92" i="9" s="1"/>
  <c r="L33" i="8"/>
  <c r="M92" i="9" s="1"/>
  <c r="M33" i="8"/>
  <c r="N92" i="9" s="1"/>
  <c r="I34" i="8"/>
  <c r="J93" i="9" s="1"/>
  <c r="M34" i="8"/>
  <c r="N93" i="9" s="1"/>
  <c r="L34" i="8"/>
  <c r="M93" i="9" s="1"/>
  <c r="J87" i="9"/>
  <c r="J98" i="9" s="1"/>
  <c r="J321" i="9" s="1"/>
  <c r="X10" i="7"/>
  <c r="H308" i="9"/>
  <c r="I307" i="9" s="1"/>
  <c r="I308" i="9" s="1"/>
  <c r="J307" i="9" s="1"/>
  <c r="N57" i="9"/>
  <c r="D66" i="9" s="1" a="1"/>
  <c r="M70" i="9" s="1"/>
  <c r="K19" i="9"/>
  <c r="K22" i="9" s="1"/>
  <c r="K244" i="9" s="1"/>
  <c r="L12" i="9"/>
  <c r="L35" i="9" s="1"/>
  <c r="I40" i="9"/>
  <c r="I41" i="9" s="1"/>
  <c r="J45" i="9"/>
  <c r="J44" i="9"/>
  <c r="K39" i="9"/>
  <c r="G267" i="9"/>
  <c r="V15" i="7"/>
  <c r="V14" i="7"/>
  <c r="W14" i="7"/>
  <c r="W15" i="7"/>
  <c r="H267" i="9"/>
  <c r="V17" i="7"/>
  <c r="I267" i="9"/>
  <c r="W17" i="7"/>
  <c r="L183" i="9" l="1"/>
  <c r="L186" i="9"/>
  <c r="L266" i="9"/>
  <c r="L301" i="9"/>
  <c r="L157" i="9" s="1"/>
  <c r="N201" i="9"/>
  <c r="N204" i="9" s="1"/>
  <c r="M349" i="9"/>
  <c r="M208" i="9"/>
  <c r="N172" i="9"/>
  <c r="M341" i="9"/>
  <c r="N211" i="9"/>
  <c r="N214" i="9" s="1"/>
  <c r="N350" i="9" s="1"/>
  <c r="M350" i="9"/>
  <c r="L89" i="8"/>
  <c r="L91" i="8" s="1"/>
  <c r="L344" i="9"/>
  <c r="M93" i="8"/>
  <c r="M95" i="8" s="1"/>
  <c r="N352" i="9" s="1"/>
  <c r="M352" i="9"/>
  <c r="L81" i="8"/>
  <c r="L83" i="8" s="1"/>
  <c r="L328" i="9"/>
  <c r="M85" i="8"/>
  <c r="M87" i="8" s="1"/>
  <c r="N329" i="9" s="1"/>
  <c r="M329" i="9"/>
  <c r="K240" i="9"/>
  <c r="K242" i="9"/>
  <c r="K87" i="9"/>
  <c r="K98" i="9" s="1"/>
  <c r="K321" i="9" s="1"/>
  <c r="Y10" i="7"/>
  <c r="X11" i="7"/>
  <c r="M69" i="9"/>
  <c r="M67" i="9"/>
  <c r="M68" i="9"/>
  <c r="L19" i="9"/>
  <c r="L22" i="9" s="1"/>
  <c r="L244" i="9" s="1"/>
  <c r="M12" i="9"/>
  <c r="M35" i="9" s="1"/>
  <c r="D66" i="9"/>
  <c r="J67" i="9"/>
  <c r="J70" i="9"/>
  <c r="J68" i="9"/>
  <c r="J69" i="9"/>
  <c r="K68" i="9"/>
  <c r="K67" i="9"/>
  <c r="K69" i="9"/>
  <c r="K70" i="9"/>
  <c r="L70" i="9"/>
  <c r="L69" i="9"/>
  <c r="L67" i="9"/>
  <c r="L68" i="9"/>
  <c r="N67" i="9"/>
  <c r="N69" i="9"/>
  <c r="N68" i="9"/>
  <c r="N66" i="9"/>
  <c r="N70" i="9"/>
  <c r="J46" i="9"/>
  <c r="J246" i="9" s="1"/>
  <c r="J241" i="9" s="1"/>
  <c r="L39" i="9"/>
  <c r="K44" i="9"/>
  <c r="J40" i="9"/>
  <c r="J41" i="9" s="1"/>
  <c r="K45" i="9"/>
  <c r="V19" i="7"/>
  <c r="V18" i="7"/>
  <c r="W19" i="7"/>
  <c r="W18" i="7"/>
  <c r="N12" i="9" l="1"/>
  <c r="N349" i="9"/>
  <c r="N208" i="9"/>
  <c r="M266" i="9"/>
  <c r="M301" i="9"/>
  <c r="M157" i="9" s="1"/>
  <c r="N174" i="9"/>
  <c r="N341" i="9" s="1"/>
  <c r="N177" i="9"/>
  <c r="M181" i="9"/>
  <c r="L342" i="9"/>
  <c r="M89" i="8"/>
  <c r="M91" i="8" s="1"/>
  <c r="N344" i="9" s="1"/>
  <c r="M344" i="9"/>
  <c r="M81" i="8"/>
  <c r="M83" i="8" s="1"/>
  <c r="N328" i="9" s="1"/>
  <c r="M328" i="9"/>
  <c r="L240" i="9"/>
  <c r="L242" i="9"/>
  <c r="M19" i="9"/>
  <c r="M22" i="9" s="1"/>
  <c r="M244" i="9" s="1"/>
  <c r="Z10" i="7"/>
  <c r="L87" i="9"/>
  <c r="L98" i="9" s="1"/>
  <c r="L321" i="9" s="1"/>
  <c r="J248" i="9"/>
  <c r="J251" i="9" s="1"/>
  <c r="J88" i="9"/>
  <c r="Y11" i="7"/>
  <c r="N71" i="9"/>
  <c r="J66" i="9"/>
  <c r="J71" i="9" s="1"/>
  <c r="J281" i="9" s="1"/>
  <c r="K66" i="9"/>
  <c r="K71" i="9" s="1"/>
  <c r="L66" i="9"/>
  <c r="L71" i="9" s="1"/>
  <c r="M66" i="9"/>
  <c r="M71" i="9" s="1"/>
  <c r="L45" i="9"/>
  <c r="K40" i="9"/>
  <c r="K41" i="9" s="1"/>
  <c r="K46" i="9"/>
  <c r="K246" i="9" s="1"/>
  <c r="K241" i="9" s="1"/>
  <c r="M39" i="9"/>
  <c r="L44" i="9"/>
  <c r="N19" i="9"/>
  <c r="N22" i="9" s="1"/>
  <c r="N244" i="9" s="1"/>
  <c r="N35" i="9"/>
  <c r="M183" i="9" l="1"/>
  <c r="M186" i="9"/>
  <c r="N266" i="9"/>
  <c r="N301" i="9"/>
  <c r="N157" i="9" s="1"/>
  <c r="L253" i="9"/>
  <c r="L281" i="9"/>
  <c r="M253" i="9"/>
  <c r="M281" i="9"/>
  <c r="K253" i="9"/>
  <c r="K281" i="9"/>
  <c r="N253" i="9"/>
  <c r="N281" i="9"/>
  <c r="M240" i="9"/>
  <c r="M242" i="9"/>
  <c r="N240" i="9"/>
  <c r="N242" i="9"/>
  <c r="J74" i="9"/>
  <c r="J253" i="9"/>
  <c r="J254" i="9" s="1"/>
  <c r="AA10" i="7"/>
  <c r="M87" i="9"/>
  <c r="M98" i="9" s="1"/>
  <c r="M321" i="9" s="1"/>
  <c r="K248" i="9"/>
  <c r="K251" i="9" s="1"/>
  <c r="K88" i="9"/>
  <c r="Z11" i="7"/>
  <c r="AB10" i="7"/>
  <c r="N87" i="9"/>
  <c r="N98" i="9" s="1"/>
  <c r="N321" i="9" s="1"/>
  <c r="J102" i="9"/>
  <c r="J338" i="9" s="1"/>
  <c r="J100" i="9"/>
  <c r="J323" i="9" s="1"/>
  <c r="J101" i="9"/>
  <c r="J337" i="9" s="1"/>
  <c r="J99" i="9"/>
  <c r="J322" i="9" s="1"/>
  <c r="L46" i="9"/>
  <c r="L246" i="9" s="1"/>
  <c r="L241" i="9" s="1"/>
  <c r="N39" i="9"/>
  <c r="M44" i="9"/>
  <c r="M45" i="9"/>
  <c r="L40" i="9"/>
  <c r="L41" i="9" s="1"/>
  <c r="N181" i="9" l="1"/>
  <c r="M342" i="9"/>
  <c r="K74" i="9"/>
  <c r="K326" i="9" s="1"/>
  <c r="K330" i="9" s="1"/>
  <c r="J326" i="9"/>
  <c r="J330" i="9" s="1"/>
  <c r="K254" i="9"/>
  <c r="K59" i="9"/>
  <c r="AA11" i="7"/>
  <c r="J258" i="9"/>
  <c r="J119" i="9" s="1"/>
  <c r="J104" i="9"/>
  <c r="L88" i="9"/>
  <c r="L248" i="9"/>
  <c r="L251" i="9" s="1"/>
  <c r="L254" i="9" s="1"/>
  <c r="AB11" i="7"/>
  <c r="K102" i="9"/>
  <c r="K338" i="9" s="1"/>
  <c r="K99" i="9"/>
  <c r="K322" i="9" s="1"/>
  <c r="K100" i="9"/>
  <c r="K323" i="9" s="1"/>
  <c r="K101" i="9"/>
  <c r="K337" i="9" s="1"/>
  <c r="M46" i="9"/>
  <c r="M246" i="9" s="1"/>
  <c r="M241" i="9" s="1"/>
  <c r="N45" i="9"/>
  <c r="N40" i="9" s="1"/>
  <c r="N41" i="9" s="1"/>
  <c r="M40" i="9"/>
  <c r="M41" i="9" s="1"/>
  <c r="N44" i="9"/>
  <c r="N183" i="9" l="1"/>
  <c r="N342" i="9" s="1"/>
  <c r="N186" i="9"/>
  <c r="L74" i="9"/>
  <c r="L326" i="9" s="1"/>
  <c r="L330" i="9" s="1"/>
  <c r="L59" i="9"/>
  <c r="X13" i="7"/>
  <c r="X14" i="7" s="1"/>
  <c r="N46" i="9"/>
  <c r="N246" i="9" s="1"/>
  <c r="J123" i="9"/>
  <c r="J127" i="9" s="1"/>
  <c r="J260" i="9" s="1"/>
  <c r="J125" i="9"/>
  <c r="K104" i="9"/>
  <c r="K105" i="9" s="1"/>
  <c r="K283" i="9" s="1"/>
  <c r="J105" i="9"/>
  <c r="J283" i="9" s="1"/>
  <c r="L100" i="9"/>
  <c r="L323" i="9" s="1"/>
  <c r="L102" i="9"/>
  <c r="L338" i="9" s="1"/>
  <c r="L101" i="9"/>
  <c r="L337" i="9" s="1"/>
  <c r="L99" i="9"/>
  <c r="L322" i="9" s="1"/>
  <c r="M88" i="9"/>
  <c r="M248" i="9"/>
  <c r="M251" i="9" s="1"/>
  <c r="M254" i="9" s="1"/>
  <c r="M74" i="9" l="1"/>
  <c r="M326" i="9" s="1"/>
  <c r="M330" i="9" s="1"/>
  <c r="M59" i="9"/>
  <c r="X15" i="7"/>
  <c r="N248" i="9"/>
  <c r="N251" i="9" s="1"/>
  <c r="N254" i="9" s="1"/>
  <c r="N241" i="9"/>
  <c r="N88" i="9"/>
  <c r="N100" i="9" s="1"/>
  <c r="N323" i="9" s="1"/>
  <c r="J128" i="9"/>
  <c r="L104" i="9"/>
  <c r="L105" i="9" s="1"/>
  <c r="L283" i="9" s="1"/>
  <c r="M102" i="9"/>
  <c r="M338" i="9" s="1"/>
  <c r="M99" i="9"/>
  <c r="M322" i="9" s="1"/>
  <c r="M101" i="9"/>
  <c r="M337" i="9" s="1"/>
  <c r="M100" i="9"/>
  <c r="M323" i="9" s="1"/>
  <c r="N59" i="9"/>
  <c r="N74" i="9"/>
  <c r="N326" i="9" s="1"/>
  <c r="N330" i="9" s="1"/>
  <c r="J282" i="9" l="1"/>
  <c r="J343" i="9"/>
  <c r="J345" i="9" s="1"/>
  <c r="N102" i="9"/>
  <c r="N338" i="9" s="1"/>
  <c r="N101" i="9"/>
  <c r="N337" i="9" s="1"/>
  <c r="N99" i="9"/>
  <c r="N322" i="9" s="1"/>
  <c r="J129" i="9"/>
  <c r="J261" i="9"/>
  <c r="J262" i="9" s="1"/>
  <c r="J264" i="9" s="1"/>
  <c r="J280" i="9" s="1"/>
  <c r="M104" i="9"/>
  <c r="J285" i="9" l="1"/>
  <c r="J151" i="9" s="1"/>
  <c r="N104" i="9"/>
  <c r="N105" i="9" s="1"/>
  <c r="N283" i="9" s="1"/>
  <c r="X17" i="7"/>
  <c r="J267" i="9"/>
  <c r="J218" i="9" s="1"/>
  <c r="M105" i="9"/>
  <c r="M283" i="9" s="1"/>
  <c r="J219" i="9" l="1"/>
  <c r="J227" i="9" s="1"/>
  <c r="J226" i="9"/>
  <c r="X19" i="7"/>
  <c r="X18" i="7"/>
  <c r="J302" i="9" l="1"/>
  <c r="J158" i="9" s="1"/>
  <c r="J160" i="9" s="1"/>
  <c r="J164" i="9" s="1"/>
  <c r="J296" i="9" s="1"/>
  <c r="J221" i="9"/>
  <c r="J228" i="9" s="1"/>
  <c r="K225" i="9" l="1"/>
  <c r="J351" i="9"/>
  <c r="J353" i="9" s="1"/>
  <c r="J165" i="9"/>
  <c r="J304" i="9"/>
  <c r="J306" i="9" s="1"/>
  <c r="J308" i="9" l="1"/>
  <c r="J143" i="9"/>
  <c r="J144" i="9" s="1"/>
  <c r="K142" i="9" s="1"/>
  <c r="K147" i="9" s="1"/>
  <c r="K188" i="9" s="1"/>
  <c r="K257" i="9" s="1"/>
  <c r="K258" i="9" s="1"/>
  <c r="K163" i="9"/>
  <c r="K168" i="9" s="1"/>
  <c r="J336" i="9"/>
  <c r="J339" i="9" s="1"/>
  <c r="J347" i="9" s="1"/>
  <c r="J355" i="9" s="1"/>
  <c r="Y13" i="7" l="1"/>
  <c r="K119" i="9"/>
  <c r="K307" i="9"/>
  <c r="J320" i="9"/>
  <c r="J324" i="9" s="1"/>
  <c r="J332" i="9" s="1"/>
  <c r="J358" i="9" s="1"/>
  <c r="Y14" i="7"/>
  <c r="Y15" i="7"/>
  <c r="K125" i="9" l="1"/>
  <c r="K123" i="9"/>
  <c r="K127" i="9" s="1"/>
  <c r="K128" i="9" l="1"/>
  <c r="K129" i="9" s="1"/>
  <c r="K260" i="9"/>
  <c r="K282" i="9"/>
  <c r="K261" i="9"/>
  <c r="K262" i="9" s="1"/>
  <c r="K264" i="9" s="1"/>
  <c r="K343" i="9"/>
  <c r="K345" i="9" s="1"/>
  <c r="K280" i="9" l="1"/>
  <c r="K285" i="9" s="1"/>
  <c r="K151" i="9" s="1"/>
  <c r="Y17" i="7"/>
  <c r="K267" i="9"/>
  <c r="K218" i="9" s="1"/>
  <c r="Y18" i="7" l="1"/>
  <c r="Y19" i="7"/>
  <c r="K219" i="9"/>
  <c r="K227" i="9" s="1"/>
  <c r="K226" i="9"/>
  <c r="K221" i="9" l="1"/>
  <c r="K228" i="9" s="1"/>
  <c r="K302" i="9"/>
  <c r="K158" i="9" s="1"/>
  <c r="K160" i="9" s="1"/>
  <c r="K164" i="9" s="1"/>
  <c r="K296" i="9" s="1"/>
  <c r="K304" i="9" l="1"/>
  <c r="K306" i="9" s="1"/>
  <c r="K165" i="9"/>
  <c r="L225" i="9"/>
  <c r="K351" i="9"/>
  <c r="K353" i="9" s="1"/>
  <c r="K336" i="9" l="1"/>
  <c r="K339" i="9" s="1"/>
  <c r="K347" i="9" s="1"/>
  <c r="K355" i="9" s="1"/>
  <c r="L163" i="9"/>
  <c r="L168" i="9" s="1"/>
  <c r="K143" i="9"/>
  <c r="K144" i="9" s="1"/>
  <c r="L142" i="9" s="1"/>
  <c r="L147" i="9" s="1"/>
  <c r="K308" i="9"/>
  <c r="K320" i="9" s="1"/>
  <c r="K324" i="9" l="1"/>
  <c r="K332" i="9" s="1"/>
  <c r="K358" i="9" s="1"/>
  <c r="L307" i="9"/>
  <c r="L188" i="9"/>
  <c r="L257" i="9" s="1"/>
  <c r="L258" i="9" s="1"/>
  <c r="L119" i="9" l="1"/>
  <c r="Z13" i="7"/>
  <c r="Z15" i="7" l="1"/>
  <c r="Z14" i="7"/>
  <c r="L123" i="9"/>
  <c r="L127" i="9" s="1"/>
  <c r="L125" i="9"/>
  <c r="L128" i="9" l="1"/>
  <c r="L343" i="9" s="1"/>
  <c r="L345" i="9" s="1"/>
  <c r="L260" i="9"/>
  <c r="L129" i="9" l="1"/>
  <c r="L282" i="9"/>
  <c r="L261" i="9"/>
  <c r="L262" i="9" s="1"/>
  <c r="L264" i="9" s="1"/>
  <c r="L280" i="9" s="1"/>
  <c r="L285" i="9" s="1"/>
  <c r="L151" i="9" s="1"/>
  <c r="Z17" i="7" l="1"/>
  <c r="Z19" i="7" s="1"/>
  <c r="L267" i="9"/>
  <c r="L218" i="9" s="1"/>
  <c r="L226" i="9" s="1"/>
  <c r="L219" i="9"/>
  <c r="L227" i="9" s="1"/>
  <c r="Z18" i="7" l="1"/>
  <c r="L302" i="9"/>
  <c r="L158" i="9" s="1"/>
  <c r="L160" i="9" s="1"/>
  <c r="L164" i="9" s="1"/>
  <c r="L296" i="9" s="1"/>
  <c r="L221" i="9"/>
  <c r="L228" i="9" s="1"/>
  <c r="M225" i="9" l="1"/>
  <c r="L351" i="9"/>
  <c r="L353" i="9" s="1"/>
  <c r="L165" i="9"/>
  <c r="L304" i="9"/>
  <c r="L306" i="9" s="1"/>
  <c r="L143" i="9" l="1"/>
  <c r="L144" i="9" s="1"/>
  <c r="M142" i="9" s="1"/>
  <c r="M147" i="9" s="1"/>
  <c r="L308" i="9"/>
  <c r="L320" i="9" s="1"/>
  <c r="M163" i="9"/>
  <c r="M168" i="9" s="1"/>
  <c r="L336" i="9"/>
  <c r="L339" i="9" s="1"/>
  <c r="L347" i="9" s="1"/>
  <c r="L355" i="9" s="1"/>
  <c r="M188" i="9" l="1"/>
  <c r="M257" i="9" s="1"/>
  <c r="M258" i="9" s="1"/>
  <c r="M119" i="9" s="1"/>
  <c r="L324" i="9"/>
  <c r="L332" i="9" s="1"/>
  <c r="L358" i="9" s="1"/>
  <c r="M307" i="9"/>
  <c r="AA13" i="7" l="1"/>
  <c r="AA14" i="7" s="1"/>
  <c r="AA15" i="7"/>
  <c r="M123" i="9"/>
  <c r="M127" i="9" s="1"/>
  <c r="M125" i="9"/>
  <c r="M128" i="9" l="1"/>
  <c r="M129" i="9" s="1"/>
  <c r="M260" i="9"/>
  <c r="M261" i="9"/>
  <c r="M343" i="9"/>
  <c r="M345" i="9" s="1"/>
  <c r="M282" i="9" l="1"/>
  <c r="M262" i="9"/>
  <c r="M264" i="9" s="1"/>
  <c r="AA17" i="7" s="1"/>
  <c r="M267" i="9" l="1"/>
  <c r="M218" i="9" s="1"/>
  <c r="M219" i="9" s="1"/>
  <c r="M227" i="9" s="1"/>
  <c r="M280" i="9"/>
  <c r="M285" i="9" s="1"/>
  <c r="M151" i="9" s="1"/>
  <c r="AA19" i="7"/>
  <c r="AA18" i="7"/>
  <c r="M226" i="9" l="1"/>
  <c r="M221" i="9"/>
  <c r="M302" i="9"/>
  <c r="M158" i="9" s="1"/>
  <c r="M160" i="9" s="1"/>
  <c r="M164" i="9" s="1"/>
  <c r="M296" i="9" s="1"/>
  <c r="M228" i="9" l="1"/>
  <c r="M351" i="9" s="1"/>
  <c r="M353" i="9" s="1"/>
  <c r="M165" i="9"/>
  <c r="M304" i="9"/>
  <c r="M306" i="9" s="1"/>
  <c r="N225" i="9" l="1"/>
  <c r="M143" i="9"/>
  <c r="M144" i="9" s="1"/>
  <c r="N142" i="9" s="1"/>
  <c r="N147" i="9" s="1"/>
  <c r="M308" i="9"/>
  <c r="M320" i="9" s="1"/>
  <c r="N163" i="9"/>
  <c r="N168" i="9" s="1"/>
  <c r="M336" i="9"/>
  <c r="M339" i="9" s="1"/>
  <c r="M347" i="9" s="1"/>
  <c r="M355" i="9" s="1"/>
  <c r="N188" i="9" l="1"/>
  <c r="N257" i="9" s="1"/>
  <c r="N258" i="9" s="1"/>
  <c r="N307" i="9"/>
  <c r="M324" i="9"/>
  <c r="M332" i="9" s="1"/>
  <c r="M358" i="9" s="1"/>
  <c r="N119" i="9" l="1"/>
  <c r="AB13" i="7"/>
  <c r="AB14" i="7" l="1"/>
  <c r="AB15" i="7"/>
  <c r="N123" i="9"/>
  <c r="N127" i="9" s="1"/>
  <c r="N125" i="9"/>
  <c r="N128" i="9" l="1"/>
  <c r="N282" i="9" s="1"/>
  <c r="N343" i="9"/>
  <c r="N345" i="9" s="1"/>
  <c r="N261" i="9"/>
  <c r="N129" i="9"/>
  <c r="N260" i="9"/>
  <c r="N262" i="9" l="1"/>
  <c r="N264" i="9" s="1"/>
  <c r="N267" i="9" l="1"/>
  <c r="N218" i="9" s="1"/>
  <c r="AB17" i="7"/>
  <c r="N280" i="9"/>
  <c r="N285" i="9" s="1"/>
  <c r="N151" i="9" s="1"/>
  <c r="AB18" i="7" l="1"/>
  <c r="AB19" i="7"/>
  <c r="N219" i="9"/>
  <c r="N227" i="9" s="1"/>
  <c r="N226" i="9"/>
  <c r="N221" i="9" l="1"/>
  <c r="N228" i="9" s="1"/>
  <c r="N351" i="9" s="1"/>
  <c r="N353" i="9" s="1"/>
  <c r="N302" i="9"/>
  <c r="N158" i="9" s="1"/>
  <c r="N160" i="9" s="1"/>
  <c r="N164" i="9" s="1"/>
  <c r="N296" i="9" s="1"/>
  <c r="N165" i="9" l="1"/>
  <c r="N336" i="9" s="1"/>
  <c r="N339" i="9" s="1"/>
  <c r="N347" i="9" s="1"/>
  <c r="N355" i="9" s="1"/>
  <c r="N304" i="9"/>
  <c r="N306" i="9" s="1"/>
  <c r="N308" i="9" l="1"/>
  <c r="N143" i="9"/>
  <c r="N144" i="9" s="1"/>
  <c r="N320" i="9" l="1"/>
  <c r="N324" i="9" s="1"/>
  <c r="N332" i="9" s="1"/>
  <c r="N358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<sst xmlns="http://schemas.openxmlformats.org/spreadsheetml/2006/main" count="435" uniqueCount="188">
  <si>
    <t>Income Statement</t>
  </si>
  <si>
    <t>Revenue Growth</t>
  </si>
  <si>
    <t>COGS (% of revenue)</t>
  </si>
  <si>
    <t>SG&amp;A (% of revenue)</t>
  </si>
  <si>
    <t>Revenue</t>
  </si>
  <si>
    <t>Cost of Sales</t>
  </si>
  <si>
    <t>SG&amp;A</t>
  </si>
  <si>
    <t>Total Costs</t>
  </si>
  <si>
    <t>Cost Adjustments - Gain / (Loss)</t>
  </si>
  <si>
    <t>EBITDA</t>
  </si>
  <si>
    <t>Depreciation</t>
  </si>
  <si>
    <t>EBIT</t>
  </si>
  <si>
    <t>EBT</t>
  </si>
  <si>
    <t>Current Taxes</t>
  </si>
  <si>
    <t>Deferred Income Taxes</t>
  </si>
  <si>
    <t>Total Income Taxes</t>
  </si>
  <si>
    <t>Net Income</t>
  </si>
  <si>
    <t>Cash Flow Statement</t>
  </si>
  <si>
    <t>Operating Activities</t>
  </si>
  <si>
    <t>Changes in Working Capital</t>
  </si>
  <si>
    <t>Operating Cash Flow</t>
  </si>
  <si>
    <t>Investing Activities</t>
  </si>
  <si>
    <t>CAPEX</t>
  </si>
  <si>
    <t>Asset Dispositions</t>
  </si>
  <si>
    <t>Investing Cash Flow</t>
  </si>
  <si>
    <t>Financing Activities</t>
  </si>
  <si>
    <t>Revolver Issuance / (Repayment)</t>
  </si>
  <si>
    <t>Financing Cash Flow</t>
  </si>
  <si>
    <t>Balance Sheet</t>
  </si>
  <si>
    <t>ASSETS</t>
  </si>
  <si>
    <t>Accounts Receivable</t>
  </si>
  <si>
    <t>Inventory</t>
  </si>
  <si>
    <t>Other</t>
  </si>
  <si>
    <t>Total Current Assets</t>
  </si>
  <si>
    <t>Net PP&amp;E</t>
  </si>
  <si>
    <t>Goodwill</t>
  </si>
  <si>
    <t>Intangibles</t>
  </si>
  <si>
    <t>Total Long Term Assets</t>
  </si>
  <si>
    <t>Total Assets</t>
  </si>
  <si>
    <t>LIABILITIES AND EQUITY</t>
  </si>
  <si>
    <t>Bank Debt - Revolver</t>
  </si>
  <si>
    <t>Accounts Payable</t>
  </si>
  <si>
    <t>Total Current Liabilities</t>
  </si>
  <si>
    <t>Total Long Term Liabilities</t>
  </si>
  <si>
    <t>Total Liabilities</t>
  </si>
  <si>
    <t>Retained Earnings</t>
  </si>
  <si>
    <t>Shareholder's Equity</t>
  </si>
  <si>
    <t>Total Liabilities and Equity</t>
  </si>
  <si>
    <t>Change in Cash Position</t>
  </si>
  <si>
    <t>Beginning Cash</t>
  </si>
  <si>
    <t>Ending Cash</t>
  </si>
  <si>
    <t>Cash and Equivalents</t>
  </si>
  <si>
    <t>Variable Rate Long Term Debt</t>
  </si>
  <si>
    <t>Fixed Rate Long Term Debt</t>
  </si>
  <si>
    <t>Variable Rate Long Term Debt Issuance / (Repayment)</t>
  </si>
  <si>
    <t>Fixed Rate Long Term Debt Issuance / (Repayment)</t>
  </si>
  <si>
    <t>Preferred Dividend</t>
  </si>
  <si>
    <t>Net Income to Common</t>
  </si>
  <si>
    <t>Preferred Shares</t>
  </si>
  <si>
    <t>Common Shares</t>
  </si>
  <si>
    <t>($ Millions)</t>
  </si>
  <si>
    <t>Preferred Share Issuance/ (Buy-Back)</t>
  </si>
  <si>
    <t>Common Share Issuance/ (Buy-Back)</t>
  </si>
  <si>
    <t>Preferred Share Dividends</t>
  </si>
  <si>
    <t>Common Share Dividends</t>
  </si>
  <si>
    <t>Net Interest Expense</t>
  </si>
  <si>
    <t>GENERAL</t>
  </si>
  <si>
    <t>The first forecasting year</t>
  </si>
  <si>
    <t>DEPRECIATION</t>
  </si>
  <si>
    <t>Method of Depreciation</t>
  </si>
  <si>
    <t>Straight-Line</t>
  </si>
  <si>
    <t>Life Span Existing Asstets</t>
  </si>
  <si>
    <t>Life Span New Asstets</t>
  </si>
  <si>
    <t>Additional assumptions on the "Other Assumptions"</t>
  </si>
  <si>
    <t>Income Tax</t>
  </si>
  <si>
    <t>Tax Rate</t>
  </si>
  <si>
    <t>Forecasting periods</t>
  </si>
  <si>
    <t>2018-2022</t>
  </si>
  <si>
    <t xml:space="preserve">The model have been used Inflation costs, Sales Pricing, </t>
  </si>
  <si>
    <t>Volume Growth</t>
  </si>
  <si>
    <t>PRODUCT SCEANRIO</t>
  </si>
  <si>
    <t>Base</t>
  </si>
  <si>
    <t>Best</t>
  </si>
  <si>
    <t>Worst</t>
  </si>
  <si>
    <t>General Research</t>
  </si>
  <si>
    <t>Variable costs</t>
  </si>
  <si>
    <t>Fixed costs</t>
  </si>
  <si>
    <t>Total</t>
  </si>
  <si>
    <t>Assumptions (Part 1)</t>
  </si>
  <si>
    <t>Assumptions (Part 2)</t>
  </si>
  <si>
    <t>OTHER ASSUMPTIONS</t>
  </si>
  <si>
    <t>($MM)</t>
  </si>
  <si>
    <t>Capital Expenditure</t>
  </si>
  <si>
    <t>Cost Adjustments  - Gain / (Loss)</t>
  </si>
  <si>
    <t>Working Capital</t>
  </si>
  <si>
    <t>Other Assets</t>
  </si>
  <si>
    <t>Other Liabilities</t>
  </si>
  <si>
    <t>(days)</t>
  </si>
  <si>
    <t>Income Taxes</t>
  </si>
  <si>
    <t>EBT tax reduction due to time diff</t>
  </si>
  <si>
    <t>Inflation</t>
  </si>
  <si>
    <t>(%)</t>
  </si>
  <si>
    <t>Sales</t>
  </si>
  <si>
    <t>Non-core product</t>
  </si>
  <si>
    <t>Non core Growth</t>
  </si>
  <si>
    <t>Debt</t>
  </si>
  <si>
    <t>Interests</t>
  </si>
  <si>
    <t>Cash</t>
  </si>
  <si>
    <t>Revolving Credit Facility (Revolver)</t>
  </si>
  <si>
    <t>LIBOR</t>
  </si>
  <si>
    <t>Creadit Spread</t>
  </si>
  <si>
    <t>Equity</t>
  </si>
  <si>
    <t>Amortization</t>
  </si>
  <si>
    <t>Issue</t>
  </si>
  <si>
    <t>Repurchase</t>
  </si>
  <si>
    <t>Payout ratio</t>
  </si>
  <si>
    <t>Other Long-Term Liabilities</t>
  </si>
  <si>
    <t>Other Long-Term Assets</t>
  </si>
  <si>
    <t>Other Shareholders’ Equity</t>
  </si>
  <si>
    <t>Openning Balance</t>
  </si>
  <si>
    <t>Changing</t>
  </si>
  <si>
    <t>Closing Balance</t>
  </si>
  <si>
    <t>Economic and Pricing Schedule</t>
  </si>
  <si>
    <t>Scenaraio Switch</t>
  </si>
  <si>
    <t>ECONOMIC SCENARIO</t>
  </si>
  <si>
    <t>Cost Inflation</t>
  </si>
  <si>
    <t>Pricing Growth</t>
  </si>
  <si>
    <t>CORE PRODUCT PRICING</t>
  </si>
  <si>
    <t>Net Revenue</t>
  </si>
  <si>
    <t>Changes</t>
  </si>
  <si>
    <t>Margin</t>
  </si>
  <si>
    <t>BASE SCENARIO</t>
  </si>
  <si>
    <t>BEST SCENARIO</t>
  </si>
  <si>
    <t>WORST SCENARIO</t>
  </si>
  <si>
    <t>Summary Schedules</t>
  </si>
  <si>
    <t>Revenue Schedule</t>
  </si>
  <si>
    <t>Non core product</t>
  </si>
  <si>
    <t>Core product</t>
  </si>
  <si>
    <t>Gross Sales</t>
  </si>
  <si>
    <t>Sales Price per Unit</t>
  </si>
  <si>
    <t>($ unit)</t>
  </si>
  <si>
    <t>Product Volume</t>
  </si>
  <si>
    <t>Growth Volume</t>
  </si>
  <si>
    <t>(000' units)</t>
  </si>
  <si>
    <t>Sales Volume</t>
  </si>
  <si>
    <t>Costs Schedule</t>
  </si>
  <si>
    <t>COSTS OF SALES PER UNIT</t>
  </si>
  <si>
    <t>COSTS OF SALES IN MILLIONS</t>
  </si>
  <si>
    <t>Variable Costs</t>
  </si>
  <si>
    <t>Fixed Costs</t>
  </si>
  <si>
    <t xml:space="preserve">Core product </t>
  </si>
  <si>
    <t>SALES PRICE IN 2017</t>
  </si>
  <si>
    <t>OPERATING COSTS IN 2017</t>
  </si>
  <si>
    <t>Inflation Cost</t>
  </si>
  <si>
    <t>CAPEX and Depreciation Schedule</t>
  </si>
  <si>
    <t>PP&amp;E Opening Balance</t>
  </si>
  <si>
    <t xml:space="preserve">Net PP&amp;E </t>
  </si>
  <si>
    <t>Depreciation Exising Assets</t>
  </si>
  <si>
    <t>Depreciation New Assets</t>
  </si>
  <si>
    <t>Total Depreciation</t>
  </si>
  <si>
    <t>Working Capital IN DAYS</t>
  </si>
  <si>
    <t>Working Capital IN MILLIONS</t>
  </si>
  <si>
    <t>Days</t>
  </si>
  <si>
    <t>Net Working Capital</t>
  </si>
  <si>
    <t>Change in Working Capital</t>
  </si>
  <si>
    <t>Income Tax Schedule</t>
  </si>
  <si>
    <t>Income Tax Rate</t>
  </si>
  <si>
    <t>Accounting EBT</t>
  </si>
  <si>
    <t>Govern't EBT</t>
  </si>
  <si>
    <t>Accouniting Taxes</t>
  </si>
  <si>
    <t>Current Tax</t>
  </si>
  <si>
    <t>Deferred Tax</t>
  </si>
  <si>
    <t>Total Tax</t>
  </si>
  <si>
    <t>Debt Schedule</t>
  </si>
  <si>
    <t xml:space="preserve">Open Balancing </t>
  </si>
  <si>
    <t>Change</t>
  </si>
  <si>
    <t>Interest Income</t>
  </si>
  <si>
    <t>Interest Rate</t>
  </si>
  <si>
    <t>Revolving</t>
  </si>
  <si>
    <t>FCF Mandatory Payments</t>
  </si>
  <si>
    <t>Other Investing Cash Flow</t>
  </si>
  <si>
    <t>Other Operating Cash Flow</t>
  </si>
  <si>
    <t>Other Financing Cash Flow</t>
  </si>
  <si>
    <t>Interest Expense</t>
  </si>
  <si>
    <t>Total Interest Expense</t>
  </si>
  <si>
    <t>Equity Schedule</t>
  </si>
  <si>
    <t>Total Dividends</t>
  </si>
  <si>
    <t>Global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</si>
</sst>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  <numFmt numFmtId="165" formatCode="0\A"/>
    <numFmt numFmtId="166" formatCode="0.0%;\(0.0%\)"/>
    <numFmt numFmtId="167" formatCode="#,##0.0_);\(#,##0.0\)"/>
    <numFmt numFmtId="168" formatCode="&quot;$&quot;#,##0.0_);\(&quot;$&quot;#,##0.0\)"/>
    <numFmt numFmtId="169" formatCode="0%;\(0%\)"/>
    <numFmt numFmtId="170" formatCode="#,##0.000_);\(#,##0.000\)"/>
    <numFmt numFmtId="171" formatCode="_(* #,##0.0_);_(* \(#,##0.0\);_(* &quot;-&quot;??_);_(@_)"/>
    <numFmt numFmtId="172" formatCode="_-* #,##0_-;\-* #,##0_-;_-* &quot;-&quot;??_-;_-@_-"/>
    <numFmt numFmtId="173" formatCode="\F0\A"/>
    <numFmt numFmtId="174" formatCode="#,##0.0"/>
    <numFmt numFmtId="175" formatCode="General\ &quot;years&quot;"/>
    <numFmt numFmtId="176" formatCode="0.0"/>
    <numFmt numFmtId="177" formatCode="0.0%"/>
  </numFmts>
  <fonts count="33">
    <font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0"/>
      <name val="Aldine401 BT"/>
    </font>
    <font>
      <sz val="10"/>
      <name val="Book Antiqua"/>
      <family val="1"/>
    </font>
    <font>
      <sz val="11"/>
      <color indexed="12"/>
      <name val="Book Antiqua"/>
      <family val="1"/>
    </font>
    <font>
      <sz val="8"/>
      <name val="Arial"/>
      <family val="2"/>
    </font>
    <font>
      <b/>
      <sz val="18"/>
      <name val="Arial"/>
      <family val="2"/>
    </font>
    <font>
      <b/>
      <sz val="10"/>
      <color theme="1"/>
      <name val="Times New Roman"/>
      <family val="1"/>
    </font>
    <font>
      <b/>
      <sz val="10"/>
      <color rgb="FF0000FF"/>
      <name val="Times New Roman"/>
      <family val="1"/>
    </font>
    <font>
      <b/>
      <sz val="18"/>
      <name val="Times New Roman"/>
      <family val="1"/>
    </font>
    <font>
      <b/>
      <sz val="14"/>
      <name val="Times New Roman"/>
      <family val="1"/>
    </font>
    <font>
      <i/>
      <sz val="10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sz val="9"/>
      <name val="Times New Roman"/>
      <family val="1"/>
    </font>
    <font>
      <b/>
      <u/>
      <sz val="9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sz val="10"/>
      <color rgb="FF0000FF"/>
      <name val="Times New Roman"/>
      <family val="1"/>
    </font>
    <font>
      <b/>
      <u/>
      <sz val="10"/>
      <color rgb="FF0000FF"/>
      <name val="Times New Roman"/>
      <family val="1"/>
    </font>
    <font>
      <sz val="9"/>
      <color rgb="FF0000FF"/>
      <name val="Times New Roman"/>
      <family val="1"/>
    </font>
    <font>
      <vertAlign val="superscript"/>
      <sz val="7"/>
      <name val="Times New Roman"/>
      <family val="1"/>
    </font>
    <font>
      <i/>
      <sz val="10"/>
      <color rgb="FF0000FF"/>
      <name val="Times New Roman"/>
      <family val="1"/>
    </font>
    <font>
      <b/>
      <i/>
      <sz val="10"/>
      <name val="Times New Roman"/>
      <family val="1"/>
    </font>
    <font>
      <sz val="8"/>
      <color indexed="12"/>
      <name val="Times New Roman"/>
      <family val="1"/>
    </font>
    <font>
      <b/>
      <sz val="25"/>
      <name val="Times New Roman"/>
      <family val="1"/>
    </font>
    <font>
      <b/>
      <sz val="25"/>
      <color rgb="FF0000FF"/>
      <name val="Times New Roman"/>
      <family val="1"/>
    </font>
    <font>
      <sz val="10"/>
      <color theme="1"/>
      <name val="Times New Roman"/>
      <family val="1"/>
    </font>
    <font>
      <sz val="12"/>
      <name val="Times New Roman"/>
      <family val="1"/>
    </font>
    <font>
      <sz val="10"/>
      <color rgb="FF993366"/>
      <name val="Times New Roman"/>
      <family val="1"/>
    </font>
    <font>
      <b/>
      <u/>
      <sz val="10"/>
      <color theme="0"/>
      <name val="Times New Roman"/>
      <family val="1"/>
    </font>
    <font>
      <b/>
      <sz val="10"/>
      <color rgb="FF993366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3">
    <xf numFmtId="0" fontId="0" fillId="0" borderId="0"/>
    <xf numFmtId="43" fontId="3" fillId="0" borderId="0" applyFont="0" applyFill="0" applyBorder="0" applyAlignment="0" applyProtection="0"/>
    <xf numFmtId="0" fontId="2" fillId="0" borderId="0"/>
    <xf numFmtId="0" fontId="4" fillId="0" borderId="0" applyNumberFormat="0" applyFont="0" applyFill="0" applyBorder="0" applyProtection="0">
      <alignment horizontal="centerContinuous"/>
    </xf>
    <xf numFmtId="0" fontId="4" fillId="0" borderId="2" applyNumberFormat="0" applyFont="0" applyFill="0" applyAlignment="0" applyProtection="0"/>
    <xf numFmtId="0" fontId="4" fillId="0" borderId="0" applyNumberFormat="0" applyFont="0" applyFill="0" applyBorder="0" applyProtection="0">
      <alignment horizontal="center"/>
    </xf>
    <xf numFmtId="8" fontId="5" fillId="0" borderId="6">
      <protection locked="0"/>
    </xf>
    <xf numFmtId="0" fontId="4" fillId="0" borderId="7" applyNumberFormat="0" applyFont="0" applyFill="0" applyAlignment="0" applyProtection="0"/>
    <xf numFmtId="0" fontId="6" fillId="0" borderId="0" applyNumberFormat="0" applyFill="0" applyBorder="0" applyAlignment="0" applyProtection="0"/>
    <xf numFmtId="172" fontId="3" fillId="0" borderId="0" applyNumberFormat="0" applyFill="0" applyBorder="0" applyAlignment="0" applyProtection="0"/>
    <xf numFmtId="0" fontId="4" fillId="0" borderId="5" applyNumberFormat="0" applyFont="0" applyFill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2">
    <xf numFmtId="0" fontId="0" fillId="0" borderId="0" xfId="0"/>
    <xf numFmtId="0" fontId="0" fillId="0" borderId="0" xfId="0" applyFont="1" applyFill="1" applyProtection="1"/>
    <xf numFmtId="0" fontId="0" fillId="0" borderId="0" xfId="0" applyFont="1" applyProtection="1"/>
    <xf numFmtId="0" fontId="7" fillId="0" borderId="0" xfId="0" applyFont="1" applyFill="1" applyAlignment="1" applyProtection="1">
      <alignment horizontal="centerContinuous"/>
    </xf>
    <xf numFmtId="0" fontId="0" fillId="0" borderId="0" xfId="0" applyFont="1" applyFill="1" applyAlignment="1" applyProtection="1">
      <alignment horizontal="centerContinuous"/>
    </xf>
    <xf numFmtId="0" fontId="0" fillId="0" borderId="0" xfId="0" applyFont="1" applyAlignment="1" applyProtection="1">
      <alignment horizontal="centerContinuous"/>
    </xf>
    <xf numFmtId="0" fontId="2" fillId="0" borderId="0" xfId="0" applyFont="1" applyFill="1" applyProtection="1"/>
    <xf numFmtId="0" fontId="2" fillId="0" borderId="0" xfId="0" applyFont="1" applyProtection="1"/>
    <xf numFmtId="0" fontId="10" fillId="0" borderId="0" xfId="0" applyFont="1" applyFill="1" applyAlignment="1" applyProtection="1">
      <alignment horizontal="centerContinuous"/>
    </xf>
    <xf numFmtId="0" fontId="2" fillId="0" borderId="0" xfId="0" applyFont="1" applyFill="1" applyAlignment="1" applyProtection="1">
      <alignment horizontal="centerContinuous"/>
    </xf>
    <xf numFmtId="0" fontId="2" fillId="0" borderId="0" xfId="0" applyFont="1" applyAlignment="1" applyProtection="1">
      <alignment horizontal="centerContinuous"/>
    </xf>
    <xf numFmtId="0" fontId="11" fillId="0" borderId="0" xfId="0" applyFont="1" applyFill="1" applyBorder="1" applyAlignment="1" applyProtection="1">
      <alignment horizontal="centerContinuous"/>
    </xf>
    <xf numFmtId="0" fontId="11" fillId="0" borderId="1" xfId="0" applyFont="1" applyFill="1" applyBorder="1" applyAlignment="1" applyProtection="1">
      <alignment horizontal="centerContinuous"/>
    </xf>
    <xf numFmtId="0" fontId="12" fillId="0" borderId="0" xfId="0" quotePrefix="1" applyFont="1" applyFill="1" applyProtection="1"/>
    <xf numFmtId="0" fontId="13" fillId="0" borderId="0" xfId="0" applyFont="1" applyFill="1" applyBorder="1" applyAlignment="1" applyProtection="1">
      <alignment horizontal="centerContinuous"/>
    </xf>
    <xf numFmtId="0" fontId="14" fillId="0" borderId="0" xfId="0" applyFont="1" applyFill="1" applyBorder="1" applyProtection="1"/>
    <xf numFmtId="173" fontId="14" fillId="0" borderId="0" xfId="0" quotePrefix="1" applyNumberFormat="1" applyFont="1" applyFill="1" applyBorder="1" applyAlignment="1" applyProtection="1">
      <alignment horizontal="right"/>
    </xf>
    <xf numFmtId="0" fontId="14" fillId="0" borderId="0" xfId="0" quotePrefix="1" applyNumberFormat="1" applyFont="1" applyFill="1" applyBorder="1" applyAlignment="1" applyProtection="1">
      <alignment horizontal="right"/>
    </xf>
    <xf numFmtId="0" fontId="2" fillId="0" borderId="0" xfId="0" applyFont="1" applyBorder="1" applyProtection="1"/>
    <xf numFmtId="0" fontId="14" fillId="0" borderId="0" xfId="0" applyFont="1" applyBorder="1" applyProtection="1"/>
    <xf numFmtId="166" fontId="15" fillId="0" borderId="0" xfId="0" applyNumberFormat="1" applyFont="1" applyFill="1" applyBorder="1" applyProtection="1"/>
    <xf numFmtId="0" fontId="15" fillId="0" borderId="0" xfId="0" applyFont="1" applyBorder="1" applyProtection="1"/>
    <xf numFmtId="0" fontId="16" fillId="0" borderId="0" xfId="0" applyFont="1" applyBorder="1" applyProtection="1"/>
    <xf numFmtId="0" fontId="13" fillId="0" borderId="0" xfId="0" applyFont="1" applyBorder="1" applyProtection="1"/>
    <xf numFmtId="0" fontId="13" fillId="0" borderId="0" xfId="0" applyFont="1" applyProtection="1"/>
    <xf numFmtId="167" fontId="17" fillId="0" borderId="0" xfId="1" applyNumberFormat="1" applyFont="1" applyFill="1" applyBorder="1" applyAlignment="1" applyProtection="1">
      <alignment horizontal="right"/>
      <protection locked="0"/>
    </xf>
    <xf numFmtId="167" fontId="18" fillId="0" borderId="0" xfId="1" applyNumberFormat="1" applyFont="1" applyFill="1" applyBorder="1" applyAlignment="1" applyProtection="1">
      <alignment horizontal="right"/>
      <protection locked="0"/>
    </xf>
    <xf numFmtId="0" fontId="2" fillId="0" borderId="0" xfId="0" quotePrefix="1" applyFont="1" applyBorder="1" applyAlignment="1" applyProtection="1">
      <alignment horizontal="left"/>
    </xf>
    <xf numFmtId="167" fontId="18" fillId="0" borderId="2" xfId="1" applyNumberFormat="1" applyFont="1" applyFill="1" applyBorder="1" applyAlignment="1" applyProtection="1">
      <alignment horizontal="right"/>
      <protection locked="0"/>
    </xf>
    <xf numFmtId="0" fontId="13" fillId="0" borderId="0" xfId="0" quotePrefix="1" applyFont="1" applyAlignment="1" applyProtection="1">
      <alignment horizontal="left"/>
    </xf>
    <xf numFmtId="167" fontId="13" fillId="0" borderId="0" xfId="1" applyNumberFormat="1" applyFont="1" applyFill="1" applyBorder="1" applyAlignment="1" applyProtection="1">
      <alignment horizontal="right"/>
    </xf>
    <xf numFmtId="167" fontId="13" fillId="0" borderId="0" xfId="1" applyNumberFormat="1" applyFont="1" applyFill="1" applyBorder="1" applyProtection="1"/>
    <xf numFmtId="167" fontId="18" fillId="0" borderId="2" xfId="1" applyNumberFormat="1" applyFont="1" applyFill="1" applyBorder="1" applyProtection="1">
      <protection locked="0"/>
    </xf>
    <xf numFmtId="167" fontId="18" fillId="0" borderId="0" xfId="1" applyNumberFormat="1" applyFont="1" applyFill="1" applyBorder="1" applyProtection="1">
      <protection locked="0"/>
    </xf>
    <xf numFmtId="0" fontId="19" fillId="0" borderId="0" xfId="0" applyFont="1" applyFill="1" applyProtection="1"/>
    <xf numFmtId="0" fontId="2" fillId="0" borderId="0" xfId="0" applyFont="1" applyFill="1" applyAlignment="1" applyProtection="1">
      <alignment horizontal="left"/>
    </xf>
    <xf numFmtId="0" fontId="13" fillId="0" borderId="0" xfId="0" applyFont="1" applyAlignment="1" applyProtection="1">
      <alignment horizontal="left"/>
    </xf>
    <xf numFmtId="6" fontId="13" fillId="0" borderId="0" xfId="0" quotePrefix="1" applyNumberFormat="1" applyFont="1" applyBorder="1" applyAlignment="1" applyProtection="1">
      <alignment horizontal="left"/>
    </xf>
    <xf numFmtId="168" fontId="13" fillId="0" borderId="8" xfId="1" applyNumberFormat="1" applyFont="1" applyFill="1" applyBorder="1" applyAlignment="1" applyProtection="1">
      <alignment horizontal="right"/>
    </xf>
    <xf numFmtId="168" fontId="13" fillId="0" borderId="0" xfId="1" applyNumberFormat="1" applyFont="1" applyFill="1" applyBorder="1" applyAlignment="1" applyProtection="1">
      <alignment horizontal="right"/>
    </xf>
    <xf numFmtId="6" fontId="2" fillId="0" borderId="0" xfId="0" quotePrefix="1" applyNumberFormat="1" applyFont="1" applyBorder="1" applyAlignment="1" applyProtection="1">
      <alignment horizontal="left"/>
    </xf>
    <xf numFmtId="168" fontId="13" fillId="0" borderId="7" xfId="1" applyNumberFormat="1" applyFont="1" applyFill="1" applyBorder="1" applyAlignment="1" applyProtection="1">
      <alignment horizontal="right"/>
    </xf>
    <xf numFmtId="0" fontId="2" fillId="0" borderId="2" xfId="0" applyFont="1" applyBorder="1" applyProtection="1"/>
    <xf numFmtId="164" fontId="2" fillId="0" borderId="2" xfId="1" applyNumberFormat="1" applyFont="1" applyBorder="1" applyProtection="1"/>
    <xf numFmtId="0" fontId="22" fillId="0" borderId="0" xfId="0" quotePrefix="1" applyFont="1" applyBorder="1" applyProtection="1"/>
    <xf numFmtId="169" fontId="12" fillId="0" borderId="0" xfId="0" applyNumberFormat="1" applyFont="1" applyBorder="1" applyProtection="1"/>
    <xf numFmtId="169" fontId="23" fillId="0" borderId="0" xfId="0" applyNumberFormat="1" applyFont="1" applyFill="1" applyBorder="1" applyProtection="1"/>
    <xf numFmtId="0" fontId="13" fillId="0" borderId="0" xfId="0" applyFont="1" applyFill="1" applyProtection="1"/>
    <xf numFmtId="164" fontId="2" fillId="0" borderId="0" xfId="1" applyNumberFormat="1" applyFont="1" applyFill="1" applyBorder="1" applyProtection="1"/>
    <xf numFmtId="0" fontId="2" fillId="0" borderId="0" xfId="0" applyFont="1" applyFill="1" applyBorder="1" applyAlignment="1" applyProtection="1">
      <alignment horizontal="centerContinuous"/>
    </xf>
    <xf numFmtId="0" fontId="12" fillId="0" borderId="0" xfId="0" quotePrefix="1" applyFont="1" applyFill="1" applyAlignment="1" applyProtection="1">
      <alignment horizontal="left"/>
    </xf>
    <xf numFmtId="165" fontId="14" fillId="0" borderId="0" xfId="0" applyNumberFormat="1" applyFont="1" applyFill="1" applyAlignment="1" applyProtection="1">
      <alignment horizontal="right"/>
    </xf>
    <xf numFmtId="165" fontId="14" fillId="0" borderId="0" xfId="0" applyNumberFormat="1" applyFont="1" applyFill="1" applyBorder="1" applyAlignment="1" applyProtection="1">
      <alignment horizontal="right"/>
    </xf>
    <xf numFmtId="37" fontId="2" fillId="0" borderId="0" xfId="1" applyNumberFormat="1" applyFont="1" applyProtection="1"/>
    <xf numFmtId="167" fontId="19" fillId="0" borderId="0" xfId="1" applyNumberFormat="1" applyFont="1" applyFill="1" applyProtection="1">
      <protection locked="0"/>
    </xf>
    <xf numFmtId="37" fontId="18" fillId="0" borderId="0" xfId="1" applyNumberFormat="1" applyFont="1" applyBorder="1" applyProtection="1"/>
    <xf numFmtId="167" fontId="19" fillId="0" borderId="2" xfId="1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Protection="1"/>
    <xf numFmtId="37" fontId="13" fillId="0" borderId="0" xfId="1" applyNumberFormat="1" applyFont="1" applyBorder="1" applyProtection="1"/>
    <xf numFmtId="167" fontId="13" fillId="0" borderId="0" xfId="1" applyNumberFormat="1" applyFont="1" applyFill="1" applyProtection="1">
      <protection locked="0"/>
    </xf>
    <xf numFmtId="0" fontId="2" fillId="0" borderId="0" xfId="0" quotePrefix="1" applyFont="1" applyAlignment="1" applyProtection="1">
      <alignment horizontal="left"/>
    </xf>
    <xf numFmtId="167" fontId="18" fillId="0" borderId="0" xfId="1" applyNumberFormat="1" applyFont="1" applyFill="1" applyProtection="1">
      <protection locked="0"/>
    </xf>
    <xf numFmtId="167" fontId="2" fillId="0" borderId="0" xfId="1" applyNumberFormat="1" applyFont="1" applyFill="1" applyProtection="1">
      <protection locked="0"/>
    </xf>
    <xf numFmtId="37" fontId="2" fillId="0" borderId="0" xfId="1" applyNumberFormat="1" applyFont="1" applyBorder="1" applyProtection="1"/>
    <xf numFmtId="37" fontId="2" fillId="0" borderId="0" xfId="1" applyNumberFormat="1" applyFont="1" applyFill="1" applyBorder="1" applyProtection="1"/>
    <xf numFmtId="9" fontId="2" fillId="0" borderId="0" xfId="12" applyFont="1" applyFill="1" applyBorder="1" applyProtection="1"/>
    <xf numFmtId="0" fontId="2" fillId="0" borderId="0" xfId="0" applyFont="1" applyAlignment="1" applyProtection="1">
      <alignment horizontal="left"/>
    </xf>
    <xf numFmtId="167" fontId="2" fillId="0" borderId="0" xfId="1" applyNumberFormat="1" applyFont="1" applyFill="1" applyProtection="1"/>
    <xf numFmtId="167" fontId="2" fillId="0" borderId="2" xfId="1" applyNumberFormat="1" applyFont="1" applyFill="1" applyBorder="1" applyProtection="1"/>
    <xf numFmtId="167" fontId="2" fillId="0" borderId="0" xfId="1" applyNumberFormat="1" applyFont="1" applyFill="1" applyBorder="1" applyProtection="1"/>
    <xf numFmtId="167" fontId="13" fillId="0" borderId="0" xfId="1" applyNumberFormat="1" applyFont="1" applyFill="1" applyProtection="1"/>
    <xf numFmtId="0" fontId="24" fillId="0" borderId="0" xfId="0" applyFont="1" applyFill="1" applyBorder="1" applyAlignment="1" applyProtection="1">
      <alignment horizontal="centerContinuous"/>
    </xf>
    <xf numFmtId="0" fontId="12" fillId="0" borderId="0" xfId="0" applyFont="1" applyFill="1" applyAlignment="1" applyProtection="1">
      <alignment horizontal="left"/>
    </xf>
    <xf numFmtId="174" fontId="2" fillId="0" borderId="0" xfId="0" applyNumberFormat="1" applyFont="1" applyBorder="1" applyProtection="1"/>
    <xf numFmtId="37" fontId="2" fillId="0" borderId="0" xfId="1" applyNumberFormat="1" applyFont="1" applyFill="1" applyProtection="1"/>
    <xf numFmtId="167" fontId="2" fillId="0" borderId="4" xfId="1" applyNumberFormat="1" applyFont="1" applyFill="1" applyBorder="1" applyProtection="1"/>
    <xf numFmtId="168" fontId="13" fillId="0" borderId="3" xfId="1" applyNumberFormat="1" applyFont="1" applyFill="1" applyBorder="1" applyProtection="1"/>
    <xf numFmtId="167" fontId="19" fillId="0" borderId="0" xfId="1" applyNumberFormat="1" applyFont="1" applyFill="1" applyBorder="1" applyProtection="1">
      <protection locked="0"/>
    </xf>
    <xf numFmtId="170" fontId="25" fillId="0" borderId="0" xfId="1" applyNumberFormat="1" applyFont="1" applyBorder="1" applyProtection="1"/>
    <xf numFmtId="167" fontId="2" fillId="0" borderId="0" xfId="0" applyNumberFormat="1" applyFont="1" applyFill="1" applyProtection="1"/>
    <xf numFmtId="171" fontId="2" fillId="0" borderId="0" xfId="1" applyNumberFormat="1" applyFont="1" applyBorder="1" applyProtection="1"/>
    <xf numFmtId="171" fontId="2" fillId="0" borderId="0" xfId="1" applyNumberFormat="1" applyFont="1" applyFill="1" applyBorder="1" applyProtection="1"/>
    <xf numFmtId="0" fontId="12" fillId="0" borderId="2" xfId="0" quotePrefix="1" applyFont="1" applyBorder="1" applyAlignment="1" applyProtection="1">
      <alignment horizontal="left"/>
    </xf>
    <xf numFmtId="0" fontId="2" fillId="0" borderId="2" xfId="0" applyFont="1" applyFill="1" applyBorder="1" applyProtection="1"/>
    <xf numFmtId="0" fontId="12" fillId="0" borderId="0" xfId="0" quotePrefix="1" applyFont="1" applyBorder="1" applyAlignment="1" applyProtection="1">
      <alignment horizontal="left"/>
    </xf>
    <xf numFmtId="170" fontId="12" fillId="0" borderId="0" xfId="1" applyNumberFormat="1" applyFont="1" applyFill="1" applyBorder="1" applyProtection="1"/>
    <xf numFmtId="0" fontId="26" fillId="0" borderId="0" xfId="0" applyFont="1" applyFill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centerContinuous"/>
    </xf>
    <xf numFmtId="0" fontId="27" fillId="0" borderId="0" xfId="0" applyFont="1" applyFill="1" applyAlignment="1" applyProtection="1">
      <alignment vertical="center"/>
    </xf>
    <xf numFmtId="0" fontId="2" fillId="0" borderId="9" xfId="0" applyFont="1" applyBorder="1" applyProtection="1"/>
    <xf numFmtId="0" fontId="2" fillId="0" borderId="8" xfId="0" applyFont="1" applyBorder="1" applyProtection="1"/>
    <xf numFmtId="0" fontId="2" fillId="0" borderId="10" xfId="0" applyFont="1" applyBorder="1" applyProtection="1"/>
    <xf numFmtId="0" fontId="2" fillId="2" borderId="9" xfId="0" applyFont="1" applyFill="1" applyBorder="1" applyProtection="1"/>
    <xf numFmtId="0" fontId="2" fillId="2" borderId="8" xfId="0" applyFont="1" applyFill="1" applyBorder="1" applyProtection="1"/>
    <xf numFmtId="0" fontId="2" fillId="2" borderId="10" xfId="0" applyFont="1" applyFill="1" applyBorder="1" applyProtection="1"/>
    <xf numFmtId="0" fontId="13" fillId="2" borderId="9" xfId="0" applyFont="1" applyFill="1" applyBorder="1" applyProtection="1"/>
    <xf numFmtId="0" fontId="19" fillId="0" borderId="0" xfId="0" applyFont="1" applyAlignment="1" applyProtection="1">
      <alignment vertical="center"/>
    </xf>
    <xf numFmtId="0" fontId="2" fillId="0" borderId="11" xfId="0" applyFont="1" applyBorder="1" applyProtection="1"/>
    <xf numFmtId="0" fontId="2" fillId="0" borderId="4" xfId="0" applyFont="1" applyBorder="1" applyProtection="1"/>
    <xf numFmtId="0" fontId="2" fillId="0" borderId="12" xfId="0" applyFont="1" applyBorder="1" applyProtection="1"/>
    <xf numFmtId="0" fontId="2" fillId="0" borderId="13" xfId="0" applyFont="1" applyBorder="1" applyProtection="1"/>
    <xf numFmtId="0" fontId="2" fillId="0" borderId="14" xfId="0" applyFont="1" applyBorder="1" applyProtection="1"/>
    <xf numFmtId="0" fontId="2" fillId="0" borderId="15" xfId="0" applyFont="1" applyBorder="1" applyProtection="1"/>
    <xf numFmtId="0" fontId="2" fillId="0" borderId="16" xfId="0" applyFont="1" applyBorder="1" applyProtection="1"/>
    <xf numFmtId="0" fontId="13" fillId="2" borderId="11" xfId="0" applyFont="1" applyFill="1" applyBorder="1" applyProtection="1"/>
    <xf numFmtId="0" fontId="2" fillId="2" borderId="4" xfId="0" applyFont="1" applyFill="1" applyBorder="1" applyProtection="1"/>
    <xf numFmtId="0" fontId="2" fillId="2" borderId="12" xfId="0" applyFont="1" applyFill="1" applyBorder="1" applyProtection="1"/>
    <xf numFmtId="0" fontId="2" fillId="0" borderId="4" xfId="0" applyFont="1" applyFill="1" applyBorder="1" applyProtection="1"/>
    <xf numFmtId="9" fontId="19" fillId="0" borderId="12" xfId="0" applyNumberFormat="1" applyFont="1" applyBorder="1" applyAlignment="1" applyProtection="1">
      <alignment vertical="center"/>
    </xf>
    <xf numFmtId="0" fontId="19" fillId="0" borderId="0" xfId="0" applyFont="1" applyBorder="1" applyAlignment="1" applyProtection="1">
      <alignment vertical="center"/>
    </xf>
    <xf numFmtId="9" fontId="19" fillId="0" borderId="16" xfId="0" applyNumberFormat="1" applyFont="1" applyBorder="1" applyAlignment="1" applyProtection="1">
      <alignment vertical="center"/>
    </xf>
    <xf numFmtId="0" fontId="19" fillId="0" borderId="12" xfId="0" applyFont="1" applyBorder="1" applyAlignment="1" applyProtection="1">
      <alignment vertical="center"/>
    </xf>
    <xf numFmtId="0" fontId="19" fillId="0" borderId="12" xfId="0" applyFont="1" applyBorder="1" applyAlignment="1" applyProtection="1">
      <alignment horizontal="right" vertical="center"/>
    </xf>
    <xf numFmtId="166" fontId="19" fillId="0" borderId="16" xfId="0" applyNumberFormat="1" applyFont="1" applyBorder="1" applyAlignment="1" applyProtection="1">
      <alignment vertical="center"/>
    </xf>
    <xf numFmtId="166" fontId="19" fillId="0" borderId="14" xfId="0" applyNumberFormat="1" applyFont="1" applyBorder="1" applyAlignment="1" applyProtection="1">
      <alignment vertical="center"/>
    </xf>
    <xf numFmtId="0" fontId="2" fillId="0" borderId="16" xfId="0" applyFont="1" applyBorder="1" applyAlignment="1" applyProtection="1"/>
    <xf numFmtId="9" fontId="19" fillId="0" borderId="0" xfId="0" applyNumberFormat="1" applyFont="1" applyBorder="1" applyAlignment="1" applyProtection="1">
      <alignment vertical="center"/>
    </xf>
    <xf numFmtId="175" fontId="19" fillId="0" borderId="16" xfId="0" applyNumberFormat="1" applyFont="1" applyBorder="1" applyAlignment="1" applyProtection="1">
      <alignment vertical="center"/>
    </xf>
    <xf numFmtId="0" fontId="13" fillId="0" borderId="13" xfId="0" applyFont="1" applyBorder="1" applyProtection="1"/>
    <xf numFmtId="9" fontId="13" fillId="0" borderId="14" xfId="0" applyNumberFormat="1" applyFont="1" applyBorder="1" applyProtection="1"/>
    <xf numFmtId="9" fontId="2" fillId="0" borderId="14" xfId="0" applyNumberFormat="1" applyFont="1" applyBorder="1" applyProtection="1"/>
    <xf numFmtId="176" fontId="2" fillId="0" borderId="0" xfId="0" applyNumberFormat="1" applyFont="1" applyFill="1" applyProtection="1"/>
    <xf numFmtId="9" fontId="19" fillId="0" borderId="0" xfId="0" applyNumberFormat="1" applyFont="1" applyAlignment="1" applyProtection="1">
      <alignment vertical="center"/>
    </xf>
    <xf numFmtId="0" fontId="2" fillId="0" borderId="11" xfId="0" applyFont="1" applyFill="1" applyBorder="1" applyProtection="1"/>
    <xf numFmtId="173" fontId="14" fillId="0" borderId="4" xfId="0" quotePrefix="1" applyNumberFormat="1" applyFont="1" applyFill="1" applyBorder="1" applyAlignment="1" applyProtection="1">
      <alignment horizontal="right"/>
    </xf>
    <xf numFmtId="0" fontId="14" fillId="0" borderId="4" xfId="0" quotePrefix="1" applyNumberFormat="1" applyFont="1" applyFill="1" applyBorder="1" applyAlignment="1" applyProtection="1">
      <alignment horizontal="right"/>
    </xf>
    <xf numFmtId="0" fontId="14" fillId="0" borderId="12" xfId="0" quotePrefix="1" applyNumberFormat="1" applyFont="1" applyFill="1" applyBorder="1" applyAlignment="1" applyProtection="1">
      <alignment horizontal="right"/>
    </xf>
    <xf numFmtId="0" fontId="13" fillId="0" borderId="15" xfId="0" applyFont="1" applyBorder="1" applyProtection="1"/>
    <xf numFmtId="176" fontId="19" fillId="0" borderId="0" xfId="0" applyNumberFormat="1" applyFont="1" applyFill="1" applyBorder="1" applyAlignment="1" applyProtection="1">
      <alignment vertical="center"/>
    </xf>
    <xf numFmtId="176" fontId="19" fillId="0" borderId="16" xfId="0" applyNumberFormat="1" applyFont="1" applyFill="1" applyBorder="1" applyAlignment="1" applyProtection="1">
      <alignment vertical="center"/>
    </xf>
    <xf numFmtId="176" fontId="19" fillId="0" borderId="0" xfId="0" applyNumberFormat="1" applyFont="1" applyBorder="1" applyAlignment="1" applyProtection="1">
      <alignment vertical="center"/>
    </xf>
    <xf numFmtId="176" fontId="19" fillId="0" borderId="16" xfId="0" applyNumberFormat="1" applyFont="1" applyBorder="1" applyAlignment="1" applyProtection="1">
      <alignment vertical="center"/>
    </xf>
    <xf numFmtId="0" fontId="2" fillId="0" borderId="0" xfId="0" applyFont="1" applyBorder="1" applyAlignment="1" applyProtection="1">
      <alignment horizontal="left"/>
    </xf>
    <xf numFmtId="0" fontId="9" fillId="0" borderId="15" xfId="0" applyFont="1" applyBorder="1" applyAlignment="1" applyProtection="1">
      <alignment vertical="center"/>
    </xf>
    <xf numFmtId="10" fontId="19" fillId="0" borderId="0" xfId="0" applyNumberFormat="1" applyFont="1" applyFill="1" applyBorder="1" applyAlignment="1" applyProtection="1">
      <alignment vertical="center"/>
    </xf>
    <xf numFmtId="10" fontId="19" fillId="0" borderId="16" xfId="0" applyNumberFormat="1" applyFont="1" applyFill="1" applyBorder="1" applyAlignment="1" applyProtection="1">
      <alignment vertical="center"/>
    </xf>
    <xf numFmtId="0" fontId="13" fillId="0" borderId="0" xfId="0" applyFont="1" applyBorder="1" applyAlignment="1" applyProtection="1">
      <alignment horizontal="left"/>
    </xf>
    <xf numFmtId="9" fontId="19" fillId="0" borderId="0" xfId="0" applyNumberFormat="1" applyFont="1" applyFill="1" applyBorder="1" applyAlignment="1" applyProtection="1">
      <alignment vertical="center"/>
    </xf>
    <xf numFmtId="9" fontId="19" fillId="0" borderId="16" xfId="0" applyNumberFormat="1" applyFont="1" applyFill="1" applyBorder="1" applyAlignment="1" applyProtection="1">
      <alignment vertical="center"/>
    </xf>
    <xf numFmtId="176" fontId="2" fillId="0" borderId="0" xfId="0" applyNumberFormat="1" applyFont="1" applyFill="1" applyBorder="1" applyProtection="1"/>
    <xf numFmtId="176" fontId="2" fillId="0" borderId="16" xfId="0" applyNumberFormat="1" applyFont="1" applyFill="1" applyBorder="1" applyProtection="1"/>
    <xf numFmtId="0" fontId="2" fillId="0" borderId="16" xfId="0" applyFont="1" applyFill="1" applyBorder="1" applyProtection="1"/>
    <xf numFmtId="0" fontId="28" fillId="0" borderId="0" xfId="0" applyFont="1" applyFill="1" applyBorder="1" applyAlignment="1" applyProtection="1">
      <alignment vertical="center"/>
    </xf>
    <xf numFmtId="0" fontId="28" fillId="0" borderId="16" xfId="0" applyFont="1" applyFill="1" applyBorder="1" applyAlignment="1" applyProtection="1">
      <alignment vertical="center"/>
    </xf>
    <xf numFmtId="0" fontId="19" fillId="0" borderId="2" xfId="0" applyFont="1" applyBorder="1" applyAlignment="1" applyProtection="1">
      <alignment vertical="center"/>
    </xf>
    <xf numFmtId="177" fontId="19" fillId="0" borderId="0" xfId="0" applyNumberFormat="1" applyFont="1" applyAlignment="1" applyProtection="1">
      <alignment vertical="center"/>
    </xf>
    <xf numFmtId="10" fontId="2" fillId="0" borderId="0" xfId="0" applyNumberFormat="1" applyFont="1" applyProtection="1"/>
    <xf numFmtId="10" fontId="19" fillId="0" borderId="0" xfId="0" applyNumberFormat="1" applyFont="1" applyAlignment="1" applyProtection="1">
      <alignment vertical="center"/>
    </xf>
    <xf numFmtId="177" fontId="2" fillId="0" borderId="0" xfId="0" applyNumberFormat="1" applyFont="1" applyBorder="1" applyProtection="1"/>
    <xf numFmtId="177" fontId="8" fillId="0" borderId="9" xfId="0" applyNumberFormat="1" applyFont="1" applyBorder="1" applyAlignment="1" applyProtection="1">
      <alignment vertical="center"/>
    </xf>
    <xf numFmtId="177" fontId="8" fillId="0" borderId="8" xfId="0" applyNumberFormat="1" applyFont="1" applyBorder="1" applyAlignment="1" applyProtection="1">
      <alignment vertical="center"/>
    </xf>
    <xf numFmtId="177" fontId="8" fillId="0" borderId="10" xfId="0" applyNumberFormat="1" applyFont="1" applyBorder="1" applyAlignment="1" applyProtection="1">
      <alignment vertical="center"/>
    </xf>
    <xf numFmtId="177" fontId="13" fillId="0" borderId="9" xfId="0" applyNumberFormat="1" applyFont="1" applyBorder="1" applyProtection="1"/>
    <xf numFmtId="177" fontId="13" fillId="0" borderId="8" xfId="0" applyNumberFormat="1" applyFont="1" applyBorder="1" applyProtection="1"/>
    <xf numFmtId="177" fontId="13" fillId="0" borderId="10" xfId="0" applyNumberFormat="1" applyFont="1" applyBorder="1" applyProtection="1"/>
    <xf numFmtId="0" fontId="13" fillId="0" borderId="9" xfId="0" applyFont="1" applyBorder="1" applyProtection="1"/>
    <xf numFmtId="0" fontId="14" fillId="0" borderId="4" xfId="0" applyFont="1" applyBorder="1" applyProtection="1"/>
    <xf numFmtId="0" fontId="14" fillId="0" borderId="12" xfId="0" applyFont="1" applyBorder="1" applyProtection="1"/>
    <xf numFmtId="0" fontId="14" fillId="2" borderId="8" xfId="0" applyFont="1" applyFill="1" applyBorder="1" applyProtection="1"/>
    <xf numFmtId="173" fontId="14" fillId="2" borderId="8" xfId="0" quotePrefix="1" applyNumberFormat="1" applyFont="1" applyFill="1" applyBorder="1" applyAlignment="1" applyProtection="1">
      <alignment horizontal="right"/>
    </xf>
    <xf numFmtId="0" fontId="14" fillId="2" borderId="8" xfId="0" quotePrefix="1" applyNumberFormat="1" applyFont="1" applyFill="1" applyBorder="1" applyAlignment="1" applyProtection="1">
      <alignment horizontal="right"/>
    </xf>
    <xf numFmtId="0" fontId="14" fillId="2" borderId="10" xfId="0" quotePrefix="1" applyNumberFormat="1" applyFont="1" applyFill="1" applyBorder="1" applyAlignment="1" applyProtection="1">
      <alignment horizontal="right"/>
    </xf>
    <xf numFmtId="0" fontId="29" fillId="0" borderId="0" xfId="0" applyFont="1" applyFill="1" applyAlignment="1" applyProtection="1">
      <alignment horizontal="centerContinuous"/>
    </xf>
    <xf numFmtId="177" fontId="2" fillId="0" borderId="2" xfId="0" applyNumberFormat="1" applyFont="1" applyBorder="1" applyProtection="1"/>
    <xf numFmtId="177" fontId="2" fillId="0" borderId="16" xfId="0" applyNumberFormat="1" applyFont="1" applyBorder="1" applyProtection="1"/>
    <xf numFmtId="177" fontId="2" fillId="0" borderId="14" xfId="0" applyNumberFormat="1" applyFont="1" applyBorder="1" applyProtection="1"/>
    <xf numFmtId="167" fontId="2" fillId="0" borderId="0" xfId="0" applyNumberFormat="1" applyFont="1" applyProtection="1"/>
    <xf numFmtId="167" fontId="28" fillId="0" borderId="0" xfId="0" applyNumberFormat="1" applyFont="1" applyAlignment="1" applyProtection="1">
      <alignment vertical="center"/>
    </xf>
    <xf numFmtId="167" fontId="19" fillId="0" borderId="0" xfId="0" applyNumberFormat="1" applyFont="1" applyAlignment="1" applyProtection="1">
      <alignment vertical="center"/>
    </xf>
    <xf numFmtId="176" fontId="28" fillId="0" borderId="0" xfId="0" applyNumberFormat="1" applyFont="1" applyAlignment="1" applyProtection="1">
      <alignment vertical="center"/>
    </xf>
    <xf numFmtId="3" fontId="2" fillId="0" borderId="0" xfId="0" applyNumberFormat="1" applyFont="1" applyProtection="1"/>
    <xf numFmtId="0" fontId="2" fillId="0" borderId="12" xfId="0" applyFont="1" applyBorder="1" applyAlignment="1" applyProtection="1">
      <alignment horizontal="right"/>
    </xf>
    <xf numFmtId="3" fontId="19" fillId="0" borderId="4" xfId="0" applyNumberFormat="1" applyFont="1" applyBorder="1" applyAlignment="1" applyProtection="1">
      <alignment vertical="center"/>
    </xf>
    <xf numFmtId="177" fontId="30" fillId="0" borderId="0" xfId="0" applyNumberFormat="1" applyFont="1" applyFill="1" applyAlignment="1" applyProtection="1">
      <alignment vertical="center"/>
    </xf>
    <xf numFmtId="10" fontId="30" fillId="0" borderId="0" xfId="0" applyNumberFormat="1" applyFont="1" applyFill="1" applyAlignment="1" applyProtection="1">
      <alignment vertical="center"/>
    </xf>
    <xf numFmtId="3" fontId="19" fillId="0" borderId="0" xfId="0" applyNumberFormat="1" applyFont="1" applyAlignment="1" applyProtection="1">
      <alignment vertical="center"/>
    </xf>
    <xf numFmtId="176" fontId="2" fillId="0" borderId="0" xfId="0" applyNumberFormat="1" applyFont="1" applyProtection="1"/>
    <xf numFmtId="2" fontId="2" fillId="0" borderId="0" xfId="0" applyNumberFormat="1" applyFont="1" applyAlignment="1" applyProtection="1"/>
    <xf numFmtId="0" fontId="2" fillId="0" borderId="3" xfId="0" applyFont="1" applyBorder="1" applyProtection="1"/>
    <xf numFmtId="0" fontId="13" fillId="0" borderId="3" xfId="0" applyFont="1" applyBorder="1" applyProtection="1"/>
    <xf numFmtId="167" fontId="9" fillId="0" borderId="3" xfId="0" applyNumberFormat="1" applyFont="1" applyBorder="1" applyAlignment="1" applyProtection="1">
      <alignment vertical="center"/>
    </xf>
    <xf numFmtId="167" fontId="2" fillId="0" borderId="3" xfId="0" applyNumberFormat="1" applyFont="1" applyFill="1" applyBorder="1" applyProtection="1"/>
    <xf numFmtId="2" fontId="2" fillId="0" borderId="8" xfId="0" applyNumberFormat="1" applyFont="1" applyBorder="1" applyProtection="1"/>
    <xf numFmtId="2" fontId="2" fillId="0" borderId="4" xfId="0" applyNumberFormat="1" applyFont="1" applyBorder="1" applyProtection="1"/>
    <xf numFmtId="2" fontId="2" fillId="0" borderId="12" xfId="0" applyNumberFormat="1" applyFont="1" applyBorder="1" applyProtection="1"/>
    <xf numFmtId="177" fontId="30" fillId="0" borderId="8" xfId="0" applyNumberFormat="1" applyFont="1" applyBorder="1" applyAlignment="1" applyProtection="1">
      <alignment vertical="center"/>
    </xf>
    <xf numFmtId="177" fontId="30" fillId="0" borderId="10" xfId="0" applyNumberFormat="1" applyFont="1" applyBorder="1" applyAlignment="1" applyProtection="1">
      <alignment vertical="center"/>
    </xf>
    <xf numFmtId="9" fontId="9" fillId="0" borderId="3" xfId="0" applyNumberFormat="1" applyFont="1" applyBorder="1" applyAlignment="1" applyProtection="1">
      <alignment vertical="center"/>
    </xf>
    <xf numFmtId="167" fontId="13" fillId="0" borderId="3" xfId="0" applyNumberFormat="1" applyFont="1" applyBorder="1" applyProtection="1"/>
    <xf numFmtId="176" fontId="13" fillId="0" borderId="3" xfId="0" applyNumberFormat="1" applyFont="1" applyBorder="1" applyProtection="1"/>
    <xf numFmtId="175" fontId="19" fillId="0" borderId="12" xfId="0" applyNumberFormat="1" applyFont="1" applyBorder="1" applyAlignment="1" applyProtection="1">
      <alignment vertical="center"/>
    </xf>
    <xf numFmtId="175" fontId="19" fillId="0" borderId="14" xfId="0" applyNumberFormat="1" applyFont="1" applyBorder="1" applyAlignment="1" applyProtection="1">
      <alignment vertical="center"/>
    </xf>
    <xf numFmtId="167" fontId="2" fillId="0" borderId="9" xfId="0" applyNumberFormat="1" applyFont="1" applyBorder="1" applyProtection="1"/>
    <xf numFmtId="167" fontId="2" fillId="0" borderId="8" xfId="0" applyNumberFormat="1" applyFont="1" applyBorder="1" applyProtection="1"/>
    <xf numFmtId="167" fontId="2" fillId="0" borderId="10" xfId="0" applyNumberFormat="1" applyFont="1" applyBorder="1" applyProtection="1"/>
    <xf numFmtId="43" fontId="2" fillId="0" borderId="9" xfId="1" applyFont="1" applyFill="1" applyBorder="1" applyProtection="1"/>
    <xf numFmtId="43" fontId="2" fillId="0" borderId="8" xfId="1" applyFont="1" applyFill="1" applyBorder="1" applyProtection="1"/>
    <xf numFmtId="43" fontId="2" fillId="0" borderId="10" xfId="1" applyFont="1" applyFill="1" applyBorder="1" applyProtection="1"/>
    <xf numFmtId="0" fontId="13" fillId="0" borderId="11" xfId="0" applyFont="1" applyBorder="1" applyProtection="1"/>
    <xf numFmtId="0" fontId="31" fillId="0" borderId="0" xfId="0" applyFont="1" applyFill="1" applyBorder="1" applyProtection="1"/>
    <xf numFmtId="2" fontId="2" fillId="0" borderId="0" xfId="0" applyNumberFormat="1" applyFont="1" applyFill="1" applyProtection="1"/>
    <xf numFmtId="0" fontId="2" fillId="0" borderId="4" xfId="0" applyNumberFormat="1" applyFont="1" applyBorder="1" applyProtection="1"/>
    <xf numFmtId="0" fontId="2" fillId="0" borderId="12" xfId="0" applyNumberFormat="1" applyFont="1" applyBorder="1" applyProtection="1"/>
    <xf numFmtId="167" fontId="2" fillId="0" borderId="0" xfId="0" applyNumberFormat="1" applyFont="1" applyBorder="1" applyProtection="1"/>
    <xf numFmtId="167" fontId="2" fillId="0" borderId="16" xfId="0" applyNumberFormat="1" applyFont="1" applyBorder="1" applyProtection="1"/>
    <xf numFmtId="167" fontId="2" fillId="0" borderId="2" xfId="0" applyNumberFormat="1" applyFont="1" applyBorder="1" applyProtection="1"/>
    <xf numFmtId="167" fontId="2" fillId="0" borderId="14" xfId="0" applyNumberFormat="1" applyFont="1" applyBorder="1" applyProtection="1"/>
    <xf numFmtId="176" fontId="2" fillId="0" borderId="0" xfId="0" applyNumberFormat="1" applyFont="1" applyBorder="1" applyProtection="1"/>
    <xf numFmtId="176" fontId="30" fillId="2" borderId="0" xfId="0" applyNumberFormat="1" applyFont="1" applyFill="1" applyBorder="1" applyAlignment="1" applyProtection="1">
      <alignment vertical="center"/>
    </xf>
    <xf numFmtId="0" fontId="13" fillId="2" borderId="4" xfId="0" applyFont="1" applyFill="1" applyBorder="1" applyProtection="1"/>
    <xf numFmtId="0" fontId="13" fillId="2" borderId="12" xfId="0" applyFont="1" applyFill="1" applyBorder="1" applyProtection="1"/>
    <xf numFmtId="176" fontId="2" fillId="3" borderId="0" xfId="0" applyNumberFormat="1" applyFont="1" applyFill="1" applyBorder="1" applyProtection="1"/>
    <xf numFmtId="176" fontId="2" fillId="3" borderId="16" xfId="0" applyNumberFormat="1" applyFont="1" applyFill="1" applyBorder="1" applyProtection="1"/>
    <xf numFmtId="0" fontId="30" fillId="0" borderId="0" xfId="0" applyFont="1" applyFill="1" applyAlignment="1" applyProtection="1">
      <alignment vertical="center"/>
    </xf>
    <xf numFmtId="167" fontId="2" fillId="0" borderId="4" xfId="0" applyNumberFormat="1" applyFont="1" applyBorder="1" applyProtection="1"/>
    <xf numFmtId="167" fontId="2" fillId="0" borderId="12" xfId="0" applyNumberFormat="1" applyFont="1" applyBorder="1" applyProtection="1"/>
    <xf numFmtId="0" fontId="13" fillId="0" borderId="4" xfId="0" applyFont="1" applyBorder="1" applyProtection="1"/>
    <xf numFmtId="167" fontId="13" fillId="0" borderId="4" xfId="0" applyNumberFormat="1" applyFont="1" applyBorder="1" applyProtection="1"/>
    <xf numFmtId="167" fontId="13" fillId="0" borderId="12" xfId="0" applyNumberFormat="1" applyFont="1" applyBorder="1" applyProtection="1"/>
    <xf numFmtId="0" fontId="13" fillId="0" borderId="2" xfId="0" applyFont="1" applyBorder="1" applyProtection="1"/>
    <xf numFmtId="167" fontId="13" fillId="0" borderId="2" xfId="0" applyNumberFormat="1" applyFont="1" applyBorder="1" applyProtection="1"/>
    <xf numFmtId="167" fontId="13" fillId="0" borderId="14" xfId="0" applyNumberFormat="1" applyFont="1" applyBorder="1" applyProtection="1"/>
    <xf numFmtId="9" fontId="32" fillId="0" borderId="10" xfId="0" applyNumberFormat="1" applyFont="1" applyBorder="1" applyAlignment="1" applyProtection="1">
      <alignment vertical="center"/>
    </xf>
    <xf numFmtId="43" fontId="2" fillId="0" borderId="0" xfId="0" applyNumberFormat="1" applyFont="1" applyFill="1" applyProtection="1"/>
    <xf numFmtId="43" fontId="2" fillId="0" borderId="2" xfId="0" applyNumberFormat="1" applyFont="1" applyFill="1" applyBorder="1" applyProtection="1"/>
    <xf numFmtId="2" fontId="2" fillId="0" borderId="2" xfId="0" applyNumberFormat="1" applyFont="1" applyFill="1" applyBorder="1" applyProtection="1"/>
    <xf numFmtId="176" fontId="2" fillId="0" borderId="2" xfId="0" applyNumberFormat="1" applyFont="1" applyFill="1" applyBorder="1" applyProtection="1"/>
    <xf numFmtId="167" fontId="2" fillId="0" borderId="2" xfId="0" applyNumberFormat="1" applyFont="1" applyFill="1" applyBorder="1" applyProtection="1"/>
    <xf numFmtId="0" fontId="15" fillId="0" borderId="11" xfId="2" applyFont="1" applyBorder="1" applyAlignment="1">
      <alignment horizontal="left" vertical="center"/>
    </xf>
    <xf numFmtId="0" fontId="15" fillId="0" borderId="4" xfId="0" applyFont="1" applyBorder="1" applyProtection="1"/>
    <xf numFmtId="0" fontId="16" fillId="0" borderId="4" xfId="0" applyFont="1" applyBorder="1" applyProtection="1"/>
    <xf numFmtId="0" fontId="16" fillId="0" borderId="4" xfId="0" applyFont="1" applyFill="1" applyBorder="1" applyProtection="1"/>
    <xf numFmtId="166" fontId="15" fillId="0" borderId="4" xfId="0" applyNumberFormat="1" applyFont="1" applyFill="1" applyBorder="1" applyProtection="1"/>
    <xf numFmtId="166" fontId="15" fillId="0" borderId="12" xfId="0" applyNumberFormat="1" applyFont="1" applyFill="1" applyBorder="1" applyProtection="1"/>
    <xf numFmtId="0" fontId="15" fillId="0" borderId="15" xfId="2" applyFont="1" applyBorder="1" applyAlignment="1">
      <alignment horizontal="left" vertical="center"/>
    </xf>
    <xf numFmtId="166" fontId="15" fillId="0" borderId="16" xfId="0" applyNumberFormat="1" applyFont="1" applyFill="1" applyBorder="1" applyProtection="1"/>
    <xf numFmtId="0" fontId="15" fillId="0" borderId="13" xfId="2" applyFont="1" applyBorder="1" applyAlignment="1">
      <alignment horizontal="left" vertical="center"/>
    </xf>
    <xf numFmtId="0" fontId="15" fillId="0" borderId="2" xfId="0" applyFont="1" applyBorder="1" applyProtection="1"/>
    <xf numFmtId="0" fontId="16" fillId="0" borderId="2" xfId="0" applyFont="1" applyBorder="1" applyProtection="1"/>
    <xf numFmtId="166" fontId="15" fillId="0" borderId="2" xfId="0" applyNumberFormat="1" applyFont="1" applyFill="1" applyBorder="1" applyProtection="1"/>
    <xf numFmtId="166" fontId="15" fillId="0" borderId="14" xfId="0" applyNumberFormat="1" applyFont="1" applyFill="1" applyBorder="1" applyProtection="1"/>
    <xf numFmtId="2" fontId="28" fillId="0" borderId="2" xfId="0" applyNumberFormat="1" applyFont="1" applyBorder="1" applyAlignment="1" applyProtection="1">
      <alignment vertical="center"/>
    </xf>
    <xf numFmtId="2" fontId="28" fillId="0" borderId="14" xfId="0" applyNumberFormat="1" applyFont="1" applyBorder="1" applyAlignment="1" applyProtection="1">
      <alignment vertical="center"/>
    </xf>
    <xf numFmtId="167" fontId="28" fillId="0" borderId="0" xfId="1" applyNumberFormat="1" applyFont="1" applyFill="1" applyAlignment="1" applyProtection="1">
      <alignment vertical="center"/>
      <protection locked="0"/>
    </xf>
    <xf numFmtId="167" fontId="2" fillId="0" borderId="2" xfId="1" applyNumberFormat="1" applyFont="1" applyFill="1" applyBorder="1" applyProtection="1">
      <protection locked="0"/>
    </xf>
    <xf numFmtId="39" fontId="2" fillId="0" borderId="0" xfId="0" applyNumberFormat="1" applyFont="1" applyFill="1" applyProtection="1"/>
    <xf numFmtId="167" fontId="19" fillId="0" borderId="0" xfId="0" applyNumberFormat="1" applyFont="1" applyFill="1" applyAlignment="1" applyProtection="1">
      <alignment vertical="center"/>
    </xf>
    <xf numFmtId="0" fontId="13" fillId="0" borderId="17" xfId="0" applyFont="1" applyBorder="1" applyProtection="1"/>
    <xf numFmtId="39" fontId="13" fillId="0" borderId="3" xfId="0" applyNumberFormat="1" applyFont="1" applyFill="1" applyBorder="1" applyProtection="1"/>
    <xf numFmtId="39" fontId="13" fillId="0" borderId="18" xfId="0" applyNumberFormat="1" applyFont="1" applyFill="1" applyBorder="1" applyProtection="1"/>
    <xf numFmtId="39" fontId="2" fillId="0" borderId="2" xfId="0" applyNumberFormat="1" applyFont="1" applyFill="1" applyBorder="1" applyProtection="1"/>
    <xf numFmtId="167" fontId="13" fillId="0" borderId="0" xfId="0" applyNumberFormat="1" applyFont="1" applyFill="1" applyProtection="1"/>
    <xf numFmtId="168" fontId="2" fillId="0" borderId="0" xfId="0" applyNumberFormat="1" applyFont="1" applyBorder="1" applyProtection="1"/>
    <xf numFmtId="176" fontId="28" fillId="0" borderId="0" xfId="0" applyNumberFormat="1" applyFont="1" applyFill="1" applyBorder="1" applyAlignment="1" applyProtection="1">
      <alignment vertical="center"/>
    </xf>
    <xf numFmtId="0" fontId="14" fillId="0" borderId="16" xfId="0" quotePrefix="1" applyNumberFormat="1" applyFont="1" applyFill="1" applyBorder="1" applyAlignment="1" applyProtection="1">
      <alignment horizontal="right"/>
    </xf>
    <xf numFmtId="0" fontId="13" fillId="0" borderId="15" xfId="0" quotePrefix="1" applyFont="1" applyBorder="1" applyAlignment="1" applyProtection="1">
      <alignment horizontal="left"/>
    </xf>
    <xf numFmtId="0" fontId="13" fillId="0" borderId="13" xfId="0" quotePrefix="1" applyFont="1" applyBorder="1" applyAlignment="1" applyProtection="1">
      <alignment horizontal="left"/>
    </xf>
    <xf numFmtId="176" fontId="19" fillId="0" borderId="2" xfId="0" applyNumberFormat="1" applyFont="1" applyBorder="1" applyAlignment="1" applyProtection="1">
      <alignment vertical="center"/>
    </xf>
    <xf numFmtId="176" fontId="19" fillId="0" borderId="14" xfId="0" applyNumberFormat="1" applyFont="1" applyBorder="1" applyAlignment="1" applyProtection="1">
      <alignment vertical="center"/>
    </xf>
    <xf numFmtId="176" fontId="28" fillId="0" borderId="16" xfId="0" applyNumberFormat="1" applyFont="1" applyFill="1" applyBorder="1" applyAlignment="1" applyProtection="1">
      <alignment vertical="center"/>
    </xf>
    <xf numFmtId="176" fontId="2" fillId="0" borderId="16" xfId="0" applyNumberFormat="1" applyFont="1" applyBorder="1" applyProtection="1"/>
    <xf numFmtId="167" fontId="2" fillId="4" borderId="0" xfId="0" applyNumberFormat="1" applyFont="1" applyFill="1" applyProtection="1"/>
    <xf numFmtId="168" fontId="13" fillId="4" borderId="2" xfId="1" applyNumberFormat="1" applyFont="1" applyFill="1" applyBorder="1" applyAlignment="1" applyProtection="1">
      <alignment horizontal="right"/>
    </xf>
    <xf numFmtId="0" fontId="2" fillId="4" borderId="0" xfId="0" applyFont="1" applyFill="1" applyProtection="1"/>
    <xf numFmtId="166" fontId="23" fillId="0" borderId="0" xfId="0" applyNumberFormat="1" applyFont="1" applyBorder="1" applyAlignment="1" applyProtection="1">
      <alignment vertical="center"/>
    </xf>
    <xf numFmtId="166" fontId="23" fillId="0" borderId="16" xfId="0" applyNumberFormat="1" applyFont="1" applyBorder="1" applyAlignment="1" applyProtection="1">
      <alignment vertical="center"/>
    </xf>
    <xf numFmtId="166" fontId="23" fillId="0" borderId="2" xfId="0" applyNumberFormat="1" applyFont="1" applyBorder="1" applyAlignment="1" applyProtection="1">
      <alignment vertical="center"/>
    </xf>
    <xf numFmtId="166" fontId="23" fillId="0" borderId="14" xfId="0" applyNumberFormat="1" applyFont="1" applyBorder="1" applyAlignment="1" applyProtection="1">
      <alignment vertical="center"/>
    </xf>
    <xf numFmtId="0" fontId="19" fillId="0" borderId="2" xfId="0" applyFont="1" applyFill="1" applyBorder="1" applyProtection="1"/>
    <xf numFmtId="0" fontId="20" fillId="0" borderId="2" xfId="0" applyFont="1" applyFill="1" applyBorder="1" applyProtection="1"/>
    <xf numFmtId="166" fontId="21" fillId="0" borderId="2" xfId="0" applyNumberFormat="1" applyFont="1" applyFill="1" applyBorder="1" applyProtection="1"/>
    <xf numFmtId="0" fontId="26" fillId="0" borderId="0" xfId="0" applyFont="1" applyFill="1" applyBorder="1" applyAlignment="1" applyProtection="1">
      <alignment horizontal="centerContinuous"/>
    </xf>
  </cellXfs>
  <cellStyles count="13">
    <cellStyle name="Across" xfId="3" xr:uid="{00000000-0005-0000-0000-000000000000}"/>
    <cellStyle name="Bottom" xfId="4" xr:uid="{00000000-0005-0000-0000-000001000000}"/>
    <cellStyle name="Center" xfId="5" xr:uid="{00000000-0005-0000-0000-000002000000}"/>
    <cellStyle name="Comma" xfId="1" builtinId="3"/>
    <cellStyle name="Currency [2]" xfId="6" xr:uid="{00000000-0005-0000-0000-000004000000}"/>
    <cellStyle name="Double" xfId="7" xr:uid="{00000000-0005-0000-0000-000005000000}"/>
    <cellStyle name="Normal" xfId="0" builtinId="0"/>
    <cellStyle name="Normal_TrainingDCF1" xfId="2" xr:uid="{00000000-0005-0000-0000-000007000000}"/>
    <cellStyle name="Numbers" xfId="8" xr:uid="{00000000-0005-0000-0000-000008000000}"/>
    <cellStyle name="Numbers - Bold - Italic" xfId="9" xr:uid="{00000000-0005-0000-0000-000009000000}"/>
    <cellStyle name="Outline" xfId="10" xr:uid="{00000000-0005-0000-0000-00000A000000}"/>
    <cellStyle name="Percent" xfId="12" builtinId="5"/>
    <cellStyle name="Percent 2" xfId="11" xr:uid="{00000000-0005-0000-0000-00000C000000}"/>
  </cellStyles>
  <dxfs count="0"/>
  <tableStyles count="0" defaultTableStyle="TableStyleMedium2" defaultPivotStyle="PivotStyleLight16"/>
  <colors>
    <mruColors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EED6A-0093-4CBE-B00B-3F18739EC94A}">
  <dimension ref="A1:N13"/>
  <sheetViews>
    <sheetView showGridLines="0" view="pageBreakPreview" zoomScale="90" zoomScaleNormal="76" zoomScaleSheetLayoutView="90" workbookViewId="0">
      <selection activeCell="D13" sqref="D13"/>
    </sheetView>
  </sheetViews>
  <sheetFormatPr defaultColWidth="9.21875" defaultRowHeight="13.2"/>
  <cols>
    <col min="1" max="1" width="7.77734375" style="2" customWidth="1"/>
    <col min="2" max="2" width="1.77734375" style="2" customWidth="1"/>
    <col min="3" max="3" width="2.21875" style="2" customWidth="1"/>
    <col min="4" max="4" width="32.77734375" style="2" customWidth="1"/>
    <col min="5" max="5" width="12.77734375" style="2" customWidth="1"/>
    <col min="6" max="6" width="1.77734375" style="2" customWidth="1"/>
    <col min="7" max="9" width="12.77734375" style="2" customWidth="1"/>
    <col min="10" max="10" width="12.77734375" style="1" customWidth="1"/>
    <col min="11" max="14" width="12.77734375" style="2" customWidth="1"/>
    <col min="15" max="16384" width="9.21875" style="2"/>
  </cols>
  <sheetData>
    <row r="1" spans="1:14">
      <c r="A1" s="1"/>
      <c r="B1" s="1"/>
      <c r="C1" s="1"/>
      <c r="D1" s="1"/>
      <c r="E1" s="1"/>
      <c r="J1" s="2"/>
    </row>
    <row r="2" spans="1:14" ht="22.8">
      <c r="A2" s="1"/>
      <c r="C2" s="3"/>
      <c r="D2" s="3"/>
      <c r="E2" s="3"/>
      <c r="F2" s="3"/>
      <c r="G2" s="3"/>
      <c r="H2" s="3"/>
      <c r="I2" s="3"/>
      <c r="J2" s="4"/>
      <c r="K2" s="5"/>
      <c r="L2" s="5"/>
      <c r="M2" s="5"/>
      <c r="N2" s="5"/>
    </row>
    <row r="13" spans="1:14" ht="31.2">
      <c r="D13" s="88" t="s">
        <v>187</v>
      </c>
    </row>
  </sheetData>
  <sheetProtection formatCells="0"/>
  <printOptions horizontalCentered="1"/>
  <pageMargins left="0.25" right="0.25" top="0.25" bottom="0.5" header="0.25" footer="0.25"/>
  <pageSetup scale="85" orientation="landscape" r:id="rId1"/>
  <headerFooter alignWithMargins="0">
    <oddFooter>&amp;C&amp;P of &amp;N&amp;RShcherbina Yury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8CE61-DE02-4E19-8A33-2676D46E5C04}">
  <dimension ref="A1:AB47"/>
  <sheetViews>
    <sheetView showGridLines="0" view="pageBreakPreview" topLeftCell="A30" zoomScale="76" zoomScaleNormal="76" zoomScaleSheetLayoutView="76" workbookViewId="0">
      <selection activeCell="D13" sqref="D13"/>
    </sheetView>
  </sheetViews>
  <sheetFormatPr defaultColWidth="9.21875" defaultRowHeight="13.2"/>
  <cols>
    <col min="1" max="1" width="7.77734375" style="7" customWidth="1"/>
    <col min="2" max="2" width="1.77734375" style="7" customWidth="1"/>
    <col min="3" max="3" width="2.21875" style="7" customWidth="1"/>
    <col min="4" max="4" width="32.77734375" style="7" customWidth="1"/>
    <col min="5" max="5" width="12.77734375" style="7" customWidth="1"/>
    <col min="6" max="6" width="1.77734375" style="7" customWidth="1"/>
    <col min="7" max="9" width="12.77734375" style="7" customWidth="1"/>
    <col min="10" max="10" width="12.77734375" style="6" customWidth="1"/>
    <col min="11" max="14" width="12.77734375" style="7" customWidth="1"/>
    <col min="15" max="16384" width="9.21875" style="7"/>
  </cols>
  <sheetData>
    <row r="1" spans="1:28">
      <c r="A1" s="6"/>
      <c r="B1" s="6"/>
      <c r="C1" s="6"/>
      <c r="D1" s="6"/>
      <c r="E1" s="6"/>
      <c r="J1" s="7"/>
    </row>
    <row r="2" spans="1:28" ht="31.2">
      <c r="A2" s="6"/>
      <c r="B2" s="86" t="s">
        <v>187</v>
      </c>
      <c r="C2" s="8"/>
      <c r="D2" s="8"/>
      <c r="E2" s="8"/>
      <c r="F2" s="8"/>
      <c r="G2" s="8"/>
      <c r="H2" s="8"/>
      <c r="I2" s="8"/>
      <c r="J2" s="9"/>
      <c r="K2" s="10"/>
      <c r="L2" s="10"/>
      <c r="M2" s="10"/>
      <c r="N2" s="10"/>
    </row>
    <row r="3" spans="1:28" ht="19.5" customHeight="1">
      <c r="A3" s="6"/>
      <c r="B3" s="87" t="s">
        <v>134</v>
      </c>
      <c r="C3" s="11"/>
      <c r="D3" s="11"/>
      <c r="E3" s="11"/>
      <c r="F3" s="11"/>
      <c r="G3" s="11"/>
      <c r="H3" s="11"/>
      <c r="I3" s="11"/>
      <c r="J3" s="9"/>
      <c r="K3" s="10"/>
      <c r="L3" s="10"/>
      <c r="M3" s="10"/>
      <c r="N3" s="10"/>
    </row>
    <row r="4" spans="1:28" ht="6" customHeight="1" thickBot="1">
      <c r="A4" s="6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28">
      <c r="A5" s="6"/>
      <c r="B5" s="13" t="s">
        <v>60</v>
      </c>
      <c r="C5" s="6"/>
      <c r="D5" s="6"/>
      <c r="E5" s="6"/>
      <c r="F5" s="6"/>
      <c r="G5" s="6"/>
      <c r="H5" s="6"/>
      <c r="I5" s="6"/>
    </row>
    <row r="6" spans="1:28">
      <c r="A6" s="6"/>
      <c r="B6" s="6"/>
      <c r="C6" s="6"/>
      <c r="D6" s="6"/>
      <c r="E6" s="6"/>
      <c r="F6" s="14"/>
      <c r="G6" s="6"/>
      <c r="H6" s="6"/>
      <c r="I6" s="6"/>
    </row>
    <row r="7" spans="1:28" ht="15.6">
      <c r="A7" s="6"/>
      <c r="B7" s="162" t="s">
        <v>131</v>
      </c>
      <c r="C7" s="9"/>
      <c r="D7" s="9"/>
      <c r="E7" s="9"/>
      <c r="F7" s="14"/>
      <c r="G7" s="9"/>
      <c r="H7" s="9"/>
      <c r="I7" s="9"/>
      <c r="J7" s="9"/>
      <c r="K7" s="10"/>
      <c r="L7" s="10"/>
      <c r="M7" s="10"/>
      <c r="N7" s="10"/>
      <c r="P7" s="7" t="str">
        <f>UPPER("currently running: "&amp;TEXT(Scenarios!$E$9,"Base")&amp;" Scenario")</f>
        <v>CURRENTLY RUNNING: BASE SCENARIO</v>
      </c>
    </row>
    <row r="8" spans="1:28">
      <c r="A8" s="6"/>
      <c r="B8" s="92"/>
      <c r="C8" s="93"/>
      <c r="D8" s="93"/>
      <c r="E8" s="93"/>
      <c r="F8" s="158"/>
      <c r="G8" s="159">
        <v>2015</v>
      </c>
      <c r="H8" s="159">
        <f>G8+1</f>
        <v>2016</v>
      </c>
      <c r="I8" s="159">
        <f>H8+1</f>
        <v>2017</v>
      </c>
      <c r="J8" s="160">
        <f t="shared" ref="J8:N8" si="0">I8+1</f>
        <v>2018</v>
      </c>
      <c r="K8" s="160">
        <f t="shared" si="0"/>
        <v>2019</v>
      </c>
      <c r="L8" s="160">
        <f t="shared" si="0"/>
        <v>2020</v>
      </c>
      <c r="M8" s="160">
        <f t="shared" si="0"/>
        <v>2021</v>
      </c>
      <c r="N8" s="161">
        <f t="shared" si="0"/>
        <v>2022</v>
      </c>
      <c r="O8" s="16"/>
      <c r="P8" s="97"/>
      <c r="Q8" s="98"/>
      <c r="R8" s="98"/>
      <c r="S8" s="98"/>
      <c r="T8" s="98"/>
      <c r="U8" s="98">
        <v>2015</v>
      </c>
      <c r="V8" s="98">
        <v>2016</v>
      </c>
      <c r="W8" s="98">
        <v>2017</v>
      </c>
      <c r="X8" s="98">
        <v>2018</v>
      </c>
      <c r="Y8" s="98">
        <v>2019</v>
      </c>
      <c r="Z8" s="98">
        <v>2020</v>
      </c>
      <c r="AA8" s="98">
        <v>2021</v>
      </c>
      <c r="AB8" s="99">
        <v>2022</v>
      </c>
    </row>
    <row r="9" spans="1:28" ht="13.2" customHeight="1">
      <c r="A9" s="6"/>
      <c r="B9" s="97"/>
      <c r="C9" s="98"/>
      <c r="D9" s="98"/>
      <c r="E9" s="98"/>
      <c r="F9" s="156"/>
      <c r="G9" s="156"/>
      <c r="H9" s="156"/>
      <c r="I9" s="156"/>
      <c r="J9" s="107"/>
      <c r="K9" s="98"/>
      <c r="L9" s="156"/>
      <c r="M9" s="156"/>
      <c r="N9" s="157"/>
      <c r="P9" s="97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9"/>
    </row>
    <row r="10" spans="1:28">
      <c r="B10" s="102"/>
      <c r="C10" s="18" t="s">
        <v>128</v>
      </c>
      <c r="D10" s="18"/>
      <c r="E10" s="18"/>
      <c r="F10" s="18"/>
      <c r="G10" s="207">
        <v>3194.1</v>
      </c>
      <c r="H10" s="207">
        <v>3524.7</v>
      </c>
      <c r="I10" s="207">
        <v>3829.2</v>
      </c>
      <c r="J10" s="207">
        <v>4025.0120249999991</v>
      </c>
      <c r="K10" s="207">
        <v>4231.2989235187497</v>
      </c>
      <c r="L10" s="207">
        <v>4448.6336285830439</v>
      </c>
      <c r="M10" s="207">
        <v>4677.6207382066268</v>
      </c>
      <c r="N10" s="260">
        <v>4918.898273812476</v>
      </c>
      <c r="P10" s="102"/>
      <c r="Q10" s="18" t="s">
        <v>128</v>
      </c>
      <c r="R10" s="18"/>
      <c r="S10" s="18"/>
      <c r="T10" s="18"/>
      <c r="U10" s="18">
        <f>Model!G244</f>
        <v>3194.1</v>
      </c>
      <c r="V10" s="18">
        <f>Model!H244</f>
        <v>3524.7</v>
      </c>
      <c r="W10" s="18">
        <f>Model!I244</f>
        <v>3829.2</v>
      </c>
      <c r="X10" s="18">
        <f>Model!J244</f>
        <v>4025.0120249999991</v>
      </c>
      <c r="Y10" s="18">
        <f>Model!K244</f>
        <v>4231.2989235187497</v>
      </c>
      <c r="Z10" s="18">
        <f>Model!L244</f>
        <v>4448.6336285830439</v>
      </c>
      <c r="AA10" s="18">
        <f>Model!M244</f>
        <v>4677.6207382066268</v>
      </c>
      <c r="AB10" s="103">
        <f>Model!N244</f>
        <v>4918.898273812476</v>
      </c>
    </row>
    <row r="11" spans="1:28">
      <c r="B11" s="102"/>
      <c r="C11" s="18"/>
      <c r="D11" s="18" t="s">
        <v>129</v>
      </c>
      <c r="E11" s="18"/>
      <c r="F11" s="18"/>
      <c r="G11" s="18"/>
      <c r="H11" s="264">
        <v>0.10350333427256508</v>
      </c>
      <c r="I11" s="264">
        <v>8.6390331092007777E-2</v>
      </c>
      <c r="J11" s="264">
        <v>5.1136536352240469E-2</v>
      </c>
      <c r="K11" s="264">
        <v>5.1251250241606483E-2</v>
      </c>
      <c r="L11" s="264">
        <v>5.1363590470124176E-2</v>
      </c>
      <c r="M11" s="264">
        <v>5.1473582394448325E-2</v>
      </c>
      <c r="N11" s="265">
        <v>5.158125233093469E-2</v>
      </c>
      <c r="P11" s="102"/>
      <c r="Q11" s="18"/>
      <c r="R11" s="18" t="s">
        <v>129</v>
      </c>
      <c r="S11" s="18"/>
      <c r="T11" s="18"/>
      <c r="U11" s="18"/>
      <c r="V11" s="148">
        <f>V10/U10-1</f>
        <v>0.10350333427256508</v>
      </c>
      <c r="W11" s="148">
        <f t="shared" ref="W11:AB11" si="1">W10/V10-1</f>
        <v>8.6390331092007777E-2</v>
      </c>
      <c r="X11" s="148">
        <f t="shared" si="1"/>
        <v>5.1136536352240469E-2</v>
      </c>
      <c r="Y11" s="148">
        <f t="shared" si="1"/>
        <v>5.1251250241606483E-2</v>
      </c>
      <c r="Z11" s="148">
        <f t="shared" si="1"/>
        <v>5.1363590470124176E-2</v>
      </c>
      <c r="AA11" s="148">
        <f t="shared" si="1"/>
        <v>5.1473582394448325E-2</v>
      </c>
      <c r="AB11" s="164">
        <f t="shared" si="1"/>
        <v>5.158125233093469E-2</v>
      </c>
    </row>
    <row r="12" spans="1:28">
      <c r="B12" s="102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03"/>
      <c r="P12" s="102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03"/>
    </row>
    <row r="13" spans="1:28">
      <c r="B13" s="102"/>
      <c r="C13" s="18" t="s">
        <v>12</v>
      </c>
      <c r="D13" s="18"/>
      <c r="E13" s="18"/>
      <c r="F13" s="18"/>
      <c r="G13" s="207">
        <v>117.29999999999961</v>
      </c>
      <c r="H13" s="207">
        <v>124.59999999999945</v>
      </c>
      <c r="I13" s="207">
        <v>100.39999999999955</v>
      </c>
      <c r="J13" s="207">
        <v>412.75555166666533</v>
      </c>
      <c r="K13" s="207">
        <v>513.20249559998297</v>
      </c>
      <c r="L13" s="207">
        <v>619.03415250160811</v>
      </c>
      <c r="M13" s="207">
        <v>736.96013502589858</v>
      </c>
      <c r="N13" s="260">
        <v>863.44020070386932</v>
      </c>
      <c r="P13" s="102"/>
      <c r="Q13" s="18" t="s">
        <v>12</v>
      </c>
      <c r="R13" s="18"/>
      <c r="S13" s="18"/>
      <c r="T13" s="18"/>
      <c r="U13" s="18">
        <f>Model!G258</f>
        <v>117.29999999999961</v>
      </c>
      <c r="V13" s="18">
        <f>Model!H258</f>
        <v>124.59999999999945</v>
      </c>
      <c r="W13" s="18">
        <f>Model!I258</f>
        <v>100.39999999999955</v>
      </c>
      <c r="X13" s="18">
        <f>Model!J258</f>
        <v>412.75555166666533</v>
      </c>
      <c r="Y13" s="18">
        <f>Model!K258</f>
        <v>513.20249559998297</v>
      </c>
      <c r="Z13" s="18">
        <f>Model!L258</f>
        <v>619.03415250160811</v>
      </c>
      <c r="AA13" s="18">
        <f>Model!M258</f>
        <v>736.96013502589858</v>
      </c>
      <c r="AB13" s="103">
        <f>Model!N258</f>
        <v>863.44020070386932</v>
      </c>
    </row>
    <row r="14" spans="1:28">
      <c r="B14" s="102"/>
      <c r="C14" s="18"/>
      <c r="D14" s="18" t="s">
        <v>130</v>
      </c>
      <c r="E14" s="18"/>
      <c r="F14" s="18"/>
      <c r="G14" s="264">
        <v>3.6723959800882756E-2</v>
      </c>
      <c r="H14" s="264">
        <v>3.5350526285924888E-2</v>
      </c>
      <c r="I14" s="264">
        <v>2.6219575890525319E-2</v>
      </c>
      <c r="J14" s="264">
        <v>0.10254765677791122</v>
      </c>
      <c r="K14" s="264">
        <v>0.12128722287793452</v>
      </c>
      <c r="L14" s="264">
        <v>0.13915152475677789</v>
      </c>
      <c r="M14" s="264">
        <v>0.15755021115894166</v>
      </c>
      <c r="N14" s="265">
        <v>0.17553528303293112</v>
      </c>
      <c r="P14" s="102"/>
      <c r="Q14" s="18"/>
      <c r="R14" s="18" t="s">
        <v>130</v>
      </c>
      <c r="S14" s="18"/>
      <c r="T14" s="18"/>
      <c r="U14" s="148">
        <f>U13/U10</f>
        <v>3.6723959800882756E-2</v>
      </c>
      <c r="V14" s="148">
        <f>V13/V10</f>
        <v>3.5350526285924888E-2</v>
      </c>
      <c r="W14" s="148">
        <f t="shared" ref="W14:AB14" si="2">W13/W10</f>
        <v>2.6219575890525319E-2</v>
      </c>
      <c r="X14" s="148">
        <f t="shared" si="2"/>
        <v>0.10254765677791122</v>
      </c>
      <c r="Y14" s="148">
        <f t="shared" si="2"/>
        <v>0.12128722287793452</v>
      </c>
      <c r="Z14" s="148">
        <f t="shared" si="2"/>
        <v>0.13915152475677789</v>
      </c>
      <c r="AA14" s="148">
        <f t="shared" si="2"/>
        <v>0.15755021115894166</v>
      </c>
      <c r="AB14" s="164">
        <f t="shared" si="2"/>
        <v>0.17553528303293112</v>
      </c>
    </row>
    <row r="15" spans="1:28">
      <c r="B15" s="102"/>
      <c r="C15" s="18"/>
      <c r="D15" s="18" t="s">
        <v>129</v>
      </c>
      <c r="E15" s="18"/>
      <c r="F15" s="18"/>
      <c r="G15" s="18"/>
      <c r="H15" s="264">
        <v>6.223358908780785E-2</v>
      </c>
      <c r="I15" s="264">
        <v>-0.19422150882825051</v>
      </c>
      <c r="J15" s="264">
        <v>3.1111110723771631</v>
      </c>
      <c r="K15" s="264">
        <v>0.24335697854995053</v>
      </c>
      <c r="L15" s="264">
        <v>0.20621812600092237</v>
      </c>
      <c r="M15" s="264">
        <v>0.19049996199358987</v>
      </c>
      <c r="N15" s="265">
        <v>0.17162402641158603</v>
      </c>
      <c r="P15" s="102"/>
      <c r="Q15" s="18"/>
      <c r="R15" s="18" t="s">
        <v>129</v>
      </c>
      <c r="S15" s="18"/>
      <c r="T15" s="18"/>
      <c r="U15" s="18"/>
      <c r="V15" s="148">
        <f>V13/U13-1</f>
        <v>6.223358908780785E-2</v>
      </c>
      <c r="W15" s="148">
        <f t="shared" ref="W15:AB15" si="3">W13/V13-1</f>
        <v>-0.19422150882825051</v>
      </c>
      <c r="X15" s="148">
        <f t="shared" si="3"/>
        <v>3.1111110723771631</v>
      </c>
      <c r="Y15" s="148">
        <f t="shared" si="3"/>
        <v>0.24335697854995053</v>
      </c>
      <c r="Z15" s="148">
        <f t="shared" si="3"/>
        <v>0.20621812600092237</v>
      </c>
      <c r="AA15" s="148">
        <f t="shared" si="3"/>
        <v>0.19049996199358987</v>
      </c>
      <c r="AB15" s="164">
        <f t="shared" si="3"/>
        <v>0.17162402641158603</v>
      </c>
    </row>
    <row r="16" spans="1:28">
      <c r="B16" s="102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03"/>
      <c r="P16" s="102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03"/>
    </row>
    <row r="17" spans="2:28">
      <c r="B17" s="102"/>
      <c r="C17" s="18" t="s">
        <v>16</v>
      </c>
      <c r="D17" s="18"/>
      <c r="E17" s="18"/>
      <c r="F17" s="18"/>
      <c r="G17" s="207">
        <v>59.899999999999615</v>
      </c>
      <c r="H17" s="207">
        <v>70.199999999999449</v>
      </c>
      <c r="I17" s="207">
        <v>51.599999999999554</v>
      </c>
      <c r="J17" s="207">
        <v>268.29110858333246</v>
      </c>
      <c r="K17" s="207">
        <v>333.58162213998895</v>
      </c>
      <c r="L17" s="207">
        <v>402.3721991260453</v>
      </c>
      <c r="M17" s="207">
        <v>479.0240877668341</v>
      </c>
      <c r="N17" s="260">
        <v>561.23613045751506</v>
      </c>
      <c r="P17" s="102"/>
      <c r="Q17" s="18" t="s">
        <v>16</v>
      </c>
      <c r="R17" s="18"/>
      <c r="S17" s="18"/>
      <c r="T17" s="18"/>
      <c r="U17" s="18">
        <f>Model!G264</f>
        <v>59.899999999999615</v>
      </c>
      <c r="V17" s="18">
        <f>Model!H264</f>
        <v>70.199999999999449</v>
      </c>
      <c r="W17" s="18">
        <f>Model!I264</f>
        <v>51.599999999999554</v>
      </c>
      <c r="X17" s="18">
        <f>Model!J264</f>
        <v>268.29110858333246</v>
      </c>
      <c r="Y17" s="18">
        <f>Model!K264</f>
        <v>333.58162213998895</v>
      </c>
      <c r="Z17" s="18">
        <f>Model!L264</f>
        <v>402.3721991260453</v>
      </c>
      <c r="AA17" s="18">
        <f>Model!M264</f>
        <v>479.0240877668341</v>
      </c>
      <c r="AB17" s="103">
        <f>Model!N264</f>
        <v>561.23613045751506</v>
      </c>
    </row>
    <row r="18" spans="2:28">
      <c r="B18" s="102"/>
      <c r="C18" s="18"/>
      <c r="D18" s="18" t="s">
        <v>130</v>
      </c>
      <c r="E18" s="18"/>
      <c r="F18" s="18"/>
      <c r="G18" s="264">
        <v>1.8753326445634017E-2</v>
      </c>
      <c r="H18" s="264">
        <v>1.9916588645842045E-2</v>
      </c>
      <c r="I18" s="264">
        <v>1.3475399561265944E-2</v>
      </c>
      <c r="J18" s="264">
        <v>6.6655976905642289E-2</v>
      </c>
      <c r="K18" s="264">
        <v>7.8836694870657434E-2</v>
      </c>
      <c r="L18" s="264">
        <v>9.0448491091905642E-2</v>
      </c>
      <c r="M18" s="264">
        <v>0.10240763725331208</v>
      </c>
      <c r="N18" s="265">
        <v>0.11409793397140523</v>
      </c>
      <c r="P18" s="102"/>
      <c r="Q18" s="18"/>
      <c r="R18" s="18" t="s">
        <v>130</v>
      </c>
      <c r="S18" s="18"/>
      <c r="T18" s="18"/>
      <c r="U18" s="148">
        <f>U17/U10</f>
        <v>1.8753326445634017E-2</v>
      </c>
      <c r="V18" s="148">
        <f>V17/V10</f>
        <v>1.9916588645842045E-2</v>
      </c>
      <c r="W18" s="148">
        <f t="shared" ref="W18:AB18" si="4">W17/W10</f>
        <v>1.3475399561265944E-2</v>
      </c>
      <c r="X18" s="148">
        <f t="shared" si="4"/>
        <v>6.6655976905642289E-2</v>
      </c>
      <c r="Y18" s="148">
        <f t="shared" si="4"/>
        <v>7.8836694870657434E-2</v>
      </c>
      <c r="Z18" s="148">
        <f t="shared" si="4"/>
        <v>9.0448491091905642E-2</v>
      </c>
      <c r="AA18" s="148">
        <f t="shared" si="4"/>
        <v>0.10240763725331208</v>
      </c>
      <c r="AB18" s="164">
        <f t="shared" si="4"/>
        <v>0.11409793397140523</v>
      </c>
    </row>
    <row r="19" spans="2:28">
      <c r="B19" s="100"/>
      <c r="C19" s="42"/>
      <c r="D19" s="42" t="s">
        <v>129</v>
      </c>
      <c r="E19" s="42"/>
      <c r="F19" s="42"/>
      <c r="G19" s="42"/>
      <c r="H19" s="266">
        <v>0.17195325542570794</v>
      </c>
      <c r="I19" s="266">
        <v>-0.26495726495726557</v>
      </c>
      <c r="J19" s="266">
        <v>4.1994400888243177</v>
      </c>
      <c r="K19" s="266">
        <v>0.24335697854995053</v>
      </c>
      <c r="L19" s="266">
        <v>0.20621812600092237</v>
      </c>
      <c r="M19" s="266">
        <v>0.19049996199358987</v>
      </c>
      <c r="N19" s="267">
        <v>0.17162402641158581</v>
      </c>
      <c r="P19" s="100"/>
      <c r="Q19" s="42"/>
      <c r="R19" s="42" t="s">
        <v>129</v>
      </c>
      <c r="S19" s="42"/>
      <c r="T19" s="42"/>
      <c r="U19" s="42"/>
      <c r="V19" s="163">
        <f>V17/U17-1</f>
        <v>0.17195325542570794</v>
      </c>
      <c r="W19" s="163">
        <f t="shared" ref="W19:AB19" si="5">W17/V17-1</f>
        <v>-0.26495726495726557</v>
      </c>
      <c r="X19" s="163">
        <f t="shared" si="5"/>
        <v>4.1994400888243177</v>
      </c>
      <c r="Y19" s="163">
        <f t="shared" si="5"/>
        <v>0.24335697854995053</v>
      </c>
      <c r="Z19" s="163">
        <f t="shared" si="5"/>
        <v>0.20621812600092237</v>
      </c>
      <c r="AA19" s="163">
        <f t="shared" si="5"/>
        <v>0.19049996199358987</v>
      </c>
      <c r="AB19" s="165">
        <f t="shared" si="5"/>
        <v>0.17162402641158581</v>
      </c>
    </row>
    <row r="21" spans="2:28" ht="15.6">
      <c r="B21" s="162" t="s">
        <v>132</v>
      </c>
      <c r="C21" s="9"/>
      <c r="D21" s="9"/>
      <c r="E21" s="9"/>
      <c r="F21" s="14"/>
      <c r="G21" s="9"/>
      <c r="H21" s="9"/>
      <c r="I21" s="9"/>
      <c r="J21" s="9"/>
      <c r="K21" s="10"/>
      <c r="L21" s="10"/>
      <c r="M21" s="10"/>
      <c r="N21" s="10"/>
    </row>
    <row r="22" spans="2:28">
      <c r="B22" s="92"/>
      <c r="C22" s="93"/>
      <c r="D22" s="93"/>
      <c r="E22" s="93"/>
      <c r="F22" s="158"/>
      <c r="G22" s="159">
        <v>2015</v>
      </c>
      <c r="H22" s="159">
        <f>G22+1</f>
        <v>2016</v>
      </c>
      <c r="I22" s="159">
        <f>H22+1</f>
        <v>2017</v>
      </c>
      <c r="J22" s="160">
        <f t="shared" ref="J22:N22" si="6">I22+1</f>
        <v>2018</v>
      </c>
      <c r="K22" s="160">
        <f t="shared" si="6"/>
        <v>2019</v>
      </c>
      <c r="L22" s="160">
        <f t="shared" si="6"/>
        <v>2020</v>
      </c>
      <c r="M22" s="160">
        <f t="shared" si="6"/>
        <v>2021</v>
      </c>
      <c r="N22" s="161">
        <f t="shared" si="6"/>
        <v>2022</v>
      </c>
    </row>
    <row r="23" spans="2:28">
      <c r="B23" s="97"/>
      <c r="C23" s="98"/>
      <c r="D23" s="98"/>
      <c r="E23" s="98"/>
      <c r="F23" s="156"/>
      <c r="G23" s="156"/>
      <c r="H23" s="156"/>
      <c r="I23" s="156"/>
      <c r="J23" s="107"/>
      <c r="K23" s="98"/>
      <c r="L23" s="156"/>
      <c r="M23" s="156"/>
      <c r="N23" s="157"/>
    </row>
    <row r="24" spans="2:28">
      <c r="B24" s="102"/>
      <c r="C24" s="18" t="s">
        <v>128</v>
      </c>
      <c r="D24" s="18"/>
      <c r="E24" s="18"/>
      <c r="F24" s="18"/>
      <c r="G24" s="207">
        <v>3194.1</v>
      </c>
      <c r="H24" s="207">
        <v>3524.7</v>
      </c>
      <c r="I24" s="207">
        <v>3829.2</v>
      </c>
      <c r="J24" s="207">
        <v>4034.2126550625007</v>
      </c>
      <c r="K24" s="207">
        <v>4250.7520629268274</v>
      </c>
      <c r="L24" s="207">
        <v>4479.4813685543304</v>
      </c>
      <c r="M24" s="207">
        <v>4721.1022604609489</v>
      </c>
      <c r="N24" s="260">
        <v>4976.3572209430695</v>
      </c>
    </row>
    <row r="25" spans="2:28">
      <c r="B25" s="102"/>
      <c r="C25" s="18"/>
      <c r="D25" s="18" t="s">
        <v>129</v>
      </c>
      <c r="E25" s="18"/>
      <c r="F25" s="18"/>
      <c r="G25" s="18"/>
      <c r="H25" s="264">
        <v>0.10350333427256508</v>
      </c>
      <c r="I25" s="264">
        <v>8.6390331092007777E-2</v>
      </c>
      <c r="J25" s="264">
        <v>5.3539291513240661E-2</v>
      </c>
      <c r="K25" s="264">
        <v>5.3675754448043955E-2</v>
      </c>
      <c r="L25" s="264">
        <v>5.3809138298697379E-2</v>
      </c>
      <c r="M25" s="264">
        <v>5.3939479155507009E-2</v>
      </c>
      <c r="N25" s="265">
        <v>5.4066814569951438E-2</v>
      </c>
    </row>
    <row r="26" spans="2:28">
      <c r="B26" s="102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03"/>
    </row>
    <row r="27" spans="2:28">
      <c r="B27" s="102"/>
      <c r="C27" s="18" t="s">
        <v>12</v>
      </c>
      <c r="D27" s="18"/>
      <c r="E27" s="18"/>
      <c r="F27" s="18"/>
      <c r="G27" s="207">
        <v>117.29999999999961</v>
      </c>
      <c r="H27" s="207">
        <v>124.59999999999945</v>
      </c>
      <c r="I27" s="207">
        <v>100.39999999999955</v>
      </c>
      <c r="J27" s="207">
        <v>434.94327472916717</v>
      </c>
      <c r="K27" s="207">
        <v>562.40836496026941</v>
      </c>
      <c r="L27" s="207">
        <v>698.5433668332771</v>
      </c>
      <c r="M27" s="207">
        <v>846.40931976487241</v>
      </c>
      <c r="N27" s="260">
        <v>1006.3953694615379</v>
      </c>
    </row>
    <row r="28" spans="2:28">
      <c r="B28" s="102"/>
      <c r="C28" s="18"/>
      <c r="D28" s="18" t="s">
        <v>130</v>
      </c>
      <c r="E28" s="18"/>
      <c r="F28" s="18"/>
      <c r="G28" s="264">
        <v>3.6723959800882756E-2</v>
      </c>
      <c r="H28" s="264">
        <v>3.5350526285924888E-2</v>
      </c>
      <c r="I28" s="264">
        <v>2.6219575890525319E-2</v>
      </c>
      <c r="J28" s="264">
        <v>0.10781367070061623</v>
      </c>
      <c r="K28" s="264">
        <v>0.13230796730426728</v>
      </c>
      <c r="L28" s="264">
        <v>0.15594291154708365</v>
      </c>
      <c r="M28" s="264">
        <v>0.17928214070970633</v>
      </c>
      <c r="N28" s="265">
        <v>0.20223535505572407</v>
      </c>
    </row>
    <row r="29" spans="2:28">
      <c r="B29" s="102"/>
      <c r="C29" s="18"/>
      <c r="D29" s="18" t="s">
        <v>129</v>
      </c>
      <c r="E29" s="18"/>
      <c r="F29" s="18"/>
      <c r="G29" s="18"/>
      <c r="H29" s="264">
        <v>6.223358908780785E-2</v>
      </c>
      <c r="I29" s="264">
        <v>-0.19422150882825051</v>
      </c>
      <c r="J29" s="264">
        <v>3.3321043299718038</v>
      </c>
      <c r="K29" s="264">
        <v>0.29306141199785851</v>
      </c>
      <c r="L29" s="264">
        <v>0.24205721385851864</v>
      </c>
      <c r="M29" s="264">
        <v>0.21167755640128605</v>
      </c>
      <c r="N29" s="265">
        <v>0.18901735361457117</v>
      </c>
    </row>
    <row r="30" spans="2:28">
      <c r="B30" s="102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03"/>
    </row>
    <row r="31" spans="2:28">
      <c r="B31" s="102"/>
      <c r="C31" s="18" t="s">
        <v>16</v>
      </c>
      <c r="D31" s="18"/>
      <c r="E31" s="18"/>
      <c r="F31" s="18"/>
      <c r="G31" s="207">
        <v>59.899999999999615</v>
      </c>
      <c r="H31" s="207">
        <v>70.199999999999449</v>
      </c>
      <c r="I31" s="207">
        <v>51.599999999999554</v>
      </c>
      <c r="J31" s="207">
        <v>282.71312857395867</v>
      </c>
      <c r="K31" s="207">
        <v>365.56543722417513</v>
      </c>
      <c r="L31" s="207">
        <v>454.05318844163014</v>
      </c>
      <c r="M31" s="207">
        <v>550.16605784716717</v>
      </c>
      <c r="N31" s="260">
        <v>654.15699014999973</v>
      </c>
    </row>
    <row r="32" spans="2:28">
      <c r="B32" s="102"/>
      <c r="C32" s="18"/>
      <c r="D32" s="18" t="s">
        <v>130</v>
      </c>
      <c r="E32" s="18"/>
      <c r="F32" s="18"/>
      <c r="G32" s="264">
        <v>1.8753326445634017E-2</v>
      </c>
      <c r="H32" s="264">
        <v>1.9916588645842045E-2</v>
      </c>
      <c r="I32" s="264">
        <v>1.3475399561265944E-2</v>
      </c>
      <c r="J32" s="264">
        <v>7.0078885955400558E-2</v>
      </c>
      <c r="K32" s="264">
        <v>8.6000178747773742E-2</v>
      </c>
      <c r="L32" s="264">
        <v>0.10136289250560437</v>
      </c>
      <c r="M32" s="264">
        <v>0.11653339146130913</v>
      </c>
      <c r="N32" s="265">
        <v>0.13145298078622067</v>
      </c>
    </row>
    <row r="33" spans="2:14">
      <c r="B33" s="100"/>
      <c r="C33" s="42"/>
      <c r="D33" s="42" t="s">
        <v>129</v>
      </c>
      <c r="E33" s="42"/>
      <c r="F33" s="42"/>
      <c r="G33" s="42"/>
      <c r="H33" s="266">
        <v>0.17195325542570794</v>
      </c>
      <c r="I33" s="266">
        <v>-0.26495726495726557</v>
      </c>
      <c r="J33" s="266">
        <v>4.478936600270564</v>
      </c>
      <c r="K33" s="266">
        <v>0.29306141199785851</v>
      </c>
      <c r="L33" s="266">
        <v>0.24205721385851864</v>
      </c>
      <c r="M33" s="266">
        <v>0.21167755640128627</v>
      </c>
      <c r="N33" s="267">
        <v>0.18901735361457117</v>
      </c>
    </row>
    <row r="35" spans="2:14" ht="15.6">
      <c r="B35" s="162" t="s">
        <v>133</v>
      </c>
      <c r="C35" s="9"/>
      <c r="D35" s="9"/>
      <c r="E35" s="9"/>
      <c r="F35" s="14"/>
      <c r="G35" s="9"/>
      <c r="H35" s="9"/>
      <c r="I35" s="9"/>
      <c r="J35" s="9"/>
      <c r="K35" s="10"/>
      <c r="L35" s="10"/>
      <c r="M35" s="10"/>
      <c r="N35" s="10"/>
    </row>
    <row r="36" spans="2:14">
      <c r="B36" s="92"/>
      <c r="C36" s="93"/>
      <c r="D36" s="93"/>
      <c r="E36" s="93"/>
      <c r="F36" s="158"/>
      <c r="G36" s="159">
        <v>2015</v>
      </c>
      <c r="H36" s="159">
        <f>G36+1</f>
        <v>2016</v>
      </c>
      <c r="I36" s="159">
        <f>H36+1</f>
        <v>2017</v>
      </c>
      <c r="J36" s="160">
        <f t="shared" ref="J36:N36" si="7">I36+1</f>
        <v>2018</v>
      </c>
      <c r="K36" s="160">
        <f t="shared" si="7"/>
        <v>2019</v>
      </c>
      <c r="L36" s="160">
        <f t="shared" si="7"/>
        <v>2020</v>
      </c>
      <c r="M36" s="160">
        <f t="shared" si="7"/>
        <v>2021</v>
      </c>
      <c r="N36" s="161">
        <f t="shared" si="7"/>
        <v>2022</v>
      </c>
    </row>
    <row r="37" spans="2:14">
      <c r="B37" s="97"/>
      <c r="C37" s="98"/>
      <c r="D37" s="98"/>
      <c r="E37" s="98"/>
      <c r="F37" s="156"/>
      <c r="G37" s="156"/>
      <c r="H37" s="156"/>
      <c r="I37" s="156"/>
      <c r="J37" s="107"/>
      <c r="K37" s="98"/>
      <c r="L37" s="156"/>
      <c r="M37" s="156"/>
      <c r="N37" s="157"/>
    </row>
    <row r="38" spans="2:14">
      <c r="B38" s="102"/>
      <c r="C38" s="18" t="s">
        <v>128</v>
      </c>
      <c r="D38" s="18"/>
      <c r="E38" s="18"/>
      <c r="F38" s="18"/>
      <c r="G38" s="207">
        <v>3194.1</v>
      </c>
      <c r="H38" s="207">
        <v>3524.7</v>
      </c>
      <c r="I38" s="207">
        <v>3829.2</v>
      </c>
      <c r="J38" s="207">
        <v>4024.552313881406</v>
      </c>
      <c r="K38" s="207">
        <v>4230.3283084238801</v>
      </c>
      <c r="L38" s="207">
        <v>4447.0966410722631</v>
      </c>
      <c r="M38" s="207">
        <v>4675.4573168423494</v>
      </c>
      <c r="N38" s="260">
        <v>4916.0434246512341</v>
      </c>
    </row>
    <row r="39" spans="2:14">
      <c r="B39" s="102"/>
      <c r="C39" s="18"/>
      <c r="D39" s="18" t="s">
        <v>129</v>
      </c>
      <c r="E39" s="18"/>
      <c r="F39" s="18"/>
      <c r="G39" s="18"/>
      <c r="H39" s="264">
        <v>0.10350333427256508</v>
      </c>
      <c r="I39" s="264">
        <v>8.6390331092007777E-2</v>
      </c>
      <c r="J39" s="264">
        <v>5.1016482262980833E-2</v>
      </c>
      <c r="K39" s="264">
        <v>5.1130157715360225E-2</v>
      </c>
      <c r="L39" s="264">
        <v>5.1241491639485881E-2</v>
      </c>
      <c r="M39" s="264">
        <v>5.1350508927781036E-2</v>
      </c>
      <c r="N39" s="265">
        <v>5.1457235411437541E-2</v>
      </c>
    </row>
    <row r="40" spans="2:14">
      <c r="B40" s="102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03"/>
    </row>
    <row r="41" spans="2:14">
      <c r="B41" s="102"/>
      <c r="C41" s="18" t="s">
        <v>12</v>
      </c>
      <c r="D41" s="18"/>
      <c r="E41" s="18"/>
      <c r="F41" s="18"/>
      <c r="G41" s="207">
        <v>117.29999999999961</v>
      </c>
      <c r="H41" s="207">
        <v>124.59999999999945</v>
      </c>
      <c r="I41" s="207">
        <v>100.39999999999955</v>
      </c>
      <c r="J41" s="207">
        <v>398.30085779807229</v>
      </c>
      <c r="K41" s="207">
        <v>480.26069505516432</v>
      </c>
      <c r="L41" s="207">
        <v>565.54168397936564</v>
      </c>
      <c r="M41" s="207">
        <v>662.97478854650819</v>
      </c>
      <c r="N41" s="260">
        <v>767.71844008758615</v>
      </c>
    </row>
    <row r="42" spans="2:14">
      <c r="B42" s="102"/>
      <c r="C42" s="18"/>
      <c r="D42" s="18" t="s">
        <v>130</v>
      </c>
      <c r="E42" s="18"/>
      <c r="F42" s="18"/>
      <c r="G42" s="264">
        <v>3.6723959800882756E-2</v>
      </c>
      <c r="H42" s="264">
        <v>3.5350526285924888E-2</v>
      </c>
      <c r="I42" s="264">
        <v>2.6219575890525319E-2</v>
      </c>
      <c r="J42" s="264">
        <v>9.8967742678921292E-2</v>
      </c>
      <c r="K42" s="264">
        <v>0.11352799594745829</v>
      </c>
      <c r="L42" s="264">
        <v>0.12717099033921711</v>
      </c>
      <c r="M42" s="264">
        <v>0.14179891797071514</v>
      </c>
      <c r="N42" s="265">
        <v>0.15616591916944905</v>
      </c>
    </row>
    <row r="43" spans="2:14">
      <c r="B43" s="102"/>
      <c r="C43" s="18"/>
      <c r="D43" s="18" t="s">
        <v>129</v>
      </c>
      <c r="E43" s="18"/>
      <c r="F43" s="18"/>
      <c r="G43" s="18"/>
      <c r="H43" s="264">
        <v>6.223358908780785E-2</v>
      </c>
      <c r="I43" s="264">
        <v>-0.19422150882825051</v>
      </c>
      <c r="J43" s="264">
        <v>2.9671400179091041</v>
      </c>
      <c r="K43" s="264">
        <v>0.20577369004473356</v>
      </c>
      <c r="L43" s="264">
        <v>0.17757228480753695</v>
      </c>
      <c r="M43" s="264">
        <v>0.17228279953047188</v>
      </c>
      <c r="N43" s="265">
        <v>0.15799039925894576</v>
      </c>
    </row>
    <row r="44" spans="2:14">
      <c r="B44" s="102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03"/>
    </row>
    <row r="45" spans="2:14">
      <c r="B45" s="102"/>
      <c r="C45" s="18" t="s">
        <v>16</v>
      </c>
      <c r="D45" s="18"/>
      <c r="E45" s="18"/>
      <c r="F45" s="18"/>
      <c r="G45" s="207">
        <v>59.899999999999615</v>
      </c>
      <c r="H45" s="207">
        <v>70.199999999999449</v>
      </c>
      <c r="I45" s="207">
        <v>51.599999999999554</v>
      </c>
      <c r="J45" s="207">
        <v>258.89555756874699</v>
      </c>
      <c r="K45" s="207">
        <v>312.16945178585684</v>
      </c>
      <c r="L45" s="207">
        <v>367.60209458658767</v>
      </c>
      <c r="M45" s="207">
        <v>430.93361255523035</v>
      </c>
      <c r="N45" s="260">
        <v>499.01698605693099</v>
      </c>
    </row>
    <row r="46" spans="2:14">
      <c r="B46" s="102"/>
      <c r="C46" s="18"/>
      <c r="D46" s="18" t="s">
        <v>130</v>
      </c>
      <c r="E46" s="18"/>
      <c r="F46" s="18"/>
      <c r="G46" s="264">
        <v>1.8753326445634017E-2</v>
      </c>
      <c r="H46" s="264">
        <v>1.9916588645842045E-2</v>
      </c>
      <c r="I46" s="264">
        <v>1.3475399561265944E-2</v>
      </c>
      <c r="J46" s="264">
        <v>6.432903274129885E-2</v>
      </c>
      <c r="K46" s="264">
        <v>7.3793197365847885E-2</v>
      </c>
      <c r="L46" s="264">
        <v>8.2661143720491118E-2</v>
      </c>
      <c r="M46" s="264">
        <v>9.2169296680964838E-2</v>
      </c>
      <c r="N46" s="265">
        <v>0.10150784746014188</v>
      </c>
    </row>
    <row r="47" spans="2:14">
      <c r="B47" s="100"/>
      <c r="C47" s="42"/>
      <c r="D47" s="42" t="s">
        <v>129</v>
      </c>
      <c r="E47" s="42"/>
      <c r="F47" s="42"/>
      <c r="G47" s="42"/>
      <c r="H47" s="266">
        <v>0.17195325542570794</v>
      </c>
      <c r="I47" s="266">
        <v>-0.26495726495726557</v>
      </c>
      <c r="J47" s="266">
        <v>4.0173557668362259</v>
      </c>
      <c r="K47" s="266">
        <v>0.20577369004473356</v>
      </c>
      <c r="L47" s="266">
        <v>0.17757228480753695</v>
      </c>
      <c r="M47" s="266">
        <v>0.1722827995304721</v>
      </c>
      <c r="N47" s="267">
        <v>0.15799039925894554</v>
      </c>
    </row>
  </sheetData>
  <sheetProtection formatCells="0"/>
  <printOptions horizontalCentered="1"/>
  <pageMargins left="0.25" right="0.25" top="0.25" bottom="0.5" header="0.25" footer="0.25"/>
  <pageSetup scale="80" orientation="landscape" r:id="rId1"/>
  <headerFooter alignWithMargins="0">
    <oddFooter>&amp;C&amp;P of &amp;N&amp;RShcherbina Yury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B2985-EFBF-4BDF-A191-1361DBBA1112}">
  <dimension ref="A1:N98"/>
  <sheetViews>
    <sheetView showGridLines="0" view="pageBreakPreview" zoomScale="80" zoomScaleNormal="71" zoomScaleSheetLayoutView="80" workbookViewId="0">
      <selection activeCell="D13" sqref="D13"/>
    </sheetView>
  </sheetViews>
  <sheetFormatPr defaultColWidth="9.21875" defaultRowHeight="13.2"/>
  <cols>
    <col min="1" max="1" width="7.77734375" style="7" customWidth="1"/>
    <col min="2" max="2" width="1.77734375" style="18" customWidth="1"/>
    <col min="3" max="3" width="2.21875" style="18" customWidth="1"/>
    <col min="4" max="4" width="32.77734375" style="18" customWidth="1"/>
    <col min="5" max="5" width="14" style="18" customWidth="1"/>
    <col min="6" max="8" width="12.77734375" style="18" customWidth="1"/>
    <col min="9" max="9" width="12.77734375" style="57" customWidth="1"/>
    <col min="10" max="13" width="12.77734375" style="18" customWidth="1"/>
    <col min="14" max="16384" width="9.21875" style="7"/>
  </cols>
  <sheetData>
    <row r="1" spans="1:13">
      <c r="A1" s="6"/>
      <c r="B1" s="6"/>
      <c r="C1" s="6"/>
      <c r="D1" s="6"/>
      <c r="E1" s="6"/>
      <c r="F1" s="7"/>
      <c r="G1" s="7"/>
      <c r="H1" s="7"/>
      <c r="I1" s="7"/>
      <c r="J1" s="7"/>
      <c r="K1" s="7"/>
      <c r="L1" s="7"/>
      <c r="M1" s="7"/>
    </row>
    <row r="2" spans="1:13" ht="31.2">
      <c r="A2" s="6"/>
      <c r="B2" s="86" t="s">
        <v>187</v>
      </c>
      <c r="C2" s="8"/>
      <c r="D2" s="8"/>
      <c r="E2" s="8"/>
      <c r="F2" s="8"/>
      <c r="G2" s="8"/>
      <c r="H2" s="8"/>
      <c r="I2" s="9"/>
      <c r="J2" s="10"/>
      <c r="K2" s="10"/>
      <c r="L2" s="10"/>
      <c r="M2" s="10"/>
    </row>
    <row r="3" spans="1:13" ht="19.5" customHeight="1">
      <c r="A3" s="6"/>
      <c r="B3" s="87" t="s">
        <v>88</v>
      </c>
      <c r="C3" s="11"/>
      <c r="D3" s="11"/>
      <c r="E3" s="11"/>
      <c r="F3" s="11"/>
      <c r="G3" s="11"/>
      <c r="H3" s="11"/>
      <c r="I3" s="9"/>
      <c r="J3" s="10"/>
      <c r="K3" s="10"/>
      <c r="L3" s="10"/>
      <c r="M3" s="10"/>
    </row>
    <row r="4" spans="1:13" ht="6" customHeight="1" thickBot="1">
      <c r="A4" s="6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>
      <c r="A5" s="6"/>
      <c r="B5" s="13"/>
      <c r="C5" s="6"/>
      <c r="D5" s="6"/>
      <c r="E5" s="6"/>
      <c r="F5" s="6"/>
      <c r="G5" s="6"/>
      <c r="H5" s="6"/>
      <c r="I5" s="6"/>
      <c r="J5" s="7"/>
      <c r="K5" s="7"/>
      <c r="L5" s="7"/>
      <c r="M5" s="7"/>
    </row>
    <row r="6" spans="1:13">
      <c r="B6" s="104" t="s">
        <v>66</v>
      </c>
      <c r="C6" s="105"/>
      <c r="D6" s="105"/>
      <c r="E6" s="105"/>
      <c r="F6" s="7"/>
      <c r="G6" s="7"/>
      <c r="H6" s="95" t="s">
        <v>68</v>
      </c>
      <c r="I6" s="93"/>
      <c r="J6" s="93"/>
      <c r="K6" s="94"/>
      <c r="L6" s="7"/>
      <c r="M6" s="7"/>
    </row>
    <row r="7" spans="1:13">
      <c r="B7" s="97" t="s">
        <v>67</v>
      </c>
      <c r="C7" s="98"/>
      <c r="D7" s="98"/>
      <c r="E7" s="111">
        <v>2018</v>
      </c>
      <c r="F7" s="7"/>
      <c r="G7" s="7"/>
      <c r="H7" s="97" t="s">
        <v>69</v>
      </c>
      <c r="I7" s="98"/>
      <c r="J7" s="98"/>
      <c r="K7" s="111" t="s">
        <v>70</v>
      </c>
      <c r="L7" s="7"/>
      <c r="M7" s="7"/>
    </row>
    <row r="8" spans="1:13">
      <c r="B8" s="102" t="s">
        <v>78</v>
      </c>
      <c r="E8" s="103"/>
      <c r="F8" s="7"/>
      <c r="G8" s="7"/>
      <c r="H8" s="102" t="s">
        <v>71</v>
      </c>
      <c r="I8" s="18"/>
      <c r="K8" s="117">
        <v>9</v>
      </c>
      <c r="L8" s="7"/>
      <c r="M8" s="7"/>
    </row>
    <row r="9" spans="1:13">
      <c r="B9" s="100" t="s">
        <v>79</v>
      </c>
      <c r="C9" s="42"/>
      <c r="D9" s="42"/>
      <c r="E9" s="101"/>
      <c r="F9" s="7"/>
      <c r="G9" s="7"/>
      <c r="H9" s="102" t="s">
        <v>72</v>
      </c>
      <c r="I9" s="18"/>
      <c r="K9" s="117">
        <v>15</v>
      </c>
      <c r="L9" s="7"/>
      <c r="M9" s="7"/>
    </row>
    <row r="10" spans="1:13">
      <c r="B10" s="7"/>
      <c r="C10" s="7"/>
      <c r="D10" s="7"/>
      <c r="E10" s="7"/>
      <c r="F10" s="7"/>
      <c r="G10" s="7"/>
      <c r="H10" s="100" t="s">
        <v>73</v>
      </c>
      <c r="I10" s="42"/>
      <c r="J10" s="42"/>
      <c r="K10" s="101"/>
      <c r="L10" s="7"/>
      <c r="M10" s="7"/>
    </row>
    <row r="11" spans="1:13">
      <c r="B11" s="7"/>
      <c r="C11" s="7"/>
      <c r="D11" s="7"/>
      <c r="E11" s="7"/>
      <c r="F11" s="7"/>
      <c r="G11" s="7"/>
      <c r="H11" s="7"/>
      <c r="I11" s="6"/>
      <c r="J11" s="7"/>
      <c r="K11" s="7"/>
      <c r="L11" s="7"/>
      <c r="M11" s="7"/>
    </row>
    <row r="12" spans="1:13">
      <c r="B12" s="95" t="s">
        <v>80</v>
      </c>
      <c r="C12" s="93"/>
      <c r="D12" s="93"/>
      <c r="E12" s="94"/>
      <c r="F12" s="7"/>
      <c r="G12" s="7"/>
      <c r="H12" s="95" t="s">
        <v>152</v>
      </c>
      <c r="I12" s="93"/>
      <c r="J12" s="93"/>
      <c r="K12" s="94"/>
      <c r="L12" s="7"/>
      <c r="M12" s="7"/>
    </row>
    <row r="13" spans="1:13">
      <c r="B13" s="97" t="s">
        <v>76</v>
      </c>
      <c r="C13" s="98"/>
      <c r="D13" s="98"/>
      <c r="E13" s="112" t="s">
        <v>77</v>
      </c>
      <c r="F13" s="7"/>
      <c r="G13" s="7"/>
      <c r="H13" s="97" t="s">
        <v>85</v>
      </c>
      <c r="I13" s="98"/>
      <c r="J13" s="98"/>
      <c r="K13" s="108">
        <v>0.25</v>
      </c>
      <c r="L13" s="7"/>
      <c r="M13" s="7"/>
    </row>
    <row r="14" spans="1:13">
      <c r="B14" s="102" t="s">
        <v>81</v>
      </c>
      <c r="E14" s="115" t="s">
        <v>84</v>
      </c>
      <c r="F14" s="7"/>
      <c r="G14" s="7"/>
      <c r="H14" s="100" t="s">
        <v>86</v>
      </c>
      <c r="I14" s="42"/>
      <c r="J14" s="42"/>
      <c r="K14" s="120">
        <f>1-K13</f>
        <v>0.75</v>
      </c>
      <c r="L14" s="7"/>
      <c r="M14" s="7"/>
    </row>
    <row r="15" spans="1:13">
      <c r="B15" s="102" t="s">
        <v>82</v>
      </c>
      <c r="E15" s="113">
        <v>0.05</v>
      </c>
      <c r="F15" s="7"/>
      <c r="G15" s="7"/>
      <c r="H15" s="118" t="s">
        <v>87</v>
      </c>
      <c r="I15" s="42"/>
      <c r="J15" s="42"/>
      <c r="K15" s="119">
        <f>SUM(K13:K14)</f>
        <v>1</v>
      </c>
      <c r="L15" s="7"/>
      <c r="M15" s="7"/>
    </row>
    <row r="16" spans="1:13">
      <c r="B16" s="100" t="s">
        <v>83</v>
      </c>
      <c r="C16" s="42"/>
      <c r="D16" s="42"/>
      <c r="E16" s="114">
        <v>-0.05</v>
      </c>
      <c r="F16" s="7"/>
      <c r="G16" s="7"/>
      <c r="H16" s="7"/>
      <c r="I16" s="7"/>
      <c r="J16" s="7"/>
      <c r="K16" s="7"/>
      <c r="L16" s="7"/>
      <c r="M16" s="7"/>
    </row>
    <row r="17" spans="1:14">
      <c r="B17" s="7"/>
      <c r="C17" s="7"/>
      <c r="D17" s="7"/>
      <c r="E17" s="7"/>
      <c r="F17" s="7"/>
      <c r="G17" s="7"/>
      <c r="H17" s="7"/>
      <c r="I17" s="6"/>
      <c r="J17" s="7"/>
      <c r="K17" s="7"/>
      <c r="L17" s="7"/>
      <c r="M17" s="7"/>
    </row>
    <row r="18" spans="1:14">
      <c r="B18" s="104" t="s">
        <v>74</v>
      </c>
      <c r="C18" s="105"/>
      <c r="D18" s="105"/>
      <c r="E18" s="106"/>
      <c r="F18" s="7"/>
      <c r="G18" s="7"/>
      <c r="H18" s="104" t="s">
        <v>151</v>
      </c>
      <c r="I18" s="105"/>
      <c r="J18" s="105"/>
      <c r="K18" s="106"/>
      <c r="L18" s="7"/>
      <c r="M18" s="7"/>
    </row>
    <row r="19" spans="1:14">
      <c r="B19" s="97" t="s">
        <v>75</v>
      </c>
      <c r="C19" s="107"/>
      <c r="D19" s="98"/>
      <c r="E19" s="108">
        <v>0.35</v>
      </c>
      <c r="F19" s="7"/>
      <c r="G19" s="7"/>
      <c r="H19" s="97" t="s">
        <v>150</v>
      </c>
      <c r="I19" s="107"/>
      <c r="J19" s="172">
        <v>14105</v>
      </c>
      <c r="K19" s="171" t="s">
        <v>140</v>
      </c>
      <c r="L19" s="7"/>
      <c r="M19" s="7"/>
    </row>
    <row r="20" spans="1:14">
      <c r="B20" s="100" t="s">
        <v>73</v>
      </c>
      <c r="C20" s="42"/>
      <c r="D20" s="42"/>
      <c r="E20" s="101"/>
      <c r="F20" s="7"/>
      <c r="G20" s="7"/>
      <c r="H20" s="100"/>
      <c r="I20" s="83"/>
      <c r="J20" s="42"/>
      <c r="K20" s="101"/>
      <c r="L20" s="7"/>
      <c r="M20" s="7"/>
    </row>
    <row r="21" spans="1:14">
      <c r="B21" s="7"/>
      <c r="C21" s="7"/>
      <c r="D21" s="7"/>
      <c r="E21" s="7"/>
      <c r="F21" s="7"/>
      <c r="G21" s="7"/>
      <c r="H21" s="7"/>
      <c r="I21" s="6"/>
      <c r="J21" s="7"/>
      <c r="K21" s="7"/>
      <c r="L21" s="7"/>
      <c r="M21" s="7"/>
    </row>
    <row r="22" spans="1:14">
      <c r="A22" s="6"/>
      <c r="B22" s="104" t="s">
        <v>90</v>
      </c>
      <c r="C22" s="209"/>
      <c r="D22" s="209"/>
      <c r="E22" s="209"/>
      <c r="F22" s="209"/>
      <c r="G22" s="209"/>
      <c r="H22" s="209"/>
      <c r="I22" s="209"/>
      <c r="J22" s="209"/>
      <c r="K22" s="209"/>
      <c r="L22" s="209"/>
      <c r="M22" s="210"/>
    </row>
    <row r="23" spans="1:14">
      <c r="A23" s="6"/>
      <c r="B23" s="123"/>
      <c r="C23" s="107"/>
      <c r="D23" s="107"/>
      <c r="E23" s="107"/>
      <c r="F23" s="124">
        <v>2015</v>
      </c>
      <c r="G23" s="124">
        <f>F23+1</f>
        <v>2016</v>
      </c>
      <c r="H23" s="124">
        <f>G23+1</f>
        <v>2017</v>
      </c>
      <c r="I23" s="125">
        <f t="shared" ref="I23:M23" si="0">H23+1</f>
        <v>2018</v>
      </c>
      <c r="J23" s="125">
        <f t="shared" si="0"/>
        <v>2019</v>
      </c>
      <c r="K23" s="125">
        <f t="shared" si="0"/>
        <v>2020</v>
      </c>
      <c r="L23" s="125">
        <f t="shared" si="0"/>
        <v>2021</v>
      </c>
      <c r="M23" s="126">
        <f t="shared" si="0"/>
        <v>2022</v>
      </c>
    </row>
    <row r="24" spans="1:14">
      <c r="A24" s="6"/>
      <c r="B24" s="102"/>
      <c r="M24" s="103"/>
    </row>
    <row r="25" spans="1:14">
      <c r="A25" s="6"/>
      <c r="B25" s="127" t="s">
        <v>0</v>
      </c>
      <c r="I25" s="18"/>
      <c r="M25" s="103"/>
      <c r="N25" s="16"/>
    </row>
    <row r="26" spans="1:14">
      <c r="B26" s="102"/>
      <c r="C26" s="18" t="s">
        <v>93</v>
      </c>
      <c r="E26" s="18" t="s">
        <v>91</v>
      </c>
      <c r="I26" s="128">
        <v>0</v>
      </c>
      <c r="J26" s="128">
        <v>0</v>
      </c>
      <c r="K26" s="128">
        <v>0</v>
      </c>
      <c r="L26" s="128">
        <v>0</v>
      </c>
      <c r="M26" s="129">
        <v>0</v>
      </c>
    </row>
    <row r="27" spans="1:14">
      <c r="B27" s="102"/>
      <c r="M27" s="103"/>
    </row>
    <row r="28" spans="1:14">
      <c r="B28" s="127" t="s">
        <v>92</v>
      </c>
      <c r="E28" s="18" t="s">
        <v>91</v>
      </c>
      <c r="I28" s="128">
        <v>225</v>
      </c>
      <c r="J28" s="130">
        <v>250</v>
      </c>
      <c r="K28" s="130">
        <v>275</v>
      </c>
      <c r="L28" s="130">
        <v>275</v>
      </c>
      <c r="M28" s="131">
        <v>275</v>
      </c>
    </row>
    <row r="29" spans="1:14">
      <c r="B29" s="127" t="s">
        <v>23</v>
      </c>
      <c r="E29" s="18" t="s">
        <v>91</v>
      </c>
      <c r="I29" s="128">
        <v>0</v>
      </c>
      <c r="J29" s="128">
        <v>0</v>
      </c>
      <c r="K29" s="128">
        <v>0</v>
      </c>
      <c r="L29" s="128">
        <v>0</v>
      </c>
      <c r="M29" s="129">
        <v>0</v>
      </c>
    </row>
    <row r="30" spans="1:14">
      <c r="B30" s="102"/>
      <c r="M30" s="103"/>
    </row>
    <row r="31" spans="1:14">
      <c r="B31" s="127" t="s">
        <v>94</v>
      </c>
      <c r="M31" s="103"/>
    </row>
    <row r="32" spans="1:14">
      <c r="B32" s="102"/>
      <c r="C32" s="18" t="s">
        <v>30</v>
      </c>
      <c r="E32" s="18" t="s">
        <v>97</v>
      </c>
      <c r="F32" s="208">
        <f>Model!G91</f>
        <v>30.465232772925084</v>
      </c>
      <c r="G32" s="208">
        <f>Model!H91</f>
        <v>31.857690016171595</v>
      </c>
      <c r="H32" s="208">
        <f>Model!I91</f>
        <v>29.396740833594485</v>
      </c>
      <c r="I32" s="211">
        <f t="shared" ref="I32:M36" si="1">ROUNDUP(AVERAGE($F32:$H32),0)</f>
        <v>31</v>
      </c>
      <c r="J32" s="211">
        <f t="shared" si="1"/>
        <v>31</v>
      </c>
      <c r="K32" s="211">
        <f t="shared" si="1"/>
        <v>31</v>
      </c>
      <c r="L32" s="211">
        <f t="shared" si="1"/>
        <v>31</v>
      </c>
      <c r="M32" s="212">
        <f t="shared" si="1"/>
        <v>31</v>
      </c>
    </row>
    <row r="33" spans="1:13">
      <c r="B33" s="102"/>
      <c r="C33" s="18" t="s">
        <v>31</v>
      </c>
      <c r="E33" s="18" t="s">
        <v>97</v>
      </c>
      <c r="F33" s="208">
        <f>Model!G92</f>
        <v>84.858159123641599</v>
      </c>
      <c r="G33" s="208">
        <f>Model!H92</f>
        <v>89.891733894539939</v>
      </c>
      <c r="H33" s="208">
        <f>Model!I92</f>
        <v>89.77104847963281</v>
      </c>
      <c r="I33" s="211">
        <f t="shared" si="1"/>
        <v>89</v>
      </c>
      <c r="J33" s="211">
        <f t="shared" si="1"/>
        <v>89</v>
      </c>
      <c r="K33" s="211">
        <f t="shared" si="1"/>
        <v>89</v>
      </c>
      <c r="L33" s="211">
        <f t="shared" si="1"/>
        <v>89</v>
      </c>
      <c r="M33" s="212">
        <f t="shared" si="1"/>
        <v>89</v>
      </c>
    </row>
    <row r="34" spans="1:13">
      <c r="B34" s="102"/>
      <c r="C34" s="132" t="s">
        <v>95</v>
      </c>
      <c r="E34" s="18" t="s">
        <v>97</v>
      </c>
      <c r="F34" s="208">
        <f>Model!G93</f>
        <v>8.1879282503382349</v>
      </c>
      <c r="G34" s="208">
        <f>Model!H93</f>
        <v>8.7010405705600373</v>
      </c>
      <c r="H34" s="208">
        <f>Model!I93</f>
        <v>8.5465074584050473</v>
      </c>
      <c r="I34" s="211">
        <f t="shared" si="1"/>
        <v>9</v>
      </c>
      <c r="J34" s="211">
        <f t="shared" si="1"/>
        <v>9</v>
      </c>
      <c r="K34" s="211">
        <f t="shared" si="1"/>
        <v>9</v>
      </c>
      <c r="L34" s="211">
        <f t="shared" si="1"/>
        <v>9</v>
      </c>
      <c r="M34" s="212">
        <f t="shared" si="1"/>
        <v>9</v>
      </c>
    </row>
    <row r="35" spans="1:13">
      <c r="B35" s="102"/>
      <c r="C35" s="132" t="s">
        <v>41</v>
      </c>
      <c r="E35" s="18" t="s">
        <v>97</v>
      </c>
      <c r="F35" s="208">
        <f>Model!G94</f>
        <v>87.136123597957479</v>
      </c>
      <c r="G35" s="208">
        <f>Model!H94</f>
        <v>96.76698234537588</v>
      </c>
      <c r="H35" s="208">
        <f>Model!I94</f>
        <v>85.111696787148574</v>
      </c>
      <c r="I35" s="211">
        <f t="shared" si="1"/>
        <v>90</v>
      </c>
      <c r="J35" s="211">
        <f t="shared" si="1"/>
        <v>90</v>
      </c>
      <c r="K35" s="211">
        <f t="shared" si="1"/>
        <v>90</v>
      </c>
      <c r="L35" s="211">
        <f t="shared" si="1"/>
        <v>90</v>
      </c>
      <c r="M35" s="212">
        <f t="shared" si="1"/>
        <v>90</v>
      </c>
    </row>
    <row r="36" spans="1:13">
      <c r="B36" s="102"/>
      <c r="C36" s="132" t="s">
        <v>96</v>
      </c>
      <c r="E36" s="18" t="s">
        <v>97</v>
      </c>
      <c r="F36" s="208">
        <f>Model!G95</f>
        <v>32.911011216340071</v>
      </c>
      <c r="G36" s="208">
        <f>Model!H95</f>
        <v>35.446042324330648</v>
      </c>
      <c r="H36" s="208">
        <f>Model!I95</f>
        <v>34.840433161216289</v>
      </c>
      <c r="I36" s="211">
        <f t="shared" si="1"/>
        <v>35</v>
      </c>
      <c r="J36" s="211">
        <f t="shared" si="1"/>
        <v>35</v>
      </c>
      <c r="K36" s="211">
        <f t="shared" si="1"/>
        <v>35</v>
      </c>
      <c r="L36" s="211">
        <f t="shared" si="1"/>
        <v>35</v>
      </c>
      <c r="M36" s="212">
        <f t="shared" si="1"/>
        <v>35</v>
      </c>
    </row>
    <row r="37" spans="1:13">
      <c r="B37" s="102"/>
      <c r="M37" s="103"/>
    </row>
    <row r="38" spans="1:13">
      <c r="B38" s="127" t="s">
        <v>98</v>
      </c>
      <c r="M38" s="103"/>
    </row>
    <row r="39" spans="1:13">
      <c r="B39" s="102"/>
      <c r="C39" s="18" t="s">
        <v>99</v>
      </c>
      <c r="E39" s="18" t="s">
        <v>91</v>
      </c>
      <c r="I39" s="128">
        <v>40</v>
      </c>
      <c r="J39" s="128">
        <v>40</v>
      </c>
      <c r="K39" s="128">
        <v>40</v>
      </c>
      <c r="L39" s="128">
        <v>40</v>
      </c>
      <c r="M39" s="129">
        <v>40</v>
      </c>
    </row>
    <row r="40" spans="1:13">
      <c r="B40" s="102"/>
      <c r="M40" s="103"/>
    </row>
    <row r="41" spans="1:13">
      <c r="B41" s="127" t="s">
        <v>100</v>
      </c>
      <c r="E41" s="18" t="s">
        <v>101</v>
      </c>
      <c r="J41" s="116">
        <f>Scenarios!G13</f>
        <v>0.02</v>
      </c>
      <c r="K41" s="116">
        <f>Scenarios!H13</f>
        <v>0.02</v>
      </c>
      <c r="L41" s="116">
        <f>Scenarios!I13</f>
        <v>0.02</v>
      </c>
      <c r="M41" s="110">
        <f>Scenarios!J13</f>
        <v>0.02</v>
      </c>
    </row>
    <row r="42" spans="1:13">
      <c r="B42" s="127" t="s">
        <v>6</v>
      </c>
      <c r="E42" s="18" t="s">
        <v>91</v>
      </c>
      <c r="I42" s="128">
        <v>615</v>
      </c>
      <c r="J42" s="253">
        <f>I42*(1+J41)</f>
        <v>627.29999999999995</v>
      </c>
      <c r="K42" s="253">
        <f t="shared" ref="K42:M42" si="2">J42*(1+K41)</f>
        <v>639.846</v>
      </c>
      <c r="L42" s="253">
        <f t="shared" si="2"/>
        <v>652.64292</v>
      </c>
      <c r="M42" s="259">
        <f t="shared" si="2"/>
        <v>665.69577839999999</v>
      </c>
    </row>
    <row r="43" spans="1:13">
      <c r="B43" s="127" t="s">
        <v>102</v>
      </c>
      <c r="M43" s="103"/>
    </row>
    <row r="44" spans="1:13">
      <c r="B44" s="133"/>
      <c r="C44" s="18" t="s">
        <v>104</v>
      </c>
      <c r="E44" s="18" t="s">
        <v>101</v>
      </c>
      <c r="I44" s="134">
        <v>2.5000000000000001E-2</v>
      </c>
      <c r="J44" s="134">
        <v>2.5000000000000001E-2</v>
      </c>
      <c r="K44" s="134">
        <v>2.5000000000000001E-2</v>
      </c>
      <c r="L44" s="134">
        <v>2.5000000000000001E-2</v>
      </c>
      <c r="M44" s="135">
        <v>2.5000000000000001E-2</v>
      </c>
    </row>
    <row r="45" spans="1:13">
      <c r="B45" s="100"/>
      <c r="C45" s="42" t="s">
        <v>103</v>
      </c>
      <c r="D45" s="42"/>
      <c r="E45" s="42" t="s">
        <v>91</v>
      </c>
      <c r="F45" s="42"/>
      <c r="G45" s="42"/>
      <c r="H45" s="144">
        <v>574.5</v>
      </c>
      <c r="I45" s="241">
        <f>H45*(1+I44)</f>
        <v>588.86249999999995</v>
      </c>
      <c r="J45" s="241">
        <f>I45*(1+J44)</f>
        <v>603.58406249999985</v>
      </c>
      <c r="K45" s="241">
        <f>J45*(1+K44)</f>
        <v>618.67366406249982</v>
      </c>
      <c r="L45" s="241">
        <f>K45*(1+L44)</f>
        <v>634.14050566406229</v>
      </c>
      <c r="M45" s="242">
        <f>L45*(1+M44)</f>
        <v>649.99401830566376</v>
      </c>
    </row>
    <row r="46" spans="1:13">
      <c r="B46" s="7"/>
      <c r="C46" s="7"/>
      <c r="D46" s="7"/>
      <c r="E46" s="7"/>
      <c r="F46" s="7"/>
      <c r="G46" s="7"/>
      <c r="H46" s="7"/>
      <c r="I46" s="6"/>
      <c r="J46" s="7"/>
      <c r="K46" s="7"/>
      <c r="L46" s="7"/>
      <c r="M46" s="7"/>
    </row>
    <row r="47" spans="1:13">
      <c r="B47" s="7"/>
      <c r="C47" s="7"/>
      <c r="D47" s="7"/>
      <c r="E47" s="7"/>
      <c r="F47" s="7"/>
      <c r="G47" s="7"/>
      <c r="H47" s="7"/>
      <c r="I47" s="6"/>
      <c r="J47" s="7"/>
      <c r="K47" s="7"/>
      <c r="L47" s="7"/>
      <c r="M47" s="7"/>
    </row>
    <row r="48" spans="1:13" ht="31.2">
      <c r="A48" s="6"/>
      <c r="B48" s="86" t="s">
        <v>187</v>
      </c>
      <c r="C48" s="8"/>
      <c r="D48" s="8"/>
      <c r="E48" s="8"/>
      <c r="F48" s="8"/>
      <c r="G48" s="8"/>
      <c r="H48" s="8"/>
      <c r="I48" s="9"/>
      <c r="J48" s="10"/>
      <c r="K48" s="10"/>
      <c r="L48" s="10"/>
      <c r="M48" s="10"/>
    </row>
    <row r="49" spans="1:13" ht="19.5" customHeight="1">
      <c r="A49" s="6"/>
      <c r="B49" s="87" t="s">
        <v>89</v>
      </c>
      <c r="C49" s="11"/>
      <c r="D49" s="11"/>
      <c r="E49" s="11"/>
      <c r="F49" s="11"/>
      <c r="G49" s="11"/>
      <c r="H49" s="11"/>
      <c r="I49" s="9"/>
      <c r="J49" s="10"/>
      <c r="K49" s="10"/>
      <c r="L49" s="10"/>
      <c r="M49" s="10"/>
    </row>
    <row r="50" spans="1:13" ht="6" customHeight="1" thickBot="1">
      <c r="A50" s="6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ht="6.45" customHeight="1">
      <c r="B51" s="7"/>
      <c r="C51" s="7"/>
      <c r="D51" s="7"/>
      <c r="E51" s="7"/>
      <c r="F51" s="7"/>
      <c r="G51" s="7"/>
      <c r="H51" s="7"/>
      <c r="I51" s="6"/>
      <c r="J51" s="7"/>
      <c r="K51" s="7"/>
      <c r="L51" s="7"/>
      <c r="M51" s="7"/>
    </row>
    <row r="52" spans="1:13">
      <c r="B52" s="104" t="s">
        <v>90</v>
      </c>
      <c r="C52" s="209"/>
      <c r="D52" s="209"/>
      <c r="E52" s="209"/>
      <c r="F52" s="209"/>
      <c r="G52" s="209"/>
      <c r="H52" s="209"/>
      <c r="I52" s="209"/>
      <c r="J52" s="209"/>
      <c r="K52" s="209"/>
      <c r="L52" s="209"/>
      <c r="M52" s="210"/>
    </row>
    <row r="53" spans="1:13" ht="12.45" customHeight="1">
      <c r="B53" s="97"/>
      <c r="C53" s="107"/>
      <c r="D53" s="107"/>
      <c r="E53" s="107"/>
      <c r="F53" s="124">
        <v>2015</v>
      </c>
      <c r="G53" s="124">
        <f>F53+1</f>
        <v>2016</v>
      </c>
      <c r="H53" s="124">
        <f>G53+1</f>
        <v>2017</v>
      </c>
      <c r="I53" s="125">
        <f t="shared" ref="I53:M53" si="3">H53+1</f>
        <v>2018</v>
      </c>
      <c r="J53" s="125">
        <f t="shared" si="3"/>
        <v>2019</v>
      </c>
      <c r="K53" s="125">
        <f t="shared" si="3"/>
        <v>2020</v>
      </c>
      <c r="L53" s="125">
        <f t="shared" si="3"/>
        <v>2021</v>
      </c>
      <c r="M53" s="126">
        <f t="shared" si="3"/>
        <v>2022</v>
      </c>
    </row>
    <row r="54" spans="1:13" ht="12.45" customHeight="1">
      <c r="B54" s="127" t="s">
        <v>105</v>
      </c>
      <c r="C54" s="57"/>
      <c r="D54" s="57"/>
      <c r="E54" s="57"/>
      <c r="F54" s="16"/>
      <c r="G54" s="16"/>
      <c r="H54" s="16"/>
      <c r="I54" s="17"/>
      <c r="J54" s="17"/>
      <c r="K54" s="17"/>
      <c r="L54" s="17"/>
      <c r="M54" s="254"/>
    </row>
    <row r="55" spans="1:13">
      <c r="B55" s="102"/>
      <c r="C55" s="23" t="s">
        <v>106</v>
      </c>
      <c r="M55" s="103"/>
    </row>
    <row r="56" spans="1:13">
      <c r="B56" s="102"/>
      <c r="D56" s="18" t="s">
        <v>107</v>
      </c>
      <c r="E56" s="18" t="s">
        <v>101</v>
      </c>
      <c r="I56" s="134">
        <v>0.01</v>
      </c>
      <c r="J56" s="134">
        <v>0.01</v>
      </c>
      <c r="K56" s="134">
        <v>0.01</v>
      </c>
      <c r="L56" s="134">
        <v>0.01</v>
      </c>
      <c r="M56" s="135">
        <v>0.01</v>
      </c>
    </row>
    <row r="57" spans="1:13">
      <c r="B57" s="102"/>
      <c r="D57" s="18" t="s">
        <v>108</v>
      </c>
      <c r="E57" s="18" t="s">
        <v>101</v>
      </c>
      <c r="I57" s="134">
        <v>5.2499999999999998E-2</v>
      </c>
      <c r="J57" s="134">
        <v>5.2499999999999998E-2</v>
      </c>
      <c r="K57" s="134">
        <v>5.2499999999999998E-2</v>
      </c>
      <c r="L57" s="134">
        <v>5.2499999999999998E-2</v>
      </c>
      <c r="M57" s="135">
        <v>5.2499999999999998E-2</v>
      </c>
    </row>
    <row r="58" spans="1:13">
      <c r="B58" s="102"/>
      <c r="D58" s="132" t="s">
        <v>52</v>
      </c>
      <c r="I58" s="134"/>
      <c r="M58" s="103"/>
    </row>
    <row r="59" spans="1:13">
      <c r="B59" s="102"/>
      <c r="D59" s="132" t="s">
        <v>109</v>
      </c>
      <c r="E59" s="18" t="s">
        <v>101</v>
      </c>
      <c r="I59" s="134">
        <v>1.0999999999999999E-2</v>
      </c>
      <c r="J59" s="134">
        <v>1.0999999999999999E-2</v>
      </c>
      <c r="K59" s="134">
        <v>1.0999999999999999E-2</v>
      </c>
      <c r="L59" s="134">
        <v>1.0999999999999999E-2</v>
      </c>
      <c r="M59" s="135">
        <v>1.0999999999999999E-2</v>
      </c>
    </row>
    <row r="60" spans="1:13">
      <c r="B60" s="102"/>
      <c r="D60" s="132" t="s">
        <v>110</v>
      </c>
      <c r="E60" s="18" t="s">
        <v>101</v>
      </c>
      <c r="I60" s="134">
        <v>2.2499999999999999E-2</v>
      </c>
      <c r="J60" s="134">
        <v>2.2499999999999999E-2</v>
      </c>
      <c r="K60" s="134">
        <v>2.2499999999999999E-2</v>
      </c>
      <c r="L60" s="134">
        <v>2.2499999999999999E-2</v>
      </c>
      <c r="M60" s="135">
        <v>2.2499999999999999E-2</v>
      </c>
    </row>
    <row r="61" spans="1:13">
      <c r="B61" s="102"/>
      <c r="D61" s="136" t="s">
        <v>87</v>
      </c>
      <c r="E61" s="18" t="s">
        <v>101</v>
      </c>
      <c r="I61" s="134">
        <f>SUM(I59:I60)</f>
        <v>3.3500000000000002E-2</v>
      </c>
      <c r="J61" s="134">
        <f t="shared" ref="J61:M61" si="4">SUM(J59:J60)</f>
        <v>3.3500000000000002E-2</v>
      </c>
      <c r="K61" s="134">
        <f t="shared" si="4"/>
        <v>3.3500000000000002E-2</v>
      </c>
      <c r="L61" s="134">
        <f t="shared" si="4"/>
        <v>3.3500000000000002E-2</v>
      </c>
      <c r="M61" s="135">
        <f t="shared" si="4"/>
        <v>3.3500000000000002E-2</v>
      </c>
    </row>
    <row r="62" spans="1:13">
      <c r="B62" s="102"/>
      <c r="D62" s="132" t="s">
        <v>53</v>
      </c>
      <c r="E62" s="18" t="s">
        <v>101</v>
      </c>
      <c r="I62" s="134">
        <v>5.2499999999999998E-2</v>
      </c>
      <c r="J62" s="134">
        <v>5.2499999999999998E-2</v>
      </c>
      <c r="K62" s="134">
        <v>5.2499999999999998E-2</v>
      </c>
      <c r="L62" s="134">
        <v>5.2499999999999998E-2</v>
      </c>
      <c r="M62" s="135">
        <v>5.2499999999999998E-2</v>
      </c>
    </row>
    <row r="63" spans="1:13">
      <c r="B63" s="102"/>
      <c r="C63" s="23" t="s">
        <v>112</v>
      </c>
      <c r="M63" s="103"/>
    </row>
    <row r="64" spans="1:13">
      <c r="B64" s="102"/>
      <c r="D64" s="132" t="s">
        <v>52</v>
      </c>
      <c r="E64" s="18" t="s">
        <v>91</v>
      </c>
      <c r="I64" s="128">
        <v>25</v>
      </c>
      <c r="J64" s="128">
        <v>25</v>
      </c>
      <c r="K64" s="128">
        <v>25</v>
      </c>
      <c r="L64" s="128">
        <v>25</v>
      </c>
      <c r="M64" s="129">
        <v>25</v>
      </c>
    </row>
    <row r="65" spans="2:13">
      <c r="B65" s="102"/>
      <c r="D65" s="132" t="s">
        <v>53</v>
      </c>
      <c r="E65" s="18" t="s">
        <v>91</v>
      </c>
      <c r="I65" s="128">
        <v>50</v>
      </c>
      <c r="J65" s="128">
        <v>50</v>
      </c>
      <c r="K65" s="128">
        <v>50</v>
      </c>
      <c r="L65" s="128">
        <v>50</v>
      </c>
      <c r="M65" s="129">
        <v>50</v>
      </c>
    </row>
    <row r="66" spans="2:13">
      <c r="B66" s="127" t="s">
        <v>111</v>
      </c>
      <c r="M66" s="103"/>
    </row>
    <row r="67" spans="2:13">
      <c r="B67" s="102"/>
      <c r="D67" s="23" t="s">
        <v>58</v>
      </c>
      <c r="M67" s="103"/>
    </row>
    <row r="68" spans="2:13">
      <c r="B68" s="102"/>
      <c r="D68" s="18" t="s">
        <v>113</v>
      </c>
      <c r="E68" s="18" t="s">
        <v>91</v>
      </c>
      <c r="I68" s="128">
        <v>0</v>
      </c>
      <c r="J68" s="128">
        <v>10</v>
      </c>
      <c r="K68" s="128">
        <v>0</v>
      </c>
      <c r="L68" s="128">
        <v>0</v>
      </c>
      <c r="M68" s="129">
        <v>0</v>
      </c>
    </row>
    <row r="69" spans="2:13">
      <c r="B69" s="102"/>
      <c r="D69" s="18" t="s">
        <v>114</v>
      </c>
      <c r="E69" s="18" t="s">
        <v>91</v>
      </c>
      <c r="I69" s="128">
        <v>0</v>
      </c>
      <c r="J69" s="128">
        <v>0</v>
      </c>
      <c r="K69" s="128">
        <v>0</v>
      </c>
      <c r="L69" s="128">
        <v>0</v>
      </c>
      <c r="M69" s="129">
        <v>0</v>
      </c>
    </row>
    <row r="70" spans="2:13">
      <c r="B70" s="102"/>
      <c r="D70" s="18" t="s">
        <v>115</v>
      </c>
      <c r="E70" s="18" t="s">
        <v>101</v>
      </c>
      <c r="I70" s="134">
        <v>8.5000000000000006E-2</v>
      </c>
      <c r="J70" s="134">
        <v>8.5000000000000006E-2</v>
      </c>
      <c r="K70" s="134">
        <v>8.5000000000000006E-2</v>
      </c>
      <c r="L70" s="134">
        <v>8.5000000000000006E-2</v>
      </c>
      <c r="M70" s="135">
        <v>8.5000000000000006E-2</v>
      </c>
    </row>
    <row r="71" spans="2:13">
      <c r="B71" s="102"/>
      <c r="D71" s="23" t="s">
        <v>59</v>
      </c>
      <c r="M71" s="103"/>
    </row>
    <row r="72" spans="2:13">
      <c r="B72" s="102"/>
      <c r="D72" s="18" t="s">
        <v>113</v>
      </c>
      <c r="E72" s="18" t="s">
        <v>91</v>
      </c>
      <c r="I72" s="128">
        <v>0</v>
      </c>
      <c r="J72" s="128">
        <v>0</v>
      </c>
      <c r="K72" s="128">
        <v>0</v>
      </c>
      <c r="L72" s="128">
        <v>0</v>
      </c>
      <c r="M72" s="129">
        <v>0</v>
      </c>
    </row>
    <row r="73" spans="2:13">
      <c r="B73" s="102"/>
      <c r="D73" s="18" t="s">
        <v>114</v>
      </c>
      <c r="E73" s="18" t="s">
        <v>91</v>
      </c>
      <c r="I73" s="128">
        <v>150</v>
      </c>
      <c r="J73" s="128">
        <v>150</v>
      </c>
      <c r="K73" s="128">
        <v>0</v>
      </c>
      <c r="L73" s="128">
        <v>0</v>
      </c>
      <c r="M73" s="129">
        <v>0</v>
      </c>
    </row>
    <row r="74" spans="2:13">
      <c r="B74" s="102"/>
      <c r="D74" s="18" t="s">
        <v>115</v>
      </c>
      <c r="E74" s="18" t="s">
        <v>101</v>
      </c>
      <c r="I74" s="137">
        <v>0.25</v>
      </c>
      <c r="J74" s="137">
        <v>0.25</v>
      </c>
      <c r="K74" s="137">
        <v>0.25</v>
      </c>
      <c r="L74" s="137">
        <v>0.25</v>
      </c>
      <c r="M74" s="138">
        <v>0.25</v>
      </c>
    </row>
    <row r="75" spans="2:13">
      <c r="B75" s="127" t="s">
        <v>32</v>
      </c>
      <c r="M75" s="103"/>
    </row>
    <row r="76" spans="2:13">
      <c r="B76" s="102"/>
      <c r="C76" s="23" t="s">
        <v>35</v>
      </c>
      <c r="M76" s="103"/>
    </row>
    <row r="77" spans="2:13">
      <c r="B77" s="102"/>
      <c r="D77" s="18" t="s">
        <v>119</v>
      </c>
      <c r="E77" s="18" t="s">
        <v>91</v>
      </c>
      <c r="I77" s="139">
        <f>H79</f>
        <v>116</v>
      </c>
      <c r="J77" s="139">
        <f t="shared" ref="J77:M77" si="5">I79</f>
        <v>116</v>
      </c>
      <c r="K77" s="139">
        <f t="shared" si="5"/>
        <v>116</v>
      </c>
      <c r="L77" s="139">
        <f t="shared" si="5"/>
        <v>116</v>
      </c>
      <c r="M77" s="140">
        <f t="shared" si="5"/>
        <v>116</v>
      </c>
    </row>
    <row r="78" spans="2:13">
      <c r="B78" s="102"/>
      <c r="D78" s="18" t="s">
        <v>120</v>
      </c>
      <c r="E78" s="18" t="s">
        <v>91</v>
      </c>
      <c r="I78" s="128">
        <v>0</v>
      </c>
      <c r="J78" s="128">
        <v>0</v>
      </c>
      <c r="K78" s="128">
        <v>0</v>
      </c>
      <c r="L78" s="128">
        <v>0</v>
      </c>
      <c r="M78" s="129">
        <v>0</v>
      </c>
    </row>
    <row r="79" spans="2:13">
      <c r="B79" s="102"/>
      <c r="D79" s="18" t="s">
        <v>121</v>
      </c>
      <c r="E79" s="18" t="s">
        <v>91</v>
      </c>
      <c r="H79" s="130">
        <f>Model!I327</f>
        <v>116</v>
      </c>
      <c r="I79" s="139">
        <f>SUM(I77:I78)</f>
        <v>116</v>
      </c>
      <c r="J79" s="139">
        <f t="shared" ref="J79:M79" si="6">SUM(J77:J78)</f>
        <v>116</v>
      </c>
      <c r="K79" s="139">
        <f t="shared" si="6"/>
        <v>116</v>
      </c>
      <c r="L79" s="139">
        <f t="shared" si="6"/>
        <v>116</v>
      </c>
      <c r="M79" s="140">
        <f t="shared" si="6"/>
        <v>116</v>
      </c>
    </row>
    <row r="80" spans="2:13">
      <c r="B80" s="102"/>
      <c r="C80" s="23" t="s">
        <v>36</v>
      </c>
      <c r="H80" s="109"/>
      <c r="J80" s="57"/>
      <c r="K80" s="57"/>
      <c r="L80" s="57"/>
      <c r="M80" s="141"/>
    </row>
    <row r="81" spans="2:13">
      <c r="B81" s="102"/>
      <c r="D81" s="18" t="s">
        <v>119</v>
      </c>
      <c r="E81" s="18" t="s">
        <v>91</v>
      </c>
      <c r="I81" s="57">
        <f>H83</f>
        <v>207.89999999999998</v>
      </c>
      <c r="J81" s="57">
        <f t="shared" ref="J81:M81" si="7">I83</f>
        <v>207.89999999999998</v>
      </c>
      <c r="K81" s="57">
        <f t="shared" si="7"/>
        <v>207.89999999999998</v>
      </c>
      <c r="L81" s="57">
        <f t="shared" si="7"/>
        <v>207.89999999999998</v>
      </c>
      <c r="M81" s="141">
        <f t="shared" si="7"/>
        <v>207.89999999999998</v>
      </c>
    </row>
    <row r="82" spans="2:13">
      <c r="B82" s="102"/>
      <c r="D82" s="18" t="s">
        <v>120</v>
      </c>
      <c r="E82" s="18" t="s">
        <v>91</v>
      </c>
      <c r="I82" s="139">
        <v>0</v>
      </c>
      <c r="J82" s="139">
        <v>0</v>
      </c>
      <c r="K82" s="139">
        <v>0</v>
      </c>
      <c r="L82" s="139">
        <v>0</v>
      </c>
      <c r="M82" s="140">
        <v>0</v>
      </c>
    </row>
    <row r="83" spans="2:13">
      <c r="B83" s="102"/>
      <c r="D83" s="18" t="s">
        <v>121</v>
      </c>
      <c r="E83" s="18" t="s">
        <v>91</v>
      </c>
      <c r="H83" s="109">
        <f>Model!I328</f>
        <v>207.89999999999998</v>
      </c>
      <c r="I83" s="57">
        <f>SUM(I81:I82)</f>
        <v>207.89999999999998</v>
      </c>
      <c r="J83" s="57">
        <f t="shared" ref="J83:M83" si="8">SUM(J81:J82)</f>
        <v>207.89999999999998</v>
      </c>
      <c r="K83" s="57">
        <f t="shared" si="8"/>
        <v>207.89999999999998</v>
      </c>
      <c r="L83" s="57">
        <f t="shared" si="8"/>
        <v>207.89999999999998</v>
      </c>
      <c r="M83" s="141">
        <f t="shared" si="8"/>
        <v>207.89999999999998</v>
      </c>
    </row>
    <row r="84" spans="2:13">
      <c r="B84" s="102"/>
      <c r="C84" s="23" t="s">
        <v>117</v>
      </c>
      <c r="H84" s="109"/>
      <c r="J84" s="57"/>
      <c r="K84" s="57"/>
      <c r="L84" s="57"/>
      <c r="M84" s="141"/>
    </row>
    <row r="85" spans="2:13">
      <c r="B85" s="102"/>
      <c r="D85" s="18" t="s">
        <v>119</v>
      </c>
      <c r="E85" s="18" t="s">
        <v>91</v>
      </c>
      <c r="I85" s="142">
        <f>H87</f>
        <v>190.1</v>
      </c>
      <c r="J85" s="142">
        <f t="shared" ref="J85:M85" si="9">I87</f>
        <v>190.1</v>
      </c>
      <c r="K85" s="142">
        <f t="shared" si="9"/>
        <v>190.1</v>
      </c>
      <c r="L85" s="142">
        <f t="shared" si="9"/>
        <v>190.1</v>
      </c>
      <c r="M85" s="143">
        <f t="shared" si="9"/>
        <v>190.1</v>
      </c>
    </row>
    <row r="86" spans="2:13">
      <c r="B86" s="102"/>
      <c r="D86" s="18" t="s">
        <v>120</v>
      </c>
      <c r="E86" s="18" t="s">
        <v>91</v>
      </c>
      <c r="I86" s="128">
        <v>0</v>
      </c>
      <c r="J86" s="128">
        <v>0</v>
      </c>
      <c r="K86" s="128">
        <v>0</v>
      </c>
      <c r="L86" s="128">
        <v>0</v>
      </c>
      <c r="M86" s="129">
        <v>0</v>
      </c>
    </row>
    <row r="87" spans="2:13">
      <c r="B87" s="102"/>
      <c r="D87" s="18" t="s">
        <v>121</v>
      </c>
      <c r="E87" s="18" t="s">
        <v>91</v>
      </c>
      <c r="H87" s="109">
        <f>Model!I329</f>
        <v>190.1</v>
      </c>
      <c r="I87" s="57">
        <f>SUM(I85:I86)</f>
        <v>190.1</v>
      </c>
      <c r="J87" s="57">
        <f t="shared" ref="J87:M87" si="10">SUM(J85:J86)</f>
        <v>190.1</v>
      </c>
      <c r="K87" s="57">
        <f t="shared" si="10"/>
        <v>190.1</v>
      </c>
      <c r="L87" s="57">
        <f t="shared" si="10"/>
        <v>190.1</v>
      </c>
      <c r="M87" s="141">
        <f t="shared" si="10"/>
        <v>190.1</v>
      </c>
    </row>
    <row r="88" spans="2:13">
      <c r="B88" s="102"/>
      <c r="C88" s="23" t="s">
        <v>116</v>
      </c>
      <c r="J88" s="57"/>
      <c r="K88" s="57"/>
      <c r="L88" s="57"/>
      <c r="M88" s="141"/>
    </row>
    <row r="89" spans="2:13">
      <c r="B89" s="102"/>
      <c r="D89" s="18" t="s">
        <v>119</v>
      </c>
      <c r="E89" s="18" t="s">
        <v>91</v>
      </c>
      <c r="I89" s="57">
        <f>H91</f>
        <v>367.40000000000003</v>
      </c>
      <c r="J89" s="57">
        <f t="shared" ref="J89:M89" si="11">I91</f>
        <v>367.40000000000003</v>
      </c>
      <c r="K89" s="57">
        <f t="shared" si="11"/>
        <v>367.40000000000003</v>
      </c>
      <c r="L89" s="57">
        <f t="shared" si="11"/>
        <v>367.40000000000003</v>
      </c>
      <c r="M89" s="141">
        <f t="shared" si="11"/>
        <v>367.40000000000003</v>
      </c>
    </row>
    <row r="90" spans="2:13">
      <c r="B90" s="102"/>
      <c r="D90" s="18" t="s">
        <v>120</v>
      </c>
      <c r="E90" s="18" t="s">
        <v>91</v>
      </c>
      <c r="I90" s="128">
        <v>0</v>
      </c>
      <c r="J90" s="128">
        <v>0</v>
      </c>
      <c r="K90" s="128">
        <v>0</v>
      </c>
      <c r="L90" s="128">
        <v>0</v>
      </c>
      <c r="M90" s="129">
        <v>0</v>
      </c>
    </row>
    <row r="91" spans="2:13">
      <c r="B91" s="102"/>
      <c r="D91" s="18" t="s">
        <v>121</v>
      </c>
      <c r="E91" s="18" t="s">
        <v>91</v>
      </c>
      <c r="H91" s="109">
        <f>Model!I344</f>
        <v>367.40000000000003</v>
      </c>
      <c r="I91" s="57">
        <f>SUM(I89:I90)</f>
        <v>367.40000000000003</v>
      </c>
      <c r="J91" s="57">
        <f t="shared" ref="J91:M91" si="12">SUM(J89:J90)</f>
        <v>367.40000000000003</v>
      </c>
      <c r="K91" s="57">
        <f t="shared" si="12"/>
        <v>367.40000000000003</v>
      </c>
      <c r="L91" s="57">
        <f t="shared" si="12"/>
        <v>367.40000000000003</v>
      </c>
      <c r="M91" s="141">
        <f t="shared" si="12"/>
        <v>367.40000000000003</v>
      </c>
    </row>
    <row r="92" spans="2:13">
      <c r="B92" s="102"/>
      <c r="C92" s="23" t="s">
        <v>118</v>
      </c>
      <c r="H92" s="109"/>
      <c r="J92" s="57"/>
      <c r="K92" s="57"/>
      <c r="L92" s="57"/>
      <c r="M92" s="141"/>
    </row>
    <row r="93" spans="2:13">
      <c r="B93" s="102"/>
      <c r="D93" s="18" t="s">
        <v>119</v>
      </c>
      <c r="E93" s="18" t="s">
        <v>91</v>
      </c>
      <c r="H93" s="109"/>
      <c r="I93" s="57">
        <f>H95</f>
        <v>26.7</v>
      </c>
      <c r="J93" s="57">
        <f t="shared" ref="J93:M93" si="13">I95</f>
        <v>26.7</v>
      </c>
      <c r="K93" s="57">
        <f t="shared" si="13"/>
        <v>26.7</v>
      </c>
      <c r="L93" s="57">
        <f t="shared" si="13"/>
        <v>26.7</v>
      </c>
      <c r="M93" s="141">
        <f t="shared" si="13"/>
        <v>26.7</v>
      </c>
    </row>
    <row r="94" spans="2:13">
      <c r="B94" s="102"/>
      <c r="D94" s="18" t="s">
        <v>120</v>
      </c>
      <c r="E94" s="18" t="s">
        <v>91</v>
      </c>
      <c r="H94" s="109"/>
      <c r="I94" s="128">
        <v>0</v>
      </c>
      <c r="J94" s="128">
        <v>0</v>
      </c>
      <c r="K94" s="128">
        <v>0</v>
      </c>
      <c r="L94" s="128">
        <v>0</v>
      </c>
      <c r="M94" s="129">
        <v>0</v>
      </c>
    </row>
    <row r="95" spans="2:13">
      <c r="B95" s="102"/>
      <c r="D95" s="18" t="s">
        <v>121</v>
      </c>
      <c r="E95" s="18" t="s">
        <v>91</v>
      </c>
      <c r="H95" s="109">
        <f>Model!I352</f>
        <v>26.7</v>
      </c>
      <c r="I95" s="57">
        <f>SUM(I93:I94)</f>
        <v>26.7</v>
      </c>
      <c r="J95" s="57">
        <f t="shared" ref="J95:M95" si="14">SUM(J93:J94)</f>
        <v>26.7</v>
      </c>
      <c r="K95" s="57">
        <f t="shared" si="14"/>
        <v>26.7</v>
      </c>
      <c r="L95" s="57">
        <f t="shared" si="14"/>
        <v>26.7</v>
      </c>
      <c r="M95" s="141">
        <f t="shared" si="14"/>
        <v>26.7</v>
      </c>
    </row>
    <row r="96" spans="2:13">
      <c r="B96" s="255" t="s">
        <v>181</v>
      </c>
      <c r="E96" s="18" t="s">
        <v>91</v>
      </c>
      <c r="I96" s="130">
        <v>0</v>
      </c>
      <c r="J96" s="130">
        <v>0</v>
      </c>
      <c r="K96" s="130">
        <v>0</v>
      </c>
      <c r="L96" s="130">
        <v>0</v>
      </c>
      <c r="M96" s="131">
        <v>0</v>
      </c>
    </row>
    <row r="97" spans="2:13">
      <c r="B97" s="255" t="s">
        <v>180</v>
      </c>
      <c r="E97" s="18" t="s">
        <v>91</v>
      </c>
      <c r="I97" s="130">
        <v>0</v>
      </c>
      <c r="J97" s="130">
        <v>0</v>
      </c>
      <c r="K97" s="130">
        <v>0</v>
      </c>
      <c r="L97" s="130">
        <v>0</v>
      </c>
      <c r="M97" s="131">
        <v>0</v>
      </c>
    </row>
    <row r="98" spans="2:13">
      <c r="B98" s="256" t="s">
        <v>182</v>
      </c>
      <c r="C98" s="42"/>
      <c r="D98" s="42"/>
      <c r="E98" s="42" t="s">
        <v>91</v>
      </c>
      <c r="F98" s="42"/>
      <c r="G98" s="42"/>
      <c r="H98" s="42"/>
      <c r="I98" s="257">
        <v>0</v>
      </c>
      <c r="J98" s="257">
        <v>0</v>
      </c>
      <c r="K98" s="257">
        <v>0</v>
      </c>
      <c r="L98" s="257">
        <v>0</v>
      </c>
      <c r="M98" s="258">
        <v>0</v>
      </c>
    </row>
  </sheetData>
  <sheetProtection formatCells="0"/>
  <printOptions horizontalCentered="1"/>
  <pageMargins left="0.25" right="0.25" top="0.25" bottom="0.5" header="0.25" footer="0.25"/>
  <pageSetup scale="80" orientation="landscape" r:id="rId1"/>
  <headerFooter alignWithMargins="0">
    <oddFooter>&amp;C&amp;P of &amp;N&amp;RShcherbina Yury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BE07A-F13A-40A4-83A2-C7918EE6B6AA}">
  <dimension ref="A2:Q359"/>
  <sheetViews>
    <sheetView showGridLines="0" view="pageBreakPreview" topLeftCell="A355" zoomScale="90" zoomScaleNormal="70" zoomScaleSheetLayoutView="90" workbookViewId="0">
      <selection activeCell="D13" sqref="D13"/>
    </sheetView>
  </sheetViews>
  <sheetFormatPr defaultColWidth="9.21875" defaultRowHeight="13.2"/>
  <cols>
    <col min="1" max="1" width="7.77734375" style="7" customWidth="1"/>
    <col min="2" max="2" width="1.77734375" style="7" customWidth="1"/>
    <col min="3" max="3" width="2.21875" style="7" customWidth="1"/>
    <col min="4" max="4" width="32.77734375" style="7" customWidth="1"/>
    <col min="5" max="5" width="12.77734375" style="7" customWidth="1"/>
    <col min="6" max="6" width="1.77734375" style="7" customWidth="1"/>
    <col min="7" max="9" width="12.77734375" style="7" customWidth="1"/>
    <col min="10" max="10" width="12.77734375" style="6" customWidth="1"/>
    <col min="11" max="14" width="12.77734375" style="7" customWidth="1"/>
    <col min="15" max="16384" width="9.21875" style="7"/>
  </cols>
  <sheetData>
    <row r="2" spans="1:15">
      <c r="A2" s="6"/>
      <c r="B2" s="6"/>
      <c r="C2" s="6"/>
      <c r="D2" s="6"/>
      <c r="E2" s="6"/>
      <c r="L2" s="7" t="str">
        <f>UPPER("currently running: "&amp;TEXT(Scenarios!$E$9,"Base")&amp;" Scenario")</f>
        <v>CURRENTLY RUNNING: BASE SCENARIO</v>
      </c>
    </row>
    <row r="3" spans="1:15" ht="31.2">
      <c r="A3" s="6"/>
      <c r="B3" s="86" t="s">
        <v>187</v>
      </c>
      <c r="C3" s="8"/>
      <c r="D3" s="8"/>
      <c r="E3" s="8"/>
      <c r="F3" s="8"/>
      <c r="G3" s="8"/>
      <c r="H3" s="8"/>
      <c r="I3" s="8"/>
      <c r="J3" s="9"/>
      <c r="K3" s="10"/>
      <c r="L3" s="10"/>
      <c r="M3" s="10"/>
      <c r="N3" s="10"/>
    </row>
    <row r="4" spans="1:15" ht="19.5" customHeight="1">
      <c r="A4" s="6"/>
      <c r="B4" s="87" t="s">
        <v>135</v>
      </c>
      <c r="C4" s="11"/>
      <c r="D4" s="11"/>
      <c r="E4" s="11"/>
      <c r="F4" s="11"/>
      <c r="G4" s="11"/>
      <c r="H4" s="11"/>
      <c r="I4" s="11"/>
      <c r="J4" s="9"/>
      <c r="K4" s="10"/>
      <c r="L4" s="10"/>
      <c r="M4" s="10"/>
      <c r="N4" s="10"/>
    </row>
    <row r="5" spans="1:15" ht="6" customHeight="1" thickBot="1">
      <c r="A5" s="6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5">
      <c r="A6" s="6"/>
      <c r="B6" s="13" t="s">
        <v>60</v>
      </c>
      <c r="C6" s="6"/>
      <c r="D6" s="6"/>
      <c r="E6" s="6"/>
      <c r="F6" s="6"/>
      <c r="G6" s="6"/>
      <c r="H6" s="6"/>
      <c r="I6" s="6"/>
    </row>
    <row r="7" spans="1:15">
      <c r="A7" s="6"/>
      <c r="B7" s="6"/>
      <c r="C7" s="6"/>
      <c r="D7" s="6"/>
      <c r="E7" s="6"/>
      <c r="F7" s="14"/>
      <c r="G7" s="6"/>
      <c r="H7" s="6"/>
      <c r="I7" s="6"/>
    </row>
    <row r="8" spans="1:15">
      <c r="A8" s="6"/>
      <c r="B8" s="6"/>
      <c r="C8" s="6"/>
      <c r="D8" s="6"/>
      <c r="E8" s="6"/>
      <c r="F8" s="15"/>
      <c r="G8" s="16">
        <v>2015</v>
      </c>
      <c r="H8" s="16">
        <f>G8+1</f>
        <v>2016</v>
      </c>
      <c r="I8" s="16">
        <f>H8+1</f>
        <v>2017</v>
      </c>
      <c r="J8" s="17">
        <f t="shared" ref="J8:N8" si="0">I8+1</f>
        <v>2018</v>
      </c>
      <c r="K8" s="17">
        <f t="shared" si="0"/>
        <v>2019</v>
      </c>
      <c r="L8" s="17">
        <f t="shared" si="0"/>
        <v>2020</v>
      </c>
      <c r="M8" s="17">
        <f t="shared" si="0"/>
        <v>2021</v>
      </c>
      <c r="N8" s="17">
        <f t="shared" si="0"/>
        <v>2022</v>
      </c>
      <c r="O8" s="16"/>
    </row>
    <row r="10" spans="1:15">
      <c r="B10" s="24" t="s">
        <v>141</v>
      </c>
    </row>
    <row r="11" spans="1:15">
      <c r="C11" s="7" t="s">
        <v>142</v>
      </c>
      <c r="E11" s="7" t="s">
        <v>101</v>
      </c>
      <c r="J11" s="174">
        <f>Scenarios!G28</f>
        <v>0.03</v>
      </c>
      <c r="K11" s="174">
        <f>Scenarios!H28</f>
        <v>0.03</v>
      </c>
      <c r="L11" s="174">
        <f>Scenarios!I28</f>
        <v>0.03</v>
      </c>
      <c r="M11" s="174">
        <f>Scenarios!J28</f>
        <v>0.03</v>
      </c>
      <c r="N11" s="174">
        <f>Scenarios!K28</f>
        <v>0.03</v>
      </c>
    </row>
    <row r="12" spans="1:15">
      <c r="C12" s="7" t="s">
        <v>144</v>
      </c>
      <c r="E12" s="7" t="s">
        <v>143</v>
      </c>
      <c r="I12" s="177">
        <f>I19*1000/I16</f>
        <v>230.74796171570364</v>
      </c>
      <c r="J12" s="177">
        <f>I12*(1+J11)</f>
        <v>237.67040056717477</v>
      </c>
      <c r="K12" s="177">
        <f t="shared" ref="K12:N12" si="1">J12*(1+K11)</f>
        <v>244.80051258419002</v>
      </c>
      <c r="L12" s="177">
        <f t="shared" si="1"/>
        <v>252.14452796171571</v>
      </c>
      <c r="M12" s="177">
        <f t="shared" si="1"/>
        <v>259.7088638005672</v>
      </c>
      <c r="N12" s="177">
        <f t="shared" si="1"/>
        <v>267.5001297145842</v>
      </c>
    </row>
    <row r="14" spans="1:15">
      <c r="B14" s="24" t="s">
        <v>139</v>
      </c>
    </row>
    <row r="15" spans="1:15">
      <c r="B15" s="24"/>
      <c r="C15" s="7" t="s">
        <v>126</v>
      </c>
      <c r="E15" s="7" t="s">
        <v>101</v>
      </c>
      <c r="J15" s="174">
        <f>Scenarios!G22</f>
        <v>2.5000000000000001E-2</v>
      </c>
      <c r="K15" s="174">
        <f>Scenarios!H22</f>
        <v>2.5000000000000001E-2</v>
      </c>
      <c r="L15" s="174">
        <f>Scenarios!I22</f>
        <v>2.5000000000000001E-2</v>
      </c>
      <c r="M15" s="174">
        <f>Scenarios!J22</f>
        <v>2.5000000000000001E-2</v>
      </c>
      <c r="N15" s="174">
        <f>Scenarios!K22</f>
        <v>2.5000000000000001E-2</v>
      </c>
    </row>
    <row r="16" spans="1:15">
      <c r="C16" s="7" t="s">
        <v>137</v>
      </c>
      <c r="E16" s="7" t="s">
        <v>140</v>
      </c>
      <c r="I16" s="175">
        <f>Assumptions!J19</f>
        <v>14105</v>
      </c>
      <c r="J16" s="170">
        <f>I16*(1+J15)</f>
        <v>14457.624999999998</v>
      </c>
      <c r="K16" s="170">
        <f t="shared" ref="K16:N16" si="2">J16*(1+K15)</f>
        <v>14819.065624999997</v>
      </c>
      <c r="L16" s="170">
        <f t="shared" si="2"/>
        <v>15189.542265624996</v>
      </c>
      <c r="M16" s="170">
        <f t="shared" si="2"/>
        <v>15569.280822265619</v>
      </c>
      <c r="N16" s="170">
        <f t="shared" si="2"/>
        <v>15958.512842822258</v>
      </c>
    </row>
    <row r="18" spans="1:14">
      <c r="B18" s="24" t="s">
        <v>138</v>
      </c>
    </row>
    <row r="19" spans="1:14">
      <c r="C19" s="7" t="s">
        <v>137</v>
      </c>
      <c r="E19" s="7" t="s">
        <v>91</v>
      </c>
      <c r="I19" s="166">
        <f>I22-I20</f>
        <v>3254.7</v>
      </c>
      <c r="J19" s="166">
        <f>J12*J16/1000</f>
        <v>3436.1495249999994</v>
      </c>
      <c r="K19" s="166">
        <f t="shared" ref="K19:N19" si="3">K12*K16/1000</f>
        <v>3627.7148610187496</v>
      </c>
      <c r="L19" s="166">
        <f t="shared" si="3"/>
        <v>3829.9599645205444</v>
      </c>
      <c r="M19" s="166">
        <f t="shared" si="3"/>
        <v>4043.4802325425644</v>
      </c>
      <c r="N19" s="166">
        <f t="shared" si="3"/>
        <v>4268.9042555068118</v>
      </c>
    </row>
    <row r="20" spans="1:14">
      <c r="C20" s="7" t="s">
        <v>136</v>
      </c>
      <c r="E20" s="7" t="s">
        <v>91</v>
      </c>
      <c r="I20" s="96">
        <f>Assumptions!H45</f>
        <v>574.5</v>
      </c>
      <c r="J20" s="169">
        <f>Assumptions!I45</f>
        <v>588.86249999999995</v>
      </c>
      <c r="K20" s="169">
        <f>Assumptions!J45</f>
        <v>603.58406249999985</v>
      </c>
      <c r="L20" s="169">
        <f>Assumptions!K45</f>
        <v>618.67366406249982</v>
      </c>
      <c r="M20" s="169">
        <f>Assumptions!L45</f>
        <v>634.14050566406229</v>
      </c>
      <c r="N20" s="169">
        <f>Assumptions!M45</f>
        <v>649.99401830566376</v>
      </c>
    </row>
    <row r="21" spans="1:14">
      <c r="I21" s="96"/>
      <c r="J21" s="169"/>
      <c r="K21" s="169"/>
      <c r="L21" s="169"/>
      <c r="M21" s="169"/>
      <c r="N21" s="169"/>
    </row>
    <row r="22" spans="1:14" ht="13.8" thickBot="1">
      <c r="B22" s="179" t="s">
        <v>4</v>
      </c>
      <c r="C22" s="178"/>
      <c r="D22" s="178"/>
      <c r="E22" s="179" t="s">
        <v>91</v>
      </c>
      <c r="F22" s="178"/>
      <c r="G22" s="178"/>
      <c r="H22" s="178"/>
      <c r="I22" s="180">
        <f>I244</f>
        <v>3829.2</v>
      </c>
      <c r="J22" s="181">
        <f>SUM(J19:J20)</f>
        <v>4025.0120249999991</v>
      </c>
      <c r="K22" s="181">
        <f t="shared" ref="K22:N22" si="4">SUM(K19:K20)</f>
        <v>4231.2989235187497</v>
      </c>
      <c r="L22" s="181">
        <f t="shared" si="4"/>
        <v>4448.6336285830439</v>
      </c>
      <c r="M22" s="181">
        <f t="shared" si="4"/>
        <v>4677.6207382066268</v>
      </c>
      <c r="N22" s="181">
        <f t="shared" si="4"/>
        <v>4918.898273812476</v>
      </c>
    </row>
    <row r="23" spans="1:14" ht="13.8" thickTop="1"/>
    <row r="27" spans="1:14">
      <c r="A27" s="6"/>
      <c r="B27" s="6"/>
      <c r="C27" s="6"/>
      <c r="D27" s="6"/>
      <c r="E27" s="6"/>
      <c r="L27" s="7" t="str">
        <f>UPPER("currently running: "&amp;TEXT(Scenarios!$E$9,"Base")&amp;" Scenario")</f>
        <v>CURRENTLY RUNNING: BASE SCENARIO</v>
      </c>
    </row>
    <row r="28" spans="1:14" ht="31.2">
      <c r="A28" s="6"/>
      <c r="B28" s="86" t="s">
        <v>187</v>
      </c>
      <c r="C28" s="8"/>
      <c r="D28" s="8"/>
      <c r="E28" s="8"/>
      <c r="F28" s="8"/>
      <c r="G28" s="8"/>
      <c r="H28" s="8"/>
      <c r="I28" s="8"/>
      <c r="J28" s="9"/>
      <c r="K28" s="10"/>
      <c r="L28" s="10"/>
      <c r="M28" s="10"/>
      <c r="N28" s="10"/>
    </row>
    <row r="29" spans="1:14" ht="19.5" customHeight="1">
      <c r="A29" s="6"/>
      <c r="B29" s="87" t="s">
        <v>145</v>
      </c>
      <c r="C29" s="11"/>
      <c r="D29" s="11"/>
      <c r="E29" s="11"/>
      <c r="F29" s="11"/>
      <c r="G29" s="11"/>
      <c r="H29" s="11"/>
      <c r="I29" s="11"/>
      <c r="J29" s="9"/>
      <c r="K29" s="10"/>
      <c r="L29" s="10"/>
      <c r="M29" s="10"/>
      <c r="N29" s="10"/>
    </row>
    <row r="30" spans="1:14" ht="6" customHeight="1" thickBot="1">
      <c r="A30" s="6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spans="1:14">
      <c r="A31" s="6"/>
      <c r="B31" s="13" t="s">
        <v>60</v>
      </c>
      <c r="C31" s="6"/>
      <c r="D31" s="6"/>
      <c r="E31" s="6"/>
      <c r="F31" s="6"/>
      <c r="G31" s="6"/>
      <c r="H31" s="6"/>
      <c r="I31" s="6"/>
    </row>
    <row r="32" spans="1:14">
      <c r="A32" s="6"/>
      <c r="B32" s="6"/>
      <c r="C32" s="6"/>
      <c r="D32" s="6"/>
      <c r="E32" s="6"/>
      <c r="F32" s="14"/>
      <c r="G32" s="6"/>
      <c r="H32" s="6"/>
      <c r="I32" s="6"/>
    </row>
    <row r="33" spans="1:15">
      <c r="A33" s="6"/>
      <c r="B33" s="6"/>
      <c r="C33" s="6"/>
      <c r="D33" s="6"/>
      <c r="E33" s="6"/>
      <c r="F33" s="15"/>
      <c r="G33" s="16">
        <v>2015</v>
      </c>
      <c r="H33" s="16">
        <f>G33+1</f>
        <v>2016</v>
      </c>
      <c r="I33" s="16">
        <f>H33+1</f>
        <v>2017</v>
      </c>
      <c r="J33" s="17">
        <f t="shared" ref="J33:N33" si="5">I33+1</f>
        <v>2018</v>
      </c>
      <c r="K33" s="17">
        <f t="shared" si="5"/>
        <v>2019</v>
      </c>
      <c r="L33" s="17">
        <f t="shared" si="5"/>
        <v>2020</v>
      </c>
      <c r="M33" s="17">
        <f t="shared" si="5"/>
        <v>2021</v>
      </c>
      <c r="N33" s="17">
        <f t="shared" si="5"/>
        <v>2022</v>
      </c>
      <c r="O33" s="16"/>
    </row>
    <row r="35" spans="1:15">
      <c r="B35" s="97" t="s">
        <v>144</v>
      </c>
      <c r="C35" s="98"/>
      <c r="D35" s="98"/>
      <c r="E35" s="98"/>
      <c r="F35" s="98"/>
      <c r="G35" s="98"/>
      <c r="H35" s="98"/>
      <c r="I35" s="183">
        <f>I12</f>
        <v>230.74796171570364</v>
      </c>
      <c r="J35" s="183">
        <f t="shared" ref="J35:N35" si="6">J12</f>
        <v>237.67040056717477</v>
      </c>
      <c r="K35" s="183">
        <f t="shared" si="6"/>
        <v>244.80051258419002</v>
      </c>
      <c r="L35" s="183">
        <f t="shared" si="6"/>
        <v>252.14452796171571</v>
      </c>
      <c r="M35" s="183">
        <f t="shared" si="6"/>
        <v>259.7088638005672</v>
      </c>
      <c r="N35" s="184">
        <f t="shared" si="6"/>
        <v>267.5001297145842</v>
      </c>
    </row>
    <row r="36" spans="1:15">
      <c r="B36" s="89" t="s">
        <v>153</v>
      </c>
      <c r="C36" s="90"/>
      <c r="D36" s="90"/>
      <c r="E36" s="90"/>
      <c r="F36" s="90"/>
      <c r="G36" s="90"/>
      <c r="H36" s="90"/>
      <c r="I36" s="182"/>
      <c r="J36" s="185">
        <f>Scenarios!G13</f>
        <v>0.02</v>
      </c>
      <c r="K36" s="185">
        <f>Scenarios!H13</f>
        <v>0.02</v>
      </c>
      <c r="L36" s="185">
        <f>Scenarios!I13</f>
        <v>0.02</v>
      </c>
      <c r="M36" s="185">
        <f>Scenarios!J13</f>
        <v>0.02</v>
      </c>
      <c r="N36" s="186">
        <f>Scenarios!K13</f>
        <v>0.02</v>
      </c>
    </row>
    <row r="38" spans="1:15">
      <c r="B38" s="24" t="s">
        <v>146</v>
      </c>
    </row>
    <row r="39" spans="1:15">
      <c r="C39" s="7" t="s">
        <v>148</v>
      </c>
      <c r="E39" s="7" t="s">
        <v>140</v>
      </c>
      <c r="I39" s="176">
        <f>I44*1000/I35</f>
        <v>3021.4784772790122</v>
      </c>
      <c r="J39" s="176">
        <f>I39*(1+J36)</f>
        <v>3081.9080468245925</v>
      </c>
      <c r="K39" s="176">
        <f t="shared" ref="K39:N39" si="7">J39*(1+K36)</f>
        <v>3143.5462077610846</v>
      </c>
      <c r="L39" s="176">
        <f t="shared" si="7"/>
        <v>3206.4171319163065</v>
      </c>
      <c r="M39" s="176">
        <f t="shared" si="7"/>
        <v>3270.5454745546326</v>
      </c>
      <c r="N39" s="176">
        <f t="shared" si="7"/>
        <v>3335.9563840457254</v>
      </c>
    </row>
    <row r="40" spans="1:15">
      <c r="C40" s="7" t="s">
        <v>149</v>
      </c>
      <c r="E40" s="7" t="s">
        <v>140</v>
      </c>
      <c r="I40" s="176">
        <f>I45*1000/I35</f>
        <v>9064.4354318370388</v>
      </c>
      <c r="J40" s="176">
        <f>J45*1000/J35</f>
        <v>8976.4312043434747</v>
      </c>
      <c r="K40" s="176">
        <f t="shared" ref="K40:N40" si="8">K45*1000/K35</f>
        <v>8889.2813868255744</v>
      </c>
      <c r="L40" s="176">
        <f t="shared" si="8"/>
        <v>8802.9776840408613</v>
      </c>
      <c r="M40" s="176">
        <f t="shared" si="8"/>
        <v>8717.5118812831824</v>
      </c>
      <c r="N40" s="176">
        <f t="shared" si="8"/>
        <v>8632.8758436008229</v>
      </c>
    </row>
    <row r="41" spans="1:15" ht="13.8" thickBot="1">
      <c r="B41" s="178"/>
      <c r="C41" s="179" t="s">
        <v>7</v>
      </c>
      <c r="D41" s="178"/>
      <c r="E41" s="179" t="s">
        <v>140</v>
      </c>
      <c r="F41" s="178"/>
      <c r="G41" s="178"/>
      <c r="H41" s="178"/>
      <c r="I41" s="189">
        <f>SUM(I39:I40)</f>
        <v>12085.91390911605</v>
      </c>
      <c r="J41" s="189">
        <f t="shared" ref="J41:N41" si="9">SUM(J39:J40)</f>
        <v>12058.339251168067</v>
      </c>
      <c r="K41" s="189">
        <f t="shared" si="9"/>
        <v>12032.827594586659</v>
      </c>
      <c r="L41" s="189">
        <f t="shared" si="9"/>
        <v>12009.394815957168</v>
      </c>
      <c r="M41" s="189">
        <f t="shared" si="9"/>
        <v>11988.057355837815</v>
      </c>
      <c r="N41" s="189">
        <f t="shared" si="9"/>
        <v>11968.832227646548</v>
      </c>
    </row>
    <row r="42" spans="1:15" ht="13.8" thickTop="1"/>
    <row r="43" spans="1:15">
      <c r="B43" s="24" t="s">
        <v>147</v>
      </c>
    </row>
    <row r="44" spans="1:15">
      <c r="C44" s="7" t="s">
        <v>148</v>
      </c>
      <c r="E44" s="7" t="s">
        <v>91</v>
      </c>
      <c r="H44" s="122">
        <f>Assumptions!K13</f>
        <v>0.25</v>
      </c>
      <c r="I44" s="7">
        <f>$I$46*H44</f>
        <v>697.2</v>
      </c>
      <c r="J44" s="176">
        <f>J39*J35/1000</f>
        <v>732.47832000000005</v>
      </c>
      <c r="K44" s="176">
        <f t="shared" ref="K44:N44" si="10">K39*K35/1000</f>
        <v>769.54172299200013</v>
      </c>
      <c r="L44" s="176">
        <f t="shared" si="10"/>
        <v>808.48053417539541</v>
      </c>
      <c r="M44" s="176">
        <f t="shared" si="10"/>
        <v>849.38964920467049</v>
      </c>
      <c r="N44" s="176">
        <f t="shared" si="10"/>
        <v>892.36876545442692</v>
      </c>
    </row>
    <row r="45" spans="1:15">
      <c r="C45" s="7" t="s">
        <v>149</v>
      </c>
      <c r="E45" s="7" t="s">
        <v>91</v>
      </c>
      <c r="H45" s="122">
        <f>Assumptions!K14</f>
        <v>0.75</v>
      </c>
      <c r="I45" s="7">
        <f>$I$46*H45</f>
        <v>2091.6000000000004</v>
      </c>
      <c r="J45" s="176">
        <f>I45*(1+J36)</f>
        <v>2133.4320000000002</v>
      </c>
      <c r="K45" s="176">
        <f t="shared" ref="K45:N45" si="11">J45*(1+K36)</f>
        <v>2176.1006400000001</v>
      </c>
      <c r="L45" s="176">
        <f t="shared" si="11"/>
        <v>2219.6226528000002</v>
      </c>
      <c r="M45" s="176">
        <f t="shared" si="11"/>
        <v>2264.0151058560004</v>
      </c>
      <c r="N45" s="176">
        <f t="shared" si="11"/>
        <v>2309.2954079731203</v>
      </c>
    </row>
    <row r="46" spans="1:15" ht="13.8" thickBot="1">
      <c r="B46" s="178"/>
      <c r="C46" s="179" t="s">
        <v>7</v>
      </c>
      <c r="D46" s="178"/>
      <c r="E46" s="179" t="s">
        <v>91</v>
      </c>
      <c r="F46" s="178"/>
      <c r="G46" s="178"/>
      <c r="H46" s="187">
        <f>Assumptions!K15</f>
        <v>1</v>
      </c>
      <c r="I46" s="188">
        <f>I246</f>
        <v>2788.8</v>
      </c>
      <c r="J46" s="188">
        <f>SUM(J44:J45)</f>
        <v>2865.9103200000004</v>
      </c>
      <c r="K46" s="188">
        <f t="shared" ref="K46:N46" si="12">SUM(K44:K45)</f>
        <v>2945.642362992</v>
      </c>
      <c r="L46" s="188">
        <f t="shared" si="12"/>
        <v>3028.1031869753956</v>
      </c>
      <c r="M46" s="188">
        <f t="shared" si="12"/>
        <v>3113.4047550606711</v>
      </c>
      <c r="N46" s="188">
        <f t="shared" si="12"/>
        <v>3201.6641734275472</v>
      </c>
    </row>
    <row r="47" spans="1:15" ht="13.8" thickTop="1"/>
    <row r="51" spans="1:15">
      <c r="A51" s="6"/>
      <c r="B51" s="6"/>
      <c r="C51" s="6"/>
      <c r="D51" s="6"/>
      <c r="E51" s="6"/>
      <c r="L51" s="7" t="str">
        <f>UPPER("currently running: "&amp;TEXT(Scenarios!$E$9,"Base")&amp;" Scenario")</f>
        <v>CURRENTLY RUNNING: BASE SCENARIO</v>
      </c>
    </row>
    <row r="52" spans="1:15" ht="31.2">
      <c r="A52" s="6"/>
      <c r="B52" s="86" t="s">
        <v>187</v>
      </c>
      <c r="C52" s="8"/>
      <c r="D52" s="8"/>
      <c r="E52" s="8"/>
      <c r="F52" s="8"/>
      <c r="G52" s="8"/>
      <c r="H52" s="8"/>
      <c r="I52" s="8"/>
      <c r="J52" s="9"/>
      <c r="K52" s="10"/>
      <c r="L52" s="10"/>
      <c r="M52" s="10"/>
      <c r="N52" s="10"/>
    </row>
    <row r="53" spans="1:15" ht="19.5" customHeight="1">
      <c r="A53" s="6"/>
      <c r="B53" s="87" t="s">
        <v>154</v>
      </c>
      <c r="C53" s="11"/>
      <c r="D53" s="11"/>
      <c r="E53" s="11"/>
      <c r="F53" s="11"/>
      <c r="G53" s="11"/>
      <c r="H53" s="11"/>
      <c r="I53" s="11"/>
      <c r="J53" s="9"/>
      <c r="K53" s="10"/>
      <c r="L53" s="10"/>
      <c r="M53" s="10"/>
      <c r="N53" s="10"/>
    </row>
    <row r="54" spans="1:15" ht="6" customHeight="1" thickBot="1">
      <c r="A54" s="6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</row>
    <row r="55" spans="1:15">
      <c r="A55" s="6"/>
      <c r="B55" s="13" t="s">
        <v>60</v>
      </c>
      <c r="C55" s="6"/>
      <c r="D55" s="6"/>
      <c r="E55" s="6"/>
      <c r="F55" s="6"/>
      <c r="G55" s="6"/>
      <c r="H55" s="6"/>
      <c r="I55" s="6"/>
    </row>
    <row r="56" spans="1:15">
      <c r="A56" s="6"/>
      <c r="B56" s="6"/>
      <c r="C56" s="6"/>
      <c r="D56" s="6"/>
      <c r="E56" s="6"/>
      <c r="F56" s="14"/>
      <c r="G56" s="6"/>
      <c r="H56" s="6"/>
      <c r="I56" s="6"/>
    </row>
    <row r="57" spans="1:15">
      <c r="A57" s="6"/>
      <c r="B57" s="6"/>
      <c r="C57" s="6"/>
      <c r="D57" s="6"/>
      <c r="E57" s="6"/>
      <c r="F57" s="15"/>
      <c r="G57" s="16">
        <v>2015</v>
      </c>
      <c r="H57" s="16">
        <f>G57+1</f>
        <v>2016</v>
      </c>
      <c r="I57" s="16">
        <f>H57+1</f>
        <v>2017</v>
      </c>
      <c r="J57" s="17">
        <f t="shared" ref="J57:N57" si="13">I57+1</f>
        <v>2018</v>
      </c>
      <c r="K57" s="17">
        <f t="shared" si="13"/>
        <v>2019</v>
      </c>
      <c r="L57" s="17">
        <f t="shared" si="13"/>
        <v>2020</v>
      </c>
      <c r="M57" s="17">
        <f t="shared" si="13"/>
        <v>2021</v>
      </c>
      <c r="N57" s="17">
        <f t="shared" si="13"/>
        <v>2022</v>
      </c>
      <c r="O57" s="16"/>
    </row>
    <row r="59" spans="1:15">
      <c r="G59" s="7" t="s">
        <v>155</v>
      </c>
      <c r="J59" s="79">
        <f>I74</f>
        <v>636.6</v>
      </c>
      <c r="K59" s="79">
        <f t="shared" ref="K59:N59" si="14">J74</f>
        <v>783.36666666666667</v>
      </c>
      <c r="L59" s="79">
        <f t="shared" si="14"/>
        <v>939.30000000000018</v>
      </c>
      <c r="M59" s="79">
        <f t="shared" si="14"/>
        <v>1102.7333333333336</v>
      </c>
      <c r="N59" s="79">
        <f t="shared" si="14"/>
        <v>1247.8333333333335</v>
      </c>
    </row>
    <row r="60" spans="1:15">
      <c r="G60" s="7" t="s">
        <v>129</v>
      </c>
      <c r="J60" s="6">
        <f>Assumptions!I28</f>
        <v>225</v>
      </c>
      <c r="K60" s="6">
        <f>Assumptions!J28</f>
        <v>250</v>
      </c>
      <c r="L60" s="6">
        <f>Assumptions!K28</f>
        <v>275</v>
      </c>
      <c r="M60" s="6">
        <f>Assumptions!L28</f>
        <v>275</v>
      </c>
      <c r="N60" s="6">
        <f>Assumptions!M28</f>
        <v>275</v>
      </c>
    </row>
    <row r="61" spans="1:15">
      <c r="J61" s="79"/>
    </row>
    <row r="63" spans="1:15">
      <c r="B63" s="97" t="s">
        <v>71</v>
      </c>
      <c r="C63" s="98"/>
      <c r="D63" s="98"/>
      <c r="E63" s="190">
        <f>Assumptions!K8</f>
        <v>9</v>
      </c>
      <c r="G63" s="24" t="s">
        <v>157</v>
      </c>
      <c r="J63" s="192">
        <f>$J$59/$E$63</f>
        <v>70.733333333333334</v>
      </c>
      <c r="K63" s="193">
        <f>$J$59/$E$63</f>
        <v>70.733333333333334</v>
      </c>
      <c r="L63" s="193">
        <f>$J$59/$E$63</f>
        <v>70.733333333333334</v>
      </c>
      <c r="M63" s="193">
        <f>$J$59/$E$63</f>
        <v>70.733333333333334</v>
      </c>
      <c r="N63" s="194">
        <f>$J$59/$E$63</f>
        <v>70.733333333333334</v>
      </c>
    </row>
    <row r="64" spans="1:15">
      <c r="B64" s="100" t="s">
        <v>72</v>
      </c>
      <c r="C64" s="42"/>
      <c r="D64" s="42"/>
      <c r="E64" s="191">
        <f>Assumptions!K9</f>
        <v>15</v>
      </c>
    </row>
    <row r="65" spans="1:14">
      <c r="J65" s="7"/>
    </row>
    <row r="66" spans="1:14">
      <c r="D66" s="7" cm="1">
        <f t="array" ref="D66:D70">TRANSPOSE(J57:N57)</f>
        <v>2018</v>
      </c>
      <c r="E66" s="7" cm="1">
        <f t="array" ref="E66:E70">TRANSPOSE(Assumptions!I28:M28)</f>
        <v>225</v>
      </c>
      <c r="G66" s="24" t="s">
        <v>158</v>
      </c>
      <c r="J66" s="121">
        <f t="shared" ref="J66:N70" si="15">IF(J$57&lt;$D66," ",IF(J$57=$D66,$E66/$E$64/2,$E66/$E$64))</f>
        <v>7.5</v>
      </c>
      <c r="K66" s="121">
        <f t="shared" si="15"/>
        <v>15</v>
      </c>
      <c r="L66" s="121">
        <f t="shared" si="15"/>
        <v>15</v>
      </c>
      <c r="M66" s="121">
        <f t="shared" si="15"/>
        <v>15</v>
      </c>
      <c r="N66" s="121">
        <f t="shared" si="15"/>
        <v>15</v>
      </c>
    </row>
    <row r="67" spans="1:14">
      <c r="D67" s="7">
        <v>2019</v>
      </c>
      <c r="E67" s="7">
        <v>250</v>
      </c>
      <c r="J67" s="121" t="str">
        <f t="shared" si="15"/>
        <v xml:space="preserve"> </v>
      </c>
      <c r="K67" s="121">
        <f t="shared" si="15"/>
        <v>8.3333333333333339</v>
      </c>
      <c r="L67" s="121">
        <f t="shared" si="15"/>
        <v>16.666666666666668</v>
      </c>
      <c r="M67" s="121">
        <f t="shared" si="15"/>
        <v>16.666666666666668</v>
      </c>
      <c r="N67" s="121">
        <f t="shared" si="15"/>
        <v>16.666666666666668</v>
      </c>
    </row>
    <row r="68" spans="1:14">
      <c r="D68" s="7">
        <v>2020</v>
      </c>
      <c r="E68" s="7">
        <v>275</v>
      </c>
      <c r="J68" s="121" t="str">
        <f t="shared" si="15"/>
        <v xml:space="preserve"> </v>
      </c>
      <c r="K68" s="121" t="str">
        <f t="shared" si="15"/>
        <v xml:space="preserve"> </v>
      </c>
      <c r="L68" s="121">
        <f t="shared" si="15"/>
        <v>9.1666666666666661</v>
      </c>
      <c r="M68" s="121">
        <f t="shared" si="15"/>
        <v>18.333333333333332</v>
      </c>
      <c r="N68" s="121">
        <f t="shared" si="15"/>
        <v>18.333333333333332</v>
      </c>
    </row>
    <row r="69" spans="1:14">
      <c r="D69" s="7">
        <v>2021</v>
      </c>
      <c r="E69" s="7">
        <v>275</v>
      </c>
      <c r="J69" s="121" t="str">
        <f t="shared" si="15"/>
        <v xml:space="preserve"> </v>
      </c>
      <c r="K69" s="121" t="str">
        <f t="shared" si="15"/>
        <v xml:space="preserve"> </v>
      </c>
      <c r="L69" s="121" t="str">
        <f t="shared" si="15"/>
        <v xml:space="preserve"> </v>
      </c>
      <c r="M69" s="121">
        <f t="shared" si="15"/>
        <v>9.1666666666666661</v>
      </c>
      <c r="N69" s="121">
        <f t="shared" si="15"/>
        <v>18.333333333333332</v>
      </c>
    </row>
    <row r="70" spans="1:14">
      <c r="D70" s="7">
        <v>2022</v>
      </c>
      <c r="E70" s="7">
        <v>275</v>
      </c>
      <c r="J70" s="121" t="str">
        <f t="shared" si="15"/>
        <v xml:space="preserve"> </v>
      </c>
      <c r="K70" s="121" t="str">
        <f t="shared" si="15"/>
        <v xml:space="preserve"> </v>
      </c>
      <c r="L70" s="121" t="str">
        <f t="shared" si="15"/>
        <v xml:space="preserve"> </v>
      </c>
      <c r="M70" s="121" t="str">
        <f t="shared" si="15"/>
        <v xml:space="preserve"> </v>
      </c>
      <c r="N70" s="121">
        <f t="shared" si="15"/>
        <v>9.1666666666666661</v>
      </c>
    </row>
    <row r="71" spans="1:14">
      <c r="G71" s="24" t="s">
        <v>159</v>
      </c>
      <c r="J71" s="195">
        <f>J63+SUM(J66:J70)</f>
        <v>78.233333333333334</v>
      </c>
      <c r="K71" s="196">
        <f t="shared" ref="K71:N71" si="16">K63+SUM(K66:K70)</f>
        <v>94.066666666666663</v>
      </c>
      <c r="L71" s="196">
        <f t="shared" si="16"/>
        <v>111.56666666666666</v>
      </c>
      <c r="M71" s="196">
        <f t="shared" si="16"/>
        <v>129.9</v>
      </c>
      <c r="N71" s="197">
        <f t="shared" si="16"/>
        <v>148.23333333333335</v>
      </c>
    </row>
    <row r="74" spans="1:14">
      <c r="G74" s="7" t="s">
        <v>156</v>
      </c>
      <c r="I74" s="166">
        <f>Model!I326</f>
        <v>636.6</v>
      </c>
      <c r="J74" s="79">
        <f>I74+J60-J71</f>
        <v>783.36666666666667</v>
      </c>
      <c r="K74" s="79">
        <f t="shared" ref="K74:N74" si="17">J74+K60-K71</f>
        <v>939.30000000000018</v>
      </c>
      <c r="L74" s="79">
        <f t="shared" si="17"/>
        <v>1102.7333333333336</v>
      </c>
      <c r="M74" s="79">
        <f t="shared" si="17"/>
        <v>1247.8333333333335</v>
      </c>
      <c r="N74" s="79">
        <f t="shared" si="17"/>
        <v>1374.6000000000001</v>
      </c>
    </row>
    <row r="78" spans="1:14">
      <c r="A78" s="6"/>
      <c r="B78" s="6"/>
      <c r="C78" s="6"/>
      <c r="D78" s="6"/>
      <c r="E78" s="6"/>
      <c r="L78" s="7" t="str">
        <f>UPPER("currently running: "&amp;TEXT(Scenarios!$E$9,"Base")&amp;" Scenario")</f>
        <v>CURRENTLY RUNNING: BASE SCENARIO</v>
      </c>
    </row>
    <row r="79" spans="1:14" ht="31.2">
      <c r="A79" s="6"/>
      <c r="B79" s="86" t="s">
        <v>187</v>
      </c>
      <c r="C79" s="8"/>
      <c r="D79" s="8"/>
      <c r="E79" s="8"/>
      <c r="F79" s="8"/>
      <c r="G79" s="8"/>
      <c r="H79" s="8"/>
      <c r="I79" s="8"/>
      <c r="J79" s="9"/>
      <c r="K79" s="10"/>
      <c r="L79" s="10"/>
      <c r="M79" s="10"/>
      <c r="N79" s="10"/>
    </row>
    <row r="80" spans="1:14" ht="19.5" customHeight="1">
      <c r="A80" s="6"/>
      <c r="B80" s="87" t="s">
        <v>94</v>
      </c>
      <c r="C80" s="11"/>
      <c r="D80" s="11"/>
      <c r="E80" s="11"/>
      <c r="F80" s="11"/>
      <c r="G80" s="11"/>
      <c r="H80" s="11"/>
      <c r="I80" s="11"/>
      <c r="J80" s="9"/>
      <c r="K80" s="10"/>
      <c r="L80" s="10"/>
      <c r="M80" s="10"/>
      <c r="N80" s="10"/>
    </row>
    <row r="81" spans="1:15" ht="6" customHeight="1" thickBot="1">
      <c r="A81" s="6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</row>
    <row r="82" spans="1:15">
      <c r="A82" s="6"/>
      <c r="B82" s="13" t="s">
        <v>60</v>
      </c>
      <c r="C82" s="6"/>
      <c r="D82" s="6"/>
      <c r="E82" s="6"/>
      <c r="F82" s="6"/>
      <c r="G82" s="6"/>
      <c r="H82" s="6"/>
      <c r="I82" s="6"/>
    </row>
    <row r="83" spans="1:15">
      <c r="A83" s="6"/>
      <c r="B83" s="6"/>
      <c r="C83" s="6"/>
      <c r="D83" s="6"/>
      <c r="E83" s="6"/>
      <c r="F83" s="14"/>
      <c r="G83" s="6"/>
      <c r="H83" s="6"/>
      <c r="I83" s="6"/>
    </row>
    <row r="84" spans="1:15">
      <c r="A84" s="6"/>
      <c r="B84" s="6"/>
      <c r="C84" s="6"/>
      <c r="D84" s="6"/>
      <c r="E84" s="6"/>
      <c r="F84" s="199">
        <v>2014</v>
      </c>
      <c r="G84" s="16">
        <v>2015</v>
      </c>
      <c r="H84" s="16">
        <f>G84+1</f>
        <v>2016</v>
      </c>
      <c r="I84" s="16">
        <f>H84+1</f>
        <v>2017</v>
      </c>
      <c r="J84" s="17">
        <f t="shared" ref="J84:N84" si="18">I84+1</f>
        <v>2018</v>
      </c>
      <c r="K84" s="17">
        <f t="shared" si="18"/>
        <v>2019</v>
      </c>
      <c r="L84" s="17">
        <f t="shared" si="18"/>
        <v>2020</v>
      </c>
      <c r="M84" s="17">
        <f t="shared" si="18"/>
        <v>2021</v>
      </c>
      <c r="N84" s="17">
        <f t="shared" si="18"/>
        <v>2022</v>
      </c>
      <c r="O84" s="16"/>
    </row>
    <row r="85" spans="1:15">
      <c r="A85" s="6"/>
      <c r="B85" s="6"/>
      <c r="C85" s="6"/>
      <c r="D85" s="6"/>
      <c r="E85" s="6"/>
      <c r="F85" s="199"/>
      <c r="G85" s="16"/>
      <c r="H85" s="16"/>
      <c r="I85" s="16"/>
      <c r="J85" s="17"/>
      <c r="K85" s="17"/>
      <c r="L85" s="17"/>
      <c r="M85" s="17"/>
      <c r="N85" s="17"/>
      <c r="O85" s="16"/>
    </row>
    <row r="86" spans="1:15">
      <c r="B86" s="97" t="s">
        <v>162</v>
      </c>
      <c r="C86" s="98"/>
      <c r="D86" s="98"/>
      <c r="E86" s="98"/>
      <c r="F86" s="98"/>
      <c r="G86" s="201">
        <f>DATE(G84,12,31)-DATE(F84,12,31)</f>
        <v>365</v>
      </c>
      <c r="H86" s="201">
        <f t="shared" ref="H86:N86" si="19">DATE(H84,12,31)-DATE(G84,12,31)</f>
        <v>366</v>
      </c>
      <c r="I86" s="201">
        <f t="shared" si="19"/>
        <v>365</v>
      </c>
      <c r="J86" s="201">
        <f t="shared" si="19"/>
        <v>365</v>
      </c>
      <c r="K86" s="201">
        <f t="shared" si="19"/>
        <v>365</v>
      </c>
      <c r="L86" s="201">
        <f t="shared" si="19"/>
        <v>366</v>
      </c>
      <c r="M86" s="201">
        <f t="shared" si="19"/>
        <v>365</v>
      </c>
      <c r="N86" s="202">
        <f t="shared" si="19"/>
        <v>365</v>
      </c>
    </row>
    <row r="87" spans="1:15">
      <c r="B87" s="102" t="s">
        <v>4</v>
      </c>
      <c r="C87" s="18"/>
      <c r="D87" s="18"/>
      <c r="E87" s="18"/>
      <c r="F87" s="18"/>
      <c r="G87" s="203">
        <f>G244</f>
        <v>3194.1</v>
      </c>
      <c r="H87" s="203">
        <f t="shared" ref="H87:N87" si="20">H244</f>
        <v>3524.7</v>
      </c>
      <c r="I87" s="203">
        <f t="shared" si="20"/>
        <v>3829.2</v>
      </c>
      <c r="J87" s="203">
        <f t="shared" si="20"/>
        <v>4025.0120249999991</v>
      </c>
      <c r="K87" s="203">
        <f t="shared" si="20"/>
        <v>4231.2989235187497</v>
      </c>
      <c r="L87" s="203">
        <f t="shared" si="20"/>
        <v>4448.6336285830439</v>
      </c>
      <c r="M87" s="203">
        <f t="shared" si="20"/>
        <v>4677.6207382066268</v>
      </c>
      <c r="N87" s="204">
        <f t="shared" si="20"/>
        <v>4918.898273812476</v>
      </c>
    </row>
    <row r="88" spans="1:15">
      <c r="B88" s="100" t="s">
        <v>5</v>
      </c>
      <c r="C88" s="42"/>
      <c r="D88" s="42"/>
      <c r="E88" s="42"/>
      <c r="F88" s="42"/>
      <c r="G88" s="205">
        <f>G246</f>
        <v>2291.3000000000002</v>
      </c>
      <c r="H88" s="205">
        <f t="shared" ref="H88:N88" si="21">H246</f>
        <v>2565.9</v>
      </c>
      <c r="I88" s="205">
        <f t="shared" si="21"/>
        <v>2788.8</v>
      </c>
      <c r="J88" s="205">
        <f t="shared" si="21"/>
        <v>2865.9103200000004</v>
      </c>
      <c r="K88" s="205">
        <f t="shared" si="21"/>
        <v>2945.642362992</v>
      </c>
      <c r="L88" s="205">
        <f t="shared" si="21"/>
        <v>3028.1031869753956</v>
      </c>
      <c r="M88" s="205">
        <f t="shared" si="21"/>
        <v>3113.4047550606711</v>
      </c>
      <c r="N88" s="206">
        <f t="shared" si="21"/>
        <v>3201.6641734275472</v>
      </c>
    </row>
    <row r="90" spans="1:15">
      <c r="B90" s="23" t="s">
        <v>160</v>
      </c>
      <c r="C90" s="18"/>
      <c r="D90" s="18"/>
      <c r="E90" s="18"/>
    </row>
    <row r="91" spans="1:15">
      <c r="B91" s="18"/>
      <c r="C91" s="18" t="s">
        <v>30</v>
      </c>
      <c r="D91" s="18"/>
      <c r="E91" s="18" t="s">
        <v>97</v>
      </c>
      <c r="G91" s="176">
        <f>G98/G87*G86</f>
        <v>30.465232772925084</v>
      </c>
      <c r="H91" s="176">
        <f t="shared" ref="H91:I91" si="22">H98/H87*H86</f>
        <v>31.857690016171595</v>
      </c>
      <c r="I91" s="176">
        <f t="shared" si="22"/>
        <v>29.396740833594485</v>
      </c>
      <c r="J91" s="213">
        <f>Assumptions!I32</f>
        <v>31</v>
      </c>
      <c r="K91" s="213">
        <f>Assumptions!J32</f>
        <v>31</v>
      </c>
      <c r="L91" s="213">
        <f>Assumptions!K32</f>
        <v>31</v>
      </c>
      <c r="M91" s="213">
        <f>Assumptions!L32</f>
        <v>31</v>
      </c>
      <c r="N91" s="213">
        <f>Assumptions!M32</f>
        <v>31</v>
      </c>
    </row>
    <row r="92" spans="1:15">
      <c r="B92" s="18"/>
      <c r="C92" s="18" t="s">
        <v>31</v>
      </c>
      <c r="D92" s="18"/>
      <c r="E92" s="18" t="s">
        <v>97</v>
      </c>
      <c r="G92" s="176">
        <f>G99/G$88*G$86</f>
        <v>84.858159123641599</v>
      </c>
      <c r="H92" s="176">
        <f t="shared" ref="H92:I92" si="23">H99/H$88*H$86</f>
        <v>89.891733894539939</v>
      </c>
      <c r="I92" s="176">
        <f t="shared" si="23"/>
        <v>89.77104847963281</v>
      </c>
      <c r="J92" s="213">
        <f>Assumptions!I33</f>
        <v>89</v>
      </c>
      <c r="K92" s="213">
        <f>Assumptions!J33</f>
        <v>89</v>
      </c>
      <c r="L92" s="213">
        <f>Assumptions!K33</f>
        <v>89</v>
      </c>
      <c r="M92" s="213">
        <f>Assumptions!L33</f>
        <v>89</v>
      </c>
      <c r="N92" s="213">
        <f>Assumptions!M33</f>
        <v>89</v>
      </c>
    </row>
    <row r="93" spans="1:15">
      <c r="B93" s="18"/>
      <c r="C93" s="132" t="s">
        <v>95</v>
      </c>
      <c r="D93" s="18"/>
      <c r="E93" s="18" t="s">
        <v>97</v>
      </c>
      <c r="G93" s="176">
        <f t="shared" ref="G93:I93" si="24">G100/G$88*G$86</f>
        <v>8.1879282503382349</v>
      </c>
      <c r="H93" s="176">
        <f t="shared" si="24"/>
        <v>8.7010405705600373</v>
      </c>
      <c r="I93" s="176">
        <f t="shared" si="24"/>
        <v>8.5465074584050473</v>
      </c>
      <c r="J93" s="213">
        <f>Assumptions!I34</f>
        <v>9</v>
      </c>
      <c r="K93" s="213">
        <f>Assumptions!J34</f>
        <v>9</v>
      </c>
      <c r="L93" s="213">
        <f>Assumptions!K34</f>
        <v>9</v>
      </c>
      <c r="M93" s="213">
        <f>Assumptions!L34</f>
        <v>9</v>
      </c>
      <c r="N93" s="213">
        <f>Assumptions!M34</f>
        <v>9</v>
      </c>
    </row>
    <row r="94" spans="1:15">
      <c r="B94" s="18"/>
      <c r="C94" s="132" t="s">
        <v>41</v>
      </c>
      <c r="D94" s="18"/>
      <c r="E94" s="18" t="s">
        <v>97</v>
      </c>
      <c r="G94" s="176">
        <f t="shared" ref="G94:I94" si="25">G101/G$88*G$86</f>
        <v>87.136123597957479</v>
      </c>
      <c r="H94" s="176">
        <f t="shared" si="25"/>
        <v>96.76698234537588</v>
      </c>
      <c r="I94" s="176">
        <f t="shared" si="25"/>
        <v>85.111696787148574</v>
      </c>
      <c r="J94" s="213">
        <f>Assumptions!I35</f>
        <v>90</v>
      </c>
      <c r="K94" s="213">
        <f>Assumptions!J35</f>
        <v>90</v>
      </c>
      <c r="L94" s="213">
        <f>Assumptions!K35</f>
        <v>90</v>
      </c>
      <c r="M94" s="213">
        <f>Assumptions!L35</f>
        <v>90</v>
      </c>
      <c r="N94" s="213">
        <f>Assumptions!M35</f>
        <v>90</v>
      </c>
    </row>
    <row r="95" spans="1:15">
      <c r="B95" s="18"/>
      <c r="C95" s="132" t="s">
        <v>96</v>
      </c>
      <c r="D95" s="18"/>
      <c r="E95" s="18" t="s">
        <v>97</v>
      </c>
      <c r="G95" s="176">
        <f t="shared" ref="G95:I95" si="26">G102/G$88*G$86</f>
        <v>32.911011216340071</v>
      </c>
      <c r="H95" s="176">
        <f t="shared" si="26"/>
        <v>35.446042324330648</v>
      </c>
      <c r="I95" s="176">
        <f t="shared" si="26"/>
        <v>34.840433161216289</v>
      </c>
      <c r="J95" s="213">
        <f>Assumptions!I36</f>
        <v>35</v>
      </c>
      <c r="K95" s="213">
        <f>Assumptions!J36</f>
        <v>35</v>
      </c>
      <c r="L95" s="213">
        <f>Assumptions!K36</f>
        <v>35</v>
      </c>
      <c r="M95" s="213">
        <f>Assumptions!L36</f>
        <v>35</v>
      </c>
      <c r="N95" s="213">
        <f>Assumptions!M36</f>
        <v>35</v>
      </c>
    </row>
    <row r="96" spans="1:15">
      <c r="B96" s="18"/>
      <c r="C96" s="132"/>
      <c r="D96" s="18"/>
      <c r="E96" s="18"/>
    </row>
    <row r="97" spans="1:14">
      <c r="B97" s="23" t="s">
        <v>161</v>
      </c>
      <c r="C97" s="18"/>
      <c r="D97" s="18"/>
    </row>
    <row r="98" spans="1:14">
      <c r="C98" s="18" t="s">
        <v>30</v>
      </c>
      <c r="E98" s="7" t="s">
        <v>91</v>
      </c>
      <c r="G98" s="168">
        <f>G321</f>
        <v>266.60000000000002</v>
      </c>
      <c r="H98" s="168">
        <f t="shared" ref="H98:I98" si="27">H321</f>
        <v>306.8</v>
      </c>
      <c r="I98" s="168">
        <f t="shared" si="27"/>
        <v>308.39999999999998</v>
      </c>
      <c r="J98" s="167">
        <f>J91/J86*J87</f>
        <v>341.85033636986293</v>
      </c>
      <c r="K98" s="167">
        <f t="shared" ref="K98:N98" si="28">K91/K86*K87</f>
        <v>359.37059350433213</v>
      </c>
      <c r="L98" s="167">
        <f t="shared" si="28"/>
        <v>376.79683739364577</v>
      </c>
      <c r="M98" s="167">
        <f t="shared" si="28"/>
        <v>397.27737776549435</v>
      </c>
      <c r="N98" s="167">
        <f t="shared" si="28"/>
        <v>417.76944243338835</v>
      </c>
    </row>
    <row r="99" spans="1:14">
      <c r="C99" s="18" t="s">
        <v>31</v>
      </c>
      <c r="E99" s="7" t="s">
        <v>91</v>
      </c>
      <c r="G99" s="168">
        <f t="shared" ref="G99:I100" si="29">G322</f>
        <v>532.70000000000005</v>
      </c>
      <c r="H99" s="168">
        <f t="shared" si="29"/>
        <v>630.20000000000005</v>
      </c>
      <c r="I99" s="168">
        <f t="shared" si="29"/>
        <v>685.9</v>
      </c>
      <c r="J99" s="167">
        <f>J92/J$86*J$88</f>
        <v>698.81100953424664</v>
      </c>
      <c r="K99" s="167">
        <f t="shared" ref="K99:N99" si="30">K92/K$86*K$88</f>
        <v>718.25252138709038</v>
      </c>
      <c r="L99" s="167">
        <f t="shared" si="30"/>
        <v>736.3420318054923</v>
      </c>
      <c r="M99" s="167">
        <f t="shared" si="30"/>
        <v>759.158967672328</v>
      </c>
      <c r="N99" s="167">
        <f t="shared" si="30"/>
        <v>780.67975735630603</v>
      </c>
    </row>
    <row r="100" spans="1:14">
      <c r="C100" s="132" t="s">
        <v>95</v>
      </c>
      <c r="E100" s="7" t="s">
        <v>91</v>
      </c>
      <c r="G100" s="168">
        <f t="shared" si="29"/>
        <v>51.4</v>
      </c>
      <c r="H100" s="168">
        <f t="shared" si="29"/>
        <v>61</v>
      </c>
      <c r="I100" s="168">
        <f t="shared" si="29"/>
        <v>65.3</v>
      </c>
      <c r="J100" s="167">
        <f t="shared" ref="J100:N100" si="31">J93/J$86*J$88</f>
        <v>70.666281863013708</v>
      </c>
      <c r="K100" s="167">
        <f t="shared" si="31"/>
        <v>72.632277443638358</v>
      </c>
      <c r="L100" s="167">
        <f t="shared" si="31"/>
        <v>74.461553778083498</v>
      </c>
      <c r="M100" s="167">
        <f t="shared" si="31"/>
        <v>76.768884371359007</v>
      </c>
      <c r="N100" s="167">
        <f t="shared" si="31"/>
        <v>78.945144002323076</v>
      </c>
    </row>
    <row r="101" spans="1:14">
      <c r="C101" s="132" t="s">
        <v>41</v>
      </c>
      <c r="E101" s="7" t="s">
        <v>91</v>
      </c>
      <c r="G101" s="168">
        <f>G337</f>
        <v>547</v>
      </c>
      <c r="H101" s="168">
        <f t="shared" ref="H101:I101" si="32">H337</f>
        <v>678.4</v>
      </c>
      <c r="I101" s="168">
        <f t="shared" si="32"/>
        <v>650.29999999999995</v>
      </c>
      <c r="J101" s="167">
        <f t="shared" ref="J101:N101" si="33">J94/J$86*J$88</f>
        <v>706.66281863013705</v>
      </c>
      <c r="K101" s="167">
        <f t="shared" si="33"/>
        <v>726.3227744363835</v>
      </c>
      <c r="L101" s="167">
        <f t="shared" si="33"/>
        <v>744.61553778083498</v>
      </c>
      <c r="M101" s="167">
        <f t="shared" si="33"/>
        <v>767.68884371359013</v>
      </c>
      <c r="N101" s="167">
        <f t="shared" si="33"/>
        <v>789.45144002323082</v>
      </c>
    </row>
    <row r="102" spans="1:14">
      <c r="C102" s="132" t="s">
        <v>96</v>
      </c>
      <c r="E102" s="7" t="s">
        <v>91</v>
      </c>
      <c r="G102" s="168">
        <f>G338</f>
        <v>206.6</v>
      </c>
      <c r="H102" s="168">
        <f t="shared" ref="H102:I102" si="34">H338</f>
        <v>248.50000000000006</v>
      </c>
      <c r="I102" s="168">
        <f t="shared" si="34"/>
        <v>266.2</v>
      </c>
      <c r="J102" s="167">
        <f t="shared" ref="J102:N102" si="35">J95/J$86*J$88</f>
        <v>274.81331835616442</v>
      </c>
      <c r="K102" s="167">
        <f t="shared" si="35"/>
        <v>282.45885672526026</v>
      </c>
      <c r="L102" s="167">
        <f t="shared" si="35"/>
        <v>289.57270913699136</v>
      </c>
      <c r="M102" s="167">
        <f t="shared" si="35"/>
        <v>298.5456614441739</v>
      </c>
      <c r="N102" s="167">
        <f t="shared" si="35"/>
        <v>307.00889334236751</v>
      </c>
    </row>
    <row r="103" spans="1:14">
      <c r="C103" s="132"/>
      <c r="G103" s="168"/>
      <c r="H103" s="168"/>
      <c r="I103" s="168"/>
      <c r="J103" s="167"/>
      <c r="K103" s="167"/>
      <c r="L103" s="167"/>
      <c r="M103" s="167"/>
      <c r="N103" s="167"/>
    </row>
    <row r="104" spans="1:14">
      <c r="C104" s="198" t="s">
        <v>163</v>
      </c>
      <c r="D104" s="216"/>
      <c r="E104" s="216"/>
      <c r="F104" s="216"/>
      <c r="G104" s="217">
        <f>SUM(G98:G100)-SUM(G101:G102)</f>
        <v>97.100000000000023</v>
      </c>
      <c r="H104" s="217">
        <f t="shared" ref="H104:N104" si="36">SUM(H98:H100)-SUM(H101:H102)</f>
        <v>71.099999999999909</v>
      </c>
      <c r="I104" s="217">
        <f t="shared" si="36"/>
        <v>143.09999999999991</v>
      </c>
      <c r="J104" s="217">
        <f t="shared" si="36"/>
        <v>129.85149078082168</v>
      </c>
      <c r="K104" s="217">
        <f t="shared" si="36"/>
        <v>141.47376117341707</v>
      </c>
      <c r="L104" s="217">
        <f t="shared" si="36"/>
        <v>153.41217605939528</v>
      </c>
      <c r="M104" s="217">
        <f t="shared" si="36"/>
        <v>166.97072465141741</v>
      </c>
      <c r="N104" s="218">
        <f t="shared" si="36"/>
        <v>180.93401042641926</v>
      </c>
    </row>
    <row r="105" spans="1:14">
      <c r="C105" s="118" t="s">
        <v>164</v>
      </c>
      <c r="D105" s="219"/>
      <c r="E105" s="219"/>
      <c r="F105" s="219"/>
      <c r="G105" s="220"/>
      <c r="H105" s="220">
        <f>G104-H104</f>
        <v>26.000000000000114</v>
      </c>
      <c r="I105" s="220">
        <f t="shared" ref="I105:N105" si="37">H104-I104</f>
        <v>-72</v>
      </c>
      <c r="J105" s="220">
        <f t="shared" si="37"/>
        <v>13.248509219178231</v>
      </c>
      <c r="K105" s="220">
        <f t="shared" si="37"/>
        <v>-11.622270392595397</v>
      </c>
      <c r="L105" s="220">
        <f t="shared" si="37"/>
        <v>-11.938414885978204</v>
      </c>
      <c r="M105" s="220">
        <f t="shared" si="37"/>
        <v>-13.558548592022134</v>
      </c>
      <c r="N105" s="221">
        <f t="shared" si="37"/>
        <v>-13.96328577500185</v>
      </c>
    </row>
    <row r="106" spans="1:14">
      <c r="G106" s="166"/>
      <c r="H106" s="166"/>
      <c r="I106" s="166"/>
      <c r="J106" s="166"/>
      <c r="K106" s="166"/>
      <c r="L106" s="166"/>
      <c r="M106" s="166"/>
      <c r="N106" s="166"/>
    </row>
    <row r="107" spans="1:14">
      <c r="G107" s="166"/>
      <c r="H107" s="166"/>
      <c r="I107" s="166"/>
      <c r="J107" s="166"/>
      <c r="K107" s="166"/>
      <c r="L107" s="166"/>
      <c r="M107" s="166"/>
      <c r="N107" s="166"/>
    </row>
    <row r="108" spans="1:14">
      <c r="G108" s="166"/>
      <c r="H108" s="166"/>
      <c r="I108" s="166"/>
      <c r="J108" s="166"/>
      <c r="K108" s="166"/>
      <c r="L108" s="166"/>
      <c r="M108" s="166"/>
      <c r="N108" s="166"/>
    </row>
    <row r="109" spans="1:14">
      <c r="A109" s="6"/>
      <c r="B109" s="6"/>
      <c r="C109" s="6"/>
      <c r="D109" s="6"/>
      <c r="E109" s="6"/>
      <c r="L109" s="7" t="str">
        <f>UPPER("currently running: "&amp;TEXT(Scenarios!$E$9,"Base")&amp;" Scenario")</f>
        <v>CURRENTLY RUNNING: BASE SCENARIO</v>
      </c>
    </row>
    <row r="110" spans="1:14" ht="31.2">
      <c r="A110" s="6"/>
      <c r="B110" s="86" t="s">
        <v>187</v>
      </c>
      <c r="C110" s="8"/>
      <c r="D110" s="8"/>
      <c r="E110" s="8"/>
      <c r="F110" s="8"/>
      <c r="G110" s="8"/>
      <c r="H110" s="8"/>
      <c r="I110" s="8"/>
      <c r="J110" s="9"/>
      <c r="K110" s="10"/>
      <c r="L110" s="10"/>
      <c r="M110" s="10"/>
      <c r="N110" s="10"/>
    </row>
    <row r="111" spans="1:14" ht="19.5" customHeight="1">
      <c r="A111" s="6"/>
      <c r="B111" s="87" t="s">
        <v>165</v>
      </c>
      <c r="C111" s="11"/>
      <c r="D111" s="11"/>
      <c r="E111" s="11"/>
      <c r="F111" s="11"/>
      <c r="G111" s="11"/>
      <c r="H111" s="11"/>
      <c r="I111" s="11"/>
      <c r="J111" s="9"/>
      <c r="K111" s="10"/>
      <c r="L111" s="10"/>
      <c r="M111" s="10"/>
      <c r="N111" s="10"/>
    </row>
    <row r="112" spans="1:14" ht="6" customHeight="1" thickBot="1">
      <c r="A112" s="6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</row>
    <row r="113" spans="1:15">
      <c r="A113" s="6"/>
      <c r="B113" s="13" t="s">
        <v>60</v>
      </c>
      <c r="C113" s="6"/>
      <c r="D113" s="6"/>
      <c r="E113" s="6"/>
      <c r="F113" s="6"/>
      <c r="G113" s="6"/>
      <c r="H113" s="6"/>
      <c r="I113" s="6"/>
    </row>
    <row r="114" spans="1:15">
      <c r="A114" s="6"/>
      <c r="B114" s="6"/>
      <c r="C114" s="6"/>
      <c r="D114" s="6"/>
      <c r="E114" s="6"/>
      <c r="F114" s="14"/>
      <c r="G114" s="6"/>
      <c r="H114" s="6"/>
      <c r="I114" s="6"/>
    </row>
    <row r="115" spans="1:15">
      <c r="A115" s="6"/>
      <c r="B115" s="6"/>
      <c r="C115" s="6"/>
      <c r="D115" s="6"/>
      <c r="E115" s="6"/>
      <c r="F115" s="199">
        <v>2014</v>
      </c>
      <c r="G115" s="16">
        <v>2015</v>
      </c>
      <c r="H115" s="16">
        <f>G115+1</f>
        <v>2016</v>
      </c>
      <c r="I115" s="16">
        <f>H115+1</f>
        <v>2017</v>
      </c>
      <c r="J115" s="17">
        <f t="shared" ref="J115:N115" si="38">I115+1</f>
        <v>2018</v>
      </c>
      <c r="K115" s="17">
        <f t="shared" si="38"/>
        <v>2019</v>
      </c>
      <c r="L115" s="17">
        <f t="shared" si="38"/>
        <v>2020</v>
      </c>
      <c r="M115" s="17">
        <f t="shared" si="38"/>
        <v>2021</v>
      </c>
      <c r="N115" s="17">
        <f t="shared" si="38"/>
        <v>2022</v>
      </c>
      <c r="O115" s="16"/>
    </row>
    <row r="116" spans="1:15">
      <c r="G116" s="166"/>
      <c r="H116" s="166"/>
      <c r="I116" s="166"/>
      <c r="J116" s="166"/>
      <c r="K116" s="166"/>
      <c r="L116" s="166"/>
      <c r="M116" s="166"/>
      <c r="N116" s="166"/>
    </row>
    <row r="117" spans="1:15">
      <c r="B117" s="155" t="s">
        <v>166</v>
      </c>
      <c r="C117" s="90"/>
      <c r="D117" s="90"/>
      <c r="E117" s="222">
        <f>Assumptions!E19</f>
        <v>0.35</v>
      </c>
      <c r="G117" s="166"/>
      <c r="H117" s="166"/>
      <c r="I117" s="166"/>
      <c r="J117" s="166"/>
      <c r="K117" s="166"/>
      <c r="L117" s="166"/>
      <c r="M117" s="166"/>
      <c r="N117" s="166"/>
    </row>
    <row r="118" spans="1:15">
      <c r="G118" s="166"/>
      <c r="H118" s="166"/>
      <c r="I118" s="166"/>
      <c r="J118" s="166"/>
      <c r="K118" s="166"/>
      <c r="L118" s="166"/>
      <c r="M118" s="166"/>
      <c r="N118" s="166"/>
    </row>
    <row r="119" spans="1:15">
      <c r="B119" s="24" t="s">
        <v>167</v>
      </c>
      <c r="E119" s="7" t="s">
        <v>91</v>
      </c>
      <c r="G119" s="166"/>
      <c r="H119" s="166"/>
      <c r="I119" s="166"/>
      <c r="J119" s="166">
        <f>J258</f>
        <v>412.75555166666533</v>
      </c>
      <c r="K119" s="166">
        <f t="shared" ref="K119:N119" si="39">K258</f>
        <v>513.20249559998297</v>
      </c>
      <c r="L119" s="166">
        <f t="shared" si="39"/>
        <v>619.03415250160811</v>
      </c>
      <c r="M119" s="166">
        <f t="shared" si="39"/>
        <v>736.96013502589858</v>
      </c>
      <c r="N119" s="166">
        <f t="shared" si="39"/>
        <v>863.44020070386932</v>
      </c>
    </row>
    <row r="120" spans="1:15">
      <c r="G120" s="166"/>
      <c r="H120" s="166"/>
      <c r="I120" s="166"/>
      <c r="J120" s="166"/>
      <c r="K120" s="166"/>
      <c r="L120" s="166"/>
      <c r="M120" s="166"/>
      <c r="N120" s="166"/>
    </row>
    <row r="121" spans="1:15">
      <c r="C121" s="18" t="s">
        <v>99</v>
      </c>
      <c r="E121" s="7" t="s">
        <v>91</v>
      </c>
      <c r="G121" s="166"/>
      <c r="H121" s="166"/>
      <c r="I121" s="166"/>
      <c r="J121" s="168">
        <f>Assumptions!I39</f>
        <v>40</v>
      </c>
      <c r="K121" s="168">
        <f>Assumptions!J39</f>
        <v>40</v>
      </c>
      <c r="L121" s="168">
        <f>Assumptions!K39</f>
        <v>40</v>
      </c>
      <c r="M121" s="168">
        <f>Assumptions!L39</f>
        <v>40</v>
      </c>
      <c r="N121" s="168">
        <f>Assumptions!M39</f>
        <v>40</v>
      </c>
    </row>
    <row r="122" spans="1:15">
      <c r="G122" s="166"/>
      <c r="H122" s="166"/>
      <c r="I122" s="166"/>
      <c r="J122" s="166"/>
      <c r="K122" s="166"/>
      <c r="L122" s="166"/>
      <c r="M122" s="166"/>
      <c r="N122" s="166"/>
    </row>
    <row r="123" spans="1:15">
      <c r="B123" s="24" t="s">
        <v>168</v>
      </c>
      <c r="E123" s="7" t="s">
        <v>91</v>
      </c>
      <c r="G123" s="166"/>
      <c r="H123" s="166"/>
      <c r="I123" s="166"/>
      <c r="J123" s="166">
        <f>J119-J121</f>
        <v>372.75555166666533</v>
      </c>
      <c r="K123" s="166">
        <f t="shared" ref="K123:N123" si="40">K119-K121</f>
        <v>473.20249559998297</v>
      </c>
      <c r="L123" s="166">
        <f t="shared" si="40"/>
        <v>579.03415250160811</v>
      </c>
      <c r="M123" s="166">
        <f t="shared" si="40"/>
        <v>696.96013502589858</v>
      </c>
      <c r="N123" s="166">
        <f t="shared" si="40"/>
        <v>823.44020070386932</v>
      </c>
    </row>
    <row r="124" spans="1:15">
      <c r="G124" s="166"/>
      <c r="H124" s="166"/>
      <c r="I124" s="166"/>
      <c r="J124" s="166"/>
      <c r="K124" s="166"/>
      <c r="L124" s="166"/>
      <c r="M124" s="166"/>
      <c r="N124" s="166"/>
    </row>
    <row r="125" spans="1:15">
      <c r="C125" s="7" t="s">
        <v>169</v>
      </c>
      <c r="G125" s="166"/>
      <c r="H125" s="166"/>
      <c r="I125" s="166"/>
      <c r="J125" s="166">
        <f>J119*$E$117</f>
        <v>144.46444308333287</v>
      </c>
      <c r="K125" s="166">
        <f t="shared" ref="K125:N125" si="41">K119*$E$117</f>
        <v>179.62087345999402</v>
      </c>
      <c r="L125" s="166">
        <f t="shared" si="41"/>
        <v>216.66195337556283</v>
      </c>
      <c r="M125" s="166">
        <f t="shared" si="41"/>
        <v>257.93604725906448</v>
      </c>
      <c r="N125" s="166">
        <f t="shared" si="41"/>
        <v>302.20407024635426</v>
      </c>
    </row>
    <row r="126" spans="1:15">
      <c r="G126" s="166"/>
      <c r="H126" s="166"/>
      <c r="I126" s="166"/>
      <c r="J126" s="166"/>
      <c r="K126" s="166"/>
      <c r="L126" s="166"/>
      <c r="M126" s="166"/>
      <c r="N126" s="166"/>
    </row>
    <row r="127" spans="1:15">
      <c r="B127" s="97" t="s">
        <v>170</v>
      </c>
      <c r="C127" s="98"/>
      <c r="D127" s="98"/>
      <c r="E127" s="98"/>
      <c r="F127" s="98"/>
      <c r="G127" s="214"/>
      <c r="H127" s="214"/>
      <c r="I127" s="214"/>
      <c r="J127" s="214">
        <f>J123*$E$117</f>
        <v>130.46444308333287</v>
      </c>
      <c r="K127" s="214">
        <f t="shared" ref="K127:N127" si="42">K123*$E$117</f>
        <v>165.62087345999402</v>
      </c>
      <c r="L127" s="214">
        <f t="shared" si="42"/>
        <v>202.66195337556283</v>
      </c>
      <c r="M127" s="214">
        <f t="shared" si="42"/>
        <v>243.93604725906448</v>
      </c>
      <c r="N127" s="215">
        <f t="shared" si="42"/>
        <v>288.20407024635426</v>
      </c>
    </row>
    <row r="128" spans="1:15">
      <c r="B128" s="102" t="s">
        <v>171</v>
      </c>
      <c r="C128" s="18"/>
      <c r="D128" s="18"/>
      <c r="E128" s="18"/>
      <c r="F128" s="18"/>
      <c r="G128" s="203"/>
      <c r="H128" s="203"/>
      <c r="I128" s="203"/>
      <c r="J128" s="203">
        <f>J125-J127</f>
        <v>14</v>
      </c>
      <c r="K128" s="203">
        <f t="shared" ref="K128:N128" si="43">K125-K127</f>
        <v>14</v>
      </c>
      <c r="L128" s="203">
        <f t="shared" si="43"/>
        <v>14</v>
      </c>
      <c r="M128" s="203">
        <f t="shared" si="43"/>
        <v>14</v>
      </c>
      <c r="N128" s="204">
        <f t="shared" si="43"/>
        <v>14</v>
      </c>
    </row>
    <row r="129" spans="1:15">
      <c r="B129" s="100" t="s">
        <v>172</v>
      </c>
      <c r="C129" s="42"/>
      <c r="D129" s="42"/>
      <c r="E129" s="42"/>
      <c r="F129" s="42"/>
      <c r="G129" s="205"/>
      <c r="H129" s="205"/>
      <c r="I129" s="205"/>
      <c r="J129" s="205">
        <f>SUM(J127:J128)</f>
        <v>144.46444308333287</v>
      </c>
      <c r="K129" s="205">
        <f t="shared" ref="K129:N129" si="44">SUM(K127:K128)</f>
        <v>179.62087345999402</v>
      </c>
      <c r="L129" s="205">
        <f t="shared" si="44"/>
        <v>216.66195337556283</v>
      </c>
      <c r="M129" s="205">
        <f t="shared" si="44"/>
        <v>257.93604725906448</v>
      </c>
      <c r="N129" s="206">
        <f t="shared" si="44"/>
        <v>302.20407024635426</v>
      </c>
    </row>
    <row r="133" spans="1:15">
      <c r="A133" s="6"/>
      <c r="B133" s="6"/>
      <c r="C133" s="6"/>
      <c r="D133" s="6"/>
      <c r="E133" s="6"/>
      <c r="L133" s="7" t="str">
        <f>UPPER("currently running: "&amp;TEXT(Scenarios!$E$9,"Base")&amp;" Scenario")</f>
        <v>CURRENTLY RUNNING: BASE SCENARIO</v>
      </c>
    </row>
    <row r="134" spans="1:15" ht="31.2">
      <c r="A134" s="6"/>
      <c r="B134" s="86" t="s">
        <v>187</v>
      </c>
      <c r="C134" s="8"/>
      <c r="D134" s="8"/>
      <c r="E134" s="8"/>
      <c r="F134" s="8"/>
      <c r="G134" s="8"/>
      <c r="H134" s="8"/>
      <c r="I134" s="8"/>
      <c r="J134" s="9"/>
      <c r="K134" s="10"/>
      <c r="L134" s="10"/>
      <c r="M134" s="10"/>
      <c r="N134" s="10"/>
    </row>
    <row r="135" spans="1:15" ht="19.5" customHeight="1">
      <c r="A135" s="6"/>
      <c r="B135" s="87" t="s">
        <v>173</v>
      </c>
      <c r="C135" s="11"/>
      <c r="D135" s="11"/>
      <c r="E135" s="11"/>
      <c r="F135" s="11"/>
      <c r="G135" s="11"/>
      <c r="H135" s="11"/>
      <c r="I135" s="11"/>
      <c r="J135" s="9"/>
      <c r="K135" s="10"/>
      <c r="L135" s="10"/>
      <c r="M135" s="10"/>
      <c r="N135" s="10"/>
    </row>
    <row r="136" spans="1:15" ht="6" customHeight="1" thickBot="1">
      <c r="A136" s="6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</row>
    <row r="137" spans="1:15">
      <c r="A137" s="6"/>
      <c r="B137" s="13" t="s">
        <v>60</v>
      </c>
      <c r="C137" s="6"/>
      <c r="D137" s="6"/>
      <c r="E137" s="6"/>
      <c r="F137" s="6"/>
      <c r="G137" s="6"/>
      <c r="H137" s="6"/>
      <c r="I137" s="6"/>
    </row>
    <row r="138" spans="1:15">
      <c r="A138" s="6"/>
      <c r="B138" s="6"/>
      <c r="C138" s="6"/>
      <c r="D138" s="6"/>
      <c r="E138" s="6"/>
      <c r="F138" s="14"/>
      <c r="G138" s="6"/>
      <c r="H138" s="6"/>
      <c r="I138" s="6"/>
    </row>
    <row r="139" spans="1:15">
      <c r="A139" s="6"/>
      <c r="B139" s="6"/>
      <c r="C139" s="6"/>
      <c r="D139" s="6"/>
      <c r="E139" s="6"/>
      <c r="F139" s="199">
        <v>2014</v>
      </c>
      <c r="G139" s="16">
        <v>2015</v>
      </c>
      <c r="H139" s="16">
        <f>G139+1</f>
        <v>2016</v>
      </c>
      <c r="I139" s="16">
        <f>H139+1</f>
        <v>2017</v>
      </c>
      <c r="J139" s="17">
        <f t="shared" ref="J139:N139" si="45">I139+1</f>
        <v>2018</v>
      </c>
      <c r="K139" s="17">
        <f t="shared" si="45"/>
        <v>2019</v>
      </c>
      <c r="L139" s="17">
        <f t="shared" si="45"/>
        <v>2020</v>
      </c>
      <c r="M139" s="17">
        <f t="shared" si="45"/>
        <v>2021</v>
      </c>
      <c r="N139" s="17">
        <f t="shared" si="45"/>
        <v>2022</v>
      </c>
      <c r="O139" s="16"/>
    </row>
    <row r="141" spans="1:15">
      <c r="B141" s="24" t="s">
        <v>107</v>
      </c>
    </row>
    <row r="142" spans="1:15">
      <c r="C142" s="7" t="s">
        <v>174</v>
      </c>
      <c r="E142" s="7" t="s">
        <v>91</v>
      </c>
      <c r="J142" s="79">
        <f>I144</f>
        <v>233.36799999999991</v>
      </c>
      <c r="K142" s="79">
        <f t="shared" ref="K142:N142" si="46">J144</f>
        <v>89.660173990010804</v>
      </c>
      <c r="L142" s="79">
        <f t="shared" si="46"/>
        <v>0</v>
      </c>
      <c r="M142" s="79">
        <f t="shared" si="46"/>
        <v>34.607187994296282</v>
      </c>
      <c r="N142" s="79">
        <f t="shared" si="46"/>
        <v>173.1712052273997</v>
      </c>
    </row>
    <row r="143" spans="1:15">
      <c r="C143" s="7" t="s">
        <v>175</v>
      </c>
      <c r="E143" s="7" t="s">
        <v>91</v>
      </c>
      <c r="J143" s="79">
        <f>J306</f>
        <v>-143.70782600998911</v>
      </c>
      <c r="K143" s="79">
        <f t="shared" ref="K143:N143" si="47">K306</f>
        <v>-89.66017399001089</v>
      </c>
      <c r="L143" s="79">
        <f t="shared" si="47"/>
        <v>34.607187994296282</v>
      </c>
      <c r="M143" s="79">
        <f t="shared" si="47"/>
        <v>138.56401723310341</v>
      </c>
      <c r="N143" s="79">
        <f t="shared" si="47"/>
        <v>218.15164540146782</v>
      </c>
    </row>
    <row r="144" spans="1:15">
      <c r="C144" s="7" t="s">
        <v>121</v>
      </c>
      <c r="E144" s="7" t="s">
        <v>91</v>
      </c>
      <c r="I144" s="168">
        <f>I320</f>
        <v>233.36799999999991</v>
      </c>
      <c r="J144" s="79">
        <f>SUM(J142:J143)</f>
        <v>89.660173990010804</v>
      </c>
      <c r="K144" s="79">
        <f t="shared" ref="K144:N144" si="48">SUM(K142:K143)</f>
        <v>0</v>
      </c>
      <c r="L144" s="79">
        <f t="shared" si="48"/>
        <v>34.607187994296282</v>
      </c>
      <c r="M144" s="79">
        <f t="shared" si="48"/>
        <v>173.1712052273997</v>
      </c>
      <c r="N144" s="79">
        <f t="shared" si="48"/>
        <v>391.32285062886751</v>
      </c>
    </row>
    <row r="146" spans="2:14">
      <c r="B146" s="7" t="s">
        <v>177</v>
      </c>
      <c r="E146" s="7" t="s">
        <v>101</v>
      </c>
      <c r="J146" s="174">
        <f>Assumptions!I56</f>
        <v>0.01</v>
      </c>
      <c r="K146" s="174">
        <f>Assumptions!J56</f>
        <v>0.01</v>
      </c>
      <c r="L146" s="174">
        <f>Assumptions!K56</f>
        <v>0.01</v>
      </c>
      <c r="M146" s="174">
        <f>Assumptions!L56</f>
        <v>0.01</v>
      </c>
      <c r="N146" s="174">
        <f>Assumptions!M56</f>
        <v>0.01</v>
      </c>
    </row>
    <row r="147" spans="2:14">
      <c r="B147" s="7" t="s">
        <v>176</v>
      </c>
      <c r="E147" s="7" t="s">
        <v>91</v>
      </c>
      <c r="J147" s="245">
        <f>J146*J142</f>
        <v>2.3336799999999993</v>
      </c>
      <c r="K147" s="245">
        <f t="shared" ref="K147:N147" si="49">K146*K142</f>
        <v>0.89660173990010805</v>
      </c>
      <c r="L147" s="245">
        <f t="shared" si="49"/>
        <v>0</v>
      </c>
      <c r="M147" s="245">
        <f t="shared" si="49"/>
        <v>0.34607187994296285</v>
      </c>
      <c r="N147" s="245">
        <f t="shared" si="49"/>
        <v>1.731712052273997</v>
      </c>
    </row>
    <row r="150" spans="2:14">
      <c r="B150" s="24" t="s">
        <v>178</v>
      </c>
    </row>
    <row r="151" spans="2:14">
      <c r="C151" s="7" t="s">
        <v>20</v>
      </c>
      <c r="G151" s="166">
        <f>G285</f>
        <v>214.8</v>
      </c>
      <c r="H151" s="166">
        <f t="shared" ref="H151:N151" si="50">H285</f>
        <v>374.79999999999995</v>
      </c>
      <c r="I151" s="166">
        <f t="shared" si="50"/>
        <v>360.1</v>
      </c>
      <c r="J151" s="166">
        <f t="shared" si="50"/>
        <v>373.77295113584404</v>
      </c>
      <c r="K151" s="166">
        <f t="shared" si="50"/>
        <v>430.02601841406022</v>
      </c>
      <c r="L151" s="166">
        <f t="shared" si="50"/>
        <v>516.00045090673382</v>
      </c>
      <c r="M151" s="166">
        <f t="shared" si="50"/>
        <v>609.36553917481194</v>
      </c>
      <c r="N151" s="166">
        <f t="shared" si="50"/>
        <v>709.50617801584656</v>
      </c>
    </row>
    <row r="152" spans="2:14">
      <c r="C152" s="7" t="s">
        <v>24</v>
      </c>
      <c r="G152" s="166">
        <f>G292</f>
        <v>-147.30000000000001</v>
      </c>
      <c r="H152" s="166">
        <f t="shared" ref="H152:N152" si="51">H292</f>
        <v>-166.6</v>
      </c>
      <c r="I152" s="166">
        <f t="shared" si="51"/>
        <v>-199</v>
      </c>
      <c r="J152" s="166">
        <f t="shared" si="51"/>
        <v>-225</v>
      </c>
      <c r="K152" s="166">
        <f t="shared" si="51"/>
        <v>-250</v>
      </c>
      <c r="L152" s="166">
        <f t="shared" si="51"/>
        <v>-275</v>
      </c>
      <c r="M152" s="166">
        <f t="shared" si="51"/>
        <v>-275</v>
      </c>
      <c r="N152" s="166">
        <f t="shared" si="51"/>
        <v>-275</v>
      </c>
    </row>
    <row r="153" spans="2:14">
      <c r="C153" s="7" t="s">
        <v>54</v>
      </c>
      <c r="G153" s="166">
        <f>G297</f>
        <v>0</v>
      </c>
      <c r="H153" s="166">
        <f t="shared" ref="H153:N153" si="52">H297</f>
        <v>0</v>
      </c>
      <c r="I153" s="166">
        <f t="shared" si="52"/>
        <v>0</v>
      </c>
      <c r="J153" s="166">
        <f t="shared" si="52"/>
        <v>-25</v>
      </c>
      <c r="K153" s="166">
        <f t="shared" si="52"/>
        <v>-25</v>
      </c>
      <c r="L153" s="166">
        <f t="shared" si="52"/>
        <v>-25</v>
      </c>
      <c r="M153" s="166">
        <f t="shared" si="52"/>
        <v>-25</v>
      </c>
      <c r="N153" s="166">
        <f t="shared" si="52"/>
        <v>-25</v>
      </c>
    </row>
    <row r="154" spans="2:14">
      <c r="C154" s="7" t="s">
        <v>55</v>
      </c>
      <c r="G154" s="166">
        <f t="shared" ref="G154:N159" si="53">G298</f>
        <v>-259.3</v>
      </c>
      <c r="H154" s="166">
        <f t="shared" si="53"/>
        <v>4.7</v>
      </c>
      <c r="I154" s="166">
        <f t="shared" si="53"/>
        <v>-10</v>
      </c>
      <c r="J154" s="166">
        <f t="shared" si="53"/>
        <v>-50</v>
      </c>
      <c r="K154" s="166">
        <f t="shared" si="53"/>
        <v>-50</v>
      </c>
      <c r="L154" s="166">
        <f t="shared" si="53"/>
        <v>-50</v>
      </c>
      <c r="M154" s="166">
        <f t="shared" si="53"/>
        <v>-50</v>
      </c>
      <c r="N154" s="166">
        <f t="shared" si="53"/>
        <v>-50</v>
      </c>
    </row>
    <row r="155" spans="2:14">
      <c r="C155" s="7" t="s">
        <v>61</v>
      </c>
      <c r="G155" s="166">
        <f t="shared" si="53"/>
        <v>0</v>
      </c>
      <c r="H155" s="166">
        <f t="shared" si="53"/>
        <v>0</v>
      </c>
      <c r="I155" s="166">
        <f t="shared" si="53"/>
        <v>0</v>
      </c>
      <c r="J155" s="166">
        <f t="shared" si="53"/>
        <v>0</v>
      </c>
      <c r="K155" s="166">
        <f t="shared" si="53"/>
        <v>10</v>
      </c>
      <c r="L155" s="166">
        <f t="shared" si="53"/>
        <v>0</v>
      </c>
      <c r="M155" s="166">
        <f t="shared" si="53"/>
        <v>0</v>
      </c>
      <c r="N155" s="166">
        <f t="shared" si="53"/>
        <v>0</v>
      </c>
    </row>
    <row r="156" spans="2:14">
      <c r="C156" s="7" t="s">
        <v>62</v>
      </c>
      <c r="G156" s="166">
        <f t="shared" si="53"/>
        <v>300.2</v>
      </c>
      <c r="H156" s="166">
        <f t="shared" si="53"/>
        <v>0.5</v>
      </c>
      <c r="I156" s="166">
        <f t="shared" si="53"/>
        <v>-94</v>
      </c>
      <c r="J156" s="166">
        <f t="shared" si="53"/>
        <v>-150</v>
      </c>
      <c r="K156" s="166">
        <f t="shared" si="53"/>
        <v>-150</v>
      </c>
      <c r="L156" s="166">
        <f t="shared" si="53"/>
        <v>0</v>
      </c>
      <c r="M156" s="166">
        <f t="shared" si="53"/>
        <v>0</v>
      </c>
      <c r="N156" s="166">
        <f t="shared" si="53"/>
        <v>0</v>
      </c>
    </row>
    <row r="157" spans="2:14">
      <c r="C157" s="7" t="s">
        <v>63</v>
      </c>
      <c r="G157" s="166">
        <f t="shared" si="53"/>
        <v>-0.54400000000000004</v>
      </c>
      <c r="H157" s="166">
        <f t="shared" si="53"/>
        <v>-0.54400000000000004</v>
      </c>
      <c r="I157" s="166">
        <f t="shared" si="53"/>
        <v>-0.54400000000000004</v>
      </c>
      <c r="J157" s="166">
        <f t="shared" si="53"/>
        <v>-0.54400000000000004</v>
      </c>
      <c r="K157" s="166">
        <f t="shared" si="53"/>
        <v>-1.3939999999999999</v>
      </c>
      <c r="L157" s="166">
        <f t="shared" si="53"/>
        <v>-1.3939999999999999</v>
      </c>
      <c r="M157" s="166">
        <f t="shared" si="53"/>
        <v>-1.3939999999999999</v>
      </c>
      <c r="N157" s="166">
        <f t="shared" si="53"/>
        <v>-1.3939999999999999</v>
      </c>
    </row>
    <row r="158" spans="2:14">
      <c r="C158" s="7" t="s">
        <v>64</v>
      </c>
      <c r="G158" s="166">
        <f t="shared" si="53"/>
        <v>-483</v>
      </c>
      <c r="H158" s="166">
        <f t="shared" si="53"/>
        <v>0</v>
      </c>
      <c r="I158" s="166">
        <f t="shared" si="53"/>
        <v>0</v>
      </c>
      <c r="J158" s="166">
        <f t="shared" si="53"/>
        <v>-66.936777145833119</v>
      </c>
      <c r="K158" s="166">
        <f t="shared" si="53"/>
        <v>-83.046905534997236</v>
      </c>
      <c r="L158" s="166">
        <f t="shared" si="53"/>
        <v>-100.24454978151132</v>
      </c>
      <c r="M158" s="166">
        <f t="shared" si="53"/>
        <v>-119.40752194170852</v>
      </c>
      <c r="N158" s="166">
        <f t="shared" si="53"/>
        <v>-139.96053261437876</v>
      </c>
    </row>
    <row r="159" spans="2:14">
      <c r="C159" s="7" t="s">
        <v>32</v>
      </c>
      <c r="G159" s="166">
        <f t="shared" si="53"/>
        <v>-102.70000000000002</v>
      </c>
      <c r="H159" s="166">
        <f t="shared" si="53"/>
        <v>-46.3</v>
      </c>
      <c r="I159" s="166">
        <f t="shared" si="53"/>
        <v>-54.1</v>
      </c>
      <c r="J159" s="166">
        <f t="shared" si="53"/>
        <v>0</v>
      </c>
      <c r="K159" s="166">
        <f t="shared" si="53"/>
        <v>0</v>
      </c>
      <c r="L159" s="166">
        <f t="shared" si="53"/>
        <v>0</v>
      </c>
      <c r="M159" s="166">
        <f t="shared" si="53"/>
        <v>0</v>
      </c>
      <c r="N159" s="166">
        <f t="shared" si="53"/>
        <v>0</v>
      </c>
    </row>
    <row r="160" spans="2:14" s="24" customFormat="1" ht="13.8" thickBot="1">
      <c r="C160" s="179" t="s">
        <v>179</v>
      </c>
      <c r="D160" s="179"/>
      <c r="E160" s="179"/>
      <c r="F160" s="179"/>
      <c r="G160" s="188">
        <f>SUM(G151:G159)</f>
        <v>-477.84400000000005</v>
      </c>
      <c r="H160" s="188">
        <f t="shared" ref="H160:N160" si="54">SUM(H151:H159)</f>
        <v>166.55599999999993</v>
      </c>
      <c r="I160" s="188">
        <f t="shared" si="54"/>
        <v>2.4560000000000244</v>
      </c>
      <c r="J160" s="188">
        <f t="shared" si="54"/>
        <v>-143.70782600998908</v>
      </c>
      <c r="K160" s="188">
        <f t="shared" si="54"/>
        <v>-119.41488712093701</v>
      </c>
      <c r="L160" s="188">
        <f t="shared" si="54"/>
        <v>64.361901125222488</v>
      </c>
      <c r="M160" s="188">
        <f t="shared" si="54"/>
        <v>138.56401723310341</v>
      </c>
      <c r="N160" s="188">
        <f t="shared" si="54"/>
        <v>218.15164540146779</v>
      </c>
    </row>
    <row r="161" spans="2:14" ht="13.8" thickTop="1"/>
    <row r="163" spans="2:14">
      <c r="C163" s="7" t="s">
        <v>174</v>
      </c>
      <c r="J163" s="79">
        <f>I165</f>
        <v>0</v>
      </c>
      <c r="K163" s="79">
        <f t="shared" ref="K163:N163" si="55">J165</f>
        <v>0</v>
      </c>
      <c r="L163" s="79">
        <f t="shared" si="55"/>
        <v>29.754713130926206</v>
      </c>
      <c r="M163" s="79">
        <f t="shared" si="55"/>
        <v>0</v>
      </c>
      <c r="N163" s="79">
        <f t="shared" si="55"/>
        <v>0</v>
      </c>
    </row>
    <row r="164" spans="2:14">
      <c r="C164" s="7" t="s">
        <v>175</v>
      </c>
      <c r="J164" s="79">
        <f>-MIN((J160+J142),J163)</f>
        <v>0</v>
      </c>
      <c r="K164" s="79">
        <f t="shared" ref="K164:N164" si="56">-MIN((K160+K142),K163)</f>
        <v>29.754713130926206</v>
      </c>
      <c r="L164" s="79">
        <f t="shared" si="56"/>
        <v>-29.754713130926206</v>
      </c>
      <c r="M164" s="79">
        <f t="shared" si="56"/>
        <v>0</v>
      </c>
      <c r="N164" s="79">
        <f t="shared" si="56"/>
        <v>0</v>
      </c>
    </row>
    <row r="165" spans="2:14">
      <c r="C165" s="7" t="s">
        <v>121</v>
      </c>
      <c r="I165" s="168">
        <f>I336</f>
        <v>0</v>
      </c>
      <c r="J165" s="79">
        <f>SUM(J163:J164)</f>
        <v>0</v>
      </c>
      <c r="K165" s="79">
        <f t="shared" ref="K165:N165" si="57">SUM(K163:K164)</f>
        <v>29.754713130926206</v>
      </c>
      <c r="L165" s="79">
        <f t="shared" si="57"/>
        <v>0</v>
      </c>
      <c r="M165" s="79">
        <f t="shared" si="57"/>
        <v>0</v>
      </c>
      <c r="N165" s="79">
        <f t="shared" si="57"/>
        <v>0</v>
      </c>
    </row>
    <row r="167" spans="2:14">
      <c r="B167" s="7" t="s">
        <v>177</v>
      </c>
      <c r="J167" s="174">
        <f>Assumptions!I57</f>
        <v>5.2499999999999998E-2</v>
      </c>
      <c r="K167" s="174">
        <f>Assumptions!J57</f>
        <v>5.2499999999999998E-2</v>
      </c>
      <c r="L167" s="174">
        <f>Assumptions!K57</f>
        <v>5.2499999999999998E-2</v>
      </c>
      <c r="M167" s="174">
        <f>Assumptions!L57</f>
        <v>5.2499999999999998E-2</v>
      </c>
      <c r="N167" s="174">
        <f>Assumptions!M57</f>
        <v>5.2499999999999998E-2</v>
      </c>
    </row>
    <row r="168" spans="2:14">
      <c r="B168" s="7" t="s">
        <v>183</v>
      </c>
      <c r="J168" s="200">
        <f>J167*J163</f>
        <v>0</v>
      </c>
      <c r="K168" s="200">
        <f t="shared" ref="K168:N168" si="58">K167*K163</f>
        <v>0</v>
      </c>
      <c r="L168" s="200">
        <f t="shared" si="58"/>
        <v>1.5621224393736257</v>
      </c>
      <c r="M168" s="200">
        <f t="shared" si="58"/>
        <v>0</v>
      </c>
      <c r="N168" s="200">
        <f t="shared" si="58"/>
        <v>0</v>
      </c>
    </row>
    <row r="171" spans="2:14">
      <c r="B171" s="24" t="s">
        <v>52</v>
      </c>
    </row>
    <row r="172" spans="2:14">
      <c r="C172" s="7" t="s">
        <v>174</v>
      </c>
      <c r="J172" s="79">
        <f>I174</f>
        <v>250</v>
      </c>
      <c r="K172" s="79">
        <f t="shared" ref="K172:N172" si="59">J174</f>
        <v>225</v>
      </c>
      <c r="L172" s="79">
        <f t="shared" si="59"/>
        <v>200</v>
      </c>
      <c r="M172" s="79">
        <f t="shared" si="59"/>
        <v>175</v>
      </c>
      <c r="N172" s="79">
        <f t="shared" si="59"/>
        <v>150</v>
      </c>
    </row>
    <row r="173" spans="2:14">
      <c r="C173" s="7" t="s">
        <v>175</v>
      </c>
      <c r="J173" s="246">
        <f>-Assumptions!I64</f>
        <v>-25</v>
      </c>
      <c r="K173" s="246">
        <f>-Assumptions!J64</f>
        <v>-25</v>
      </c>
      <c r="L173" s="246">
        <f>-Assumptions!K64</f>
        <v>-25</v>
      </c>
      <c r="M173" s="246">
        <f>-Assumptions!L64</f>
        <v>-25</v>
      </c>
      <c r="N173" s="246">
        <f>-Assumptions!M64</f>
        <v>-25</v>
      </c>
    </row>
    <row r="174" spans="2:14">
      <c r="C174" s="7" t="s">
        <v>121</v>
      </c>
      <c r="I174" s="168">
        <f>I341</f>
        <v>250</v>
      </c>
      <c r="J174" s="79">
        <f>SUM(J172:J173)</f>
        <v>225</v>
      </c>
      <c r="K174" s="79">
        <f t="shared" ref="K174:N174" si="60">SUM(K172:K173)</f>
        <v>200</v>
      </c>
      <c r="L174" s="79">
        <f t="shared" si="60"/>
        <v>175</v>
      </c>
      <c r="M174" s="79">
        <f t="shared" si="60"/>
        <v>150</v>
      </c>
      <c r="N174" s="79">
        <f t="shared" si="60"/>
        <v>125</v>
      </c>
    </row>
    <row r="176" spans="2:14">
      <c r="B176" s="7" t="s">
        <v>177</v>
      </c>
      <c r="J176" s="174">
        <f>Assumptions!I61</f>
        <v>3.3500000000000002E-2</v>
      </c>
      <c r="K176" s="174">
        <f>Assumptions!J61</f>
        <v>3.3500000000000002E-2</v>
      </c>
      <c r="L176" s="174">
        <f>Assumptions!K61</f>
        <v>3.3500000000000002E-2</v>
      </c>
      <c r="M176" s="174">
        <f>Assumptions!L61</f>
        <v>3.3500000000000002E-2</v>
      </c>
      <c r="N176" s="174">
        <f>Assumptions!M61</f>
        <v>3.3500000000000002E-2</v>
      </c>
    </row>
    <row r="177" spans="1:14">
      <c r="B177" s="7" t="s">
        <v>183</v>
      </c>
      <c r="J177" s="200">
        <f>J176*J172</f>
        <v>8.375</v>
      </c>
      <c r="K177" s="200">
        <f t="shared" ref="K177:N177" si="61">K176*K172</f>
        <v>7.5375000000000005</v>
      </c>
      <c r="L177" s="200">
        <f t="shared" si="61"/>
        <v>6.7</v>
      </c>
      <c r="M177" s="200">
        <f t="shared" si="61"/>
        <v>5.8625000000000007</v>
      </c>
      <c r="N177" s="200">
        <f t="shared" si="61"/>
        <v>5.0250000000000004</v>
      </c>
    </row>
    <row r="180" spans="1:14">
      <c r="B180" s="24" t="s">
        <v>53</v>
      </c>
    </row>
    <row r="181" spans="1:14">
      <c r="C181" s="7" t="s">
        <v>174</v>
      </c>
      <c r="J181" s="79">
        <f>I183</f>
        <v>896.59999999999991</v>
      </c>
      <c r="K181" s="79">
        <f t="shared" ref="K181:N181" si="62">J183</f>
        <v>846.59999999999991</v>
      </c>
      <c r="L181" s="79">
        <f t="shared" si="62"/>
        <v>796.59999999999991</v>
      </c>
      <c r="M181" s="79">
        <f t="shared" si="62"/>
        <v>746.59999999999991</v>
      </c>
      <c r="N181" s="79">
        <f t="shared" si="62"/>
        <v>696.59999999999991</v>
      </c>
    </row>
    <row r="182" spans="1:14">
      <c r="C182" s="7" t="s">
        <v>175</v>
      </c>
      <c r="J182" s="246">
        <f>-Assumptions!I65</f>
        <v>-50</v>
      </c>
      <c r="K182" s="246">
        <f>-Assumptions!J65</f>
        <v>-50</v>
      </c>
      <c r="L182" s="246">
        <f>-Assumptions!K65</f>
        <v>-50</v>
      </c>
      <c r="M182" s="246">
        <f>-Assumptions!L65</f>
        <v>-50</v>
      </c>
      <c r="N182" s="246">
        <f>-Assumptions!M65</f>
        <v>-50</v>
      </c>
    </row>
    <row r="183" spans="1:14">
      <c r="C183" s="7" t="s">
        <v>121</v>
      </c>
      <c r="I183" s="168">
        <f>I342</f>
        <v>896.59999999999991</v>
      </c>
      <c r="J183" s="79">
        <f>SUM(J181:J182)</f>
        <v>846.59999999999991</v>
      </c>
      <c r="K183" s="79">
        <f t="shared" ref="K183:N183" si="63">SUM(K181:K182)</f>
        <v>796.59999999999991</v>
      </c>
      <c r="L183" s="79">
        <f t="shared" si="63"/>
        <v>746.59999999999991</v>
      </c>
      <c r="M183" s="79">
        <f t="shared" si="63"/>
        <v>696.59999999999991</v>
      </c>
      <c r="N183" s="79">
        <f t="shared" si="63"/>
        <v>646.59999999999991</v>
      </c>
    </row>
    <row r="185" spans="1:14">
      <c r="B185" s="7" t="s">
        <v>177</v>
      </c>
      <c r="J185" s="174">
        <f>Assumptions!I62</f>
        <v>5.2499999999999998E-2</v>
      </c>
      <c r="K185" s="174">
        <f>Assumptions!J62</f>
        <v>5.2499999999999998E-2</v>
      </c>
      <c r="L185" s="174">
        <f>Assumptions!K62</f>
        <v>5.2499999999999998E-2</v>
      </c>
      <c r="M185" s="174">
        <f>Assumptions!L62</f>
        <v>5.2499999999999998E-2</v>
      </c>
      <c r="N185" s="174">
        <f>Assumptions!M62</f>
        <v>5.2499999999999998E-2</v>
      </c>
    </row>
    <row r="186" spans="1:14">
      <c r="B186" s="7" t="s">
        <v>183</v>
      </c>
      <c r="J186" s="79">
        <f>J185*J181</f>
        <v>47.071499999999993</v>
      </c>
      <c r="K186" s="79">
        <f t="shared" ref="K186:N186" si="64">K185*K181</f>
        <v>44.446499999999993</v>
      </c>
      <c r="L186" s="79">
        <f t="shared" si="64"/>
        <v>41.821499999999993</v>
      </c>
      <c r="M186" s="79">
        <f t="shared" si="64"/>
        <v>39.196499999999993</v>
      </c>
      <c r="N186" s="79">
        <f t="shared" si="64"/>
        <v>36.571499999999993</v>
      </c>
    </row>
    <row r="188" spans="1:14" ht="13.8" thickBot="1">
      <c r="B188" s="247" t="s">
        <v>184</v>
      </c>
      <c r="C188" s="179"/>
      <c r="D188" s="179"/>
      <c r="E188" s="179"/>
      <c r="F188" s="179"/>
      <c r="G188" s="179"/>
      <c r="H188" s="179"/>
      <c r="I188" s="179"/>
      <c r="J188" s="248">
        <f>J147-J168-J177-J186</f>
        <v>-53.112819999999992</v>
      </c>
      <c r="K188" s="248">
        <f t="shared" ref="K188:N188" si="65">K147-K168-K177-K186</f>
        <v>-51.087398260099889</v>
      </c>
      <c r="L188" s="248">
        <f t="shared" si="65"/>
        <v>-50.08362243937362</v>
      </c>
      <c r="M188" s="248">
        <f t="shared" si="65"/>
        <v>-44.712928120057029</v>
      </c>
      <c r="N188" s="249">
        <f t="shared" si="65"/>
        <v>-39.864787947725993</v>
      </c>
    </row>
    <row r="189" spans="1:14" ht="13.8" thickTop="1"/>
    <row r="192" spans="1:14">
      <c r="A192" s="6"/>
      <c r="B192" s="6"/>
      <c r="C192" s="6"/>
      <c r="D192" s="6"/>
      <c r="E192" s="6"/>
      <c r="L192" s="7" t="str">
        <f>UPPER("currently running: "&amp;TEXT(Scenarios!$E$9,"Base")&amp;" Scenario")</f>
        <v>CURRENTLY RUNNING: BASE SCENARIO</v>
      </c>
    </row>
    <row r="193" spans="1:15" ht="31.2">
      <c r="A193" s="6"/>
      <c r="B193" s="86" t="s">
        <v>187</v>
      </c>
      <c r="C193" s="8"/>
      <c r="D193" s="8"/>
      <c r="E193" s="8"/>
      <c r="F193" s="8"/>
      <c r="G193" s="8"/>
      <c r="H193" s="8"/>
      <c r="I193" s="8"/>
      <c r="J193" s="9"/>
      <c r="K193" s="10"/>
      <c r="L193" s="10"/>
      <c r="M193" s="10"/>
      <c r="N193" s="10"/>
    </row>
    <row r="194" spans="1:15" ht="19.5" customHeight="1">
      <c r="A194" s="6"/>
      <c r="B194" s="87" t="s">
        <v>185</v>
      </c>
      <c r="C194" s="11"/>
      <c r="D194" s="11"/>
      <c r="E194" s="11"/>
      <c r="F194" s="11"/>
      <c r="G194" s="11"/>
      <c r="H194" s="11"/>
      <c r="I194" s="11"/>
      <c r="J194" s="9"/>
      <c r="K194" s="10"/>
      <c r="L194" s="10"/>
      <c r="M194" s="10"/>
      <c r="N194" s="10"/>
    </row>
    <row r="195" spans="1:15" ht="6" customHeight="1" thickBot="1">
      <c r="A195" s="6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</row>
    <row r="196" spans="1:15">
      <c r="A196" s="6"/>
      <c r="B196" s="13" t="s">
        <v>60</v>
      </c>
      <c r="C196" s="6"/>
      <c r="D196" s="6"/>
      <c r="E196" s="6"/>
      <c r="F196" s="6"/>
      <c r="G196" s="6"/>
      <c r="H196" s="6"/>
      <c r="I196" s="6"/>
    </row>
    <row r="197" spans="1:15">
      <c r="A197" s="6"/>
      <c r="B197" s="6"/>
      <c r="C197" s="6"/>
      <c r="D197" s="6"/>
      <c r="E197" s="6"/>
      <c r="F197" s="14"/>
      <c r="G197" s="6"/>
      <c r="H197" s="6"/>
      <c r="I197" s="6"/>
    </row>
    <row r="198" spans="1:15">
      <c r="A198" s="6"/>
      <c r="B198" s="6"/>
      <c r="C198" s="6"/>
      <c r="D198" s="6"/>
      <c r="E198" s="6"/>
      <c r="F198" s="199">
        <v>2014</v>
      </c>
      <c r="G198" s="16">
        <v>2015</v>
      </c>
      <c r="H198" s="16">
        <f>G198+1</f>
        <v>2016</v>
      </c>
      <c r="I198" s="16">
        <f>H198+1</f>
        <v>2017</v>
      </c>
      <c r="J198" s="17">
        <f t="shared" ref="J198:N198" si="66">I198+1</f>
        <v>2018</v>
      </c>
      <c r="K198" s="17">
        <f t="shared" si="66"/>
        <v>2019</v>
      </c>
      <c r="L198" s="17">
        <f t="shared" si="66"/>
        <v>2020</v>
      </c>
      <c r="M198" s="17">
        <f t="shared" si="66"/>
        <v>2021</v>
      </c>
      <c r="N198" s="17">
        <f t="shared" si="66"/>
        <v>2022</v>
      </c>
      <c r="O198" s="16"/>
    </row>
    <row r="200" spans="1:15">
      <c r="C200" s="24" t="s">
        <v>58</v>
      </c>
    </row>
    <row r="201" spans="1:15">
      <c r="D201" s="7" t="s">
        <v>174</v>
      </c>
      <c r="J201" s="79">
        <f>I204</f>
        <v>6.4</v>
      </c>
      <c r="K201" s="79">
        <f t="shared" ref="K201:N201" si="67">J204</f>
        <v>6.4</v>
      </c>
      <c r="L201" s="79">
        <f t="shared" si="67"/>
        <v>16.399999999999999</v>
      </c>
      <c r="M201" s="79">
        <f t="shared" si="67"/>
        <v>16.399999999999999</v>
      </c>
      <c r="N201" s="79">
        <f t="shared" si="67"/>
        <v>16.399999999999999</v>
      </c>
    </row>
    <row r="202" spans="1:15">
      <c r="D202" s="18" t="s">
        <v>113</v>
      </c>
      <c r="J202" s="246">
        <f>Assumptions!I68</f>
        <v>0</v>
      </c>
      <c r="K202" s="246">
        <f>Assumptions!J68</f>
        <v>10</v>
      </c>
      <c r="L202" s="246">
        <f>Assumptions!K68</f>
        <v>0</v>
      </c>
      <c r="M202" s="246">
        <f>Assumptions!L68</f>
        <v>0</v>
      </c>
      <c r="N202" s="246">
        <f>Assumptions!M68</f>
        <v>0</v>
      </c>
    </row>
    <row r="203" spans="1:15">
      <c r="D203" s="18" t="s">
        <v>114</v>
      </c>
      <c r="J203" s="246">
        <f>-Assumptions!I69</f>
        <v>0</v>
      </c>
      <c r="K203" s="246">
        <f>Assumptions!J69</f>
        <v>0</v>
      </c>
      <c r="L203" s="246">
        <f>Assumptions!K69</f>
        <v>0</v>
      </c>
      <c r="M203" s="246">
        <f>Assumptions!L69</f>
        <v>0</v>
      </c>
      <c r="N203" s="246">
        <f>Assumptions!M69</f>
        <v>0</v>
      </c>
    </row>
    <row r="204" spans="1:15">
      <c r="D204" s="7" t="s">
        <v>121</v>
      </c>
      <c r="I204" s="168">
        <f>I349</f>
        <v>6.4</v>
      </c>
      <c r="J204" s="79">
        <f>SUM(J201:J203)</f>
        <v>6.4</v>
      </c>
      <c r="K204" s="79">
        <f t="shared" ref="K204:N204" si="68">SUM(K201:K203)</f>
        <v>16.399999999999999</v>
      </c>
      <c r="L204" s="79">
        <f t="shared" si="68"/>
        <v>16.399999999999999</v>
      </c>
      <c r="M204" s="79">
        <f t="shared" si="68"/>
        <v>16.399999999999999</v>
      </c>
      <c r="N204" s="79">
        <f t="shared" si="68"/>
        <v>16.399999999999999</v>
      </c>
    </row>
    <row r="207" spans="1:15">
      <c r="D207" s="18" t="s">
        <v>115</v>
      </c>
      <c r="J207" s="174">
        <f>Assumptions!I70</f>
        <v>8.5000000000000006E-2</v>
      </c>
      <c r="K207" s="174">
        <f>Assumptions!J70</f>
        <v>8.5000000000000006E-2</v>
      </c>
      <c r="L207" s="174">
        <f>Assumptions!K70</f>
        <v>8.5000000000000006E-2</v>
      </c>
      <c r="M207" s="174">
        <f>Assumptions!L70</f>
        <v>8.5000000000000006E-2</v>
      </c>
      <c r="N207" s="174">
        <f>Assumptions!M70</f>
        <v>8.5000000000000006E-2</v>
      </c>
    </row>
    <row r="208" spans="1:15">
      <c r="D208" s="7" t="s">
        <v>63</v>
      </c>
      <c r="J208" s="79">
        <f>J207*J204</f>
        <v>0.54400000000000004</v>
      </c>
      <c r="K208" s="79">
        <f t="shared" ref="K208:N208" si="69">K207*K204</f>
        <v>1.3939999999999999</v>
      </c>
      <c r="L208" s="79">
        <f t="shared" si="69"/>
        <v>1.3939999999999999</v>
      </c>
      <c r="M208" s="79">
        <f t="shared" si="69"/>
        <v>1.3939999999999999</v>
      </c>
      <c r="N208" s="79">
        <f t="shared" si="69"/>
        <v>1.3939999999999999</v>
      </c>
    </row>
    <row r="210" spans="3:14">
      <c r="C210" s="24" t="s">
        <v>59</v>
      </c>
    </row>
    <row r="211" spans="3:14">
      <c r="D211" s="7" t="s">
        <v>174</v>
      </c>
      <c r="J211" s="79">
        <f>I214</f>
        <v>346.40000000000003</v>
      </c>
      <c r="K211" s="79">
        <f t="shared" ref="K211:N211" si="70">J214</f>
        <v>196.40000000000003</v>
      </c>
      <c r="L211" s="79">
        <f t="shared" si="70"/>
        <v>46.400000000000034</v>
      </c>
      <c r="M211" s="79">
        <f t="shared" si="70"/>
        <v>46.400000000000034</v>
      </c>
      <c r="N211" s="79">
        <f t="shared" si="70"/>
        <v>46.400000000000034</v>
      </c>
    </row>
    <row r="212" spans="3:14">
      <c r="D212" s="18" t="s">
        <v>113</v>
      </c>
      <c r="J212" s="246">
        <f>Assumptions!I72</f>
        <v>0</v>
      </c>
      <c r="K212" s="246">
        <f>Assumptions!J72</f>
        <v>0</v>
      </c>
      <c r="L212" s="246">
        <f>Assumptions!K72</f>
        <v>0</v>
      </c>
      <c r="M212" s="246">
        <f>Assumptions!L72</f>
        <v>0</v>
      </c>
      <c r="N212" s="246">
        <f>Assumptions!M72</f>
        <v>0</v>
      </c>
    </row>
    <row r="213" spans="3:14">
      <c r="D213" s="18" t="s">
        <v>114</v>
      </c>
      <c r="J213" s="246">
        <f>-Assumptions!I73</f>
        <v>-150</v>
      </c>
      <c r="K213" s="246">
        <f>-Assumptions!J73</f>
        <v>-150</v>
      </c>
      <c r="L213" s="246">
        <f>-Assumptions!K73</f>
        <v>0</v>
      </c>
      <c r="M213" s="246">
        <f>-Assumptions!L73</f>
        <v>0</v>
      </c>
      <c r="N213" s="246">
        <f>-Assumptions!M73</f>
        <v>0</v>
      </c>
    </row>
    <row r="214" spans="3:14">
      <c r="D214" s="7" t="s">
        <v>121</v>
      </c>
      <c r="I214" s="168">
        <f>I350</f>
        <v>346.40000000000003</v>
      </c>
      <c r="J214" s="79">
        <f>SUM(J211:J213)</f>
        <v>196.40000000000003</v>
      </c>
      <c r="K214" s="79">
        <f t="shared" ref="K214:N214" si="71">SUM(K211:K213)</f>
        <v>46.400000000000034</v>
      </c>
      <c r="L214" s="79">
        <f t="shared" si="71"/>
        <v>46.400000000000034</v>
      </c>
      <c r="M214" s="79">
        <f t="shared" si="71"/>
        <v>46.400000000000034</v>
      </c>
      <c r="N214" s="79">
        <f t="shared" si="71"/>
        <v>46.400000000000034</v>
      </c>
    </row>
    <row r="217" spans="3:14">
      <c r="D217" s="18" t="s">
        <v>115</v>
      </c>
      <c r="J217" s="173">
        <f>Assumptions!I74</f>
        <v>0.25</v>
      </c>
      <c r="K217" s="173">
        <f>Assumptions!J74</f>
        <v>0.25</v>
      </c>
      <c r="L217" s="173">
        <f>Assumptions!K74</f>
        <v>0.25</v>
      </c>
      <c r="M217" s="173">
        <f>Assumptions!L74</f>
        <v>0.25</v>
      </c>
      <c r="N217" s="173">
        <f>Assumptions!M74</f>
        <v>0.25</v>
      </c>
    </row>
    <row r="218" spans="3:14">
      <c r="D218" s="40" t="s">
        <v>57</v>
      </c>
      <c r="J218" s="79">
        <f>J267</f>
        <v>267.74710858333248</v>
      </c>
      <c r="K218" s="79">
        <f t="shared" ref="K218:N218" si="72">K267</f>
        <v>332.18762213998895</v>
      </c>
      <c r="L218" s="79">
        <f t="shared" si="72"/>
        <v>400.9781991260453</v>
      </c>
      <c r="M218" s="79">
        <f t="shared" si="72"/>
        <v>477.63008776683409</v>
      </c>
      <c r="N218" s="79">
        <f t="shared" si="72"/>
        <v>559.84213045751505</v>
      </c>
    </row>
    <row r="219" spans="3:14">
      <c r="D219" s="7" t="s">
        <v>64</v>
      </c>
      <c r="J219" s="79">
        <f>J217*J218</f>
        <v>66.936777145833119</v>
      </c>
      <c r="K219" s="79">
        <f t="shared" ref="K219:N219" si="73">K217*K218</f>
        <v>83.046905534997236</v>
      </c>
      <c r="L219" s="79">
        <f t="shared" si="73"/>
        <v>100.24454978151132</v>
      </c>
      <c r="M219" s="79">
        <f t="shared" si="73"/>
        <v>119.40752194170852</v>
      </c>
      <c r="N219" s="79">
        <f t="shared" si="73"/>
        <v>139.96053261437876</v>
      </c>
    </row>
    <row r="221" spans="3:14">
      <c r="D221" s="24" t="s">
        <v>186</v>
      </c>
      <c r="J221" s="251">
        <f>J208+J219</f>
        <v>67.480777145833116</v>
      </c>
      <c r="K221" s="251">
        <f t="shared" ref="K221:N221" si="74">K208+K219</f>
        <v>84.440905534997242</v>
      </c>
      <c r="L221" s="251">
        <f t="shared" si="74"/>
        <v>101.63854978151133</v>
      </c>
      <c r="M221" s="251">
        <f t="shared" si="74"/>
        <v>120.80152194170853</v>
      </c>
      <c r="N221" s="251">
        <f t="shared" si="74"/>
        <v>141.35453261437877</v>
      </c>
    </row>
    <row r="224" spans="3:14">
      <c r="C224" s="24" t="s">
        <v>45</v>
      </c>
    </row>
    <row r="225" spans="1:15">
      <c r="D225" s="7" t="s">
        <v>174</v>
      </c>
      <c r="J225" s="79">
        <f>I228</f>
        <v>-395.23199999999997</v>
      </c>
      <c r="K225" s="79">
        <f t="shared" ref="K225:N225" si="75">J228</f>
        <v>-194.4216685625006</v>
      </c>
      <c r="L225" s="79">
        <f t="shared" si="75"/>
        <v>54.71904804249111</v>
      </c>
      <c r="M225" s="79">
        <f t="shared" si="75"/>
        <v>355.45269738702507</v>
      </c>
      <c r="N225" s="79">
        <f t="shared" si="75"/>
        <v>713.67526321215064</v>
      </c>
    </row>
    <row r="226" spans="1:15">
      <c r="D226" s="40" t="s">
        <v>57</v>
      </c>
      <c r="J226" s="79">
        <f>J218</f>
        <v>267.74710858333248</v>
      </c>
      <c r="K226" s="79">
        <f t="shared" ref="K226:N226" si="76">K218</f>
        <v>332.18762213998895</v>
      </c>
      <c r="L226" s="79">
        <f t="shared" si="76"/>
        <v>400.9781991260453</v>
      </c>
      <c r="M226" s="79">
        <f t="shared" si="76"/>
        <v>477.63008776683409</v>
      </c>
      <c r="N226" s="79">
        <f t="shared" si="76"/>
        <v>559.84213045751505</v>
      </c>
    </row>
    <row r="227" spans="1:15">
      <c r="D227" s="263" t="s">
        <v>64</v>
      </c>
      <c r="J227" s="79">
        <f>-J219</f>
        <v>-66.936777145833119</v>
      </c>
      <c r="K227" s="79">
        <f t="shared" ref="K227:N227" si="77">-K219</f>
        <v>-83.046905534997236</v>
      </c>
      <c r="L227" s="79">
        <f t="shared" si="77"/>
        <v>-100.24454978151132</v>
      </c>
      <c r="M227" s="79">
        <f t="shared" si="77"/>
        <v>-119.40752194170852</v>
      </c>
      <c r="N227" s="79">
        <f t="shared" si="77"/>
        <v>-139.96053261437876</v>
      </c>
    </row>
    <row r="228" spans="1:15">
      <c r="D228" s="7" t="s">
        <v>121</v>
      </c>
      <c r="I228" s="168">
        <f>I351</f>
        <v>-395.23199999999997</v>
      </c>
      <c r="J228" s="79">
        <f>SUM(J225:J227)</f>
        <v>-194.4216685625006</v>
      </c>
      <c r="K228" s="79">
        <f t="shared" ref="K228:N228" si="78">SUM(K225:K227)</f>
        <v>54.71904804249111</v>
      </c>
      <c r="L228" s="79">
        <f t="shared" si="78"/>
        <v>355.45269738702507</v>
      </c>
      <c r="M228" s="79">
        <f t="shared" si="78"/>
        <v>713.67526321215064</v>
      </c>
      <c r="N228" s="79">
        <f t="shared" si="78"/>
        <v>1133.5568610552868</v>
      </c>
    </row>
    <row r="232" spans="1:15">
      <c r="A232" s="6"/>
      <c r="B232" s="6"/>
      <c r="C232" s="6"/>
      <c r="D232" s="6"/>
      <c r="E232" s="6"/>
      <c r="L232" s="7" t="str">
        <f>UPPER("currently running: "&amp;TEXT(Scenarios!$E$9,"Base")&amp;" Scenario")</f>
        <v>CURRENTLY RUNNING: BASE SCENARIO</v>
      </c>
    </row>
    <row r="233" spans="1:15" ht="31.2">
      <c r="A233" s="6"/>
      <c r="B233" s="86" t="s">
        <v>187</v>
      </c>
      <c r="C233" s="8"/>
      <c r="D233" s="8"/>
      <c r="E233" s="8"/>
      <c r="F233" s="8"/>
      <c r="G233" s="8"/>
      <c r="H233" s="8"/>
      <c r="I233" s="8"/>
      <c r="J233" s="9"/>
      <c r="K233" s="10"/>
      <c r="L233" s="10"/>
      <c r="M233" s="10"/>
      <c r="N233" s="10"/>
    </row>
    <row r="234" spans="1:15" ht="19.5" customHeight="1">
      <c r="A234" s="6"/>
      <c r="B234" s="87" t="s">
        <v>0</v>
      </c>
      <c r="C234" s="11"/>
      <c r="D234" s="11"/>
      <c r="E234" s="11"/>
      <c r="F234" s="11"/>
      <c r="G234" s="11"/>
      <c r="H234" s="11"/>
      <c r="I234" s="11"/>
      <c r="J234" s="9"/>
      <c r="K234" s="10"/>
      <c r="L234" s="10"/>
      <c r="M234" s="10"/>
      <c r="N234" s="10"/>
    </row>
    <row r="235" spans="1:15" ht="6" customHeight="1" thickBot="1">
      <c r="A235" s="6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</row>
    <row r="236" spans="1:15">
      <c r="A236" s="6"/>
      <c r="B236" s="13" t="s">
        <v>60</v>
      </c>
      <c r="C236" s="6"/>
      <c r="D236" s="6"/>
      <c r="E236" s="6"/>
      <c r="F236" s="6"/>
      <c r="G236" s="6"/>
      <c r="H236" s="6"/>
      <c r="I236" s="6"/>
    </row>
    <row r="237" spans="1:15">
      <c r="A237" s="6"/>
      <c r="B237" s="6"/>
      <c r="C237" s="6"/>
      <c r="D237" s="6"/>
      <c r="E237" s="6"/>
      <c r="F237" s="14"/>
      <c r="G237" s="6"/>
      <c r="H237" s="6"/>
      <c r="I237" s="6"/>
    </row>
    <row r="238" spans="1:15">
      <c r="A238" s="6"/>
      <c r="B238" s="6"/>
      <c r="C238" s="6"/>
      <c r="D238" s="6"/>
      <c r="E238" s="6"/>
      <c r="F238" s="15"/>
      <c r="G238" s="16">
        <v>2015</v>
      </c>
      <c r="H238" s="16">
        <f>G238+1</f>
        <v>2016</v>
      </c>
      <c r="I238" s="16">
        <f>H238+1</f>
        <v>2017</v>
      </c>
      <c r="J238" s="17">
        <f t="shared" ref="J238:N238" si="79">I238+1</f>
        <v>2018</v>
      </c>
      <c r="K238" s="17">
        <f t="shared" si="79"/>
        <v>2019</v>
      </c>
      <c r="L238" s="17">
        <f t="shared" si="79"/>
        <v>2020</v>
      </c>
      <c r="M238" s="17">
        <f t="shared" si="79"/>
        <v>2021</v>
      </c>
      <c r="N238" s="17">
        <f t="shared" si="79"/>
        <v>2022</v>
      </c>
      <c r="O238" s="16"/>
    </row>
    <row r="239" spans="1:15" ht="13.2" customHeight="1">
      <c r="A239" s="6"/>
      <c r="B239" s="18"/>
      <c r="C239" s="18"/>
      <c r="D239" s="18"/>
      <c r="E239" s="18"/>
      <c r="F239" s="19"/>
      <c r="G239" s="19"/>
      <c r="H239" s="19"/>
      <c r="I239" s="19"/>
      <c r="L239" s="19"/>
      <c r="M239" s="19"/>
      <c r="N239" s="19"/>
    </row>
    <row r="240" spans="1:15">
      <c r="A240" s="6"/>
      <c r="B240" s="228" t="s">
        <v>1</v>
      </c>
      <c r="C240" s="98"/>
      <c r="D240" s="229"/>
      <c r="E240" s="229"/>
      <c r="F240" s="230"/>
      <c r="G240" s="231"/>
      <c r="H240" s="232">
        <f>H244/G244-1</f>
        <v>0.10350333427256508</v>
      </c>
      <c r="I240" s="232">
        <f>I244/H244-1</f>
        <v>8.6390331092007777E-2</v>
      </c>
      <c r="J240" s="232">
        <f t="shared" ref="J240:N240" si="80">J244/I244-1</f>
        <v>5.1136536352240469E-2</v>
      </c>
      <c r="K240" s="232">
        <f t="shared" si="80"/>
        <v>5.1251250241606483E-2</v>
      </c>
      <c r="L240" s="232">
        <f t="shared" si="80"/>
        <v>5.1363590470124176E-2</v>
      </c>
      <c r="M240" s="232">
        <f t="shared" si="80"/>
        <v>5.1473582394448325E-2</v>
      </c>
      <c r="N240" s="233">
        <f t="shared" si="80"/>
        <v>5.158125233093469E-2</v>
      </c>
    </row>
    <row r="241" spans="1:17">
      <c r="A241" s="6"/>
      <c r="B241" s="234" t="s">
        <v>2</v>
      </c>
      <c r="C241" s="18"/>
      <c r="D241" s="21"/>
      <c r="E241" s="21"/>
      <c r="F241" s="22"/>
      <c r="G241" s="20">
        <f>G246/G$244</f>
        <v>0.71735387120002514</v>
      </c>
      <c r="H241" s="20">
        <f>H246/H$244</f>
        <v>0.72797684909353999</v>
      </c>
      <c r="I241" s="20">
        <f>I246/I$244</f>
        <v>0.72829833907865882</v>
      </c>
      <c r="J241" s="20">
        <f t="shared" ref="J241:N241" si="81">J246/J$244</f>
        <v>0.71202528146484256</v>
      </c>
      <c r="K241" s="20">
        <f t="shared" si="81"/>
        <v>0.6961555815920476</v>
      </c>
      <c r="L241" s="20">
        <f t="shared" si="81"/>
        <v>0.68068162941525301</v>
      </c>
      <c r="M241" s="20">
        <f t="shared" si="81"/>
        <v>0.66559580806338159</v>
      </c>
      <c r="N241" s="235">
        <f t="shared" si="81"/>
        <v>0.65089050336185195</v>
      </c>
    </row>
    <row r="242" spans="1:17">
      <c r="A242" s="6"/>
      <c r="B242" s="236" t="s">
        <v>3</v>
      </c>
      <c r="C242" s="42"/>
      <c r="D242" s="237"/>
      <c r="E242" s="237"/>
      <c r="F242" s="238"/>
      <c r="G242" s="239">
        <f>G247/G$244</f>
        <v>0.1626123164584703</v>
      </c>
      <c r="H242" s="239">
        <f t="shared" ref="H242:I242" si="82">H247/H$244</f>
        <v>0.15453797486310894</v>
      </c>
      <c r="I242" s="239">
        <f t="shared" si="82"/>
        <v>0.1496134962916536</v>
      </c>
      <c r="J242" s="239">
        <f t="shared" ref="J242:N242" si="83">J247/J$244</f>
        <v>0.1527945745702462</v>
      </c>
      <c r="K242" s="239">
        <f t="shared" si="83"/>
        <v>0.14825234788147207</v>
      </c>
      <c r="L242" s="239">
        <f t="shared" si="83"/>
        <v>0.14382978087674092</v>
      </c>
      <c r="M242" s="239">
        <f t="shared" si="83"/>
        <v>0.13952454816809701</v>
      </c>
      <c r="N242" s="240">
        <f t="shared" si="83"/>
        <v>0.13533432515652355</v>
      </c>
    </row>
    <row r="243" spans="1:17" ht="13.2" customHeight="1">
      <c r="A243" s="6"/>
      <c r="B243" s="23"/>
      <c r="C243" s="18"/>
      <c r="D243" s="18"/>
      <c r="E243" s="18"/>
      <c r="F243" s="19"/>
      <c r="G243" s="15"/>
      <c r="H243" s="15"/>
      <c r="I243" s="15"/>
      <c r="L243" s="20"/>
      <c r="M243" s="20"/>
      <c r="N243" s="20"/>
    </row>
    <row r="244" spans="1:17">
      <c r="A244" s="6"/>
      <c r="B244" s="18"/>
      <c r="C244" s="23" t="s">
        <v>4</v>
      </c>
      <c r="D244" s="24"/>
      <c r="E244" s="24"/>
      <c r="F244" s="19"/>
      <c r="G244" s="25">
        <v>3194.1</v>
      </c>
      <c r="H244" s="25">
        <v>3524.7</v>
      </c>
      <c r="I244" s="25">
        <v>3829.2</v>
      </c>
      <c r="J244" s="79">
        <f>J22</f>
        <v>4025.0120249999991</v>
      </c>
      <c r="K244" s="79">
        <f>K22</f>
        <v>4231.2989235187497</v>
      </c>
      <c r="L244" s="79">
        <f>L22</f>
        <v>4448.6336285830439</v>
      </c>
      <c r="M244" s="79">
        <f>M22</f>
        <v>4677.6207382066268</v>
      </c>
      <c r="N244" s="79">
        <f>N22</f>
        <v>4918.898273812476</v>
      </c>
    </row>
    <row r="245" spans="1:17" ht="13.2" customHeight="1">
      <c r="A245" s="6"/>
      <c r="B245" s="18"/>
      <c r="C245" s="18"/>
      <c r="D245" s="18"/>
      <c r="E245" s="18"/>
      <c r="F245" s="19"/>
      <c r="G245" s="15"/>
      <c r="H245" s="15"/>
      <c r="I245" s="15"/>
      <c r="L245" s="15"/>
      <c r="M245" s="15"/>
      <c r="N245" s="20"/>
    </row>
    <row r="246" spans="1:17">
      <c r="A246" s="6"/>
      <c r="B246" s="18"/>
      <c r="C246" s="18" t="s">
        <v>5</v>
      </c>
      <c r="D246" s="18"/>
      <c r="E246" s="18"/>
      <c r="F246" s="19"/>
      <c r="G246" s="26">
        <f>2386.4-95.1</f>
        <v>2291.3000000000002</v>
      </c>
      <c r="H246" s="26">
        <f>2679.1-113.2</f>
        <v>2565.9</v>
      </c>
      <c r="I246" s="26">
        <f>2915-126.2</f>
        <v>2788.8</v>
      </c>
      <c r="J246" s="79">
        <f>J46</f>
        <v>2865.9103200000004</v>
      </c>
      <c r="K246" s="79">
        <f>K46</f>
        <v>2945.642362992</v>
      </c>
      <c r="L246" s="79">
        <f>L46</f>
        <v>3028.1031869753956</v>
      </c>
      <c r="M246" s="79">
        <f>M46</f>
        <v>3113.4047550606711</v>
      </c>
      <c r="N246" s="79">
        <f>N46</f>
        <v>3201.6641734275472</v>
      </c>
    </row>
    <row r="247" spans="1:17">
      <c r="A247" s="6"/>
      <c r="B247" s="18"/>
      <c r="C247" s="27" t="s">
        <v>6</v>
      </c>
      <c r="D247" s="18"/>
      <c r="E247" s="18"/>
      <c r="F247" s="19"/>
      <c r="G247" s="28">
        <f>230.7+143.8+144.9</f>
        <v>519.4</v>
      </c>
      <c r="H247" s="28">
        <f>242.1+144.4+158.2</f>
        <v>544.70000000000005</v>
      </c>
      <c r="I247" s="28">
        <f>265+143.5+164.4</f>
        <v>572.9</v>
      </c>
      <c r="J247" s="226">
        <f>Assumptions!I42</f>
        <v>615</v>
      </c>
      <c r="K247" s="226">
        <f>Assumptions!J42</f>
        <v>627.29999999999995</v>
      </c>
      <c r="L247" s="226">
        <f>Assumptions!K42</f>
        <v>639.846</v>
      </c>
      <c r="M247" s="226">
        <f>Assumptions!L42</f>
        <v>652.64292</v>
      </c>
      <c r="N247" s="226">
        <f>Assumptions!M42</f>
        <v>665.69577839999999</v>
      </c>
    </row>
    <row r="248" spans="1:17">
      <c r="A248" s="6"/>
      <c r="B248" s="18"/>
      <c r="C248" s="29" t="s">
        <v>7</v>
      </c>
      <c r="D248" s="18"/>
      <c r="E248" s="18"/>
      <c r="F248" s="19"/>
      <c r="G248" s="30">
        <f t="shared" ref="G248:N248" si="84">SUM(G246:G247)</f>
        <v>2810.7000000000003</v>
      </c>
      <c r="H248" s="30">
        <f t="shared" si="84"/>
        <v>3110.6000000000004</v>
      </c>
      <c r="I248" s="30">
        <f t="shared" si="84"/>
        <v>3361.7000000000003</v>
      </c>
      <c r="J248" s="30">
        <f t="shared" si="84"/>
        <v>3480.9103200000004</v>
      </c>
      <c r="K248" s="30">
        <f t="shared" si="84"/>
        <v>3572.9423629920002</v>
      </c>
      <c r="L248" s="30">
        <f t="shared" si="84"/>
        <v>3667.9491869753956</v>
      </c>
      <c r="M248" s="30">
        <f t="shared" si="84"/>
        <v>3766.0476750606713</v>
      </c>
      <c r="N248" s="30">
        <f t="shared" si="84"/>
        <v>3867.3599518275473</v>
      </c>
    </row>
    <row r="249" spans="1:17">
      <c r="A249" s="6"/>
      <c r="B249" s="18"/>
      <c r="C249" s="29"/>
      <c r="D249" s="18"/>
      <c r="E249" s="18"/>
      <c r="F249" s="19"/>
      <c r="G249" s="15"/>
      <c r="H249" s="15"/>
      <c r="I249" s="15"/>
      <c r="L249" s="15"/>
      <c r="M249" s="15"/>
      <c r="N249" s="20"/>
    </row>
    <row r="250" spans="1:17">
      <c r="A250" s="6"/>
      <c r="B250" s="18"/>
      <c r="C250" s="7" t="s">
        <v>8</v>
      </c>
      <c r="D250" s="18"/>
      <c r="E250" s="18"/>
      <c r="F250" s="19"/>
      <c r="G250" s="28">
        <f>-6.8-0.2</f>
        <v>-7</v>
      </c>
      <c r="H250" s="28">
        <f>-4.1-0.1</f>
        <v>-4.1999999999999993</v>
      </c>
      <c r="I250" s="28">
        <f>70.3+5.7</f>
        <v>76</v>
      </c>
      <c r="J250" s="225">
        <f>Assumptions!I26</f>
        <v>0</v>
      </c>
      <c r="K250" s="225">
        <f>Assumptions!J26</f>
        <v>0</v>
      </c>
      <c r="L250" s="225">
        <f>Assumptions!K26</f>
        <v>0</v>
      </c>
      <c r="M250" s="225">
        <f>Assumptions!L26</f>
        <v>0</v>
      </c>
      <c r="N250" s="225">
        <f>Assumptions!M26</f>
        <v>0</v>
      </c>
    </row>
    <row r="251" spans="1:17">
      <c r="A251" s="6"/>
      <c r="B251" s="24"/>
      <c r="C251" s="24" t="s">
        <v>9</v>
      </c>
      <c r="G251" s="31">
        <f>G244-G248-G250</f>
        <v>390.39999999999964</v>
      </c>
      <c r="H251" s="31">
        <f>H244-H248-H250</f>
        <v>418.29999999999944</v>
      </c>
      <c r="I251" s="31">
        <f>I244-I248-I250</f>
        <v>391.49999999999955</v>
      </c>
      <c r="J251" s="31">
        <f t="shared" ref="J251:N251" si="85">J244-J248-J250</f>
        <v>544.10170499999867</v>
      </c>
      <c r="K251" s="31">
        <f t="shared" si="85"/>
        <v>658.35656052674949</v>
      </c>
      <c r="L251" s="31">
        <f t="shared" si="85"/>
        <v>780.6844416076483</v>
      </c>
      <c r="M251" s="31">
        <f t="shared" si="85"/>
        <v>911.57306314595553</v>
      </c>
      <c r="N251" s="31">
        <f t="shared" si="85"/>
        <v>1051.5383219849286</v>
      </c>
    </row>
    <row r="252" spans="1:17">
      <c r="A252" s="6"/>
      <c r="G252" s="6"/>
      <c r="H252" s="6"/>
      <c r="I252" s="6"/>
      <c r="L252" s="15"/>
      <c r="M252" s="15"/>
      <c r="N252" s="20"/>
    </row>
    <row r="253" spans="1:17">
      <c r="A253" s="6"/>
      <c r="C253" s="7" t="s">
        <v>10</v>
      </c>
      <c r="G253" s="32">
        <v>95.1</v>
      </c>
      <c r="H253" s="32">
        <v>113.2</v>
      </c>
      <c r="I253" s="32">
        <v>126.2</v>
      </c>
      <c r="J253" s="224">
        <f>J71</f>
        <v>78.233333333333334</v>
      </c>
      <c r="K253" s="224">
        <f>K71</f>
        <v>94.066666666666663</v>
      </c>
      <c r="L253" s="224">
        <f>L71</f>
        <v>111.56666666666666</v>
      </c>
      <c r="M253" s="224">
        <f>M71</f>
        <v>129.9</v>
      </c>
      <c r="N253" s="224">
        <f>N71</f>
        <v>148.23333333333335</v>
      </c>
    </row>
    <row r="254" spans="1:17">
      <c r="A254" s="6"/>
      <c r="C254" s="29" t="s">
        <v>11</v>
      </c>
      <c r="G254" s="31">
        <f>G251-G253</f>
        <v>295.29999999999961</v>
      </c>
      <c r="H254" s="31">
        <f t="shared" ref="H254" si="86">H251-H253</f>
        <v>305.09999999999945</v>
      </c>
      <c r="I254" s="31">
        <f>I251-I253</f>
        <v>265.29999999999956</v>
      </c>
      <c r="J254" s="31">
        <f t="shared" ref="J254:N254" si="87">J251-J253</f>
        <v>465.86837166666533</v>
      </c>
      <c r="K254" s="31">
        <f t="shared" si="87"/>
        <v>564.28989386008288</v>
      </c>
      <c r="L254" s="31">
        <f t="shared" si="87"/>
        <v>669.11777494098169</v>
      </c>
      <c r="M254" s="31">
        <f t="shared" si="87"/>
        <v>781.67306314595555</v>
      </c>
      <c r="N254" s="31">
        <f t="shared" si="87"/>
        <v>903.30498865159529</v>
      </c>
    </row>
    <row r="255" spans="1:17" ht="6" customHeight="1">
      <c r="A255" s="6"/>
      <c r="C255" s="29"/>
      <c r="G255" s="6"/>
      <c r="H255" s="6"/>
      <c r="I255" s="6"/>
      <c r="L255" s="15"/>
      <c r="M255" s="15"/>
      <c r="N255" s="20"/>
    </row>
    <row r="256" spans="1:17" ht="12.75" customHeight="1">
      <c r="A256" s="6"/>
      <c r="C256" s="7" t="s">
        <v>8</v>
      </c>
      <c r="G256" s="33">
        <f>-96.4-19.6</f>
        <v>-116</v>
      </c>
      <c r="H256" s="33">
        <f>-123.9</f>
        <v>-123.9</v>
      </c>
      <c r="I256" s="33">
        <v>-105.8</v>
      </c>
      <c r="J256" s="200">
        <f>Assumptions!I26</f>
        <v>0</v>
      </c>
      <c r="K256" s="200">
        <f>Assumptions!J26</f>
        <v>0</v>
      </c>
      <c r="L256" s="200">
        <f>Assumptions!K26</f>
        <v>0</v>
      </c>
      <c r="M256" s="200">
        <f>Assumptions!L26</f>
        <v>0</v>
      </c>
      <c r="N256" s="200">
        <f>Assumptions!M26</f>
        <v>0</v>
      </c>
      <c r="O256" s="6"/>
      <c r="P256" s="6"/>
      <c r="Q256" s="6"/>
    </row>
    <row r="257" spans="1:16">
      <c r="A257" s="6"/>
      <c r="C257" s="35" t="s">
        <v>65</v>
      </c>
      <c r="D257" s="6"/>
      <c r="E257" s="6"/>
      <c r="F257" s="6"/>
      <c r="G257" s="32">
        <f>64.5-2.5</f>
        <v>62</v>
      </c>
      <c r="H257" s="32">
        <f>59.3-2.7</f>
        <v>56.599999999999994</v>
      </c>
      <c r="I257" s="32">
        <f>62.6-3.5</f>
        <v>59.1</v>
      </c>
      <c r="J257" s="250">
        <f>-J188</f>
        <v>53.112819999999992</v>
      </c>
      <c r="K257" s="250">
        <f>-K188</f>
        <v>51.087398260099889</v>
      </c>
      <c r="L257" s="250">
        <f>-L188</f>
        <v>50.08362243937362</v>
      </c>
      <c r="M257" s="250">
        <f>-M188</f>
        <v>44.712928120057029</v>
      </c>
      <c r="N257" s="250">
        <f>-N188</f>
        <v>39.864787947725993</v>
      </c>
    </row>
    <row r="258" spans="1:16">
      <c r="A258" s="6"/>
      <c r="C258" s="36" t="s">
        <v>12</v>
      </c>
      <c r="G258" s="31">
        <f>G254+G256-G257</f>
        <v>117.29999999999961</v>
      </c>
      <c r="H258" s="31">
        <f t="shared" ref="H258" si="88">H254+H256-H257</f>
        <v>124.59999999999945</v>
      </c>
      <c r="I258" s="31">
        <f>I254+I256-I257</f>
        <v>100.39999999999955</v>
      </c>
      <c r="J258" s="31">
        <f t="shared" ref="J258:N258" si="89">J254+J256-J257</f>
        <v>412.75555166666533</v>
      </c>
      <c r="K258" s="31">
        <f t="shared" si="89"/>
        <v>513.20249559998297</v>
      </c>
      <c r="L258" s="31">
        <f t="shared" si="89"/>
        <v>619.03415250160811</v>
      </c>
      <c r="M258" s="31">
        <f t="shared" si="89"/>
        <v>736.96013502589858</v>
      </c>
      <c r="N258" s="31">
        <f t="shared" si="89"/>
        <v>863.44020070386932</v>
      </c>
    </row>
    <row r="259" spans="1:16" ht="6" customHeight="1">
      <c r="A259" s="6"/>
      <c r="C259" s="29"/>
      <c r="G259" s="6"/>
      <c r="H259" s="6"/>
      <c r="I259" s="6"/>
    </row>
    <row r="260" spans="1:16">
      <c r="A260" s="6"/>
      <c r="C260" s="6" t="s">
        <v>13</v>
      </c>
      <c r="D260" s="6"/>
      <c r="E260" s="6"/>
      <c r="G260" s="33">
        <v>40.5</v>
      </c>
      <c r="H260" s="33">
        <v>22.7</v>
      </c>
      <c r="I260" s="33">
        <v>24.8</v>
      </c>
      <c r="J260" s="79">
        <f t="shared" ref="J260:N261" si="90">J127</f>
        <v>130.46444308333287</v>
      </c>
      <c r="K260" s="79">
        <f t="shared" si="90"/>
        <v>165.62087345999402</v>
      </c>
      <c r="L260" s="79">
        <f t="shared" si="90"/>
        <v>202.66195337556283</v>
      </c>
      <c r="M260" s="79">
        <f t="shared" si="90"/>
        <v>243.93604725906448</v>
      </c>
      <c r="N260" s="79">
        <f t="shared" si="90"/>
        <v>288.20407024635426</v>
      </c>
    </row>
    <row r="261" spans="1:16">
      <c r="A261" s="6"/>
      <c r="C261" s="7" t="s">
        <v>14</v>
      </c>
      <c r="G261" s="32">
        <f>57.4-G260</f>
        <v>16.899999999999999</v>
      </c>
      <c r="H261" s="32">
        <f>54.4-H260</f>
        <v>31.7</v>
      </c>
      <c r="I261" s="32">
        <f>48.8-I260</f>
        <v>23.999999999999996</v>
      </c>
      <c r="J261" s="227">
        <f t="shared" si="90"/>
        <v>14</v>
      </c>
      <c r="K261" s="227">
        <f t="shared" si="90"/>
        <v>14</v>
      </c>
      <c r="L261" s="227">
        <f t="shared" si="90"/>
        <v>14</v>
      </c>
      <c r="M261" s="227">
        <f t="shared" si="90"/>
        <v>14</v>
      </c>
      <c r="N261" s="227">
        <f t="shared" si="90"/>
        <v>14</v>
      </c>
    </row>
    <row r="262" spans="1:16">
      <c r="A262" s="6"/>
      <c r="C262" s="24" t="s">
        <v>15</v>
      </c>
      <c r="G262" s="31">
        <f>SUM(G260:G261)</f>
        <v>57.4</v>
      </c>
      <c r="H262" s="31">
        <f t="shared" ref="H262:N262" si="91">SUM(H260:H261)</f>
        <v>54.4</v>
      </c>
      <c r="I262" s="31">
        <f t="shared" si="91"/>
        <v>48.8</v>
      </c>
      <c r="J262" s="31">
        <f t="shared" si="91"/>
        <v>144.46444308333287</v>
      </c>
      <c r="K262" s="31">
        <f t="shared" si="91"/>
        <v>179.62087345999402</v>
      </c>
      <c r="L262" s="31">
        <f t="shared" si="91"/>
        <v>216.66195337556283</v>
      </c>
      <c r="M262" s="31">
        <f t="shared" si="91"/>
        <v>257.93604725906448</v>
      </c>
      <c r="N262" s="31">
        <f t="shared" si="91"/>
        <v>302.20407024635426</v>
      </c>
    </row>
    <row r="263" spans="1:16" ht="9" customHeight="1">
      <c r="A263" s="6"/>
      <c r="G263" s="6"/>
      <c r="H263" s="6"/>
      <c r="I263" s="6"/>
    </row>
    <row r="264" spans="1:16">
      <c r="A264" s="6"/>
      <c r="B264" s="18"/>
      <c r="C264" s="37" t="s">
        <v>16</v>
      </c>
      <c r="D264" s="23"/>
      <c r="E264" s="23"/>
      <c r="F264" s="18"/>
      <c r="G264" s="38">
        <f>G258-G262</f>
        <v>59.899999999999615</v>
      </c>
      <c r="H264" s="38">
        <f t="shared" ref="H264:N264" si="92">H258-H262</f>
        <v>70.199999999999449</v>
      </c>
      <c r="I264" s="38">
        <f t="shared" si="92"/>
        <v>51.599999999999554</v>
      </c>
      <c r="J264" s="38">
        <f t="shared" si="92"/>
        <v>268.29110858333246</v>
      </c>
      <c r="K264" s="38">
        <f t="shared" si="92"/>
        <v>333.58162213998895</v>
      </c>
      <c r="L264" s="38">
        <f t="shared" si="92"/>
        <v>402.3721991260453</v>
      </c>
      <c r="M264" s="38">
        <f t="shared" si="92"/>
        <v>479.0240877668341</v>
      </c>
      <c r="N264" s="38">
        <f t="shared" si="92"/>
        <v>561.23613045751506</v>
      </c>
    </row>
    <row r="265" spans="1:16">
      <c r="A265" s="6"/>
      <c r="B265" s="18"/>
      <c r="C265" s="37"/>
      <c r="D265" s="23"/>
      <c r="E265" s="23"/>
      <c r="F265" s="18"/>
      <c r="G265" s="39"/>
      <c r="H265" s="39"/>
      <c r="I265" s="39"/>
      <c r="J265" s="39"/>
    </row>
    <row r="266" spans="1:16">
      <c r="A266" s="6"/>
      <c r="B266" s="18"/>
      <c r="C266" s="40" t="s">
        <v>56</v>
      </c>
      <c r="D266" s="23"/>
      <c r="E266" s="23"/>
      <c r="F266" s="18"/>
      <c r="G266" s="32">
        <v>0.54400000000000004</v>
      </c>
      <c r="H266" s="32">
        <v>0.54400000000000004</v>
      </c>
      <c r="I266" s="32">
        <v>0.54400000000000004</v>
      </c>
      <c r="J266" s="262">
        <f>J208</f>
        <v>0.54400000000000004</v>
      </c>
      <c r="K266" s="262">
        <f>K208</f>
        <v>1.3939999999999999</v>
      </c>
      <c r="L266" s="262">
        <f>L208</f>
        <v>1.3939999999999999</v>
      </c>
      <c r="M266" s="262">
        <f>M208</f>
        <v>1.3939999999999999</v>
      </c>
      <c r="N266" s="262">
        <f>N208</f>
        <v>1.3939999999999999</v>
      </c>
    </row>
    <row r="267" spans="1:16" ht="13.5" customHeight="1" thickBot="1">
      <c r="A267" s="6"/>
      <c r="B267" s="18"/>
      <c r="C267" s="37" t="s">
        <v>57</v>
      </c>
      <c r="D267" s="23"/>
      <c r="E267" s="23"/>
      <c r="F267" s="18"/>
      <c r="G267" s="41">
        <f>G264-G266</f>
        <v>59.355999999999618</v>
      </c>
      <c r="H267" s="41">
        <f t="shared" ref="H267:N267" si="93">H264-H266</f>
        <v>69.655999999999452</v>
      </c>
      <c r="I267" s="41">
        <f t="shared" si="93"/>
        <v>51.055999999999557</v>
      </c>
      <c r="J267" s="41">
        <f t="shared" si="93"/>
        <v>267.74710858333248</v>
      </c>
      <c r="K267" s="41">
        <f t="shared" si="93"/>
        <v>332.18762213998895</v>
      </c>
      <c r="L267" s="41">
        <f t="shared" si="93"/>
        <v>400.9781991260453</v>
      </c>
      <c r="M267" s="41">
        <f t="shared" si="93"/>
        <v>477.63008776683409</v>
      </c>
      <c r="N267" s="41">
        <f t="shared" si="93"/>
        <v>559.84213045751505</v>
      </c>
      <c r="O267" s="34"/>
      <c r="P267" s="34"/>
    </row>
    <row r="268" spans="1:16" ht="13.5" customHeight="1" thickTop="1">
      <c r="A268" s="6"/>
      <c r="B268" s="42"/>
      <c r="C268" s="42"/>
      <c r="D268" s="42"/>
      <c r="E268" s="42"/>
      <c r="F268" s="42"/>
      <c r="G268" s="43"/>
      <c r="H268" s="43"/>
      <c r="I268" s="43"/>
      <c r="J268" s="83"/>
      <c r="K268" s="42"/>
      <c r="L268" s="42"/>
      <c r="M268" s="42"/>
      <c r="N268" s="42"/>
    </row>
    <row r="269" spans="1:16">
      <c r="A269" s="6"/>
      <c r="B269" s="18"/>
      <c r="C269" s="44"/>
      <c r="D269" s="18"/>
      <c r="E269" s="18"/>
      <c r="F269" s="18"/>
      <c r="G269" s="45"/>
      <c r="H269" s="45"/>
      <c r="I269" s="45"/>
      <c r="J269" s="46"/>
    </row>
    <row r="270" spans="1:16">
      <c r="A270" s="6"/>
      <c r="B270" s="24"/>
      <c r="C270" s="24"/>
      <c r="D270" s="24"/>
      <c r="E270" s="24"/>
      <c r="F270" s="24"/>
      <c r="G270" s="24"/>
      <c r="H270" s="24"/>
      <c r="I270" s="24"/>
      <c r="J270" s="47"/>
      <c r="K270" s="24"/>
    </row>
    <row r="271" spans="1:16">
      <c r="A271" s="6"/>
      <c r="B271" s="47"/>
      <c r="C271" s="6"/>
      <c r="D271" s="6"/>
      <c r="E271" s="6"/>
      <c r="F271" s="6"/>
      <c r="G271" s="48"/>
      <c r="H271" s="48"/>
      <c r="I271" s="48"/>
      <c r="L271" s="7" t="str">
        <f>UPPER("currently running: "&amp;TEXT(Scenarios!$E$9,"Base")&amp;" Scenario")</f>
        <v>CURRENTLY RUNNING: BASE SCENARIO</v>
      </c>
    </row>
    <row r="272" spans="1:16" ht="31.2">
      <c r="A272" s="6"/>
      <c r="B272" s="86" t="str">
        <f>$B$233</f>
        <v>Global INC</v>
      </c>
      <c r="C272" s="9"/>
      <c r="D272" s="9"/>
      <c r="E272" s="9"/>
      <c r="F272" s="9"/>
      <c r="G272" s="9"/>
      <c r="H272" s="9"/>
      <c r="I272" s="9"/>
      <c r="J272" s="9"/>
      <c r="K272" s="10"/>
      <c r="L272" s="10"/>
      <c r="M272" s="10"/>
      <c r="N272" s="10"/>
    </row>
    <row r="273" spans="1:14" ht="22.8">
      <c r="A273" s="6"/>
      <c r="B273" s="87" t="s">
        <v>17</v>
      </c>
      <c r="C273" s="49"/>
      <c r="D273" s="49"/>
      <c r="E273" s="49"/>
      <c r="F273" s="49"/>
      <c r="G273" s="49"/>
      <c r="H273" s="49"/>
      <c r="I273" s="49"/>
      <c r="J273" s="9"/>
      <c r="K273" s="10"/>
      <c r="L273" s="10"/>
      <c r="M273" s="10"/>
      <c r="N273" s="10"/>
    </row>
    <row r="274" spans="1:14" ht="6" customHeight="1" thickBot="1">
      <c r="A274" s="6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</row>
    <row r="275" spans="1:14">
      <c r="A275" s="6"/>
      <c r="B275" s="13" t="str">
        <f>$B$236</f>
        <v>($ Millions)</v>
      </c>
      <c r="C275" s="6"/>
      <c r="D275" s="6"/>
      <c r="E275" s="6"/>
      <c r="F275" s="6"/>
      <c r="G275" s="6"/>
      <c r="H275" s="6"/>
      <c r="I275" s="6"/>
    </row>
    <row r="276" spans="1:14">
      <c r="A276" s="6"/>
      <c r="B276" s="6"/>
      <c r="C276" s="6"/>
      <c r="D276" s="6"/>
      <c r="E276" s="6"/>
      <c r="F276" s="6"/>
      <c r="G276" s="6"/>
      <c r="H276" s="6"/>
      <c r="I276" s="6"/>
    </row>
    <row r="277" spans="1:14">
      <c r="A277" s="6"/>
      <c r="B277" s="50"/>
      <c r="C277" s="6"/>
      <c r="D277" s="6"/>
      <c r="E277" s="6"/>
      <c r="F277" s="51"/>
      <c r="G277" s="16">
        <f>G$238</f>
        <v>2015</v>
      </c>
      <c r="H277" s="16">
        <f t="shared" ref="H277:I277" si="94">H$238</f>
        <v>2016</v>
      </c>
      <c r="I277" s="16">
        <f t="shared" si="94"/>
        <v>2017</v>
      </c>
      <c r="J277" s="17">
        <f t="shared" ref="J277:N277" si="95">I277+1</f>
        <v>2018</v>
      </c>
      <c r="K277" s="17">
        <f t="shared" si="95"/>
        <v>2019</v>
      </c>
      <c r="L277" s="17">
        <f t="shared" si="95"/>
        <v>2020</v>
      </c>
      <c r="M277" s="17">
        <f t="shared" si="95"/>
        <v>2021</v>
      </c>
      <c r="N277" s="17">
        <f t="shared" si="95"/>
        <v>2022</v>
      </c>
    </row>
    <row r="278" spans="1:14">
      <c r="A278" s="6"/>
      <c r="B278" s="50"/>
      <c r="C278" s="6"/>
      <c r="D278" s="6"/>
      <c r="E278" s="6"/>
      <c r="F278" s="51"/>
      <c r="G278" s="52"/>
      <c r="H278" s="52"/>
      <c r="I278" s="52"/>
    </row>
    <row r="279" spans="1:14">
      <c r="A279" s="6"/>
      <c r="B279" s="24" t="s">
        <v>18</v>
      </c>
    </row>
    <row r="280" spans="1:14">
      <c r="A280" s="6"/>
      <c r="C280" s="7" t="s">
        <v>16</v>
      </c>
      <c r="F280" s="53"/>
      <c r="G280" s="54">
        <v>59.9</v>
      </c>
      <c r="H280" s="54">
        <v>70.2</v>
      </c>
      <c r="I280" s="54">
        <v>51.6</v>
      </c>
      <c r="J280" s="243">
        <f>J264</f>
        <v>268.29110858333246</v>
      </c>
      <c r="K280" s="243">
        <f t="shared" ref="K280:N280" si="96">K264</f>
        <v>333.58162213998895</v>
      </c>
      <c r="L280" s="243">
        <f t="shared" si="96"/>
        <v>402.3721991260453</v>
      </c>
      <c r="M280" s="243">
        <f t="shared" si="96"/>
        <v>479.0240877668341</v>
      </c>
      <c r="N280" s="243">
        <f t="shared" si="96"/>
        <v>561.23613045751506</v>
      </c>
    </row>
    <row r="281" spans="1:14">
      <c r="A281" s="6"/>
      <c r="C281" s="7" t="s">
        <v>10</v>
      </c>
      <c r="F281" s="53"/>
      <c r="G281" s="54">
        <v>95.1</v>
      </c>
      <c r="H281" s="54">
        <v>113.2</v>
      </c>
      <c r="I281" s="54">
        <v>126.2</v>
      </c>
      <c r="J281" s="223">
        <f>J71</f>
        <v>78.233333333333334</v>
      </c>
      <c r="K281" s="223">
        <f>K71</f>
        <v>94.066666666666663</v>
      </c>
      <c r="L281" s="223">
        <f>L71</f>
        <v>111.56666666666666</v>
      </c>
      <c r="M281" s="223">
        <f>M71</f>
        <v>129.9</v>
      </c>
      <c r="N281" s="223">
        <f>N71</f>
        <v>148.23333333333335</v>
      </c>
    </row>
    <row r="282" spans="1:14">
      <c r="A282" s="6"/>
      <c r="C282" s="7" t="s">
        <v>14</v>
      </c>
      <c r="F282" s="53"/>
      <c r="G282" s="54">
        <v>16.899999999999999</v>
      </c>
      <c r="H282" s="54">
        <v>31.7</v>
      </c>
      <c r="I282" s="54">
        <v>24</v>
      </c>
      <c r="J282" s="261">
        <f>J128</f>
        <v>14</v>
      </c>
      <c r="K282" s="261">
        <f>K128</f>
        <v>14</v>
      </c>
      <c r="L282" s="261">
        <f>L128</f>
        <v>14</v>
      </c>
      <c r="M282" s="261">
        <f>M128</f>
        <v>14</v>
      </c>
      <c r="N282" s="261">
        <f>N128</f>
        <v>14</v>
      </c>
    </row>
    <row r="283" spans="1:14">
      <c r="A283" s="6"/>
      <c r="C283" s="7" t="s">
        <v>19</v>
      </c>
      <c r="F283" s="55"/>
      <c r="G283" s="54">
        <f>255.3-374.3</f>
        <v>-119</v>
      </c>
      <c r="H283" s="54">
        <f>397.5-402</f>
        <v>-4.5</v>
      </c>
      <c r="I283" s="54">
        <f>384.9-468.7</f>
        <v>-83.800000000000011</v>
      </c>
      <c r="J283" s="79">
        <f>J105</f>
        <v>13.248509219178231</v>
      </c>
      <c r="K283" s="79">
        <f>K105</f>
        <v>-11.622270392595397</v>
      </c>
      <c r="L283" s="79">
        <f>L105</f>
        <v>-11.938414885978204</v>
      </c>
      <c r="M283" s="79">
        <f>M105</f>
        <v>-13.558548592022134</v>
      </c>
      <c r="N283" s="79">
        <f>N105</f>
        <v>-13.96328577500185</v>
      </c>
    </row>
    <row r="284" spans="1:14">
      <c r="A284" s="6"/>
      <c r="C284" s="7" t="s">
        <v>32</v>
      </c>
      <c r="F284" s="55"/>
      <c r="G284" s="56">
        <f>53-0.3-6.6-0.2+96.4+19.6</f>
        <v>161.9</v>
      </c>
      <c r="H284" s="56">
        <f>49.8-9.4-0.1+123.9</f>
        <v>164.2</v>
      </c>
      <c r="I284" s="28">
        <f>54.5+70.3+11.5+105.8</f>
        <v>242.10000000000002</v>
      </c>
      <c r="J284" s="57">
        <f>Assumptions!I96</f>
        <v>0</v>
      </c>
      <c r="K284" s="57">
        <f>Assumptions!J96</f>
        <v>0</v>
      </c>
      <c r="L284" s="57">
        <f>Assumptions!K96</f>
        <v>0</v>
      </c>
      <c r="M284" s="57">
        <f>Assumptions!L96</f>
        <v>0</v>
      </c>
      <c r="N284" s="57">
        <f>Assumptions!M96</f>
        <v>0</v>
      </c>
    </row>
    <row r="285" spans="1:14">
      <c r="A285" s="6"/>
      <c r="C285" s="29" t="s">
        <v>20</v>
      </c>
      <c r="F285" s="58"/>
      <c r="G285" s="59">
        <f>SUM(G280:G284)</f>
        <v>214.8</v>
      </c>
      <c r="H285" s="59">
        <f>SUM(H280:H284)</f>
        <v>374.79999999999995</v>
      </c>
      <c r="I285" s="59">
        <f>SUM(I280:I284)</f>
        <v>360.1</v>
      </c>
      <c r="J285" s="59">
        <f t="shared" ref="J285:N285" si="97">SUM(J280:J284)</f>
        <v>373.77295113584404</v>
      </c>
      <c r="K285" s="59">
        <f t="shared" si="97"/>
        <v>430.02601841406022</v>
      </c>
      <c r="L285" s="59">
        <f t="shared" si="97"/>
        <v>516.00045090673382</v>
      </c>
      <c r="M285" s="59">
        <f t="shared" si="97"/>
        <v>609.36553917481194</v>
      </c>
      <c r="N285" s="59">
        <f t="shared" si="97"/>
        <v>709.50617801584656</v>
      </c>
    </row>
    <row r="286" spans="1:14">
      <c r="A286" s="6"/>
      <c r="B286" s="60"/>
      <c r="K286" s="34"/>
    </row>
    <row r="287" spans="1:14">
      <c r="A287" s="6"/>
      <c r="B287" s="60"/>
      <c r="G287" s="6"/>
      <c r="H287" s="6"/>
      <c r="I287" s="6"/>
    </row>
    <row r="288" spans="1:14">
      <c r="A288" s="6"/>
      <c r="B288" s="24" t="s">
        <v>21</v>
      </c>
      <c r="C288" s="6"/>
      <c r="D288" s="6"/>
      <c r="E288" s="6"/>
      <c r="G288" s="6"/>
      <c r="H288" s="6"/>
      <c r="I288" s="6"/>
    </row>
    <row r="289" spans="1:14">
      <c r="A289" s="6"/>
      <c r="C289" s="7" t="s">
        <v>22</v>
      </c>
      <c r="G289" s="61">
        <v>-134.4</v>
      </c>
      <c r="H289" s="61">
        <v>-158.69999999999999</v>
      </c>
      <c r="I289" s="61">
        <v>-194.1</v>
      </c>
      <c r="J289" s="243">
        <f>-Assumptions!I28</f>
        <v>-225</v>
      </c>
      <c r="K289" s="243">
        <f>-Assumptions!J28</f>
        <v>-250</v>
      </c>
      <c r="L289" s="243">
        <f>-Assumptions!K28</f>
        <v>-275</v>
      </c>
      <c r="M289" s="243">
        <f>-Assumptions!L28</f>
        <v>-275</v>
      </c>
      <c r="N289" s="243">
        <f>-Assumptions!M28</f>
        <v>-275</v>
      </c>
    </row>
    <row r="290" spans="1:14">
      <c r="A290" s="6"/>
      <c r="C290" s="7" t="s">
        <v>23</v>
      </c>
      <c r="G290" s="61">
        <v>2</v>
      </c>
      <c r="H290" s="61">
        <v>3.4</v>
      </c>
      <c r="I290" s="61">
        <v>10.5</v>
      </c>
      <c r="J290" s="62">
        <f>Assumptions!I29</f>
        <v>0</v>
      </c>
      <c r="K290" s="62">
        <f>Assumptions!J29</f>
        <v>0</v>
      </c>
      <c r="L290" s="62">
        <f>Assumptions!K29</f>
        <v>0</v>
      </c>
      <c r="M290" s="62">
        <f>Assumptions!L29</f>
        <v>0</v>
      </c>
      <c r="N290" s="62">
        <f>Assumptions!M29</f>
        <v>0</v>
      </c>
    </row>
    <row r="291" spans="1:14">
      <c r="A291" s="6"/>
      <c r="C291" s="7" t="s">
        <v>32</v>
      </c>
      <c r="G291" s="32">
        <f>-18.9+4</f>
        <v>-14.899999999999999</v>
      </c>
      <c r="H291" s="32">
        <f>-13.3+2</f>
        <v>-11.3</v>
      </c>
      <c r="I291" s="32">
        <f>-16.5+1.1</f>
        <v>-15.4</v>
      </c>
      <c r="J291" s="244">
        <f>Assumptions!I97</f>
        <v>0</v>
      </c>
      <c r="K291" s="244">
        <f>Assumptions!J97</f>
        <v>0</v>
      </c>
      <c r="L291" s="244">
        <f>Assumptions!K97</f>
        <v>0</v>
      </c>
      <c r="M291" s="244">
        <f>Assumptions!L97</f>
        <v>0</v>
      </c>
      <c r="N291" s="244">
        <f>Assumptions!M97</f>
        <v>0</v>
      </c>
    </row>
    <row r="292" spans="1:14">
      <c r="A292" s="6"/>
      <c r="C292" s="24" t="s">
        <v>24</v>
      </c>
      <c r="F292" s="58"/>
      <c r="G292" s="59">
        <f>SUM(G289:G291)</f>
        <v>-147.30000000000001</v>
      </c>
      <c r="H292" s="59">
        <f>SUM(H289:H291)</f>
        <v>-166.6</v>
      </c>
      <c r="I292" s="59">
        <f>SUM(I289:I291)</f>
        <v>-199</v>
      </c>
      <c r="J292" s="59">
        <f>SUM(J289:J291)</f>
        <v>-225</v>
      </c>
      <c r="K292" s="59">
        <f t="shared" ref="K292:N292" si="98">SUM(K289:K291)</f>
        <v>-250</v>
      </c>
      <c r="L292" s="59">
        <f t="shared" si="98"/>
        <v>-275</v>
      </c>
      <c r="M292" s="59">
        <f t="shared" si="98"/>
        <v>-275</v>
      </c>
      <c r="N292" s="59">
        <f t="shared" si="98"/>
        <v>-275</v>
      </c>
    </row>
    <row r="293" spans="1:14">
      <c r="A293" s="6"/>
      <c r="B293" s="36"/>
      <c r="F293" s="63"/>
      <c r="G293" s="64"/>
      <c r="H293" s="64"/>
      <c r="I293" s="64"/>
    </row>
    <row r="294" spans="1:14">
      <c r="A294" s="6"/>
      <c r="B294" s="36"/>
      <c r="F294" s="63"/>
      <c r="G294" s="65"/>
      <c r="H294" s="65"/>
      <c r="I294" s="65"/>
    </row>
    <row r="295" spans="1:14">
      <c r="A295" s="6"/>
      <c r="B295" s="36" t="s">
        <v>25</v>
      </c>
      <c r="F295" s="63"/>
      <c r="G295" s="64"/>
      <c r="H295" s="64"/>
      <c r="I295" s="64"/>
    </row>
    <row r="296" spans="1:14">
      <c r="A296" s="6"/>
      <c r="B296" s="36"/>
      <c r="C296" s="7" t="s">
        <v>26</v>
      </c>
      <c r="F296" s="58"/>
      <c r="G296" s="61">
        <v>10.3</v>
      </c>
      <c r="H296" s="61">
        <v>-10.5</v>
      </c>
      <c r="I296" s="61">
        <v>0</v>
      </c>
      <c r="J296" s="62">
        <f>J164</f>
        <v>0</v>
      </c>
      <c r="K296" s="62">
        <f t="shared" ref="K296:N296" si="99">K164</f>
        <v>29.754713130926206</v>
      </c>
      <c r="L296" s="62">
        <f t="shared" si="99"/>
        <v>-29.754713130926206</v>
      </c>
      <c r="M296" s="62">
        <f t="shared" si="99"/>
        <v>0</v>
      </c>
      <c r="N296" s="62">
        <f t="shared" si="99"/>
        <v>0</v>
      </c>
    </row>
    <row r="297" spans="1:14">
      <c r="A297" s="6"/>
      <c r="B297" s="36"/>
      <c r="C297" s="66" t="s">
        <v>54</v>
      </c>
      <c r="F297" s="58"/>
      <c r="G297" s="61">
        <v>0</v>
      </c>
      <c r="H297" s="61">
        <v>0</v>
      </c>
      <c r="I297" s="61">
        <v>0</v>
      </c>
      <c r="J297" s="62">
        <f>J173</f>
        <v>-25</v>
      </c>
      <c r="K297" s="62">
        <f>K173</f>
        <v>-25</v>
      </c>
      <c r="L297" s="62">
        <f>L173</f>
        <v>-25</v>
      </c>
      <c r="M297" s="62">
        <f>M173</f>
        <v>-25</v>
      </c>
      <c r="N297" s="62">
        <f>N173</f>
        <v>-25</v>
      </c>
    </row>
    <row r="298" spans="1:14">
      <c r="A298" s="6"/>
      <c r="B298" s="36"/>
      <c r="C298" s="66" t="s">
        <v>55</v>
      </c>
      <c r="F298" s="58"/>
      <c r="G298" s="61">
        <f>10-269.3</f>
        <v>-259.3</v>
      </c>
      <c r="H298" s="61">
        <f>11.4-6.7</f>
        <v>4.7</v>
      </c>
      <c r="I298" s="61">
        <f>2.4-12.4</f>
        <v>-10</v>
      </c>
      <c r="J298" s="62">
        <f>J182</f>
        <v>-50</v>
      </c>
      <c r="K298" s="62">
        <f>K182</f>
        <v>-50</v>
      </c>
      <c r="L298" s="62">
        <f>L182</f>
        <v>-50</v>
      </c>
      <c r="M298" s="62">
        <f>M182</f>
        <v>-50</v>
      </c>
      <c r="N298" s="62">
        <f>N182</f>
        <v>-50</v>
      </c>
    </row>
    <row r="299" spans="1:14">
      <c r="A299" s="6"/>
      <c r="C299" s="7" t="s">
        <v>61</v>
      </c>
      <c r="G299" s="61">
        <v>0</v>
      </c>
      <c r="H299" s="61">
        <v>0</v>
      </c>
      <c r="I299" s="61">
        <v>0</v>
      </c>
      <c r="J299" s="61">
        <f>J202</f>
        <v>0</v>
      </c>
      <c r="K299" s="61">
        <f>K202</f>
        <v>10</v>
      </c>
      <c r="L299" s="61">
        <f>L202</f>
        <v>0</v>
      </c>
      <c r="M299" s="61">
        <f>M202</f>
        <v>0</v>
      </c>
      <c r="N299" s="61">
        <f>N202</f>
        <v>0</v>
      </c>
    </row>
    <row r="300" spans="1:14">
      <c r="A300" s="6"/>
      <c r="C300" s="7" t="s">
        <v>62</v>
      </c>
      <c r="G300" s="61">
        <f>301.9-1.7</f>
        <v>300.2</v>
      </c>
      <c r="H300" s="61">
        <v>0.5</v>
      </c>
      <c r="I300" s="61">
        <f>1.6-95.6</f>
        <v>-94</v>
      </c>
      <c r="J300" s="61">
        <f>J213</f>
        <v>-150</v>
      </c>
      <c r="K300" s="61">
        <f>K213</f>
        <v>-150</v>
      </c>
      <c r="L300" s="61">
        <f>L213</f>
        <v>0</v>
      </c>
      <c r="M300" s="61">
        <f>M213</f>
        <v>0</v>
      </c>
      <c r="N300" s="61">
        <f>N213</f>
        <v>0</v>
      </c>
    </row>
    <row r="301" spans="1:14">
      <c r="A301" s="6"/>
      <c r="C301" s="7" t="s">
        <v>63</v>
      </c>
      <c r="G301" s="61">
        <v>-0.54400000000000004</v>
      </c>
      <c r="H301" s="61">
        <v>-0.54400000000000004</v>
      </c>
      <c r="I301" s="61">
        <v>-0.54400000000000004</v>
      </c>
      <c r="J301" s="61">
        <f>-J208</f>
        <v>-0.54400000000000004</v>
      </c>
      <c r="K301" s="61">
        <f>-K208</f>
        <v>-1.3939999999999999</v>
      </c>
      <c r="L301" s="61">
        <f>-L208</f>
        <v>-1.3939999999999999</v>
      </c>
      <c r="M301" s="61">
        <f>-M208</f>
        <v>-1.3939999999999999</v>
      </c>
      <c r="N301" s="61">
        <f>-N208</f>
        <v>-1.3939999999999999</v>
      </c>
    </row>
    <row r="302" spans="1:14">
      <c r="A302" s="6"/>
      <c r="B302" s="36"/>
      <c r="C302" s="7" t="s">
        <v>64</v>
      </c>
      <c r="F302" s="58"/>
      <c r="G302" s="61">
        <v>-483</v>
      </c>
      <c r="H302" s="61">
        <v>0</v>
      </c>
      <c r="I302" s="61">
        <v>0</v>
      </c>
      <c r="J302" s="62">
        <f>-J219</f>
        <v>-66.936777145833119</v>
      </c>
      <c r="K302" s="62">
        <f>-K219</f>
        <v>-83.046905534997236</v>
      </c>
      <c r="L302" s="62">
        <f>-L219</f>
        <v>-100.24454978151132</v>
      </c>
      <c r="M302" s="62">
        <f>-M219</f>
        <v>-119.40752194170852</v>
      </c>
      <c r="N302" s="62">
        <f>-N219</f>
        <v>-139.96053261437876</v>
      </c>
    </row>
    <row r="303" spans="1:14">
      <c r="A303" s="6"/>
      <c r="B303" s="36"/>
      <c r="C303" s="7" t="s">
        <v>32</v>
      </c>
      <c r="F303" s="58"/>
      <c r="G303" s="32">
        <f>-10.3-40.2-24.2-46.1-1.9+20</f>
        <v>-102.70000000000002</v>
      </c>
      <c r="H303" s="32">
        <f>-40.3+0.3-9-7.8+10.5</f>
        <v>-46.3</v>
      </c>
      <c r="I303" s="32">
        <f>-1.2-42.9+2.1-7.9-4.2</f>
        <v>-54.1</v>
      </c>
      <c r="J303" s="244">
        <f>Assumptions!I98</f>
        <v>0</v>
      </c>
      <c r="K303" s="244">
        <f>Assumptions!J98</f>
        <v>0</v>
      </c>
      <c r="L303" s="244">
        <f>Assumptions!K98</f>
        <v>0</v>
      </c>
      <c r="M303" s="244">
        <f>Assumptions!L98</f>
        <v>0</v>
      </c>
      <c r="N303" s="244">
        <f>Assumptions!M98</f>
        <v>0</v>
      </c>
    </row>
    <row r="304" spans="1:14">
      <c r="A304" s="6"/>
      <c r="B304" s="36"/>
      <c r="C304" s="24" t="s">
        <v>27</v>
      </c>
      <c r="F304" s="58"/>
      <c r="G304" s="59">
        <f>SUM(G296:G303)</f>
        <v>-535.04399999999998</v>
      </c>
      <c r="H304" s="59">
        <f>SUM(H296:H303)</f>
        <v>-52.143999999999998</v>
      </c>
      <c r="I304" s="59">
        <f>SUM(I296:I303)</f>
        <v>-158.64400000000001</v>
      </c>
      <c r="J304" s="59">
        <f t="shared" ref="J304:N304" si="100">SUM(J296:J303)</f>
        <v>-292.48077714583314</v>
      </c>
      <c r="K304" s="59">
        <f t="shared" si="100"/>
        <v>-269.68619240407105</v>
      </c>
      <c r="L304" s="59">
        <f t="shared" si="100"/>
        <v>-206.39326291243754</v>
      </c>
      <c r="M304" s="59">
        <f t="shared" si="100"/>
        <v>-195.80152194170853</v>
      </c>
      <c r="N304" s="59">
        <f t="shared" si="100"/>
        <v>-216.35453261437877</v>
      </c>
    </row>
    <row r="305" spans="1:16">
      <c r="A305" s="6"/>
      <c r="B305" s="36"/>
      <c r="C305" s="24"/>
      <c r="F305" s="58"/>
      <c r="G305" s="6"/>
      <c r="H305" s="6"/>
      <c r="I305" s="6"/>
    </row>
    <row r="306" spans="1:16">
      <c r="A306" s="6"/>
      <c r="C306" s="60" t="s">
        <v>48</v>
      </c>
      <c r="F306" s="58"/>
      <c r="G306" s="67">
        <f>G304+G292+G285</f>
        <v>-467.54400000000004</v>
      </c>
      <c r="H306" s="67">
        <f>H304+H292+H285</f>
        <v>156.05599999999995</v>
      </c>
      <c r="I306" s="67">
        <f>I304+I292+I285</f>
        <v>2.4560000000000173</v>
      </c>
      <c r="J306" s="67">
        <f t="shared" ref="J306:N306" si="101">J304+J292+J285</f>
        <v>-143.70782600998911</v>
      </c>
      <c r="K306" s="67">
        <f t="shared" si="101"/>
        <v>-89.66017399001089</v>
      </c>
      <c r="L306" s="67">
        <f t="shared" si="101"/>
        <v>34.607187994296282</v>
      </c>
      <c r="M306" s="67">
        <f t="shared" si="101"/>
        <v>138.56401723310341</v>
      </c>
      <c r="N306" s="67">
        <f t="shared" si="101"/>
        <v>218.15164540146782</v>
      </c>
    </row>
    <row r="307" spans="1:16">
      <c r="A307" s="6"/>
      <c r="C307" s="60" t="s">
        <v>49</v>
      </c>
      <c r="F307" s="58"/>
      <c r="G307" s="32">
        <v>542.4</v>
      </c>
      <c r="H307" s="68">
        <f>G308</f>
        <v>74.855999999999938</v>
      </c>
      <c r="I307" s="68">
        <f>H308</f>
        <v>230.91199999999989</v>
      </c>
      <c r="J307" s="68">
        <f t="shared" ref="J307:N307" si="102">I308</f>
        <v>233.36799999999991</v>
      </c>
      <c r="K307" s="68">
        <f t="shared" si="102"/>
        <v>89.660173990010804</v>
      </c>
      <c r="L307" s="68">
        <f t="shared" si="102"/>
        <v>0</v>
      </c>
      <c r="M307" s="68">
        <f t="shared" si="102"/>
        <v>34.607187994296282</v>
      </c>
      <c r="N307" s="68">
        <f t="shared" si="102"/>
        <v>173.1712052273997</v>
      </c>
    </row>
    <row r="308" spans="1:16">
      <c r="A308" s="6"/>
      <c r="C308" s="29" t="s">
        <v>50</v>
      </c>
      <c r="F308" s="58"/>
      <c r="G308" s="70">
        <f>G307+G306</f>
        <v>74.855999999999938</v>
      </c>
      <c r="H308" s="70">
        <f>H307+H306</f>
        <v>230.91199999999989</v>
      </c>
      <c r="I308" s="70">
        <f>I307+I306</f>
        <v>233.36799999999991</v>
      </c>
      <c r="J308" s="70">
        <f t="shared" ref="J308:N308" si="103">J307+J306</f>
        <v>89.660173990010804</v>
      </c>
      <c r="K308" s="70">
        <f t="shared" si="103"/>
        <v>0</v>
      </c>
      <c r="L308" s="70">
        <f t="shared" si="103"/>
        <v>34.607187994296282</v>
      </c>
      <c r="M308" s="70">
        <f t="shared" si="103"/>
        <v>173.1712052273997</v>
      </c>
      <c r="N308" s="70">
        <f t="shared" si="103"/>
        <v>391.32285062886751</v>
      </c>
    </row>
    <row r="309" spans="1:16">
      <c r="A309" s="6"/>
      <c r="B309" s="42"/>
      <c r="C309" s="42"/>
      <c r="D309" s="42"/>
      <c r="E309" s="42"/>
      <c r="F309" s="42"/>
      <c r="G309" s="42"/>
      <c r="H309" s="42"/>
      <c r="I309" s="42"/>
      <c r="J309" s="83"/>
      <c r="K309" s="268"/>
      <c r="L309" s="269"/>
      <c r="M309" s="269"/>
      <c r="N309" s="270"/>
      <c r="O309" s="34"/>
      <c r="P309" s="34"/>
    </row>
    <row r="310" spans="1:16">
      <c r="A310" s="6"/>
      <c r="B310" s="18"/>
      <c r="C310" s="18"/>
      <c r="D310" s="18"/>
      <c r="E310" s="18"/>
      <c r="F310" s="18"/>
      <c r="G310" s="18"/>
      <c r="H310" s="18"/>
      <c r="I310" s="18"/>
    </row>
    <row r="311" spans="1:16">
      <c r="A311" s="6"/>
      <c r="B311" s="18"/>
      <c r="C311" s="18"/>
      <c r="D311" s="18"/>
      <c r="E311" s="18"/>
      <c r="F311" s="18"/>
      <c r="G311" s="18"/>
      <c r="H311" s="18"/>
      <c r="I311" s="18"/>
    </row>
    <row r="312" spans="1:16" s="6" customFormat="1">
      <c r="B312" s="57"/>
      <c r="C312" s="57"/>
      <c r="D312" s="57"/>
      <c r="E312" s="57"/>
      <c r="F312" s="57"/>
      <c r="G312" s="57"/>
      <c r="H312" s="57"/>
      <c r="I312" s="57"/>
      <c r="L312" s="7" t="str">
        <f>UPPER("currently running: "&amp;TEXT(Scenarios!$E$9,"Base")&amp;" Scenario")</f>
        <v>CURRENTLY RUNNING: BASE SCENARIO</v>
      </c>
    </row>
    <row r="313" spans="1:16" s="6" customFormat="1" ht="31.2">
      <c r="B313" s="86" t="str">
        <f>$B$233</f>
        <v>Global INC</v>
      </c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</row>
    <row r="314" spans="1:16" s="6" customFormat="1" ht="22.8">
      <c r="B314" s="87" t="s">
        <v>28</v>
      </c>
      <c r="C314" s="49"/>
      <c r="D314" s="49"/>
      <c r="E314" s="49"/>
      <c r="F314" s="49"/>
      <c r="G314" s="49"/>
      <c r="H314" s="49"/>
      <c r="I314" s="49"/>
      <c r="J314" s="9"/>
      <c r="K314" s="9"/>
      <c r="L314" s="9"/>
      <c r="M314" s="9"/>
      <c r="N314" s="9"/>
    </row>
    <row r="315" spans="1:16" s="6" customFormat="1" ht="6" customHeight="1" thickBot="1"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</row>
    <row r="316" spans="1:16" s="6" customFormat="1" ht="6" customHeight="1">
      <c r="B316" s="13"/>
    </row>
    <row r="317" spans="1:16" s="6" customFormat="1" ht="13.8">
      <c r="B317" s="13" t="str">
        <f>$B$236</f>
        <v>($ Millions)</v>
      </c>
      <c r="D317" s="47"/>
      <c r="E317" s="47"/>
      <c r="G317" s="71"/>
      <c r="H317" s="71"/>
      <c r="I317" s="71"/>
    </row>
    <row r="318" spans="1:16" s="6" customFormat="1">
      <c r="B318" s="72"/>
      <c r="F318" s="51"/>
      <c r="G318" s="16">
        <f>G$238</f>
        <v>2015</v>
      </c>
      <c r="H318" s="16">
        <f t="shared" ref="H318:I318" si="104">H$238</f>
        <v>2016</v>
      </c>
      <c r="I318" s="16">
        <f t="shared" si="104"/>
        <v>2017</v>
      </c>
      <c r="J318" s="17">
        <f t="shared" ref="J318:N318" si="105">I318+1</f>
        <v>2018</v>
      </c>
      <c r="K318" s="17">
        <f t="shared" si="105"/>
        <v>2019</v>
      </c>
      <c r="L318" s="17">
        <f t="shared" si="105"/>
        <v>2020</v>
      </c>
      <c r="M318" s="17">
        <f t="shared" si="105"/>
        <v>2021</v>
      </c>
      <c r="N318" s="17">
        <f t="shared" si="105"/>
        <v>2022</v>
      </c>
    </row>
    <row r="319" spans="1:16">
      <c r="A319" s="6"/>
      <c r="B319" s="24" t="s">
        <v>29</v>
      </c>
      <c r="G319" s="18"/>
      <c r="H319" s="18"/>
      <c r="I319" s="73"/>
    </row>
    <row r="320" spans="1:16">
      <c r="A320" s="6"/>
      <c r="C320" s="7" t="s">
        <v>51</v>
      </c>
      <c r="F320" s="55"/>
      <c r="G320" s="61">
        <v>74.855999999999995</v>
      </c>
      <c r="H320" s="61">
        <v>230.91199999999989</v>
      </c>
      <c r="I320" s="61">
        <v>233.36799999999991</v>
      </c>
      <c r="J320" s="79">
        <f>J308</f>
        <v>89.660173990010804</v>
      </c>
      <c r="K320" s="79">
        <f t="shared" ref="K320:N320" si="106">K308</f>
        <v>0</v>
      </c>
      <c r="L320" s="79">
        <f t="shared" si="106"/>
        <v>34.607187994296282</v>
      </c>
      <c r="M320" s="79">
        <f t="shared" si="106"/>
        <v>173.1712052273997</v>
      </c>
      <c r="N320" s="79">
        <f t="shared" si="106"/>
        <v>391.32285062886751</v>
      </c>
    </row>
    <row r="321" spans="1:14">
      <c r="A321" s="6"/>
      <c r="C321" s="7" t="s">
        <v>30</v>
      </c>
      <c r="F321" s="55"/>
      <c r="G321" s="61">
        <v>266.60000000000002</v>
      </c>
      <c r="H321" s="61">
        <v>306.8</v>
      </c>
      <c r="I321" s="61">
        <v>308.39999999999998</v>
      </c>
      <c r="J321" s="79">
        <f t="shared" ref="J321:N323" si="107">J98</f>
        <v>341.85033636986293</v>
      </c>
      <c r="K321" s="79">
        <f t="shared" si="107"/>
        <v>359.37059350433213</v>
      </c>
      <c r="L321" s="79">
        <f t="shared" si="107"/>
        <v>376.79683739364577</v>
      </c>
      <c r="M321" s="79">
        <f t="shared" si="107"/>
        <v>397.27737776549435</v>
      </c>
      <c r="N321" s="79">
        <f t="shared" si="107"/>
        <v>417.76944243338835</v>
      </c>
    </row>
    <row r="322" spans="1:14">
      <c r="A322" s="6"/>
      <c r="C322" s="7" t="s">
        <v>31</v>
      </c>
      <c r="F322" s="55"/>
      <c r="G322" s="61">
        <v>532.70000000000005</v>
      </c>
      <c r="H322" s="61">
        <v>630.20000000000005</v>
      </c>
      <c r="I322" s="61">
        <v>685.9</v>
      </c>
      <c r="J322" s="79">
        <f t="shared" si="107"/>
        <v>698.81100953424664</v>
      </c>
      <c r="K322" s="79">
        <f t="shared" si="107"/>
        <v>718.25252138709038</v>
      </c>
      <c r="L322" s="79">
        <f t="shared" si="107"/>
        <v>736.3420318054923</v>
      </c>
      <c r="M322" s="79">
        <f t="shared" si="107"/>
        <v>759.158967672328</v>
      </c>
      <c r="N322" s="79">
        <f t="shared" si="107"/>
        <v>780.67975735630603</v>
      </c>
    </row>
    <row r="323" spans="1:14">
      <c r="A323" s="6"/>
      <c r="C323" s="66" t="s">
        <v>32</v>
      </c>
      <c r="F323" s="55"/>
      <c r="G323" s="32">
        <f>27.3+11.1+13</f>
        <v>51.4</v>
      </c>
      <c r="H323" s="32">
        <f>27+19.3+14.7</f>
        <v>61</v>
      </c>
      <c r="I323" s="32">
        <f>39.6+8+17.7</f>
        <v>65.3</v>
      </c>
      <c r="J323" s="227">
        <f t="shared" si="107"/>
        <v>70.666281863013708</v>
      </c>
      <c r="K323" s="227">
        <f t="shared" si="107"/>
        <v>72.632277443638358</v>
      </c>
      <c r="L323" s="227">
        <f t="shared" si="107"/>
        <v>74.461553778083498</v>
      </c>
      <c r="M323" s="227">
        <f t="shared" si="107"/>
        <v>76.768884371359007</v>
      </c>
      <c r="N323" s="227">
        <f t="shared" si="107"/>
        <v>78.945144002323076</v>
      </c>
    </row>
    <row r="324" spans="1:14">
      <c r="A324" s="6"/>
      <c r="C324" s="29" t="s">
        <v>33</v>
      </c>
      <c r="F324" s="63"/>
      <c r="G324" s="67">
        <f>SUM(G320:G323)</f>
        <v>925.55600000000004</v>
      </c>
      <c r="H324" s="67">
        <f>SUM(H320:H323)</f>
        <v>1228.9119999999998</v>
      </c>
      <c r="I324" s="67">
        <f>SUM(I320:I323)</f>
        <v>1292.9679999999998</v>
      </c>
      <c r="J324" s="67">
        <f>SUM(J320:J323)</f>
        <v>1200.9878017571339</v>
      </c>
      <c r="K324" s="67">
        <f t="shared" ref="K324:N324" si="108">SUM(K320:K323)</f>
        <v>1150.2553923350608</v>
      </c>
      <c r="L324" s="67">
        <f t="shared" si="108"/>
        <v>1222.2076109715179</v>
      </c>
      <c r="M324" s="67">
        <f t="shared" si="108"/>
        <v>1406.3764350365809</v>
      </c>
      <c r="N324" s="67">
        <f t="shared" si="108"/>
        <v>1668.7171944208849</v>
      </c>
    </row>
    <row r="325" spans="1:14" ht="10.95" customHeight="1">
      <c r="A325" s="6"/>
      <c r="F325" s="53"/>
      <c r="G325" s="74"/>
      <c r="H325" s="74"/>
      <c r="I325" s="74"/>
    </row>
    <row r="326" spans="1:14">
      <c r="A326" s="6"/>
      <c r="C326" s="7" t="s">
        <v>34</v>
      </c>
      <c r="F326" s="55"/>
      <c r="G326" s="61">
        <v>515.29999999999995</v>
      </c>
      <c r="H326" s="61">
        <v>586.9</v>
      </c>
      <c r="I326" s="61">
        <v>636.6</v>
      </c>
      <c r="J326" s="261">
        <f>J74</f>
        <v>783.36666666666667</v>
      </c>
      <c r="K326" s="261">
        <f>K74</f>
        <v>939.30000000000018</v>
      </c>
      <c r="L326" s="261">
        <f>L74</f>
        <v>1102.7333333333336</v>
      </c>
      <c r="M326" s="261">
        <f>M74</f>
        <v>1247.8333333333335</v>
      </c>
      <c r="N326" s="261">
        <f>N74</f>
        <v>1374.6000000000001</v>
      </c>
    </row>
    <row r="327" spans="1:14">
      <c r="A327" s="6"/>
      <c r="C327" s="7" t="s">
        <v>35</v>
      </c>
      <c r="F327" s="55"/>
      <c r="G327" s="61">
        <v>116</v>
      </c>
      <c r="H327" s="61">
        <v>115.9</v>
      </c>
      <c r="I327" s="61">
        <v>116</v>
      </c>
      <c r="J327" s="6">
        <f>Assumptions!I79</f>
        <v>116</v>
      </c>
      <c r="K327" s="6">
        <f>Assumptions!J79</f>
        <v>116</v>
      </c>
      <c r="L327" s="6">
        <f>Assumptions!K79</f>
        <v>116</v>
      </c>
      <c r="M327" s="6">
        <f>Assumptions!L79</f>
        <v>116</v>
      </c>
      <c r="N327" s="6">
        <f>Assumptions!M79</f>
        <v>116</v>
      </c>
    </row>
    <row r="328" spans="1:14">
      <c r="A328" s="6"/>
      <c r="C328" s="7" t="s">
        <v>36</v>
      </c>
      <c r="F328" s="55"/>
      <c r="G328" s="61">
        <f>335.9-116</f>
        <v>219.89999999999998</v>
      </c>
      <c r="H328" s="61">
        <f>336.5-115.9</f>
        <v>220.6</v>
      </c>
      <c r="I328" s="61">
        <f>323.9-116</f>
        <v>207.89999999999998</v>
      </c>
      <c r="J328" s="6">
        <f>Assumptions!I83</f>
        <v>207.89999999999998</v>
      </c>
      <c r="K328" s="6">
        <f>Assumptions!J83</f>
        <v>207.89999999999998</v>
      </c>
      <c r="L328" s="6">
        <f>Assumptions!K83</f>
        <v>207.89999999999998</v>
      </c>
      <c r="M328" s="6">
        <f>Assumptions!L83</f>
        <v>207.89999999999998</v>
      </c>
      <c r="N328" s="6">
        <f>Assumptions!M83</f>
        <v>207.89999999999998</v>
      </c>
    </row>
    <row r="329" spans="1:14">
      <c r="A329" s="6"/>
      <c r="C329" s="66" t="s">
        <v>32</v>
      </c>
      <c r="F329" s="55"/>
      <c r="G329" s="61">
        <f>53.9+21.4+95.7+2.9</f>
        <v>173.9</v>
      </c>
      <c r="H329" s="61">
        <f>57.6+20.3+114.5+2.1</f>
        <v>194.5</v>
      </c>
      <c r="I329" s="61">
        <f>33.9+22.2+133.3+0.7</f>
        <v>190.1</v>
      </c>
      <c r="J329" s="6">
        <f>Assumptions!I87</f>
        <v>190.1</v>
      </c>
      <c r="K329" s="6">
        <f>Assumptions!J87</f>
        <v>190.1</v>
      </c>
      <c r="L329" s="6">
        <f>Assumptions!K87</f>
        <v>190.1</v>
      </c>
      <c r="M329" s="6">
        <f>Assumptions!L87</f>
        <v>190.1</v>
      </c>
      <c r="N329" s="6">
        <f>Assumptions!M87</f>
        <v>190.1</v>
      </c>
    </row>
    <row r="330" spans="1:14">
      <c r="A330" s="6"/>
      <c r="C330" s="36" t="s">
        <v>37</v>
      </c>
      <c r="F330" s="55"/>
      <c r="G330" s="75">
        <f>SUM(G326:G329)</f>
        <v>1025.0999999999999</v>
      </c>
      <c r="H330" s="75">
        <f t="shared" ref="H330:N330" si="109">SUM(H326:H329)</f>
        <v>1117.9000000000001</v>
      </c>
      <c r="I330" s="75">
        <f t="shared" si="109"/>
        <v>1150.5999999999999</v>
      </c>
      <c r="J330" s="75">
        <f t="shared" si="109"/>
        <v>1297.3666666666666</v>
      </c>
      <c r="K330" s="75">
        <f t="shared" si="109"/>
        <v>1453.3000000000002</v>
      </c>
      <c r="L330" s="75">
        <f t="shared" si="109"/>
        <v>1616.7333333333336</v>
      </c>
      <c r="M330" s="75">
        <f t="shared" si="109"/>
        <v>1761.8333333333335</v>
      </c>
      <c r="N330" s="75">
        <f t="shared" si="109"/>
        <v>1888.6</v>
      </c>
    </row>
    <row r="331" spans="1:14" ht="10.95" customHeight="1">
      <c r="A331" s="6"/>
      <c r="C331" s="66"/>
      <c r="F331" s="53"/>
      <c r="G331" s="74"/>
      <c r="H331" s="74"/>
      <c r="I331" s="74"/>
    </row>
    <row r="332" spans="1:14" ht="13.8" thickBot="1">
      <c r="A332" s="6"/>
      <c r="C332" s="24" t="s">
        <v>38</v>
      </c>
      <c r="F332" s="58"/>
      <c r="G332" s="76">
        <f>G324+G330</f>
        <v>1950.6559999999999</v>
      </c>
      <c r="H332" s="76">
        <f>H324+H330</f>
        <v>2346.8119999999999</v>
      </c>
      <c r="I332" s="76">
        <f t="shared" ref="I332:N332" si="110">I324+I330</f>
        <v>2443.5679999999998</v>
      </c>
      <c r="J332" s="76">
        <f t="shared" si="110"/>
        <v>2498.3544684238004</v>
      </c>
      <c r="K332" s="76">
        <f t="shared" si="110"/>
        <v>2603.5553923350608</v>
      </c>
      <c r="L332" s="76">
        <f t="shared" si="110"/>
        <v>2838.9409443048517</v>
      </c>
      <c r="M332" s="76">
        <f t="shared" si="110"/>
        <v>3168.2097683699144</v>
      </c>
      <c r="N332" s="76">
        <f t="shared" si="110"/>
        <v>3557.3171944208848</v>
      </c>
    </row>
    <row r="333" spans="1:14" ht="13.8" thickTop="1">
      <c r="A333" s="6"/>
      <c r="F333" s="53"/>
      <c r="G333" s="74"/>
      <c r="H333" s="74"/>
      <c r="I333" s="74"/>
    </row>
    <row r="334" spans="1:14">
      <c r="A334" s="6"/>
      <c r="F334" s="53"/>
      <c r="G334" s="74"/>
      <c r="H334" s="74"/>
      <c r="I334" s="74"/>
    </row>
    <row r="335" spans="1:14">
      <c r="A335" s="6"/>
      <c r="B335" s="29" t="s">
        <v>39</v>
      </c>
      <c r="F335" s="53"/>
      <c r="G335" s="74"/>
      <c r="H335" s="74"/>
      <c r="I335" s="74"/>
    </row>
    <row r="336" spans="1:14">
      <c r="A336" s="6"/>
      <c r="C336" s="66" t="s">
        <v>40</v>
      </c>
      <c r="F336" s="55"/>
      <c r="G336" s="61">
        <v>10.5</v>
      </c>
      <c r="H336" s="61">
        <v>0</v>
      </c>
      <c r="I336" s="61">
        <v>0</v>
      </c>
      <c r="J336" s="261">
        <f>J165</f>
        <v>0</v>
      </c>
      <c r="K336" s="261">
        <f>K165</f>
        <v>29.754713130926206</v>
      </c>
      <c r="L336" s="261">
        <f>L165</f>
        <v>0</v>
      </c>
      <c r="M336" s="261">
        <f>M165</f>
        <v>0</v>
      </c>
      <c r="N336" s="261">
        <f>N165</f>
        <v>0</v>
      </c>
    </row>
    <row r="337" spans="1:17">
      <c r="A337" s="6"/>
      <c r="C337" s="66" t="s">
        <v>41</v>
      </c>
      <c r="F337" s="55"/>
      <c r="G337" s="77">
        <v>547</v>
      </c>
      <c r="H337" s="77">
        <v>678.4</v>
      </c>
      <c r="I337" s="77">
        <v>650.29999999999995</v>
      </c>
      <c r="J337" s="79">
        <f>Model!J101</f>
        <v>706.66281863013705</v>
      </c>
      <c r="K337" s="79">
        <f>Model!K101</f>
        <v>726.3227744363835</v>
      </c>
      <c r="L337" s="79">
        <f>Model!L101</f>
        <v>744.61553778083498</v>
      </c>
      <c r="M337" s="79">
        <f>Model!M101</f>
        <v>767.68884371359013</v>
      </c>
      <c r="N337" s="79">
        <f>Model!N101</f>
        <v>789.45144002323082</v>
      </c>
    </row>
    <row r="338" spans="1:17">
      <c r="A338" s="6"/>
      <c r="C338" s="66" t="s">
        <v>32</v>
      </c>
      <c r="F338" s="55"/>
      <c r="G338" s="32">
        <f>770.5-547-10.5-6.4</f>
        <v>206.6</v>
      </c>
      <c r="H338" s="32">
        <f>938.2-678.4-11.3</f>
        <v>248.50000000000006</v>
      </c>
      <c r="I338" s="32">
        <f>931.3-650.3-14.8</f>
        <v>266.2</v>
      </c>
      <c r="J338" s="227">
        <f>Model!J102</f>
        <v>274.81331835616442</v>
      </c>
      <c r="K338" s="227">
        <f>Model!K102</f>
        <v>282.45885672526026</v>
      </c>
      <c r="L338" s="227">
        <f>Model!L102</f>
        <v>289.57270913699136</v>
      </c>
      <c r="M338" s="227">
        <f>Model!M102</f>
        <v>298.5456614441739</v>
      </c>
      <c r="N338" s="227">
        <f>Model!N102</f>
        <v>307.00889334236751</v>
      </c>
    </row>
    <row r="339" spans="1:17">
      <c r="A339" s="6"/>
      <c r="C339" s="29" t="s">
        <v>42</v>
      </c>
      <c r="F339" s="63"/>
      <c r="G339" s="69">
        <f>SUM(G336:G338)</f>
        <v>764.1</v>
      </c>
      <c r="H339" s="69">
        <f t="shared" ref="H339:N339" si="111">SUM(H336:H338)</f>
        <v>926.90000000000009</v>
      </c>
      <c r="I339" s="69">
        <f t="shared" si="111"/>
        <v>916.5</v>
      </c>
      <c r="J339" s="69">
        <f t="shared" si="111"/>
        <v>981.47613698630153</v>
      </c>
      <c r="K339" s="69">
        <f t="shared" si="111"/>
        <v>1038.53634429257</v>
      </c>
      <c r="L339" s="69">
        <f t="shared" si="111"/>
        <v>1034.1882469178263</v>
      </c>
      <c r="M339" s="69">
        <f t="shared" si="111"/>
        <v>1066.234505157764</v>
      </c>
      <c r="N339" s="69">
        <f t="shared" si="111"/>
        <v>1096.4603333655982</v>
      </c>
    </row>
    <row r="340" spans="1:17" ht="10.95" customHeight="1">
      <c r="A340" s="6"/>
      <c r="F340" s="53"/>
      <c r="G340" s="74"/>
      <c r="H340" s="74"/>
      <c r="I340" s="74"/>
    </row>
    <row r="341" spans="1:17">
      <c r="A341" s="6"/>
      <c r="C341" s="66" t="s">
        <v>52</v>
      </c>
      <c r="F341" s="78"/>
      <c r="G341" s="33">
        <v>0</v>
      </c>
      <c r="H341" s="33">
        <v>0</v>
      </c>
      <c r="I341" s="33">
        <v>250</v>
      </c>
      <c r="J341" s="79">
        <f>J174</f>
        <v>225</v>
      </c>
      <c r="K341" s="79">
        <f>K174</f>
        <v>200</v>
      </c>
      <c r="L341" s="79">
        <f>L174</f>
        <v>175</v>
      </c>
      <c r="M341" s="79">
        <f>M174</f>
        <v>150</v>
      </c>
      <c r="N341" s="79">
        <f>N174</f>
        <v>125</v>
      </c>
      <c r="O341" s="6"/>
      <c r="P341" s="6"/>
    </row>
    <row r="342" spans="1:17">
      <c r="A342" s="6"/>
      <c r="C342" s="66" t="s">
        <v>53</v>
      </c>
      <c r="F342" s="78"/>
      <c r="G342" s="33">
        <f>883.5+6.4</f>
        <v>889.9</v>
      </c>
      <c r="H342" s="33">
        <f>1024.2+11.3</f>
        <v>1035.5</v>
      </c>
      <c r="I342" s="33">
        <f>1131.8+14.8-250</f>
        <v>896.59999999999991</v>
      </c>
      <c r="J342" s="79">
        <f>J183</f>
        <v>846.59999999999991</v>
      </c>
      <c r="K342" s="79">
        <f>K183</f>
        <v>796.59999999999991</v>
      </c>
      <c r="L342" s="79">
        <f>L183</f>
        <v>746.59999999999991</v>
      </c>
      <c r="M342" s="79">
        <f>M183</f>
        <v>696.59999999999991</v>
      </c>
      <c r="N342" s="79">
        <f>N183</f>
        <v>646.59999999999991</v>
      </c>
      <c r="O342" s="6"/>
      <c r="P342" s="6"/>
      <c r="Q342" s="6"/>
    </row>
    <row r="343" spans="1:17">
      <c r="A343" s="6"/>
      <c r="C343" s="7" t="s">
        <v>14</v>
      </c>
      <c r="F343" s="78"/>
      <c r="G343" s="33">
        <v>14</v>
      </c>
      <c r="H343" s="33">
        <v>17.7</v>
      </c>
      <c r="I343" s="33">
        <v>28.8</v>
      </c>
      <c r="J343" s="79">
        <f>J128+I343</f>
        <v>42.8</v>
      </c>
      <c r="K343" s="79">
        <f>K128+J343</f>
        <v>56.8</v>
      </c>
      <c r="L343" s="79">
        <f>L128+K343</f>
        <v>70.8</v>
      </c>
      <c r="M343" s="79">
        <f>M128+L343</f>
        <v>84.8</v>
      </c>
      <c r="N343" s="79">
        <f>N128+M343</f>
        <v>98.8</v>
      </c>
    </row>
    <row r="344" spans="1:17">
      <c r="A344" s="6"/>
      <c r="C344" s="66" t="s">
        <v>32</v>
      </c>
      <c r="F344" s="78"/>
      <c r="G344" s="32">
        <f>66.4+32.2+203+22.4</f>
        <v>324</v>
      </c>
      <c r="H344" s="32">
        <f>69.1+34.5+267.5+23.6</f>
        <v>394.70000000000005</v>
      </c>
      <c r="I344" s="32">
        <f>89.4+31.8+224.1+22.1</f>
        <v>367.40000000000003</v>
      </c>
      <c r="J344" s="83">
        <f>Assumptions!I91</f>
        <v>367.40000000000003</v>
      </c>
      <c r="K344" s="83">
        <f>Assumptions!J91</f>
        <v>367.40000000000003</v>
      </c>
      <c r="L344" s="83">
        <f>Assumptions!K91</f>
        <v>367.40000000000003</v>
      </c>
      <c r="M344" s="83">
        <f>Assumptions!L91</f>
        <v>367.40000000000003</v>
      </c>
      <c r="N344" s="83">
        <f>Assumptions!M91</f>
        <v>367.40000000000003</v>
      </c>
    </row>
    <row r="345" spans="1:17" s="6" customFormat="1">
      <c r="B345" s="7"/>
      <c r="C345" s="36" t="s">
        <v>43</v>
      </c>
      <c r="D345" s="7"/>
      <c r="E345" s="7"/>
      <c r="F345" s="55"/>
      <c r="G345" s="67">
        <f>SUM(G341:G344)</f>
        <v>1227.9000000000001</v>
      </c>
      <c r="H345" s="67">
        <f>SUM(H341:H344)</f>
        <v>1447.9</v>
      </c>
      <c r="I345" s="67">
        <f>SUM(I341:I344)</f>
        <v>1542.8</v>
      </c>
      <c r="J345" s="67">
        <f t="shared" ref="J345:N345" si="112">SUM(J341:J344)</f>
        <v>1481.8</v>
      </c>
      <c r="K345" s="67">
        <f t="shared" si="112"/>
        <v>1420.8</v>
      </c>
      <c r="L345" s="67">
        <f t="shared" si="112"/>
        <v>1359.8</v>
      </c>
      <c r="M345" s="67">
        <f t="shared" si="112"/>
        <v>1298.8</v>
      </c>
      <c r="N345" s="67">
        <f t="shared" si="112"/>
        <v>1237.8</v>
      </c>
    </row>
    <row r="346" spans="1:17" s="6" customFormat="1" ht="10.95" customHeight="1">
      <c r="B346" s="7"/>
      <c r="C346" s="29"/>
      <c r="D346" s="7"/>
      <c r="E346" s="7"/>
      <c r="F346" s="53"/>
      <c r="G346" s="74"/>
      <c r="H346" s="74"/>
      <c r="I346" s="74"/>
    </row>
    <row r="347" spans="1:17" s="6" customFormat="1">
      <c r="B347" s="7"/>
      <c r="C347" s="36" t="s">
        <v>44</v>
      </c>
      <c r="D347" s="7"/>
      <c r="E347" s="7"/>
      <c r="F347" s="58"/>
      <c r="G347" s="31">
        <f>G345+G339</f>
        <v>1992</v>
      </c>
      <c r="H347" s="31">
        <f>H345+H339</f>
        <v>2374.8000000000002</v>
      </c>
      <c r="I347" s="31">
        <f>I345+I339</f>
        <v>2459.3000000000002</v>
      </c>
      <c r="J347" s="31">
        <f t="shared" ref="J347:N347" si="113">J345+J339</f>
        <v>2463.2761369863015</v>
      </c>
      <c r="K347" s="31">
        <f t="shared" si="113"/>
        <v>2459.3363442925702</v>
      </c>
      <c r="L347" s="31">
        <f t="shared" si="113"/>
        <v>2393.9882469178265</v>
      </c>
      <c r="M347" s="31">
        <f t="shared" si="113"/>
        <v>2365.0345051577642</v>
      </c>
      <c r="N347" s="31">
        <f t="shared" si="113"/>
        <v>2334.2603333655979</v>
      </c>
    </row>
    <row r="348" spans="1:17" s="6" customFormat="1" ht="10.95" customHeight="1">
      <c r="B348" s="7"/>
      <c r="C348" s="7"/>
      <c r="D348" s="7"/>
      <c r="E348" s="7"/>
      <c r="F348" s="53"/>
      <c r="G348" s="74"/>
      <c r="H348" s="74"/>
      <c r="I348" s="74"/>
    </row>
    <row r="349" spans="1:17" s="6" customFormat="1">
      <c r="B349" s="7"/>
      <c r="C349" s="7" t="s">
        <v>58</v>
      </c>
      <c r="D349" s="7"/>
      <c r="E349" s="7"/>
      <c r="F349" s="63"/>
      <c r="G349" s="61">
        <v>6.4</v>
      </c>
      <c r="H349" s="61">
        <v>6.4</v>
      </c>
      <c r="I349" s="61">
        <v>6.4</v>
      </c>
      <c r="J349" s="79">
        <f>J204</f>
        <v>6.4</v>
      </c>
      <c r="K349" s="79">
        <f>K204</f>
        <v>16.399999999999999</v>
      </c>
      <c r="L349" s="79">
        <f>L204</f>
        <v>16.399999999999999</v>
      </c>
      <c r="M349" s="79">
        <f>M204</f>
        <v>16.399999999999999</v>
      </c>
      <c r="N349" s="79">
        <f>N204</f>
        <v>16.399999999999999</v>
      </c>
    </row>
    <row r="350" spans="1:17" s="6" customFormat="1">
      <c r="B350" s="7"/>
      <c r="C350" s="7" t="s">
        <v>59</v>
      </c>
      <c r="D350" s="7"/>
      <c r="E350" s="7"/>
      <c r="F350" s="63"/>
      <c r="G350" s="61">
        <f>360.4-6.4+11.3</f>
        <v>365.3</v>
      </c>
      <c r="H350" s="61">
        <f>361.9-6.4+16.4</f>
        <v>371.9</v>
      </c>
      <c r="I350" s="61">
        <f>331.3-6.4+21.5</f>
        <v>346.40000000000003</v>
      </c>
      <c r="J350" s="79">
        <f>J214</f>
        <v>196.40000000000003</v>
      </c>
      <c r="K350" s="79">
        <f>K214</f>
        <v>46.400000000000034</v>
      </c>
      <c r="L350" s="79">
        <f>L214</f>
        <v>46.400000000000034</v>
      </c>
      <c r="M350" s="79">
        <f>M214</f>
        <v>46.400000000000034</v>
      </c>
      <c r="N350" s="79">
        <f>N214</f>
        <v>46.400000000000034</v>
      </c>
    </row>
    <row r="351" spans="1:17" s="6" customFormat="1">
      <c r="B351" s="7"/>
      <c r="C351" s="7" t="s">
        <v>45</v>
      </c>
      <c r="D351" s="7"/>
      <c r="E351" s="7"/>
      <c r="F351" s="63"/>
      <c r="G351" s="61">
        <v>-429.24399999999997</v>
      </c>
      <c r="H351" s="61">
        <v>-419.88799999999998</v>
      </c>
      <c r="I351" s="61">
        <v>-395.23199999999997</v>
      </c>
      <c r="J351" s="79">
        <f>J228</f>
        <v>-194.4216685625006</v>
      </c>
      <c r="K351" s="79">
        <f>K228</f>
        <v>54.71904804249111</v>
      </c>
      <c r="L351" s="79">
        <f>L228</f>
        <v>355.45269738702507</v>
      </c>
      <c r="M351" s="79">
        <f>M228</f>
        <v>713.67526321215064</v>
      </c>
      <c r="N351" s="79">
        <f>N228</f>
        <v>1133.5568610552868</v>
      </c>
    </row>
    <row r="352" spans="1:17" s="6" customFormat="1">
      <c r="B352" s="7"/>
      <c r="C352" s="7" t="s">
        <v>32</v>
      </c>
      <c r="D352" s="7"/>
      <c r="E352" s="7"/>
      <c r="F352" s="63"/>
      <c r="G352" s="32">
        <f>14.4-0.5+2.3</f>
        <v>16.2</v>
      </c>
      <c r="H352" s="32">
        <f>13.1-2.2+2.7</f>
        <v>13.599999999999998</v>
      </c>
      <c r="I352" s="32">
        <f>24.5-3+5.2</f>
        <v>26.7</v>
      </c>
      <c r="J352" s="83">
        <f>Assumptions!I95</f>
        <v>26.7</v>
      </c>
      <c r="K352" s="83">
        <f>Assumptions!J95</f>
        <v>26.7</v>
      </c>
      <c r="L352" s="83">
        <f>Assumptions!K95</f>
        <v>26.7</v>
      </c>
      <c r="M352" s="83">
        <f>Assumptions!L95</f>
        <v>26.7</v>
      </c>
      <c r="N352" s="83">
        <f>Assumptions!M95</f>
        <v>26.7</v>
      </c>
    </row>
    <row r="353" spans="1:14" s="6" customFormat="1">
      <c r="B353" s="7"/>
      <c r="C353" s="29" t="s">
        <v>46</v>
      </c>
      <c r="D353" s="7"/>
      <c r="E353" s="7"/>
      <c r="F353" s="55"/>
      <c r="G353" s="70">
        <f>SUM(G349:G352)</f>
        <v>-41.34399999999998</v>
      </c>
      <c r="H353" s="70">
        <f>SUM(H349:H352)</f>
        <v>-27.988000000000024</v>
      </c>
      <c r="I353" s="70">
        <f>SUM(I349:I352)</f>
        <v>-15.73199999999996</v>
      </c>
      <c r="J353" s="70">
        <f t="shared" ref="J353:N353" si="114">SUM(J349:J352)</f>
        <v>35.078331437499443</v>
      </c>
      <c r="K353" s="70">
        <f t="shared" si="114"/>
        <v>144.21904804249112</v>
      </c>
      <c r="L353" s="70">
        <f t="shared" si="114"/>
        <v>444.95269738702507</v>
      </c>
      <c r="M353" s="70">
        <f t="shared" si="114"/>
        <v>803.17526321215075</v>
      </c>
      <c r="N353" s="70">
        <f t="shared" si="114"/>
        <v>1223.0568610552868</v>
      </c>
    </row>
    <row r="354" spans="1:14" s="6" customFormat="1">
      <c r="B354" s="7"/>
      <c r="C354" s="7"/>
      <c r="D354" s="7"/>
      <c r="E354" s="7"/>
      <c r="F354" s="53"/>
      <c r="G354" s="74"/>
      <c r="H354" s="74"/>
      <c r="I354" s="74"/>
    </row>
    <row r="355" spans="1:14" s="6" customFormat="1" ht="13.8" thickBot="1">
      <c r="B355" s="29" t="s">
        <v>47</v>
      </c>
      <c r="C355" s="7"/>
      <c r="D355" s="7"/>
      <c r="E355" s="7"/>
      <c r="F355" s="58"/>
      <c r="G355" s="76">
        <f>G353+G347</f>
        <v>1950.6559999999999</v>
      </c>
      <c r="H355" s="76">
        <f>H353+H347</f>
        <v>2346.8120000000004</v>
      </c>
      <c r="I355" s="76">
        <f>I353+I347</f>
        <v>2443.5680000000002</v>
      </c>
      <c r="J355" s="76">
        <f t="shared" ref="J355:N355" si="115">J353+J347</f>
        <v>2498.3544684238009</v>
      </c>
      <c r="K355" s="76">
        <f t="shared" si="115"/>
        <v>2603.5553923350612</v>
      </c>
      <c r="L355" s="76">
        <f t="shared" si="115"/>
        <v>2838.9409443048517</v>
      </c>
      <c r="M355" s="76">
        <f t="shared" si="115"/>
        <v>3168.2097683699149</v>
      </c>
      <c r="N355" s="76">
        <f t="shared" si="115"/>
        <v>3557.3171944208848</v>
      </c>
    </row>
    <row r="356" spans="1:14" s="6" customFormat="1" ht="6" customHeight="1" thickTop="1">
      <c r="B356" s="7"/>
      <c r="C356" s="7"/>
      <c r="D356" s="7"/>
      <c r="E356" s="7"/>
      <c r="F356" s="80"/>
      <c r="G356" s="81"/>
      <c r="H356" s="81"/>
      <c r="I356" s="80"/>
    </row>
    <row r="357" spans="1:14" s="6" customFormat="1" ht="6" customHeight="1">
      <c r="B357" s="82"/>
      <c r="C357" s="42"/>
      <c r="D357" s="42"/>
      <c r="E357" s="42"/>
      <c r="F357" s="42"/>
      <c r="G357" s="83"/>
      <c r="H357" s="83"/>
      <c r="I357" s="42"/>
      <c r="J357" s="83"/>
      <c r="K357" s="83"/>
      <c r="L357" s="83"/>
      <c r="M357" s="83"/>
      <c r="N357" s="83"/>
    </row>
    <row r="358" spans="1:14" s="6" customFormat="1">
      <c r="B358" s="84"/>
      <c r="C358" s="18"/>
      <c r="D358" s="18"/>
      <c r="E358" s="18"/>
      <c r="F358" s="18"/>
      <c r="G358" s="252">
        <f>G355-G332</f>
        <v>0</v>
      </c>
      <c r="H358" s="252">
        <f t="shared" ref="H358:N358" si="116">H355-H332</f>
        <v>0</v>
      </c>
      <c r="I358" s="252">
        <f t="shared" si="116"/>
        <v>0</v>
      </c>
      <c r="J358" s="252">
        <f t="shared" si="116"/>
        <v>0</v>
      </c>
      <c r="K358" s="252">
        <f t="shared" si="116"/>
        <v>0</v>
      </c>
      <c r="L358" s="252">
        <f t="shared" si="116"/>
        <v>0</v>
      </c>
      <c r="M358" s="252">
        <f t="shared" si="116"/>
        <v>0</v>
      </c>
      <c r="N358" s="252">
        <f t="shared" si="116"/>
        <v>0</v>
      </c>
    </row>
    <row r="359" spans="1:14" s="6" customFormat="1">
      <c r="A359" s="7"/>
      <c r="B359" s="7"/>
      <c r="C359" s="7"/>
      <c r="D359" s="7"/>
      <c r="E359" s="7"/>
      <c r="F359" s="7"/>
      <c r="G359" s="85"/>
      <c r="H359" s="85"/>
      <c r="I359" s="85"/>
    </row>
  </sheetData>
  <sheetProtection formatCells="0"/>
  <printOptions horizontalCentered="1"/>
  <pageMargins left="0.25" right="0.25" top="0.25" bottom="0.5" header="0.25" footer="0.25"/>
  <pageSetup scale="76" orientation="landscape" r:id="rId1"/>
  <headerFooter alignWithMargins="0">
    <oddFooter>&amp;C&amp;P of &amp;N&amp;RShcherbina Yury</oddFooter>
  </headerFooter>
  <rowBreaks count="1" manualBreakCount="1">
    <brk id="230" max="14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E1D4D-951A-4BF0-A474-588DB6127C10}">
  <dimension ref="A1:O32"/>
  <sheetViews>
    <sheetView showGridLines="0" tabSelected="1" view="pageBreakPreview" zoomScale="90" zoomScaleNormal="70" zoomScaleSheetLayoutView="90" workbookViewId="0">
      <selection activeCell="D13" sqref="D13"/>
    </sheetView>
  </sheetViews>
  <sheetFormatPr defaultColWidth="9.21875" defaultRowHeight="13.2"/>
  <cols>
    <col min="1" max="1" width="7.77734375" style="7" customWidth="1"/>
    <col min="2" max="2" width="1.77734375" style="7" customWidth="1"/>
    <col min="3" max="3" width="2.21875" style="7" customWidth="1"/>
    <col min="4" max="4" width="32.77734375" style="7" customWidth="1"/>
    <col min="5" max="5" width="12.77734375" style="7" customWidth="1"/>
    <col min="6" max="6" width="1.77734375" style="7" customWidth="1"/>
    <col min="7" max="9" width="12.77734375" style="7" customWidth="1"/>
    <col min="10" max="10" width="12.77734375" style="6" customWidth="1"/>
    <col min="11" max="14" width="12.77734375" style="7" customWidth="1"/>
    <col min="15" max="16384" width="9.21875" style="7"/>
  </cols>
  <sheetData>
    <row r="1" spans="1:15">
      <c r="A1" s="6"/>
      <c r="B1" s="6"/>
      <c r="C1" s="6"/>
      <c r="D1" s="6"/>
      <c r="E1" s="6"/>
      <c r="J1" s="7"/>
    </row>
    <row r="2" spans="1:15" ht="31.2">
      <c r="A2" s="6"/>
      <c r="B2" s="271" t="s">
        <v>187</v>
      </c>
      <c r="C2" s="8"/>
      <c r="D2" s="8"/>
      <c r="E2" s="8"/>
      <c r="F2" s="8"/>
      <c r="G2" s="8"/>
      <c r="H2" s="8"/>
      <c r="I2" s="8"/>
      <c r="J2" s="9"/>
      <c r="K2" s="10"/>
      <c r="L2" s="10"/>
      <c r="M2" s="10"/>
      <c r="N2" s="10"/>
    </row>
    <row r="3" spans="1:15" ht="19.5" customHeight="1">
      <c r="A3" s="6"/>
      <c r="B3" s="87" t="s">
        <v>122</v>
      </c>
      <c r="C3" s="11"/>
      <c r="D3" s="11"/>
      <c r="E3" s="11"/>
      <c r="F3" s="11"/>
      <c r="G3" s="11"/>
      <c r="H3" s="11"/>
      <c r="I3" s="11"/>
      <c r="J3" s="9"/>
      <c r="K3" s="10"/>
      <c r="L3" s="10"/>
      <c r="M3" s="10"/>
      <c r="N3" s="10"/>
    </row>
    <row r="4" spans="1:15" ht="6" customHeight="1" thickBot="1">
      <c r="A4" s="6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5">
      <c r="A5" s="6"/>
      <c r="B5" s="13"/>
      <c r="C5" s="6"/>
      <c r="D5" s="6"/>
      <c r="E5" s="6"/>
      <c r="F5" s="6"/>
      <c r="G5" s="6"/>
      <c r="H5" s="6"/>
      <c r="I5" s="6"/>
    </row>
    <row r="6" spans="1:15">
      <c r="A6" s="6"/>
      <c r="B6" s="6"/>
      <c r="C6" s="6"/>
      <c r="D6" s="6"/>
      <c r="E6" s="6"/>
      <c r="F6" s="14"/>
      <c r="G6" s="6"/>
      <c r="H6" s="6"/>
      <c r="I6" s="6"/>
    </row>
    <row r="7" spans="1:15">
      <c r="A7" s="6"/>
      <c r="B7" s="6"/>
      <c r="C7" s="6"/>
      <c r="D7" s="6"/>
      <c r="E7" s="6"/>
      <c r="F7" s="15"/>
      <c r="G7" s="17">
        <v>2018</v>
      </c>
      <c r="H7" s="17">
        <v>2019</v>
      </c>
      <c r="I7" s="17">
        <v>2020</v>
      </c>
      <c r="J7" s="17">
        <v>2021</v>
      </c>
      <c r="K7" s="17">
        <v>2022</v>
      </c>
      <c r="O7" s="16"/>
    </row>
    <row r="8" spans="1:15" ht="13.2" customHeight="1">
      <c r="A8" s="6"/>
      <c r="B8" s="18"/>
      <c r="C8" s="18"/>
      <c r="D8" s="18"/>
      <c r="E8" s="18"/>
      <c r="F8" s="19"/>
      <c r="G8" s="19"/>
      <c r="H8" s="19"/>
      <c r="I8" s="19"/>
      <c r="L8" s="19"/>
      <c r="M8" s="19"/>
      <c r="N8" s="19"/>
    </row>
    <row r="9" spans="1:15">
      <c r="B9" s="155" t="s">
        <v>123</v>
      </c>
      <c r="C9" s="90"/>
      <c r="D9" s="90"/>
      <c r="E9" s="91" t="s">
        <v>81</v>
      </c>
    </row>
    <row r="11" spans="1:15">
      <c r="B11" s="24" t="s">
        <v>124</v>
      </c>
      <c r="J11" s="7"/>
    </row>
    <row r="13" spans="1:15">
      <c r="C13" s="24" t="s">
        <v>125</v>
      </c>
      <c r="G13" s="149">
        <f>CHOOSE(MATCH($E$9,$C$15:$C$17),G15,G16,G17)</f>
        <v>0.02</v>
      </c>
      <c r="H13" s="150">
        <f>CHOOSE(MATCH($E$9,$C$15:$C$17),H15,H16,H17)</f>
        <v>0.02</v>
      </c>
      <c r="I13" s="150">
        <f>CHOOSE(MATCH($E$9,$C$15:$C$17),I15,I16,I17)</f>
        <v>0.02</v>
      </c>
      <c r="J13" s="150">
        <f>CHOOSE(MATCH($E$9,$C$15:$C$17),J15,J16,J17)</f>
        <v>0.02</v>
      </c>
      <c r="K13" s="151">
        <f>CHOOSE(MATCH($E$9,$C$15:$C$17),K15,K16,K17)</f>
        <v>0.02</v>
      </c>
    </row>
    <row r="15" spans="1:15">
      <c r="C15" s="7" t="s">
        <v>81</v>
      </c>
      <c r="G15" s="145">
        <v>0.02</v>
      </c>
      <c r="H15" s="145">
        <v>0.02</v>
      </c>
      <c r="I15" s="145">
        <v>0.02</v>
      </c>
      <c r="J15" s="145">
        <v>0.02</v>
      </c>
      <c r="K15" s="145">
        <v>0.02</v>
      </c>
    </row>
    <row r="16" spans="1:15">
      <c r="C16" s="7" t="s">
        <v>82</v>
      </c>
      <c r="G16" s="145">
        <v>1.4999999999999999E-2</v>
      </c>
      <c r="H16" s="145">
        <v>1.4999999999999999E-2</v>
      </c>
      <c r="I16" s="145">
        <v>1.4999999999999999E-2</v>
      </c>
      <c r="J16" s="145">
        <v>1.4999999999999999E-2</v>
      </c>
      <c r="K16" s="145">
        <v>1.4999999999999999E-2</v>
      </c>
    </row>
    <row r="17" spans="2:11">
      <c r="C17" s="7" t="s">
        <v>83</v>
      </c>
      <c r="G17" s="145">
        <v>2.5000000000000001E-2</v>
      </c>
      <c r="H17" s="145">
        <v>2.5000000000000001E-2</v>
      </c>
      <c r="I17" s="145">
        <v>2.5000000000000001E-2</v>
      </c>
      <c r="J17" s="145">
        <v>2.5000000000000001E-2</v>
      </c>
      <c r="K17" s="145">
        <v>2.5000000000000001E-2</v>
      </c>
    </row>
    <row r="20" spans="2:11">
      <c r="B20" s="24" t="s">
        <v>127</v>
      </c>
    </row>
    <row r="22" spans="2:11">
      <c r="C22" s="24" t="s">
        <v>126</v>
      </c>
      <c r="G22" s="152">
        <f>CHOOSE(MATCH($E$9,$C$15:$C$17),G24,G25,G26)</f>
        <v>2.5000000000000001E-2</v>
      </c>
      <c r="H22" s="153">
        <f>CHOOSE(MATCH($E$9,$C$15:$C$17),H24,H25,H26)</f>
        <v>2.5000000000000001E-2</v>
      </c>
      <c r="I22" s="153">
        <f>CHOOSE(MATCH($E$9,$C$15:$C$17),I24,I25,I26)</f>
        <v>2.5000000000000001E-2</v>
      </c>
      <c r="J22" s="153">
        <f>CHOOSE(MATCH($E$9,$C$15:$C$17),J24,J25,J26)</f>
        <v>2.5000000000000001E-2</v>
      </c>
      <c r="K22" s="154">
        <f>CHOOSE(MATCH($E$9,$C$15:$C$17),K24,K25,K26)</f>
        <v>2.5000000000000001E-2</v>
      </c>
    </row>
    <row r="24" spans="2:11">
      <c r="C24" s="7" t="s">
        <v>81</v>
      </c>
      <c r="G24" s="147">
        <v>2.5000000000000001E-2</v>
      </c>
      <c r="H24" s="147">
        <v>2.5000000000000001E-2</v>
      </c>
      <c r="I24" s="147">
        <v>2.5000000000000001E-2</v>
      </c>
      <c r="J24" s="147">
        <v>2.5000000000000001E-2</v>
      </c>
      <c r="K24" s="147">
        <v>2.5000000000000001E-2</v>
      </c>
    </row>
    <row r="25" spans="2:11">
      <c r="C25" s="7" t="str">
        <f>"Best "&amp;TEXT(Assumptions!E15," 0.0%;(0.0%)")</f>
        <v>Best  5.0%</v>
      </c>
      <c r="G25" s="146">
        <f>G24*(1+Assumptions!$E15)</f>
        <v>2.6250000000000002E-2</v>
      </c>
      <c r="H25" s="146">
        <f>H24*(1+Assumptions!$E15)</f>
        <v>2.6250000000000002E-2</v>
      </c>
      <c r="I25" s="146">
        <f>I24*(1+Assumptions!$E15)</f>
        <v>2.6250000000000002E-2</v>
      </c>
      <c r="J25" s="146">
        <f>J24*(1+Assumptions!$E15)</f>
        <v>2.6250000000000002E-2</v>
      </c>
      <c r="K25" s="146">
        <f>K24*(1+Assumptions!$E15)</f>
        <v>2.6250000000000002E-2</v>
      </c>
    </row>
    <row r="26" spans="2:11">
      <c r="C26" s="7" t="str">
        <f>"Worst "&amp;TEXT(Assumptions!E16," 0.0%;(0.0%)")</f>
        <v>Worst (5.0%)</v>
      </c>
      <c r="G26" s="146">
        <f>G25*(1+Assumptions!$E16)</f>
        <v>2.4937500000000001E-2</v>
      </c>
      <c r="H26" s="146">
        <f>H25*(1+Assumptions!$E16)</f>
        <v>2.4937500000000001E-2</v>
      </c>
      <c r="I26" s="146">
        <f>I25*(1+Assumptions!$E16)</f>
        <v>2.4937500000000001E-2</v>
      </c>
      <c r="J26" s="146">
        <f>J25*(1+Assumptions!$E16)</f>
        <v>2.4937500000000001E-2</v>
      </c>
      <c r="K26" s="146">
        <f>K25*(1+Assumptions!$E16)</f>
        <v>2.4937500000000001E-2</v>
      </c>
    </row>
    <row r="28" spans="2:11">
      <c r="C28" s="24" t="s">
        <v>79</v>
      </c>
      <c r="G28" s="152">
        <f>CHOOSE(MATCH($E$9,$C$15:$C$17),G30,G31,G32)</f>
        <v>0.03</v>
      </c>
      <c r="H28" s="153">
        <f>CHOOSE(MATCH($E$9,$C$15:$C$17),H30,H31,H32)</f>
        <v>0.03</v>
      </c>
      <c r="I28" s="153">
        <f>CHOOSE(MATCH($E$9,$C$15:$C$17),I30,I31,I32)</f>
        <v>0.03</v>
      </c>
      <c r="J28" s="153">
        <f>CHOOSE(MATCH($E$9,$C$15:$C$17),J30,J31,J32)</f>
        <v>0.03</v>
      </c>
      <c r="K28" s="154">
        <f>CHOOSE(MATCH($E$9,$C$15:$C$17),K30,K31,K32)</f>
        <v>0.03</v>
      </c>
    </row>
    <row r="30" spans="2:11">
      <c r="C30" s="7" t="s">
        <v>81</v>
      </c>
      <c r="G30" s="147">
        <v>0.03</v>
      </c>
      <c r="H30" s="147">
        <v>0.03</v>
      </c>
      <c r="I30" s="147">
        <v>0.03</v>
      </c>
      <c r="J30" s="147">
        <v>0.03</v>
      </c>
      <c r="K30" s="147">
        <v>0.03</v>
      </c>
    </row>
    <row r="31" spans="2:11">
      <c r="C31" s="7" t="s">
        <v>82</v>
      </c>
      <c r="G31" s="146">
        <f>G30*(1+Assumptions!$E15)</f>
        <v>3.15E-2</v>
      </c>
      <c r="H31" s="146">
        <f>H30*(1+Assumptions!$E15)</f>
        <v>3.15E-2</v>
      </c>
      <c r="I31" s="146">
        <f>I30*(1+Assumptions!$E15)</f>
        <v>3.15E-2</v>
      </c>
      <c r="J31" s="146">
        <f>J30*(1+Assumptions!$E15)</f>
        <v>3.15E-2</v>
      </c>
      <c r="K31" s="146">
        <f>K30*(1+Assumptions!$E15)</f>
        <v>3.15E-2</v>
      </c>
    </row>
    <row r="32" spans="2:11">
      <c r="C32" s="7" t="s">
        <v>83</v>
      </c>
      <c r="G32" s="146">
        <f>G31*(1+Assumptions!$E16)</f>
        <v>2.9925E-2</v>
      </c>
      <c r="H32" s="146">
        <f>H31*(1+Assumptions!$E16)</f>
        <v>2.9925E-2</v>
      </c>
      <c r="I32" s="146">
        <f>I31*(1+Assumptions!$E16)</f>
        <v>2.9925E-2</v>
      </c>
      <c r="J32" s="146">
        <f>J31*(1+Assumptions!$E16)</f>
        <v>2.9925E-2</v>
      </c>
      <c r="K32" s="146">
        <f>K31*(1+Assumptions!$E16)</f>
        <v>2.9925E-2</v>
      </c>
    </row>
  </sheetData>
  <sheetProtection formatCells="0"/>
  <dataValidations disablePrompts="1" count="1">
    <dataValidation type="list" allowBlank="1" showInputMessage="1" showErrorMessage="1" sqref="E9" xr:uid="{8A4670A5-FF58-4B08-94EC-5A5EB2465E68}">
      <formula1>$C$15:$C$17</formula1>
    </dataValidation>
  </dataValidations>
  <printOptions horizontalCentered="1"/>
  <pageMargins left="0.25" right="0.25" top="0.25" bottom="0.5" header="0.25" footer="0.25"/>
  <pageSetup scale="84" orientation="landscape" r:id="rId1"/>
  <headerFooter alignWithMargins="0">
    <oddFooter>&amp;C&amp;P of &amp;N&amp;RShcherbina Yury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Cover</vt:lpstr>
      <vt:lpstr>Summary</vt:lpstr>
      <vt:lpstr>Assumptions</vt:lpstr>
      <vt:lpstr>Model</vt:lpstr>
      <vt:lpstr>Scenarios</vt:lpstr>
      <vt:lpstr>Assumptions!Print_Area</vt:lpstr>
      <vt:lpstr>Cover!Print_Area</vt:lpstr>
      <vt:lpstr>Model!Print_Area</vt:lpstr>
      <vt:lpstr>Scenarios!Print_Area</vt:lpstr>
      <vt:lpstr>Summary!Print_Area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qwerty</dc:creator>
  <cp:lastModifiedBy>Yury</cp:lastModifiedBy>
  <cp:lastPrinted>2024-11-12T04:39:34Z</cp:lastPrinted>
  <dcterms:created xsi:type="dcterms:W3CDTF">2018-04-09T14:46:06Z</dcterms:created>
  <dcterms:modified xsi:type="dcterms:W3CDTF">2024-11-12T04:39:36Z</dcterms:modified>
</cp:coreProperties>
</file>