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qwerty\Desktop\Python\JNotebook\start\Fin Modeling\GAS Manufact\"/>
    </mc:Choice>
  </mc:AlternateContent>
  <xr:revisionPtr revIDLastSave="0" documentId="13_ncr:1_{D7D7B181-8A93-4AB5-B3F6-96B78399F4E2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Cover" sheetId="5" r:id="rId1"/>
    <sheet name="Summary" sheetId="7" r:id="rId2"/>
    <sheet name="Asumptions" sheetId="6" r:id="rId3"/>
    <sheet name="Model" sheetId="1" r:id="rId4"/>
    <sheet name="Scenario" sheetId="9" r:id="rId5"/>
  </sheets>
  <definedNames>
    <definedName name="IQ_ADDIN" hidden="1">"AUTO"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NAMES_REVISION_DATE_" hidden="1">40869.3787037037</definedName>
    <definedName name="IQ_NTM" hidden="1">6000</definedName>
    <definedName name="IQ_OPENED55" hidden="1">1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IQRA8" hidden="1">"$A$9:$A$261"</definedName>
    <definedName name="IQRB8" hidden="1">"$B$9:$B$261"</definedName>
    <definedName name="IQRC8" hidden="1">"$C$9:$C$261"</definedName>
    <definedName name="_xlnm.Print_Area" localSheetId="2">Asumptions!$A$1:$P$48</definedName>
    <definedName name="_xlnm.Print_Area" localSheetId="0">Cover!$A$1:$E$15</definedName>
    <definedName name="_xlnm.Print_Area" localSheetId="3">Model!$A$1:$P$35,Model!$A$38:$P$71,Model!$A$74:$P$116,Model!$A$119:$P$146,Model!$A$153:$P$189,Model!$A$195:$P$223,Model!$A$228:$P$249,Model!$A$251:$P$281,Model!$A$283:$P$323,Model!$A$325:$P$348</definedName>
    <definedName name="_xlnm.Print_Area" localSheetId="4">Scenario!$A$1:$L$33</definedName>
    <definedName name="_xlnm.Print_Area" localSheetId="1">Summary!$A$1:$O$45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17" i="7" l="1"/>
  <c r="V16" i="7"/>
  <c r="W16" i="7"/>
  <c r="V15" i="7"/>
  <c r="W15" i="7"/>
  <c r="W14" i="7"/>
  <c r="V13" i="7"/>
  <c r="W13" i="7"/>
  <c r="V12" i="7"/>
  <c r="W12" i="7"/>
  <c r="W11" i="7"/>
  <c r="V10" i="7"/>
  <c r="V11" i="7" s="1"/>
  <c r="W10" i="7"/>
  <c r="V17" i="7"/>
  <c r="U16" i="7"/>
  <c r="U15" i="7"/>
  <c r="V14" i="7"/>
  <c r="U13" i="7"/>
  <c r="U12" i="7"/>
  <c r="U10" i="7"/>
  <c r="K89" i="1"/>
  <c r="L89" i="1"/>
  <c r="M89" i="1" s="1"/>
  <c r="N89" i="1" s="1"/>
  <c r="J89" i="1"/>
  <c r="K20" i="1"/>
  <c r="L20" i="1"/>
  <c r="M20" i="1"/>
  <c r="N20" i="1"/>
  <c r="J20" i="1"/>
  <c r="K219" i="1"/>
  <c r="L219" i="1"/>
  <c r="M219" i="1"/>
  <c r="N219" i="1"/>
  <c r="J219" i="1"/>
  <c r="J208" i="1"/>
  <c r="J213" i="1"/>
  <c r="L90" i="1"/>
  <c r="M90" i="1"/>
  <c r="N90" i="1" s="1"/>
  <c r="K90" i="1"/>
  <c r="J90" i="1"/>
  <c r="I281" i="1"/>
  <c r="H281" i="1"/>
  <c r="J301" i="1"/>
  <c r="K301" i="1"/>
  <c r="L301" i="1"/>
  <c r="M301" i="1"/>
  <c r="N301" i="1"/>
  <c r="J302" i="1"/>
  <c r="K302" i="1"/>
  <c r="L302" i="1"/>
  <c r="M302" i="1"/>
  <c r="N302" i="1"/>
  <c r="J303" i="1"/>
  <c r="K303" i="1"/>
  <c r="L303" i="1"/>
  <c r="M303" i="1"/>
  <c r="N303" i="1"/>
  <c r="I302" i="1"/>
  <c r="H32" i="1"/>
  <c r="I32" i="1"/>
  <c r="H33" i="1"/>
  <c r="I33" i="1"/>
  <c r="H34" i="1"/>
  <c r="I34" i="1"/>
  <c r="G34" i="1"/>
  <c r="G33" i="1"/>
  <c r="G32" i="1"/>
  <c r="I346" i="1"/>
  <c r="J343" i="1" s="1"/>
  <c r="J338" i="1"/>
  <c r="K338" i="1" s="1"/>
  <c r="K335" i="1"/>
  <c r="L335" i="1"/>
  <c r="M335" i="1"/>
  <c r="N335" i="1"/>
  <c r="J335" i="1"/>
  <c r="I336" i="1"/>
  <c r="J334" i="1" s="1"/>
  <c r="C346" i="1"/>
  <c r="C343" i="1"/>
  <c r="C335" i="1"/>
  <c r="C336" i="1"/>
  <c r="C334" i="1"/>
  <c r="H331" i="1"/>
  <c r="I331" i="1" s="1"/>
  <c r="J331" i="1" s="1"/>
  <c r="K331" i="1" s="1"/>
  <c r="L331" i="1" s="1"/>
  <c r="M331" i="1" s="1"/>
  <c r="N331" i="1" s="1"/>
  <c r="K325" i="1"/>
  <c r="J311" i="1"/>
  <c r="J63" i="1"/>
  <c r="K62" i="1"/>
  <c r="L62" i="1"/>
  <c r="M62" i="1"/>
  <c r="N62" i="1"/>
  <c r="J62" i="1"/>
  <c r="I309" i="1"/>
  <c r="J307" i="1" s="1"/>
  <c r="I303" i="1"/>
  <c r="I304" i="1"/>
  <c r="I320" i="1"/>
  <c r="J320" i="1" s="1"/>
  <c r="K317" i="1"/>
  <c r="L317" i="1"/>
  <c r="M317" i="1"/>
  <c r="N317" i="1"/>
  <c r="J317" i="1"/>
  <c r="I318" i="1"/>
  <c r="J316" i="1" s="1"/>
  <c r="J296" i="1"/>
  <c r="K296" i="1" s="1"/>
  <c r="L296" i="1" s="1"/>
  <c r="M296" i="1" s="1"/>
  <c r="N296" i="1" s="1"/>
  <c r="C317" i="1"/>
  <c r="C308" i="1"/>
  <c r="C293" i="1"/>
  <c r="K55" i="1"/>
  <c r="K57" i="1" s="1"/>
  <c r="L55" i="1"/>
  <c r="L57" i="1" s="1"/>
  <c r="M55" i="1"/>
  <c r="M57" i="1" s="1"/>
  <c r="N55" i="1"/>
  <c r="N57" i="1" s="1"/>
  <c r="J55" i="1"/>
  <c r="J57" i="1" s="1"/>
  <c r="I294" i="1"/>
  <c r="J292" i="1" s="1"/>
  <c r="C318" i="1"/>
  <c r="C316" i="1"/>
  <c r="C309" i="1"/>
  <c r="C307" i="1"/>
  <c r="C294" i="1"/>
  <c r="C292" i="1"/>
  <c r="G259" i="1"/>
  <c r="I273" i="1"/>
  <c r="K265" i="1"/>
  <c r="L265" i="1"/>
  <c r="M265" i="1"/>
  <c r="N265" i="1"/>
  <c r="K266" i="1"/>
  <c r="L266" i="1"/>
  <c r="M266" i="1"/>
  <c r="N266" i="1"/>
  <c r="K267" i="1"/>
  <c r="L267" i="1"/>
  <c r="M267" i="1"/>
  <c r="N267" i="1"/>
  <c r="K268" i="1"/>
  <c r="L268" i="1"/>
  <c r="M268" i="1"/>
  <c r="N268" i="1"/>
  <c r="K269" i="1"/>
  <c r="L269" i="1"/>
  <c r="M269" i="1"/>
  <c r="N269" i="1"/>
  <c r="K270" i="1"/>
  <c r="L270" i="1"/>
  <c r="M270" i="1"/>
  <c r="N270" i="1"/>
  <c r="J266" i="1"/>
  <c r="J267" i="1"/>
  <c r="J268" i="1"/>
  <c r="J269" i="1"/>
  <c r="J270" i="1"/>
  <c r="J265" i="1"/>
  <c r="H262" i="1"/>
  <c r="I262" i="1"/>
  <c r="G262" i="1"/>
  <c r="H273" i="1"/>
  <c r="H274" i="1"/>
  <c r="I274" i="1"/>
  <c r="H275" i="1"/>
  <c r="I275" i="1"/>
  <c r="H276" i="1"/>
  <c r="I276" i="1"/>
  <c r="H277" i="1"/>
  <c r="I277" i="1"/>
  <c r="H278" i="1"/>
  <c r="I278" i="1"/>
  <c r="G278" i="1"/>
  <c r="G277" i="1"/>
  <c r="G274" i="1"/>
  <c r="G275" i="1"/>
  <c r="G276" i="1"/>
  <c r="G273" i="1"/>
  <c r="K251" i="1"/>
  <c r="K283" i="1"/>
  <c r="K228" i="1"/>
  <c r="K195" i="1"/>
  <c r="K153" i="1"/>
  <c r="K119" i="1"/>
  <c r="K74" i="1"/>
  <c r="K38" i="1"/>
  <c r="K1" i="1"/>
  <c r="K240" i="1"/>
  <c r="L240" i="1"/>
  <c r="M240" i="1"/>
  <c r="N240" i="1"/>
  <c r="J240" i="1"/>
  <c r="J14" i="1"/>
  <c r="J17" i="1"/>
  <c r="K17" i="1" s="1"/>
  <c r="L17" i="1" s="1"/>
  <c r="M17" i="1" s="1"/>
  <c r="N17" i="1" s="1"/>
  <c r="E236" i="1"/>
  <c r="I221" i="1"/>
  <c r="J206" i="1" s="1"/>
  <c r="E213" i="1" a="1"/>
  <c r="E213" i="1" s="1"/>
  <c r="E204" i="1"/>
  <c r="E203" i="1"/>
  <c r="J185" i="1"/>
  <c r="J186" i="1"/>
  <c r="J184" i="1"/>
  <c r="J168" i="1"/>
  <c r="J167" i="1"/>
  <c r="I142" i="1"/>
  <c r="I141" i="1"/>
  <c r="J134" i="1"/>
  <c r="K134" i="1" s="1"/>
  <c r="H289" i="1"/>
  <c r="I289" i="1" s="1"/>
  <c r="J289" i="1" s="1"/>
  <c r="K289" i="1" s="1"/>
  <c r="L289" i="1" s="1"/>
  <c r="M289" i="1" s="1"/>
  <c r="N289" i="1" s="1"/>
  <c r="H257" i="1"/>
  <c r="I257" i="1" s="1"/>
  <c r="J257" i="1" s="1"/>
  <c r="K257" i="1" s="1"/>
  <c r="L257" i="1" s="1"/>
  <c r="M257" i="1" s="1"/>
  <c r="N257" i="1" s="1"/>
  <c r="N259" i="1" s="1"/>
  <c r="H234" i="1"/>
  <c r="I234" i="1" s="1"/>
  <c r="J234" i="1" s="1"/>
  <c r="K234" i="1" s="1"/>
  <c r="L234" i="1" s="1"/>
  <c r="M234" i="1" s="1"/>
  <c r="N234" i="1" s="1"/>
  <c r="H201" i="1"/>
  <c r="I201" i="1" s="1"/>
  <c r="J201" i="1" s="1"/>
  <c r="K201" i="1" s="1"/>
  <c r="L201" i="1" s="1"/>
  <c r="M201" i="1" s="1"/>
  <c r="N201" i="1" s="1"/>
  <c r="H159" i="1"/>
  <c r="I159" i="1" s="1"/>
  <c r="J159" i="1" s="1"/>
  <c r="K159" i="1" s="1"/>
  <c r="L159" i="1" s="1"/>
  <c r="M159" i="1" s="1"/>
  <c r="N159" i="1" s="1"/>
  <c r="H125" i="1"/>
  <c r="I125" i="1" s="1"/>
  <c r="J125" i="1" s="1"/>
  <c r="K125" i="1" s="1"/>
  <c r="L125" i="1" s="1"/>
  <c r="M125" i="1" s="1"/>
  <c r="N125" i="1" s="1"/>
  <c r="H19" i="9"/>
  <c r="K128" i="1" s="1"/>
  <c r="I19" i="9"/>
  <c r="L128" i="1" s="1"/>
  <c r="J19" i="9"/>
  <c r="M128" i="1" s="1"/>
  <c r="K19" i="9"/>
  <c r="N128" i="1" s="1"/>
  <c r="H25" i="9"/>
  <c r="K135" i="1" s="1"/>
  <c r="I25" i="9"/>
  <c r="L135" i="1" s="1"/>
  <c r="J25" i="9"/>
  <c r="M135" i="1" s="1"/>
  <c r="K25" i="9"/>
  <c r="N135" i="1" s="1"/>
  <c r="G25" i="9"/>
  <c r="J135" i="1" s="1"/>
  <c r="G19" i="9"/>
  <c r="J128" i="1" s="1"/>
  <c r="H23" i="9"/>
  <c r="I23" i="9"/>
  <c r="J23" i="9"/>
  <c r="K23" i="9"/>
  <c r="G23" i="9"/>
  <c r="H22" i="9"/>
  <c r="I22" i="9"/>
  <c r="J22" i="9"/>
  <c r="K22" i="9"/>
  <c r="G22" i="9"/>
  <c r="H11" i="9"/>
  <c r="K129" i="1" s="1"/>
  <c r="K162" i="1" s="1"/>
  <c r="I11" i="9"/>
  <c r="L129" i="1" s="1"/>
  <c r="L162" i="1" s="1"/>
  <c r="J11" i="9"/>
  <c r="M129" i="1" s="1"/>
  <c r="M162" i="1" s="1"/>
  <c r="K11" i="9"/>
  <c r="N129" i="1" s="1"/>
  <c r="N162" i="1" s="1"/>
  <c r="G11" i="9"/>
  <c r="J129" i="1" s="1"/>
  <c r="J130" i="1" s="1"/>
  <c r="C22" i="9"/>
  <c r="C23" i="9"/>
  <c r="I32" i="6"/>
  <c r="J32" i="6" s="1"/>
  <c r="K32" i="6" s="1"/>
  <c r="L32" i="6" s="1"/>
  <c r="M32" i="6" s="1"/>
  <c r="N32" i="6" s="1"/>
  <c r="O32" i="6" s="1"/>
  <c r="J7" i="6"/>
  <c r="H34" i="7"/>
  <c r="I34" i="7" s="1"/>
  <c r="J34" i="7" s="1"/>
  <c r="K34" i="7" s="1"/>
  <c r="L34" i="7" s="1"/>
  <c r="M34" i="7" s="1"/>
  <c r="N34" i="7" s="1"/>
  <c r="H21" i="7"/>
  <c r="I21" i="7" s="1"/>
  <c r="J21" i="7" s="1"/>
  <c r="K21" i="7" s="1"/>
  <c r="L21" i="7" s="1"/>
  <c r="M21" i="7" s="1"/>
  <c r="N21" i="7" s="1"/>
  <c r="H8" i="7"/>
  <c r="I8" i="7" s="1"/>
  <c r="I104" i="1"/>
  <c r="I100" i="1"/>
  <c r="I91" i="1"/>
  <c r="J312" i="1" l="1"/>
  <c r="J297" i="1"/>
  <c r="J321" i="1"/>
  <c r="J336" i="1"/>
  <c r="K334" i="1" s="1"/>
  <c r="K336" i="1" s="1"/>
  <c r="L338" i="1"/>
  <c r="J108" i="1"/>
  <c r="K311" i="1"/>
  <c r="K63" i="1"/>
  <c r="L63" i="1" s="1"/>
  <c r="M63" i="1" s="1"/>
  <c r="J318" i="1"/>
  <c r="H280" i="1"/>
  <c r="I280" i="1"/>
  <c r="K320" i="1"/>
  <c r="G280" i="1"/>
  <c r="H259" i="1"/>
  <c r="H270" i="1" s="1"/>
  <c r="G270" i="1"/>
  <c r="G266" i="1"/>
  <c r="G267" i="1"/>
  <c r="G268" i="1"/>
  <c r="G269" i="1"/>
  <c r="M259" i="1"/>
  <c r="L259" i="1"/>
  <c r="K259" i="1"/>
  <c r="J259" i="1"/>
  <c r="I259" i="1"/>
  <c r="I270" i="1" s="1"/>
  <c r="K14" i="1"/>
  <c r="L14" i="1" s="1"/>
  <c r="M14" i="1" s="1"/>
  <c r="N14" i="1" s="1"/>
  <c r="M208" i="1"/>
  <c r="N208" i="1"/>
  <c r="L208" i="1"/>
  <c r="K208" i="1"/>
  <c r="D213" i="1" a="1"/>
  <c r="N214" i="1" s="1"/>
  <c r="K184" i="1"/>
  <c r="J187" i="1"/>
  <c r="J169" i="1"/>
  <c r="K185" i="1"/>
  <c r="K167" i="1"/>
  <c r="K168" i="1"/>
  <c r="K186" i="1"/>
  <c r="J162" i="1"/>
  <c r="I143" i="1"/>
  <c r="J131" i="1"/>
  <c r="I136" i="1"/>
  <c r="K130" i="1"/>
  <c r="K131" i="1" s="1"/>
  <c r="L134" i="1"/>
  <c r="M134" i="1" s="1"/>
  <c r="N134" i="1" s="1"/>
  <c r="J8" i="7"/>
  <c r="K8" i="7" s="1"/>
  <c r="L8" i="7" s="1"/>
  <c r="M8" i="7" s="1"/>
  <c r="N8" i="7" s="1"/>
  <c r="I106" i="1"/>
  <c r="H7" i="1"/>
  <c r="J323" i="1" l="1"/>
  <c r="L184" i="1"/>
  <c r="M184" i="1" s="1"/>
  <c r="K316" i="1"/>
  <c r="K318" i="1" s="1"/>
  <c r="J103" i="1"/>
  <c r="L334" i="1"/>
  <c r="L336" i="1" s="1"/>
  <c r="K108" i="1"/>
  <c r="M338" i="1"/>
  <c r="L311" i="1"/>
  <c r="N63" i="1"/>
  <c r="L320" i="1"/>
  <c r="I266" i="1"/>
  <c r="I268" i="1"/>
  <c r="H267" i="1"/>
  <c r="I269" i="1"/>
  <c r="I267" i="1"/>
  <c r="H266" i="1"/>
  <c r="H268" i="1"/>
  <c r="H269" i="1"/>
  <c r="N216" i="1"/>
  <c r="L217" i="1"/>
  <c r="K216" i="1"/>
  <c r="J216" i="1"/>
  <c r="J217" i="1"/>
  <c r="J214" i="1"/>
  <c r="K214" i="1"/>
  <c r="M215" i="1"/>
  <c r="L214" i="1"/>
  <c r="L215" i="1"/>
  <c r="K215" i="1"/>
  <c r="M217" i="1"/>
  <c r="L216" i="1"/>
  <c r="K217" i="1"/>
  <c r="J215" i="1"/>
  <c r="M214" i="1"/>
  <c r="N215" i="1"/>
  <c r="M216" i="1"/>
  <c r="N217" i="1"/>
  <c r="D213" i="1"/>
  <c r="O217" i="1"/>
  <c r="O216" i="1"/>
  <c r="O214" i="1"/>
  <c r="O215" i="1"/>
  <c r="K187" i="1"/>
  <c r="L167" i="1"/>
  <c r="K169" i="1"/>
  <c r="J136" i="1"/>
  <c r="K136" i="1" s="1"/>
  <c r="I161" i="1"/>
  <c r="L186" i="1"/>
  <c r="L185" i="1"/>
  <c r="L168" i="1"/>
  <c r="L130" i="1"/>
  <c r="H11" i="1"/>
  <c r="H261" i="1" s="1"/>
  <c r="H265" i="1" s="1"/>
  <c r="I11" i="1"/>
  <c r="I261" i="1" s="1"/>
  <c r="G11" i="1"/>
  <c r="G261" i="1" s="1"/>
  <c r="G265" i="1" s="1"/>
  <c r="K321" i="1" l="1"/>
  <c r="N338" i="1"/>
  <c r="M334" i="1"/>
  <c r="M336" i="1" s="1"/>
  <c r="L108" i="1"/>
  <c r="L316" i="1"/>
  <c r="L318" i="1" s="1"/>
  <c r="K103" i="1"/>
  <c r="M311" i="1"/>
  <c r="M320" i="1"/>
  <c r="L213" i="1"/>
  <c r="N213" i="1"/>
  <c r="K213" i="1"/>
  <c r="M213" i="1"/>
  <c r="O213" i="1"/>
  <c r="L187" i="1"/>
  <c r="J141" i="1"/>
  <c r="J9" i="1" s="1"/>
  <c r="J138" i="1"/>
  <c r="M167" i="1"/>
  <c r="L169" i="1"/>
  <c r="J142" i="1"/>
  <c r="J10" i="1" s="1"/>
  <c r="J161" i="1"/>
  <c r="M185" i="1"/>
  <c r="K138" i="1"/>
  <c r="K161" i="1"/>
  <c r="M168" i="1"/>
  <c r="N184" i="1"/>
  <c r="M186" i="1"/>
  <c r="K142" i="1"/>
  <c r="K10" i="1" s="1"/>
  <c r="K141" i="1"/>
  <c r="K9" i="1" s="1"/>
  <c r="L136" i="1"/>
  <c r="M130" i="1"/>
  <c r="L131" i="1"/>
  <c r="G100" i="1"/>
  <c r="G65" i="1"/>
  <c r="G110" i="1"/>
  <c r="G104" i="1"/>
  <c r="G91" i="1"/>
  <c r="G80" i="1"/>
  <c r="G57" i="1"/>
  <c r="G44" i="1"/>
  <c r="G28" i="1"/>
  <c r="G15" i="1"/>
  <c r="G18" i="1" s="1"/>
  <c r="J48" i="1" l="1"/>
  <c r="J221" i="1"/>
  <c r="J173" i="1"/>
  <c r="J181" i="1"/>
  <c r="J180" i="1"/>
  <c r="J182" i="1" s="1"/>
  <c r="J188" i="1" s="1"/>
  <c r="J13" i="1" s="1"/>
  <c r="J262" i="1" s="1"/>
  <c r="J171" i="1"/>
  <c r="J172" i="1"/>
  <c r="K180" i="1"/>
  <c r="K173" i="1"/>
  <c r="K172" i="1"/>
  <c r="K181" i="1"/>
  <c r="K171" i="1"/>
  <c r="L321" i="1"/>
  <c r="M316" i="1"/>
  <c r="M318" i="1" s="1"/>
  <c r="L103" i="1"/>
  <c r="N334" i="1"/>
  <c r="N336" i="1" s="1"/>
  <c r="N108" i="1" s="1"/>
  <c r="M108" i="1"/>
  <c r="N311" i="1"/>
  <c r="N320" i="1"/>
  <c r="J11" i="1"/>
  <c r="K11" i="1"/>
  <c r="M48" i="1"/>
  <c r="K48" i="1"/>
  <c r="N48" i="1"/>
  <c r="L48" i="1"/>
  <c r="J143" i="1"/>
  <c r="M187" i="1"/>
  <c r="M136" i="1"/>
  <c r="M161" i="1" s="1"/>
  <c r="M171" i="1" s="1"/>
  <c r="L161" i="1"/>
  <c r="M169" i="1"/>
  <c r="N167" i="1"/>
  <c r="N186" i="1"/>
  <c r="N185" i="1"/>
  <c r="N168" i="1"/>
  <c r="K143" i="1"/>
  <c r="L141" i="1"/>
  <c r="L9" i="1" s="1"/>
  <c r="L138" i="1"/>
  <c r="L142" i="1"/>
  <c r="L10" i="1" s="1"/>
  <c r="N130" i="1"/>
  <c r="M131" i="1"/>
  <c r="G21" i="1"/>
  <c r="G106" i="1"/>
  <c r="G112" i="1" s="1"/>
  <c r="K261" i="1" l="1"/>
  <c r="K273" i="1" s="1"/>
  <c r="Y10" i="7"/>
  <c r="J261" i="1"/>
  <c r="J273" i="1" s="1"/>
  <c r="X10" i="7"/>
  <c r="X11" i="7" s="1"/>
  <c r="M173" i="1"/>
  <c r="J174" i="1"/>
  <c r="M180" i="1"/>
  <c r="L171" i="1"/>
  <c r="L180" i="1"/>
  <c r="L181" i="1"/>
  <c r="L182" i="1" s="1"/>
  <c r="L188" i="1" s="1"/>
  <c r="L13" i="1" s="1"/>
  <c r="L172" i="1"/>
  <c r="L173" i="1"/>
  <c r="M172" i="1"/>
  <c r="M181" i="1"/>
  <c r="M321" i="1"/>
  <c r="N316" i="1"/>
  <c r="N318" i="1" s="1"/>
  <c r="N103" i="1" s="1"/>
  <c r="M103" i="1"/>
  <c r="K83" i="1"/>
  <c r="J83" i="1"/>
  <c r="J275" i="1"/>
  <c r="J85" i="1" s="1"/>
  <c r="J274" i="1"/>
  <c r="J84" i="1" s="1"/>
  <c r="J276" i="1"/>
  <c r="J86" i="1" s="1"/>
  <c r="J278" i="1"/>
  <c r="J99" i="1" s="1"/>
  <c r="J277" i="1"/>
  <c r="J98" i="1" s="1"/>
  <c r="J15" i="1"/>
  <c r="J18" i="1" s="1"/>
  <c r="K174" i="1"/>
  <c r="L11" i="1"/>
  <c r="J91" i="1"/>
  <c r="K206" i="1"/>
  <c r="K221" i="1" s="1"/>
  <c r="N136" i="1"/>
  <c r="M141" i="1"/>
  <c r="M9" i="1" s="1"/>
  <c r="M138" i="1"/>
  <c r="K182" i="1"/>
  <c r="K188" i="1" s="1"/>
  <c r="K13" i="1" s="1"/>
  <c r="N169" i="1"/>
  <c r="M142" i="1"/>
  <c r="M10" i="1" s="1"/>
  <c r="N187" i="1"/>
  <c r="L143" i="1"/>
  <c r="N131" i="1"/>
  <c r="G24" i="1"/>
  <c r="G30" i="1" s="1"/>
  <c r="G51" i="1" s="1"/>
  <c r="I57" i="1"/>
  <c r="I301" i="1" s="1"/>
  <c r="H57" i="1"/>
  <c r="L261" i="1" l="1"/>
  <c r="L273" i="1" s="1"/>
  <c r="Z10" i="7"/>
  <c r="Z11" i="7" s="1"/>
  <c r="Y11" i="7"/>
  <c r="J21" i="1"/>
  <c r="X12" i="7"/>
  <c r="J32" i="1"/>
  <c r="L174" i="1"/>
  <c r="L175" i="1" s="1"/>
  <c r="N142" i="1"/>
  <c r="N10" i="1" s="1"/>
  <c r="N161" i="1"/>
  <c r="N321" i="1"/>
  <c r="L83" i="1"/>
  <c r="J280" i="1"/>
  <c r="L15" i="1"/>
  <c r="L18" i="1" s="1"/>
  <c r="L262" i="1"/>
  <c r="K15" i="1"/>
  <c r="K18" i="1" s="1"/>
  <c r="K262" i="1"/>
  <c r="M174" i="1"/>
  <c r="M175" i="1" s="1"/>
  <c r="M11" i="1"/>
  <c r="L206" i="1"/>
  <c r="L221" i="1" s="1"/>
  <c r="K91" i="1"/>
  <c r="M182" i="1"/>
  <c r="M188" i="1" s="1"/>
  <c r="M13" i="1" s="1"/>
  <c r="N141" i="1"/>
  <c r="N138" i="1"/>
  <c r="M143" i="1"/>
  <c r="K175" i="1"/>
  <c r="J175" i="1"/>
  <c r="G68" i="1"/>
  <c r="G70" i="1" s="1"/>
  <c r="H69" i="1" s="1"/>
  <c r="G87" i="1"/>
  <c r="G93" i="1" s="1"/>
  <c r="G115" i="1" s="1"/>
  <c r="I65" i="1"/>
  <c r="H65" i="1"/>
  <c r="K21" i="1" l="1"/>
  <c r="K32" i="1"/>
  <c r="Y12" i="7"/>
  <c r="J281" i="1"/>
  <c r="J50" i="1" s="1"/>
  <c r="L21" i="1"/>
  <c r="Z12" i="7"/>
  <c r="L32" i="1"/>
  <c r="M261" i="1"/>
  <c r="M273" i="1" s="1"/>
  <c r="AA10" i="7"/>
  <c r="AA11" i="7" s="1"/>
  <c r="X13" i="7"/>
  <c r="X14" i="7"/>
  <c r="N171" i="1"/>
  <c r="N181" i="1"/>
  <c r="N173" i="1"/>
  <c r="N172" i="1"/>
  <c r="N180" i="1"/>
  <c r="M83" i="1"/>
  <c r="K277" i="1"/>
  <c r="K98" i="1" s="1"/>
  <c r="K274" i="1"/>
  <c r="K278" i="1"/>
  <c r="K99" i="1" s="1"/>
  <c r="K275" i="1"/>
  <c r="K85" i="1" s="1"/>
  <c r="K276" i="1"/>
  <c r="K86" i="1" s="1"/>
  <c r="L274" i="1"/>
  <c r="L276" i="1"/>
  <c r="L86" i="1" s="1"/>
  <c r="L275" i="1"/>
  <c r="L85" i="1" s="1"/>
  <c r="L277" i="1"/>
  <c r="L98" i="1" s="1"/>
  <c r="L278" i="1"/>
  <c r="L99" i="1" s="1"/>
  <c r="M15" i="1"/>
  <c r="M18" i="1" s="1"/>
  <c r="M262" i="1"/>
  <c r="N143" i="1"/>
  <c r="N9" i="1"/>
  <c r="N11" i="1" s="1"/>
  <c r="AB10" i="7" s="1"/>
  <c r="AB11" i="7" s="1"/>
  <c r="M206" i="1"/>
  <c r="M221" i="1" s="1"/>
  <c r="L91" i="1"/>
  <c r="I7" i="1"/>
  <c r="J7" i="1" s="1"/>
  <c r="K7" i="1" s="1"/>
  <c r="L7" i="1" s="1"/>
  <c r="M7" i="1" s="1"/>
  <c r="N7" i="1" s="1"/>
  <c r="Z13" i="7" l="1"/>
  <c r="Z14" i="7"/>
  <c r="Y14" i="7"/>
  <c r="Y13" i="7"/>
  <c r="M21" i="1"/>
  <c r="M32" i="1"/>
  <c r="AA12" i="7"/>
  <c r="N182" i="1"/>
  <c r="N188" i="1" s="1"/>
  <c r="N13" i="1" s="1"/>
  <c r="N15" i="1" s="1"/>
  <c r="N18" i="1" s="1"/>
  <c r="N174" i="1"/>
  <c r="N175" i="1" s="1"/>
  <c r="K84" i="1"/>
  <c r="K280" i="1"/>
  <c r="L84" i="1"/>
  <c r="L280" i="1"/>
  <c r="M276" i="1"/>
  <c r="M86" i="1" s="1"/>
  <c r="M275" i="1"/>
  <c r="M85" i="1" s="1"/>
  <c r="M274" i="1"/>
  <c r="M278" i="1"/>
  <c r="M99" i="1" s="1"/>
  <c r="M277" i="1"/>
  <c r="M98" i="1" s="1"/>
  <c r="N261" i="1"/>
  <c r="N273" i="1" s="1"/>
  <c r="N206" i="1"/>
  <c r="M91" i="1"/>
  <c r="H104" i="1"/>
  <c r="H100" i="1"/>
  <c r="H91" i="1"/>
  <c r="I28" i="1"/>
  <c r="H28" i="1"/>
  <c r="I15" i="1"/>
  <c r="I18" i="1" s="1"/>
  <c r="H15" i="1"/>
  <c r="H18" i="1" s="1"/>
  <c r="N21" i="1" l="1"/>
  <c r="N32" i="1"/>
  <c r="AB12" i="7"/>
  <c r="L281" i="1"/>
  <c r="K281" i="1"/>
  <c r="K50" i="1" s="1"/>
  <c r="L50" i="1"/>
  <c r="AA14" i="7"/>
  <c r="AA13" i="7"/>
  <c r="N262" i="1"/>
  <c r="N221" i="1"/>
  <c r="N91" i="1" s="1"/>
  <c r="N83" i="1"/>
  <c r="M84" i="1"/>
  <c r="M280" i="1"/>
  <c r="M281" i="1" s="1"/>
  <c r="H21" i="1"/>
  <c r="H24" i="1" s="1"/>
  <c r="H30" i="1" s="1"/>
  <c r="I21" i="1"/>
  <c r="I24" i="1" s="1"/>
  <c r="H106" i="1"/>
  <c r="B75" i="1"/>
  <c r="B39" i="1"/>
  <c r="N275" i="1" l="1"/>
  <c r="N85" i="1" s="1"/>
  <c r="N277" i="1"/>
  <c r="N98" i="1" s="1"/>
  <c r="N278" i="1"/>
  <c r="N99" i="1" s="1"/>
  <c r="N274" i="1"/>
  <c r="N276" i="1"/>
  <c r="N86" i="1" s="1"/>
  <c r="AB13" i="7"/>
  <c r="AB14" i="7"/>
  <c r="M50" i="1"/>
  <c r="I30" i="1"/>
  <c r="I51" i="1" s="1"/>
  <c r="I238" i="1"/>
  <c r="I110" i="1"/>
  <c r="I112" i="1" s="1"/>
  <c r="H51" i="1"/>
  <c r="H68" i="1" s="1"/>
  <c r="I44" i="1"/>
  <c r="J44" i="1" s="1"/>
  <c r="K44" i="1" s="1"/>
  <c r="L44" i="1" s="1"/>
  <c r="M44" i="1" s="1"/>
  <c r="N44" i="1" s="1"/>
  <c r="I80" i="1"/>
  <c r="J80" i="1" s="1"/>
  <c r="K80" i="1" s="1"/>
  <c r="L80" i="1" s="1"/>
  <c r="M80" i="1" s="1"/>
  <c r="N80" i="1" s="1"/>
  <c r="N84" i="1" l="1"/>
  <c r="N280" i="1"/>
  <c r="N281" i="1" s="1"/>
  <c r="N50" i="1" s="1"/>
  <c r="I68" i="1"/>
  <c r="I300" i="1"/>
  <c r="I305" i="1" s="1"/>
  <c r="H110" i="1"/>
  <c r="H112" i="1" s="1"/>
  <c r="H80" i="1"/>
  <c r="H44" i="1"/>
  <c r="H70" i="1"/>
  <c r="I69" i="1" s="1"/>
  <c r="H87" i="1" l="1"/>
  <c r="H93" i="1" s="1"/>
  <c r="H115" i="1" s="1"/>
  <c r="I70" i="1"/>
  <c r="J69" i="1" s="1"/>
  <c r="I87" i="1" l="1"/>
  <c r="I93" i="1" s="1"/>
  <c r="I115" i="1" s="1"/>
  <c r="I265" i="1" l="1"/>
  <c r="J23" i="1" l="1"/>
  <c r="J24" i="1"/>
  <c r="J238" i="1" l="1"/>
  <c r="J33" i="1"/>
  <c r="J244" i="1"/>
  <c r="J242" i="1"/>
  <c r="J246" i="1" s="1"/>
  <c r="J26" i="1" s="1"/>
  <c r="J247" i="1" l="1"/>
  <c r="J102" i="1" s="1"/>
  <c r="J27" i="1" l="1"/>
  <c r="J28" i="1" s="1"/>
  <c r="J49" i="1"/>
  <c r="J104" i="1"/>
  <c r="J248" i="1"/>
  <c r="J30" i="1" l="1"/>
  <c r="J339" i="1"/>
  <c r="J47" i="1"/>
  <c r="J51" i="1" s="1"/>
  <c r="J300" i="1" s="1"/>
  <c r="J34" i="1" l="1"/>
  <c r="X15" i="7"/>
  <c r="J340" i="1"/>
  <c r="J345" i="1" s="1"/>
  <c r="J64" i="1" s="1"/>
  <c r="J304" i="1" s="1"/>
  <c r="J305" i="1" s="1"/>
  <c r="J308" i="1" s="1"/>
  <c r="J344" i="1"/>
  <c r="J346" i="1" s="1"/>
  <c r="K343" i="1" s="1"/>
  <c r="X16" i="7" l="1"/>
  <c r="X17" i="7"/>
  <c r="J61" i="1"/>
  <c r="J65" i="1" s="1"/>
  <c r="J68" i="1" s="1"/>
  <c r="J293" i="1" s="1"/>
  <c r="J294" i="1" s="1"/>
  <c r="K292" i="1" s="1"/>
  <c r="J309" i="1"/>
  <c r="J109" i="1"/>
  <c r="J110" i="1" s="1"/>
  <c r="J70" i="1" l="1"/>
  <c r="K69" i="1" s="1"/>
  <c r="J97" i="1"/>
  <c r="J100" i="1" s="1"/>
  <c r="J106" i="1" s="1"/>
  <c r="J112" i="1" s="1"/>
  <c r="K307" i="1"/>
  <c r="K297" i="1"/>
  <c r="J82" i="1" l="1"/>
  <c r="J87" i="1" s="1"/>
  <c r="J93" i="1" s="1"/>
  <c r="J115" i="1" s="1"/>
  <c r="K312" i="1"/>
  <c r="K323" i="1"/>
  <c r="K23" i="1" s="1"/>
  <c r="K24" i="1" s="1"/>
  <c r="K238" i="1" s="1"/>
  <c r="K33" i="1" l="1"/>
  <c r="K242" i="1"/>
  <c r="K246" i="1" s="1"/>
  <c r="K244" i="1"/>
  <c r="K247" i="1" l="1"/>
  <c r="K102" i="1" s="1"/>
  <c r="K104" i="1" s="1"/>
  <c r="K49" i="1"/>
  <c r="K27" i="1"/>
  <c r="K26" i="1"/>
  <c r="K28" i="1" s="1"/>
  <c r="K30" i="1" s="1"/>
  <c r="Y15" i="7" s="1"/>
  <c r="K248" i="1"/>
  <c r="Y16" i="7" l="1"/>
  <c r="Y17" i="7"/>
  <c r="K34" i="1"/>
  <c r="K339" i="1"/>
  <c r="K47" i="1"/>
  <c r="K51" i="1" s="1"/>
  <c r="K300" i="1" s="1"/>
  <c r="K344" i="1" l="1"/>
  <c r="K340" i="1"/>
  <c r="K345" i="1" s="1"/>
  <c r="K64" i="1" s="1"/>
  <c r="K304" i="1" s="1"/>
  <c r="K305" i="1" s="1"/>
  <c r="K308" i="1" s="1"/>
  <c r="K309" i="1" s="1"/>
  <c r="K97" i="1" s="1"/>
  <c r="K61" i="1" l="1"/>
  <c r="K346" i="1"/>
  <c r="L343" i="1" l="1"/>
  <c r="K109" i="1"/>
  <c r="K110" i="1" s="1"/>
  <c r="K65" i="1"/>
  <c r="K68" i="1" s="1"/>
  <c r="K100" i="1" l="1"/>
  <c r="K106" i="1" s="1"/>
  <c r="K112" i="1" s="1"/>
  <c r="L307" i="1"/>
  <c r="K70" i="1"/>
  <c r="K293" i="1"/>
  <c r="K294" i="1" s="1"/>
  <c r="L292" i="1" s="1"/>
  <c r="L69" i="1" l="1"/>
  <c r="K82" i="1"/>
  <c r="K87" i="1" s="1"/>
  <c r="K93" i="1" s="1"/>
  <c r="K115" i="1" s="1"/>
  <c r="L312" i="1"/>
  <c r="L297" i="1"/>
  <c r="L323" i="1" s="1"/>
  <c r="L23" i="1" s="1"/>
  <c r="L24" i="1" s="1"/>
  <c r="L33" i="1" l="1"/>
  <c r="L238" i="1"/>
  <c r="L242" i="1" l="1"/>
  <c r="L246" i="1" s="1"/>
  <c r="L244" i="1"/>
  <c r="L247" i="1" s="1"/>
  <c r="L102" i="1" s="1"/>
  <c r="L27" i="1" l="1"/>
  <c r="L49" i="1"/>
  <c r="L104" i="1"/>
  <c r="L26" i="1"/>
  <c r="L28" i="1" s="1"/>
  <c r="L30" i="1" s="1"/>
  <c r="Z15" i="7" s="1"/>
  <c r="L248" i="1"/>
  <c r="Z16" i="7" l="1"/>
  <c r="Z17" i="7"/>
  <c r="L47" i="1"/>
  <c r="L51" i="1" s="1"/>
  <c r="L300" i="1" s="1"/>
  <c r="L34" i="1"/>
  <c r="L339" i="1"/>
  <c r="L340" i="1" l="1"/>
  <c r="L345" i="1" s="1"/>
  <c r="L64" i="1" s="1"/>
  <c r="L304" i="1" s="1"/>
  <c r="L305" i="1" s="1"/>
  <c r="L344" i="1"/>
  <c r="L346" i="1" s="1"/>
  <c r="L308" i="1" l="1"/>
  <c r="L309" i="1" s="1"/>
  <c r="L97" i="1" s="1"/>
  <c r="L109" i="1"/>
  <c r="L110" i="1" s="1"/>
  <c r="M343" i="1"/>
  <c r="L61" i="1" l="1"/>
  <c r="M307" i="1"/>
  <c r="L65" i="1"/>
  <c r="L68" i="1" s="1"/>
  <c r="L293" i="1" s="1"/>
  <c r="L294" i="1" s="1"/>
  <c r="M292" i="1" s="1"/>
  <c r="M312" i="1"/>
  <c r="L100" i="1"/>
  <c r="L106" i="1" s="1"/>
  <c r="L112" i="1" s="1"/>
  <c r="L70" i="1" l="1"/>
  <c r="M297" i="1"/>
  <c r="M323" i="1" s="1"/>
  <c r="M23" i="1" s="1"/>
  <c r="M24" i="1" s="1"/>
  <c r="M69" i="1" l="1"/>
  <c r="L82" i="1"/>
  <c r="L87" i="1" s="1"/>
  <c r="L93" i="1" s="1"/>
  <c r="L115" i="1" s="1"/>
  <c r="M33" i="1"/>
  <c r="M238" i="1"/>
  <c r="M242" i="1" l="1"/>
  <c r="M246" i="1" s="1"/>
  <c r="M244" i="1"/>
  <c r="M247" i="1" s="1"/>
  <c r="M102" i="1" s="1"/>
  <c r="M27" i="1" l="1"/>
  <c r="M49" i="1"/>
  <c r="M104" i="1"/>
  <c r="M26" i="1"/>
  <c r="M248" i="1"/>
  <c r="M28" i="1" l="1"/>
  <c r="M30" i="1" s="1"/>
  <c r="M34" i="1" l="1"/>
  <c r="AA15" i="7"/>
  <c r="M47" i="1"/>
  <c r="M51" i="1" s="1"/>
  <c r="M300" i="1" s="1"/>
  <c r="M339" i="1"/>
  <c r="M344" i="1" s="1"/>
  <c r="M340" i="1"/>
  <c r="M345" i="1" s="1"/>
  <c r="M64" i="1" s="1"/>
  <c r="M304" i="1" s="1"/>
  <c r="AA16" i="7" l="1"/>
  <c r="AA17" i="7"/>
  <c r="M305" i="1"/>
  <c r="M308" i="1" s="1"/>
  <c r="M309" i="1" s="1"/>
  <c r="M97" i="1" s="1"/>
  <c r="M346" i="1"/>
  <c r="M61" i="1" l="1"/>
  <c r="M109" i="1"/>
  <c r="M110" i="1" s="1"/>
  <c r="N343" i="1"/>
  <c r="M65" i="1" l="1"/>
  <c r="M68" i="1" s="1"/>
  <c r="N307" i="1"/>
  <c r="M100" i="1"/>
  <c r="M106" i="1" s="1"/>
  <c r="M112" i="1" s="1"/>
  <c r="N312" i="1" l="1"/>
  <c r="M293" i="1"/>
  <c r="M294" i="1" s="1"/>
  <c r="N292" i="1" s="1"/>
  <c r="N297" i="1" s="1"/>
  <c r="N323" i="1" s="1"/>
  <c r="N23" i="1" s="1"/>
  <c r="N24" i="1" s="1"/>
  <c r="N238" i="1" s="1"/>
  <c r="M70" i="1"/>
  <c r="N69" i="1" l="1"/>
  <c r="M82" i="1"/>
  <c r="M87" i="1" s="1"/>
  <c r="M93" i="1" s="1"/>
  <c r="M115" i="1" s="1"/>
  <c r="N33" i="1"/>
  <c r="N242" i="1"/>
  <c r="N246" i="1" s="1"/>
  <c r="N244" i="1"/>
  <c r="N247" i="1" l="1"/>
  <c r="N27" i="1" s="1"/>
  <c r="N26" i="1"/>
  <c r="N248" i="1"/>
  <c r="N28" i="1" l="1"/>
  <c r="N30" i="1" s="1"/>
  <c r="AB15" i="7" s="1"/>
  <c r="N49" i="1"/>
  <c r="N102" i="1"/>
  <c r="N104" i="1" s="1"/>
  <c r="N34" i="1"/>
  <c r="N339" i="1"/>
  <c r="N47" i="1"/>
  <c r="N51" i="1" s="1"/>
  <c r="N300" i="1" s="1"/>
  <c r="AB16" i="7" l="1"/>
  <c r="AB17" i="7"/>
  <c r="N344" i="1"/>
  <c r="N340" i="1"/>
  <c r="N345" i="1" s="1"/>
  <c r="N64" i="1" s="1"/>
  <c r="N304" i="1" s="1"/>
  <c r="N305" i="1" s="1"/>
  <c r="N308" i="1" l="1"/>
  <c r="N309" i="1" s="1"/>
  <c r="N97" i="1" s="1"/>
  <c r="N346" i="1"/>
  <c r="N109" i="1" s="1"/>
  <c r="N110" i="1" s="1"/>
  <c r="N61" i="1" l="1"/>
  <c r="N100" i="1"/>
  <c r="N106" i="1" s="1"/>
  <c r="N112" i="1" s="1"/>
  <c r="N65" i="1"/>
  <c r="N68" i="1" s="1"/>
  <c r="N293" i="1" s="1"/>
  <c r="N294" i="1" s="1"/>
  <c r="N70" i="1" l="1"/>
  <c r="N82" i="1" s="1"/>
  <c r="N87" i="1" s="1"/>
  <c r="N93" i="1" s="1"/>
  <c r="N11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<sst xmlns="http://schemas.openxmlformats.org/spreadsheetml/2006/main" count="378" uniqueCount="186">
  <si>
    <t>Income Statement</t>
  </si>
  <si>
    <t>Cost of Sales</t>
  </si>
  <si>
    <t>SG&amp;A</t>
  </si>
  <si>
    <t>Total Costs</t>
  </si>
  <si>
    <t>EBITDA</t>
  </si>
  <si>
    <t>Depreciation</t>
  </si>
  <si>
    <t>EBIT</t>
  </si>
  <si>
    <t>Interest Expense</t>
  </si>
  <si>
    <t>EBT</t>
  </si>
  <si>
    <t>Current Taxes</t>
  </si>
  <si>
    <t>Deferred Income Taxes</t>
  </si>
  <si>
    <t>Total Income Taxes</t>
  </si>
  <si>
    <t>Net Income</t>
  </si>
  <si>
    <t>Net Income to Common</t>
  </si>
  <si>
    <t>Cash Flow Statement</t>
  </si>
  <si>
    <t>Operating Activities</t>
  </si>
  <si>
    <t>Changes in Working Capital</t>
  </si>
  <si>
    <t>Operating Cash Flow</t>
  </si>
  <si>
    <t>Investing Activities</t>
  </si>
  <si>
    <t>CAPEX</t>
  </si>
  <si>
    <t>Investing Cash Flow</t>
  </si>
  <si>
    <t>Financing Activities</t>
  </si>
  <si>
    <t>Revolver Issuance / (Repayment)</t>
  </si>
  <si>
    <t>Total Term Debt Issuance / (Repayment)</t>
  </si>
  <si>
    <t>Common Shares Issuance/ (Buy-Back)</t>
  </si>
  <si>
    <t>Common Dividends</t>
  </si>
  <si>
    <t>Financing Cash Flow</t>
  </si>
  <si>
    <t>Balance Sheet</t>
  </si>
  <si>
    <t>ASSETS</t>
  </si>
  <si>
    <t>Accounts Receivable</t>
  </si>
  <si>
    <t>Inventory</t>
  </si>
  <si>
    <t>Other</t>
  </si>
  <si>
    <t>Total Current Assets</t>
  </si>
  <si>
    <t>Net PP&amp;E</t>
  </si>
  <si>
    <t>Total Long Term Assets</t>
  </si>
  <si>
    <t>Total Assets</t>
  </si>
  <si>
    <t>LIABILITIES AND EQUITY</t>
  </si>
  <si>
    <t>Bank Debt - Revolver</t>
  </si>
  <si>
    <t>Accounts Payable</t>
  </si>
  <si>
    <t>Total Current Liabilities</t>
  </si>
  <si>
    <t>Total Long Term Liabilities</t>
  </si>
  <si>
    <t>Total Liabilities</t>
  </si>
  <si>
    <t>Common Shares</t>
  </si>
  <si>
    <t>Retained Earnings</t>
  </si>
  <si>
    <t>Shareholder's Equity</t>
  </si>
  <si>
    <t>Total Liabilities and Equity</t>
  </si>
  <si>
    <t>Change in Cash Position</t>
  </si>
  <si>
    <t>Beginning Cash</t>
  </si>
  <si>
    <t>Ending Cash</t>
  </si>
  <si>
    <t>Cash and Equivalents</t>
  </si>
  <si>
    <t>Gross Revenue</t>
  </si>
  <si>
    <t>Net Revenue</t>
  </si>
  <si>
    <t>Freight &amp; Warehousing</t>
  </si>
  <si>
    <t>Senior Secured Term Debt</t>
  </si>
  <si>
    <t>Prepaid Expenses</t>
  </si>
  <si>
    <t>Cost Adjustments - Gain/(Loss)</t>
  </si>
  <si>
    <t>($ Millions)</t>
  </si>
  <si>
    <t>Inputs Assumptions</t>
  </si>
  <si>
    <t>Outputs Summary</t>
  </si>
  <si>
    <t>Growth</t>
  </si>
  <si>
    <t>Margin</t>
  </si>
  <si>
    <t>projected</t>
  </si>
  <si>
    <t>Base Scenario Summary</t>
  </si>
  <si>
    <t>Best Scenario Summary</t>
  </si>
  <si>
    <t>WorstScenario Summary</t>
  </si>
  <si>
    <t>GENERAL</t>
  </si>
  <si>
    <t>Forecast first year</t>
  </si>
  <si>
    <t>The sceanrios have been used for Inflation, Product Pricing, Volume Growth</t>
  </si>
  <si>
    <t>PRODUCT PRICING</t>
  </si>
  <si>
    <t xml:space="preserve">The product case used </t>
  </si>
  <si>
    <t>2022-2026</t>
  </si>
  <si>
    <t>Base Scenario</t>
  </si>
  <si>
    <t>General Research</t>
  </si>
  <si>
    <t>Best Scenario</t>
  </si>
  <si>
    <t>Worst Scenario</t>
  </si>
  <si>
    <t>COSTS</t>
  </si>
  <si>
    <t>Row Material</t>
  </si>
  <si>
    <t>Utilities</t>
  </si>
  <si>
    <t>Rent</t>
  </si>
  <si>
    <t>Operating Labour</t>
  </si>
  <si>
    <t>($/unit)</t>
  </si>
  <si>
    <t>($MM)</t>
  </si>
  <si>
    <t>Inflation on a unit basis</t>
  </si>
  <si>
    <t>Inflation on total $</t>
  </si>
  <si>
    <t>DEPRECIATION</t>
  </si>
  <si>
    <t>Depreciation method</t>
  </si>
  <si>
    <t>Straight-Line method</t>
  </si>
  <si>
    <t>Depreciation to Existing Assets</t>
  </si>
  <si>
    <t>Depreciation to New Assets</t>
  </si>
  <si>
    <t>EQITY</t>
  </si>
  <si>
    <t>Common Shares Outstanding (MM)</t>
  </si>
  <si>
    <t>Dividend pay ratio</t>
  </si>
  <si>
    <t>DEBT</t>
  </si>
  <si>
    <t>Cash</t>
  </si>
  <si>
    <t>Revolver</t>
  </si>
  <si>
    <t>Interest rate</t>
  </si>
  <si>
    <t>Amortization on senior secured term debt on "Other Assumptions"</t>
  </si>
  <si>
    <t>TAXES</t>
  </si>
  <si>
    <t>Taxe rate</t>
  </si>
  <si>
    <t>The aggregate reduction in government pre-tax earnings due to timing</t>
  </si>
  <si>
    <t xml:space="preserve"> differences on "Other Assumptions"</t>
  </si>
  <si>
    <t>Other Assumptions</t>
  </si>
  <si>
    <t>Secured Term Debt</t>
  </si>
  <si>
    <t>Income Taxes</t>
  </si>
  <si>
    <t xml:space="preserve">Reduction government pre-tax earnings </t>
  </si>
  <si>
    <t>Capex</t>
  </si>
  <si>
    <t>Capital Expenditure</t>
  </si>
  <si>
    <t>OPERATION</t>
  </si>
  <si>
    <t>Capacity</t>
  </si>
  <si>
    <t>Worrking Capita</t>
  </si>
  <si>
    <t>Other Assets</t>
  </si>
  <si>
    <t>Other Liabilities</t>
  </si>
  <si>
    <t>(days)</t>
  </si>
  <si>
    <t>Change in Debt and Equity</t>
  </si>
  <si>
    <t>Common Stock Issuance / (Buy-back)</t>
  </si>
  <si>
    <t>Scenario Shcedule</t>
  </si>
  <si>
    <t>ECONOMIC SCENARIO</t>
  </si>
  <si>
    <t>PRODUCT SCENARIO</t>
  </si>
  <si>
    <t>Cost Inflation</t>
  </si>
  <si>
    <t>Product Pricing</t>
  </si>
  <si>
    <t>Volume Growth</t>
  </si>
  <si>
    <t>Base case</t>
  </si>
  <si>
    <t>Best case</t>
  </si>
  <si>
    <t>Worst case</t>
  </si>
  <si>
    <t>Revenue Schedule</t>
  </si>
  <si>
    <t>Costs Schedule</t>
  </si>
  <si>
    <t>Capex and Depreciation Schedule</t>
  </si>
  <si>
    <t>Working Capital Schedule</t>
  </si>
  <si>
    <t>PRICING</t>
  </si>
  <si>
    <t>Sales Volume</t>
  </si>
  <si>
    <t>SALES VOLUME</t>
  </si>
  <si>
    <t>REVENUE</t>
  </si>
  <si>
    <t>Gross Sales Price</t>
  </si>
  <si>
    <t>Net Sales Price</t>
  </si>
  <si>
    <t>Annual Capacity</t>
  </si>
  <si>
    <t>($ unit)</t>
  </si>
  <si>
    <t>(%)</t>
  </si>
  <si>
    <t>(000's unit)</t>
  </si>
  <si>
    <t>Annual Sales Volume</t>
  </si>
  <si>
    <t>Capacity implementation</t>
  </si>
  <si>
    <t>COSTS PER UNIT</t>
  </si>
  <si>
    <t>COSTS IN MILLIONS</t>
  </si>
  <si>
    <t>Variable Costs</t>
  </si>
  <si>
    <t>Fixed Costs</t>
  </si>
  <si>
    <t>Total Variable costs</t>
  </si>
  <si>
    <t>Total Fixed Costs</t>
  </si>
  <si>
    <t>($/ unit)</t>
  </si>
  <si>
    <t>Inflation</t>
  </si>
  <si>
    <t>prejected</t>
  </si>
  <si>
    <t>Remaining assets to depreciate</t>
  </si>
  <si>
    <t>New assets to depreciate</t>
  </si>
  <si>
    <t>Capex beginning</t>
  </si>
  <si>
    <t>Depreciation Remaining Assets</t>
  </si>
  <si>
    <t>Depreciation New Assets</t>
  </si>
  <si>
    <t>Capex Ending</t>
  </si>
  <si>
    <t>Total Depreciation</t>
  </si>
  <si>
    <t>Taxe Rate</t>
  </si>
  <si>
    <t>Government EBIT</t>
  </si>
  <si>
    <t>Income Taxes Schedule</t>
  </si>
  <si>
    <t xml:space="preserve">Accounting EBIT </t>
  </si>
  <si>
    <t>Current Tax</t>
  </si>
  <si>
    <t>Increase (Decrease) Deferred Taxe Base</t>
  </si>
  <si>
    <t>Total Income Taxe</t>
  </si>
  <si>
    <t>WORKING CAPITAL IN DAYS</t>
  </si>
  <si>
    <t>WORKING CAPITAL IN MILLIONS</t>
  </si>
  <si>
    <t>Revenue</t>
  </si>
  <si>
    <t>Costs of Sales</t>
  </si>
  <si>
    <t>DAYS</t>
  </si>
  <si>
    <t>Accounting Tax</t>
  </si>
  <si>
    <t>Interest expense</t>
  </si>
  <si>
    <t>Net Working Capital</t>
  </si>
  <si>
    <t>Change in Working Caputal</t>
  </si>
  <si>
    <t>Senior Secured debt</t>
  </si>
  <si>
    <t>Investing CF</t>
  </si>
  <si>
    <t>CFF After Mandatory Bedt Repayment and Dividends</t>
  </si>
  <si>
    <t>Operating CF</t>
  </si>
  <si>
    <t>Total Interest Expense</t>
  </si>
  <si>
    <t>Debt and Equity Schedule (Part 1)</t>
  </si>
  <si>
    <t>Debt and Equity Schedule (Part 2)</t>
  </si>
  <si>
    <t>Dividend Pay Ratio</t>
  </si>
  <si>
    <t>Dividends</t>
  </si>
  <si>
    <t>Chrck</t>
  </si>
  <si>
    <t>EBIT Margin</t>
  </si>
  <si>
    <t>EBITDA Margin</t>
  </si>
  <si>
    <t>NeT Margin</t>
  </si>
  <si>
    <t>GAS Manufact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</si>
</sst>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3" formatCode="_(* #,##0.00_);_(* \(#,##0.00\);_(* &quot;-&quot;??_);_(@_)"/>
    <numFmt numFmtId="164" formatCode="_(* #,##0_);_(* \(#,##0\);_(* &quot;-&quot;??_);_(@_)"/>
    <numFmt numFmtId="165" formatCode="0\A"/>
    <numFmt numFmtId="166" formatCode="#,##0.0_);\(#,##0.0\)"/>
    <numFmt numFmtId="167" formatCode="&quot;$&quot;#,##0.0_);\(&quot;$&quot;#,##0.0\)"/>
    <numFmt numFmtId="168" formatCode="0%;\(0%\)"/>
    <numFmt numFmtId="169" formatCode="#,##0.000_);\(#,##0.000\)"/>
    <numFmt numFmtId="170" formatCode="_(* #,##0.0_);_(* \(#,##0.0\);_(* &quot;-&quot;??_);_(@_)"/>
    <numFmt numFmtId="171" formatCode="_-* #,##0_-;\-* #,##0_-;_-* &quot;-&quot;??_-;_-@_-"/>
    <numFmt numFmtId="172" formatCode="\F0\A"/>
    <numFmt numFmtId="173" formatCode="#,##0.0"/>
    <numFmt numFmtId="174" formatCode="#,##0.0;\-#,##0.0"/>
    <numFmt numFmtId="175" formatCode="#,##0.0000_);\(#,##0.0000\)"/>
    <numFmt numFmtId="176" formatCode="#,##0.00000_);\(#,##0.00000\)"/>
    <numFmt numFmtId="177" formatCode="[$-409]mmmm\ d\,\ yyyy;@"/>
    <numFmt numFmtId="178" formatCode="0.0"/>
    <numFmt numFmtId="179" formatCode="General\ &quot;years&quot;"/>
    <numFmt numFmtId="180" formatCode="&quot;$&quot;#,##0.0_);[Red]\(&quot;$&quot;#,##0.0\)"/>
    <numFmt numFmtId="181" formatCode="0.0%"/>
    <numFmt numFmtId="182" formatCode="0.00_);\(0.00\)"/>
    <numFmt numFmtId="183" formatCode="&quot;$&quot;#,##0.000_);\(&quot;$&quot;#,##0.000\)"/>
  </numFmts>
  <fonts count="27">
    <font>
      <sz val="10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sz val="10"/>
      <name val="Aldine401 BT"/>
    </font>
    <font>
      <sz val="10"/>
      <name val="Book Antiqua"/>
      <family val="1"/>
    </font>
    <font>
      <sz val="11"/>
      <color indexed="12"/>
      <name val="Book Antiqua"/>
      <family val="1"/>
    </font>
    <font>
      <sz val="8"/>
      <name val="Arial"/>
      <family val="2"/>
    </font>
    <font>
      <b/>
      <sz val="18"/>
      <name val="Times New Roman"/>
      <family val="1"/>
    </font>
    <font>
      <b/>
      <sz val="14"/>
      <name val="Times New Roman"/>
      <family val="1"/>
    </font>
    <font>
      <i/>
      <sz val="10"/>
      <name val="Times New Roman"/>
      <family val="1"/>
    </font>
    <font>
      <b/>
      <sz val="10"/>
      <name val="Times New Roman"/>
      <family val="1"/>
    </font>
    <font>
      <b/>
      <u/>
      <sz val="10"/>
      <name val="Times New Roman"/>
      <family val="1"/>
    </font>
    <font>
      <sz val="10"/>
      <color indexed="12"/>
      <name val="Times New Roman"/>
      <family val="1"/>
    </font>
    <font>
      <vertAlign val="superscript"/>
      <sz val="7"/>
      <name val="Times New Roman"/>
      <family val="1"/>
    </font>
    <font>
      <sz val="10"/>
      <color rgb="FF0000FF"/>
      <name val="Times New Roman"/>
      <family val="1"/>
    </font>
    <font>
      <b/>
      <sz val="10"/>
      <color indexed="12"/>
      <name val="Times New Roman"/>
      <family val="1"/>
    </font>
    <font>
      <b/>
      <i/>
      <sz val="10"/>
      <name val="Times New Roman"/>
      <family val="1"/>
    </font>
    <font>
      <b/>
      <sz val="10"/>
      <color theme="1"/>
      <name val="Times New Roman"/>
      <family val="1"/>
    </font>
    <font>
      <b/>
      <sz val="10"/>
      <color rgb="FF0000FF"/>
      <name val="Times New Roman"/>
      <family val="1"/>
    </font>
    <font>
      <b/>
      <sz val="12"/>
      <name val="Times New Roman"/>
      <family val="1"/>
    </font>
    <font>
      <sz val="10"/>
      <color theme="1"/>
      <name val="Times New Roman"/>
      <family val="1"/>
    </font>
    <font>
      <sz val="10"/>
      <color rgb="FF993366"/>
      <name val="Times New Roman"/>
      <family val="1"/>
    </font>
    <font>
      <sz val="9"/>
      <color indexed="12"/>
      <name val="Times New Roman"/>
      <family val="1"/>
    </font>
    <font>
      <u/>
      <sz val="10"/>
      <name val="Times New Roman"/>
      <family val="1"/>
    </font>
    <font>
      <b/>
      <u/>
      <sz val="10"/>
      <color theme="0"/>
      <name val="Times New Roman"/>
      <family val="1"/>
    </font>
    <font>
      <b/>
      <sz val="28"/>
      <color rgb="FF0000FF"/>
      <name val="Times New Roman"/>
      <family val="1"/>
    </font>
    <font>
      <sz val="28"/>
      <color rgb="FF0000FF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12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ont="0" applyFill="0" applyBorder="0" applyProtection="0">
      <alignment horizontal="centerContinuous"/>
    </xf>
    <xf numFmtId="0" fontId="4" fillId="0" borderId="2" applyNumberFormat="0" applyFont="0" applyFill="0" applyAlignment="0" applyProtection="0"/>
    <xf numFmtId="0" fontId="4" fillId="0" borderId="0" applyNumberFormat="0" applyFont="0" applyFill="0" applyBorder="0" applyProtection="0">
      <alignment horizontal="center"/>
    </xf>
    <xf numFmtId="8" fontId="5" fillId="0" borderId="6">
      <protection locked="0"/>
    </xf>
    <xf numFmtId="0" fontId="4" fillId="0" borderId="7" applyNumberFormat="0" applyFont="0" applyFill="0" applyAlignment="0" applyProtection="0"/>
    <xf numFmtId="0" fontId="6" fillId="0" borderId="0" applyNumberFormat="0" applyFill="0" applyBorder="0" applyAlignment="0" applyProtection="0"/>
    <xf numFmtId="171" fontId="3" fillId="0" borderId="0" applyNumberFormat="0" applyFill="0" applyBorder="0" applyAlignment="0" applyProtection="0"/>
    <xf numFmtId="0" fontId="4" fillId="0" borderId="5" applyNumberFormat="0" applyFont="0" applyFill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5">
    <xf numFmtId="0" fontId="0" fillId="0" borderId="0" xfId="0"/>
    <xf numFmtId="0" fontId="2" fillId="0" borderId="0" xfId="0" applyFont="1"/>
    <xf numFmtId="164" fontId="2" fillId="0" borderId="0" xfId="1" applyNumberFormat="1" applyFont="1" applyBorder="1" applyProtection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Continuous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Continuous"/>
    </xf>
    <xf numFmtId="0" fontId="8" fillId="0" borderId="1" xfId="0" applyFont="1" applyBorder="1" applyAlignment="1">
      <alignment horizontal="centerContinuous"/>
    </xf>
    <xf numFmtId="0" fontId="9" fillId="0" borderId="0" xfId="0" quotePrefix="1" applyFont="1"/>
    <xf numFmtId="0" fontId="10" fillId="0" borderId="0" xfId="0" applyFont="1" applyAlignment="1">
      <alignment horizontal="centerContinuous"/>
    </xf>
    <xf numFmtId="0" fontId="11" fillId="0" borderId="0" xfId="0" applyFont="1"/>
    <xf numFmtId="172" fontId="11" fillId="0" borderId="0" xfId="0" quotePrefix="1" applyNumberFormat="1" applyFont="1" applyAlignment="1">
      <alignment horizontal="right"/>
    </xf>
    <xf numFmtId="0" fontId="10" fillId="0" borderId="0" xfId="0" applyFont="1"/>
    <xf numFmtId="166" fontId="12" fillId="0" borderId="0" xfId="1" applyNumberFormat="1" applyFont="1" applyFill="1" applyBorder="1" applyAlignment="1" applyProtection="1">
      <alignment horizontal="right"/>
      <protection locked="0"/>
    </xf>
    <xf numFmtId="166" fontId="12" fillId="0" borderId="2" xfId="1" applyNumberFormat="1" applyFont="1" applyFill="1" applyBorder="1" applyAlignment="1" applyProtection="1">
      <alignment horizontal="right"/>
      <protection locked="0"/>
    </xf>
    <xf numFmtId="166" fontId="10" fillId="0" borderId="0" xfId="1" applyNumberFormat="1" applyFont="1" applyFill="1" applyBorder="1" applyAlignment="1" applyProtection="1">
      <alignment horizontal="right"/>
      <protection locked="0"/>
    </xf>
    <xf numFmtId="0" fontId="12" fillId="0" borderId="0" xfId="0" applyFont="1" applyAlignment="1">
      <alignment horizontal="center"/>
    </xf>
    <xf numFmtId="0" fontId="2" fillId="0" borderId="0" xfId="0" quotePrefix="1" applyFont="1" applyAlignment="1">
      <alignment horizontal="left"/>
    </xf>
    <xf numFmtId="0" fontId="10" fillId="0" borderId="0" xfId="0" quotePrefix="1" applyFont="1" applyAlignment="1">
      <alignment horizontal="left"/>
    </xf>
    <xf numFmtId="166" fontId="10" fillId="0" borderId="0" xfId="1" applyNumberFormat="1" applyFont="1" applyFill="1" applyBorder="1" applyAlignment="1" applyProtection="1">
      <alignment horizontal="right"/>
    </xf>
    <xf numFmtId="166" fontId="10" fillId="0" borderId="0" xfId="1" applyNumberFormat="1" applyFont="1" applyFill="1" applyBorder="1" applyProtection="1"/>
    <xf numFmtId="166" fontId="12" fillId="0" borderId="2" xfId="1" applyNumberFormat="1" applyFont="1" applyFill="1" applyBorder="1" applyProtection="1">
      <protection locked="0"/>
    </xf>
    <xf numFmtId="0" fontId="2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166" fontId="12" fillId="0" borderId="0" xfId="1" applyNumberFormat="1" applyFont="1" applyFill="1" applyBorder="1" applyProtection="1">
      <protection locked="0"/>
    </xf>
    <xf numFmtId="6" fontId="10" fillId="0" borderId="0" xfId="0" quotePrefix="1" applyNumberFormat="1" applyFont="1" applyAlignment="1">
      <alignment horizontal="left"/>
    </xf>
    <xf numFmtId="167" fontId="10" fillId="0" borderId="3" xfId="1" applyNumberFormat="1" applyFont="1" applyFill="1" applyBorder="1" applyAlignment="1" applyProtection="1">
      <alignment horizontal="right"/>
    </xf>
    <xf numFmtId="166" fontId="10" fillId="0" borderId="0" xfId="1" applyNumberFormat="1" applyFont="1" applyBorder="1" applyAlignment="1" applyProtection="1">
      <alignment horizontal="right"/>
    </xf>
    <xf numFmtId="0" fontId="2" fillId="0" borderId="2" xfId="0" applyFont="1" applyBorder="1"/>
    <xf numFmtId="164" fontId="2" fillId="0" borderId="2" xfId="1" applyNumberFormat="1" applyFont="1" applyBorder="1" applyProtection="1"/>
    <xf numFmtId="0" fontId="13" fillId="0" borderId="0" xfId="0" quotePrefix="1" applyFont="1"/>
    <xf numFmtId="168" fontId="9" fillId="0" borderId="0" xfId="0" applyNumberFormat="1" applyFont="1"/>
    <xf numFmtId="0" fontId="2" fillId="0" borderId="0" xfId="0" applyFont="1" applyAlignment="1">
      <alignment horizontal="centerContinuous"/>
    </xf>
    <xf numFmtId="0" fontId="9" fillId="0" borderId="0" xfId="0" quotePrefix="1" applyFont="1" applyAlignment="1">
      <alignment horizontal="left"/>
    </xf>
    <xf numFmtId="165" fontId="11" fillId="0" borderId="0" xfId="0" applyNumberFormat="1" applyFont="1" applyAlignment="1">
      <alignment horizontal="right"/>
    </xf>
    <xf numFmtId="37" fontId="2" fillId="0" borderId="0" xfId="1" applyNumberFormat="1" applyFont="1" applyProtection="1"/>
    <xf numFmtId="166" fontId="14" fillId="0" borderId="0" xfId="1" applyNumberFormat="1" applyFont="1" applyFill="1" applyProtection="1">
      <protection locked="0"/>
    </xf>
    <xf numFmtId="37" fontId="12" fillId="0" borderId="0" xfId="1" applyNumberFormat="1" applyFont="1" applyBorder="1" applyProtection="1"/>
    <xf numFmtId="166" fontId="14" fillId="0" borderId="2" xfId="1" applyNumberFormat="1" applyFont="1" applyFill="1" applyBorder="1" applyAlignment="1" applyProtection="1">
      <alignment horizontal="right"/>
      <protection locked="0"/>
    </xf>
    <xf numFmtId="37" fontId="10" fillId="0" borderId="0" xfId="1" applyNumberFormat="1" applyFont="1" applyBorder="1" applyProtection="1"/>
    <xf numFmtId="166" fontId="10" fillId="0" borderId="0" xfId="1" applyNumberFormat="1" applyFont="1" applyFill="1" applyProtection="1">
      <protection locked="0"/>
    </xf>
    <xf numFmtId="166" fontId="12" fillId="0" borderId="0" xfId="1" applyNumberFormat="1" applyFont="1" applyFill="1" applyProtection="1">
      <protection locked="0"/>
    </xf>
    <xf numFmtId="167" fontId="10" fillId="0" borderId="0" xfId="1" applyNumberFormat="1" applyFont="1" applyFill="1" applyProtection="1"/>
    <xf numFmtId="37" fontId="2" fillId="0" borderId="0" xfId="1" applyNumberFormat="1" applyFont="1" applyBorder="1" applyProtection="1"/>
    <xf numFmtId="37" fontId="2" fillId="0" borderId="0" xfId="1" applyNumberFormat="1" applyFont="1" applyFill="1" applyBorder="1" applyProtection="1"/>
    <xf numFmtId="9" fontId="2" fillId="0" borderId="0" xfId="11" applyFont="1" applyFill="1" applyBorder="1" applyProtection="1"/>
    <xf numFmtId="9" fontId="2" fillId="0" borderId="0" xfId="11" applyFont="1" applyBorder="1" applyProtection="1"/>
    <xf numFmtId="37" fontId="10" fillId="0" borderId="0" xfId="1" applyNumberFormat="1" applyFont="1" applyFill="1" applyBorder="1" applyProtection="1"/>
    <xf numFmtId="166" fontId="15" fillId="2" borderId="0" xfId="1" applyNumberFormat="1" applyFont="1" applyFill="1" applyProtection="1">
      <protection locked="0"/>
    </xf>
    <xf numFmtId="166" fontId="10" fillId="2" borderId="0" xfId="1" applyNumberFormat="1" applyFont="1" applyFill="1" applyProtection="1">
      <protection locked="0"/>
    </xf>
    <xf numFmtId="176" fontId="15" fillId="2" borderId="0" xfId="1" applyNumberFormat="1" applyFont="1" applyFill="1" applyProtection="1">
      <protection locked="0"/>
    </xf>
    <xf numFmtId="166" fontId="2" fillId="0" borderId="0" xfId="1" applyNumberFormat="1" applyFont="1" applyFill="1" applyProtection="1"/>
    <xf numFmtId="166" fontId="2" fillId="0" borderId="2" xfId="1" applyNumberFormat="1" applyFont="1" applyFill="1" applyBorder="1" applyProtection="1"/>
    <xf numFmtId="166" fontId="10" fillId="0" borderId="0" xfId="1" applyNumberFormat="1" applyFont="1" applyFill="1" applyProtection="1"/>
    <xf numFmtId="0" fontId="16" fillId="0" borderId="0" xfId="0" applyFont="1" applyAlignment="1">
      <alignment horizontal="centerContinuous"/>
    </xf>
    <xf numFmtId="0" fontId="9" fillId="0" borderId="0" xfId="0" applyFont="1" applyAlignment="1">
      <alignment horizontal="left"/>
    </xf>
    <xf numFmtId="173" fontId="2" fillId="0" borderId="0" xfId="0" applyNumberFormat="1" applyFont="1"/>
    <xf numFmtId="37" fontId="12" fillId="0" borderId="0" xfId="1" applyNumberFormat="1" applyFont="1" applyFill="1" applyBorder="1" applyProtection="1"/>
    <xf numFmtId="37" fontId="2" fillId="0" borderId="0" xfId="1" applyNumberFormat="1" applyFont="1" applyFill="1" applyProtection="1"/>
    <xf numFmtId="166" fontId="2" fillId="0" borderId="4" xfId="1" applyNumberFormat="1" applyFont="1" applyFill="1" applyBorder="1" applyProtection="1"/>
    <xf numFmtId="167" fontId="10" fillId="0" borderId="3" xfId="1" applyNumberFormat="1" applyFont="1" applyFill="1" applyBorder="1" applyProtection="1"/>
    <xf numFmtId="166" fontId="14" fillId="0" borderId="0" xfId="1" applyNumberFormat="1" applyFont="1" applyFill="1" applyBorder="1" applyProtection="1">
      <protection locked="0"/>
    </xf>
    <xf numFmtId="166" fontId="2" fillId="0" borderId="0" xfId="1" applyNumberFormat="1" applyFont="1" applyFill="1" applyBorder="1" applyProtection="1"/>
    <xf numFmtId="174" fontId="2" fillId="0" borderId="0" xfId="1" applyNumberFormat="1" applyFont="1" applyProtection="1"/>
    <xf numFmtId="175" fontId="2" fillId="0" borderId="0" xfId="0" applyNumberFormat="1" applyFont="1"/>
    <xf numFmtId="170" fontId="2" fillId="0" borderId="0" xfId="1" applyNumberFormat="1" applyFont="1" applyBorder="1" applyProtection="1"/>
    <xf numFmtId="170" fontId="2" fillId="0" borderId="0" xfId="1" applyNumberFormat="1" applyFont="1" applyFill="1" applyBorder="1" applyProtection="1"/>
    <xf numFmtId="0" fontId="9" fillId="0" borderId="2" xfId="0" quotePrefix="1" applyFont="1" applyBorder="1" applyAlignment="1">
      <alignment horizontal="left"/>
    </xf>
    <xf numFmtId="169" fontId="12" fillId="0" borderId="0" xfId="1" applyNumberFormat="1" applyFont="1" applyBorder="1" applyProtection="1"/>
    <xf numFmtId="0" fontId="17" fillId="0" borderId="0" xfId="0" applyFont="1" applyAlignment="1">
      <alignment vertical="center"/>
    </xf>
    <xf numFmtId="177" fontId="10" fillId="0" borderId="0" xfId="0" applyNumberFormat="1" applyFont="1" applyAlignment="1">
      <alignment horizontal="left" vertical="top"/>
    </xf>
    <xf numFmtId="0" fontId="11" fillId="0" borderId="0" xfId="0" quotePrefix="1" applyNumberFormat="1" applyFont="1" applyAlignment="1">
      <alignment horizontal="right"/>
    </xf>
    <xf numFmtId="167" fontId="10" fillId="0" borderId="0" xfId="1" applyNumberFormat="1" applyFont="1" applyFill="1" applyBorder="1" applyAlignment="1" applyProtection="1">
      <alignment horizontal="right"/>
    </xf>
    <xf numFmtId="0" fontId="2" fillId="0" borderId="2" xfId="0" applyFont="1" applyBorder="1" applyAlignment="1">
      <alignment horizontal="centerContinuous"/>
    </xf>
    <xf numFmtId="0" fontId="2" fillId="3" borderId="11" xfId="0" applyFont="1" applyFill="1" applyBorder="1"/>
    <xf numFmtId="0" fontId="2" fillId="3" borderId="4" xfId="0" applyFont="1" applyFill="1" applyBorder="1"/>
    <xf numFmtId="0" fontId="10" fillId="3" borderId="4" xfId="0" applyFont="1" applyFill="1" applyBorder="1" applyAlignment="1">
      <alignment horizontal="centerContinuous"/>
    </xf>
    <xf numFmtId="0" fontId="9" fillId="3" borderId="9" xfId="0" applyFont="1" applyFill="1" applyBorder="1" applyAlignment="1">
      <alignment horizontal="centerContinuous"/>
    </xf>
    <xf numFmtId="0" fontId="9" fillId="3" borderId="10" xfId="0" applyFont="1" applyFill="1" applyBorder="1" applyAlignment="1">
      <alignment horizontal="centerContinuous"/>
    </xf>
    <xf numFmtId="0" fontId="2" fillId="3" borderId="12" xfId="0" applyFont="1" applyFill="1" applyBorder="1"/>
    <xf numFmtId="0" fontId="2" fillId="3" borderId="2" xfId="0" applyFont="1" applyFill="1" applyBorder="1"/>
    <xf numFmtId="0" fontId="11" fillId="3" borderId="2" xfId="0" applyFont="1" applyFill="1" applyBorder="1"/>
    <xf numFmtId="172" fontId="11" fillId="3" borderId="2" xfId="0" quotePrefix="1" applyNumberFormat="1" applyFont="1" applyFill="1" applyBorder="1" applyAlignment="1">
      <alignment horizontal="right"/>
    </xf>
    <xf numFmtId="0" fontId="11" fillId="3" borderId="2" xfId="0" quotePrefix="1" applyNumberFormat="1" applyFont="1" applyFill="1" applyBorder="1" applyAlignment="1">
      <alignment horizontal="right"/>
    </xf>
    <xf numFmtId="0" fontId="11" fillId="3" borderId="13" xfId="0" quotePrefix="1" applyNumberFormat="1" applyFont="1" applyFill="1" applyBorder="1" applyAlignment="1">
      <alignment horizontal="right"/>
    </xf>
    <xf numFmtId="0" fontId="2" fillId="0" borderId="11" xfId="0" applyFont="1" applyBorder="1"/>
    <xf numFmtId="0" fontId="2" fillId="0" borderId="4" xfId="0" applyFont="1" applyBorder="1"/>
    <xf numFmtId="0" fontId="11" fillId="0" borderId="4" xfId="0" applyFont="1" applyBorder="1"/>
    <xf numFmtId="0" fontId="2" fillId="0" borderId="14" xfId="0" applyFont="1" applyBorder="1"/>
    <xf numFmtId="0" fontId="10" fillId="0" borderId="15" xfId="0" applyFont="1" applyBorder="1"/>
    <xf numFmtId="0" fontId="10" fillId="0" borderId="0" xfId="0" applyFont="1" applyBorder="1"/>
    <xf numFmtId="0" fontId="11" fillId="0" borderId="0" xfId="0" applyFont="1" applyBorder="1"/>
    <xf numFmtId="0" fontId="2" fillId="0" borderId="0" xfId="0" applyFont="1" applyBorder="1"/>
    <xf numFmtId="0" fontId="2" fillId="0" borderId="16" xfId="0" applyFont="1" applyBorder="1"/>
    <xf numFmtId="0" fontId="2" fillId="0" borderId="15" xfId="0" applyFont="1" applyBorder="1"/>
    <xf numFmtId="6" fontId="10" fillId="0" borderId="15" xfId="0" quotePrefix="1" applyNumberFormat="1" applyFont="1" applyBorder="1" applyAlignment="1">
      <alignment horizontal="left"/>
    </xf>
    <xf numFmtId="0" fontId="2" fillId="0" borderId="12" xfId="0" applyFont="1" applyBorder="1"/>
    <xf numFmtId="0" fontId="2" fillId="0" borderId="13" xfId="0" applyFont="1" applyBorder="1"/>
    <xf numFmtId="0" fontId="19" fillId="0" borderId="0" xfId="0" applyFont="1" applyAlignment="1">
      <alignment horizontal="centerContinuous"/>
    </xf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9" fillId="3" borderId="9" xfId="0" applyFont="1" applyFill="1" applyBorder="1"/>
    <xf numFmtId="0" fontId="2" fillId="3" borderId="10" xfId="0" applyFont="1" applyFill="1" applyBorder="1"/>
    <xf numFmtId="0" fontId="16" fillId="3" borderId="8" xfId="0" applyFont="1" applyFill="1" applyBorder="1"/>
    <xf numFmtId="0" fontId="20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4" fillId="0" borderId="16" xfId="0" applyFont="1" applyBorder="1" applyAlignment="1">
      <alignment vertical="center"/>
    </xf>
    <xf numFmtId="0" fontId="2" fillId="0" borderId="0" xfId="0" applyFont="1" applyBorder="1" applyAlignment="1">
      <alignment horizontal="centerContinuous"/>
    </xf>
    <xf numFmtId="0" fontId="14" fillId="0" borderId="16" xfId="0" applyFont="1" applyBorder="1" applyAlignment="1">
      <alignment horizontal="centerContinuous" vertical="center"/>
    </xf>
    <xf numFmtId="0" fontId="14" fillId="0" borderId="0" xfId="0" applyFont="1" applyBorder="1" applyAlignment="1">
      <alignment vertical="center"/>
    </xf>
    <xf numFmtId="9" fontId="2" fillId="0" borderId="0" xfId="0" applyNumberFormat="1" applyFont="1" applyBorder="1"/>
    <xf numFmtId="9" fontId="2" fillId="0" borderId="2" xfId="0" applyNumberFormat="1" applyFont="1" applyBorder="1"/>
    <xf numFmtId="0" fontId="16" fillId="3" borderId="11" xfId="0" applyFont="1" applyFill="1" applyBorder="1"/>
    <xf numFmtId="0" fontId="9" fillId="3" borderId="4" xfId="0" applyFont="1" applyFill="1" applyBorder="1"/>
    <xf numFmtId="0" fontId="2" fillId="3" borderId="14" xfId="0" applyFont="1" applyFill="1" applyBorder="1"/>
    <xf numFmtId="0" fontId="14" fillId="0" borderId="4" xfId="0" applyFont="1" applyBorder="1" applyAlignment="1">
      <alignment horizontal="centerContinuous" vertical="center"/>
    </xf>
    <xf numFmtId="178" fontId="14" fillId="0" borderId="0" xfId="0" applyNumberFormat="1" applyFont="1" applyAlignment="1">
      <alignment vertical="center"/>
    </xf>
    <xf numFmtId="0" fontId="2" fillId="0" borderId="14" xfId="0" applyFont="1" applyBorder="1" applyAlignment="1">
      <alignment horizontal="centerContinuous"/>
    </xf>
    <xf numFmtId="168" fontId="14" fillId="0" borderId="0" xfId="0" applyNumberFormat="1" applyFont="1" applyBorder="1" applyAlignment="1">
      <alignment horizontal="centerContinuous" vertical="center"/>
    </xf>
    <xf numFmtId="0" fontId="2" fillId="0" borderId="16" xfId="0" applyFont="1" applyBorder="1" applyAlignment="1">
      <alignment horizontal="centerContinuous"/>
    </xf>
    <xf numFmtId="168" fontId="14" fillId="0" borderId="2" xfId="0" applyNumberFormat="1" applyFont="1" applyBorder="1" applyAlignment="1">
      <alignment horizontal="centerContinuous" vertical="center"/>
    </xf>
    <xf numFmtId="0" fontId="2" fillId="0" borderId="13" xfId="0" applyFont="1" applyBorder="1" applyAlignment="1">
      <alignment horizontal="centerContinuous"/>
    </xf>
    <xf numFmtId="0" fontId="2" fillId="0" borderId="0" xfId="0" applyFont="1" applyBorder="1" applyAlignment="1">
      <alignment horizontal="left"/>
    </xf>
    <xf numFmtId="178" fontId="14" fillId="0" borderId="4" xfId="0" applyNumberFormat="1" applyFont="1" applyBorder="1" applyAlignment="1">
      <alignment vertical="center"/>
    </xf>
    <xf numFmtId="178" fontId="14" fillId="0" borderId="0" xfId="0" applyNumberFormat="1" applyFont="1" applyBorder="1" applyAlignment="1">
      <alignment vertical="center"/>
    </xf>
    <xf numFmtId="178" fontId="14" fillId="0" borderId="2" xfId="0" applyNumberFormat="1" applyFont="1" applyBorder="1" applyAlignment="1">
      <alignment vertical="center"/>
    </xf>
    <xf numFmtId="0" fontId="2" fillId="0" borderId="4" xfId="0" applyFont="1" applyBorder="1" applyAlignment="1">
      <alignment horizontal="centerContinuous"/>
    </xf>
    <xf numFmtId="179" fontId="14" fillId="0" borderId="16" xfId="0" applyNumberFormat="1" applyFont="1" applyBorder="1" applyAlignment="1">
      <alignment vertical="center"/>
    </xf>
    <xf numFmtId="0" fontId="14" fillId="0" borderId="14" xfId="0" applyFont="1" applyBorder="1" applyAlignment="1">
      <alignment horizontal="right" vertical="center"/>
    </xf>
    <xf numFmtId="179" fontId="14" fillId="0" borderId="13" xfId="0" applyNumberFormat="1" applyFont="1" applyBorder="1" applyAlignment="1">
      <alignment vertical="center"/>
    </xf>
    <xf numFmtId="14" fontId="2" fillId="0" borderId="15" xfId="0" applyNumberFormat="1" applyFont="1" applyBorder="1"/>
    <xf numFmtId="8" fontId="14" fillId="0" borderId="16" xfId="0" applyNumberFormat="1" applyFont="1" applyBorder="1" applyAlignment="1">
      <alignment vertical="center"/>
    </xf>
    <xf numFmtId="9" fontId="14" fillId="0" borderId="13" xfId="0" applyNumberFormat="1" applyFont="1" applyBorder="1" applyAlignment="1">
      <alignment vertical="center"/>
    </xf>
    <xf numFmtId="9" fontId="14" fillId="0" borderId="0" xfId="0" applyNumberFormat="1" applyFont="1" applyBorder="1" applyAlignment="1">
      <alignment vertical="center"/>
    </xf>
    <xf numFmtId="0" fontId="10" fillId="0" borderId="11" xfId="0" applyFont="1" applyBorder="1"/>
    <xf numFmtId="9" fontId="14" fillId="0" borderId="16" xfId="0" applyNumberFormat="1" applyFont="1" applyBorder="1" applyAlignment="1">
      <alignment vertical="center"/>
    </xf>
    <xf numFmtId="180" fontId="14" fillId="0" borderId="0" xfId="0" applyNumberFormat="1" applyFont="1" applyBorder="1" applyAlignment="1">
      <alignment vertical="center"/>
    </xf>
    <xf numFmtId="0" fontId="14" fillId="0" borderId="16" xfId="0" applyNumberFormat="1" applyFont="1" applyBorder="1" applyAlignment="1">
      <alignment vertical="center"/>
    </xf>
    <xf numFmtId="0" fontId="2" fillId="3" borderId="15" xfId="0" applyFont="1" applyFill="1" applyBorder="1"/>
    <xf numFmtId="0" fontId="2" fillId="3" borderId="0" xfId="0" applyFont="1" applyFill="1" applyBorder="1"/>
    <xf numFmtId="0" fontId="11" fillId="3" borderId="0" xfId="0" applyFont="1" applyFill="1" applyBorder="1"/>
    <xf numFmtId="172" fontId="11" fillId="3" borderId="0" xfId="0" quotePrefix="1" applyNumberFormat="1" applyFont="1" applyFill="1" applyBorder="1" applyAlignment="1">
      <alignment horizontal="right"/>
    </xf>
    <xf numFmtId="0" fontId="11" fillId="3" borderId="0" xfId="0" quotePrefix="1" applyNumberFormat="1" applyFont="1" applyFill="1" applyBorder="1" applyAlignment="1">
      <alignment horizontal="right"/>
    </xf>
    <xf numFmtId="0" fontId="11" fillId="3" borderId="16" xfId="0" quotePrefix="1" applyNumberFormat="1" applyFont="1" applyFill="1" applyBorder="1" applyAlignment="1">
      <alignment horizontal="right"/>
    </xf>
    <xf numFmtId="180" fontId="14" fillId="0" borderId="16" xfId="0" applyNumberFormat="1" applyFont="1" applyBorder="1" applyAlignment="1">
      <alignment vertical="center"/>
    </xf>
    <xf numFmtId="0" fontId="2" fillId="0" borderId="2" xfId="0" applyFont="1" applyBorder="1" applyAlignment="1">
      <alignment horizontal="left"/>
    </xf>
    <xf numFmtId="0" fontId="21" fillId="0" borderId="2" xfId="0" applyFont="1" applyBorder="1" applyAlignment="1">
      <alignment vertical="center"/>
    </xf>
    <xf numFmtId="181" fontId="22" fillId="0" borderId="17" xfId="0" applyNumberFormat="1" applyFont="1" applyBorder="1"/>
    <xf numFmtId="181" fontId="22" fillId="0" borderId="18" xfId="0" applyNumberFormat="1" applyFont="1" applyBorder="1"/>
    <xf numFmtId="181" fontId="22" fillId="0" borderId="19" xfId="0" applyNumberFormat="1" applyFont="1" applyBorder="1"/>
    <xf numFmtId="181" fontId="22" fillId="0" borderId="20" xfId="0" applyNumberFormat="1" applyFont="1" applyBorder="1"/>
    <xf numFmtId="181" fontId="22" fillId="0" borderId="0" xfId="0" applyNumberFormat="1" applyFont="1"/>
    <xf numFmtId="181" fontId="22" fillId="0" borderId="21" xfId="0" applyNumberFormat="1" applyFont="1" applyBorder="1"/>
    <xf numFmtId="181" fontId="22" fillId="0" borderId="22" xfId="0" applyNumberFormat="1" applyFont="1" applyBorder="1"/>
    <xf numFmtId="181" fontId="22" fillId="0" borderId="23" xfId="0" applyNumberFormat="1" applyFont="1" applyBorder="1"/>
    <xf numFmtId="181" fontId="22" fillId="0" borderId="24" xfId="0" applyNumberFormat="1" applyFont="1" applyBorder="1"/>
    <xf numFmtId="0" fontId="10" fillId="0" borderId="8" xfId="0" applyFont="1" applyBorder="1"/>
    <xf numFmtId="181" fontId="20" fillId="0" borderId="8" xfId="0" applyNumberFormat="1" applyFont="1" applyBorder="1" applyAlignment="1">
      <alignment vertical="center"/>
    </xf>
    <xf numFmtId="181" fontId="20" fillId="0" borderId="9" xfId="0" applyNumberFormat="1" applyFont="1" applyBorder="1" applyAlignment="1">
      <alignment vertical="center"/>
    </xf>
    <xf numFmtId="181" fontId="20" fillId="0" borderId="10" xfId="0" applyNumberFormat="1" applyFont="1" applyBorder="1" applyAlignment="1">
      <alignment vertical="center"/>
    </xf>
    <xf numFmtId="6" fontId="22" fillId="0" borderId="17" xfId="0" applyNumberFormat="1" applyFont="1" applyBorder="1"/>
    <xf numFmtId="6" fontId="22" fillId="0" borderId="18" xfId="0" applyNumberFormat="1" applyFont="1" applyBorder="1"/>
    <xf numFmtId="6" fontId="22" fillId="0" borderId="19" xfId="0" applyNumberFormat="1" applyFont="1" applyBorder="1"/>
    <xf numFmtId="6" fontId="20" fillId="0" borderId="20" xfId="0" applyNumberFormat="1" applyFont="1" applyBorder="1" applyAlignment="1">
      <alignment vertical="center"/>
    </xf>
    <xf numFmtId="6" fontId="20" fillId="0" borderId="0" xfId="0" applyNumberFormat="1" applyFont="1" applyAlignment="1">
      <alignment vertical="center"/>
    </xf>
    <xf numFmtId="6" fontId="20" fillId="0" borderId="21" xfId="0" applyNumberFormat="1" applyFont="1" applyBorder="1" applyAlignment="1">
      <alignment vertical="center"/>
    </xf>
    <xf numFmtId="6" fontId="20" fillId="0" borderId="22" xfId="0" applyNumberFormat="1" applyFont="1" applyBorder="1" applyAlignment="1">
      <alignment vertical="center"/>
    </xf>
    <xf numFmtId="6" fontId="20" fillId="0" borderId="23" xfId="0" applyNumberFormat="1" applyFont="1" applyBorder="1" applyAlignment="1">
      <alignment vertical="center"/>
    </xf>
    <xf numFmtId="6" fontId="20" fillId="0" borderId="24" xfId="0" applyNumberFormat="1" applyFont="1" applyBorder="1" applyAlignment="1">
      <alignment vertical="center"/>
    </xf>
    <xf numFmtId="8" fontId="14" fillId="0" borderId="0" xfId="0" quotePrefix="1" applyNumberFormat="1" applyFont="1" applyAlignment="1">
      <alignment vertical="center"/>
    </xf>
    <xf numFmtId="172" fontId="23" fillId="0" borderId="0" xfId="0" quotePrefix="1" applyNumberFormat="1" applyFont="1" applyAlignment="1">
      <alignment horizontal="right"/>
    </xf>
    <xf numFmtId="0" fontId="23" fillId="0" borderId="0" xfId="0" quotePrefix="1" applyNumberFormat="1" applyFont="1" applyAlignment="1">
      <alignment horizontal="right"/>
    </xf>
    <xf numFmtId="8" fontId="20" fillId="0" borderId="0" xfId="0" quotePrefix="1" applyNumberFormat="1" applyFont="1" applyAlignment="1">
      <alignment vertical="center"/>
    </xf>
    <xf numFmtId="0" fontId="21" fillId="0" borderId="0" xfId="0" quotePrefix="1" applyNumberFormat="1" applyFont="1" applyAlignment="1">
      <alignment vertical="center"/>
    </xf>
    <xf numFmtId="181" fontId="21" fillId="0" borderId="0" xfId="0" quotePrefix="1" applyNumberFormat="1" applyFont="1" applyAlignment="1">
      <alignment vertical="center"/>
    </xf>
    <xf numFmtId="166" fontId="2" fillId="0" borderId="0" xfId="0" applyNumberFormat="1" applyFont="1"/>
    <xf numFmtId="166" fontId="20" fillId="0" borderId="0" xfId="0" applyNumberFormat="1" applyFont="1" applyAlignment="1">
      <alignment vertical="center"/>
    </xf>
    <xf numFmtId="166" fontId="14" fillId="0" borderId="0" xfId="0" applyNumberFormat="1" applyFont="1" applyAlignment="1">
      <alignment vertical="center"/>
    </xf>
    <xf numFmtId="2" fontId="20" fillId="0" borderId="0" xfId="0" quotePrefix="1" applyNumberFormat="1" applyFont="1" applyAlignment="1">
      <alignment vertical="center"/>
    </xf>
    <xf numFmtId="166" fontId="14" fillId="0" borderId="2" xfId="0" applyNumberFormat="1" applyFont="1" applyBorder="1" applyAlignment="1">
      <alignment vertical="center"/>
    </xf>
    <xf numFmtId="8" fontId="20" fillId="0" borderId="2" xfId="0" quotePrefix="1" applyNumberFormat="1" applyFont="1" applyBorder="1" applyAlignment="1">
      <alignment vertical="center"/>
    </xf>
    <xf numFmtId="8" fontId="18" fillId="0" borderId="0" xfId="0" applyNumberFormat="1" applyFont="1" applyAlignment="1">
      <alignment vertical="center"/>
    </xf>
    <xf numFmtId="8" fontId="17" fillId="0" borderId="0" xfId="0" applyNumberFormat="1" applyFont="1" applyAlignment="1">
      <alignment vertical="center"/>
    </xf>
    <xf numFmtId="9" fontId="21" fillId="0" borderId="2" xfId="0" quotePrefix="1" applyNumberFormat="1" applyFont="1" applyBorder="1" applyAlignment="1">
      <alignment vertical="center"/>
    </xf>
    <xf numFmtId="0" fontId="11" fillId="0" borderId="9" xfId="0" applyFont="1" applyBorder="1"/>
    <xf numFmtId="8" fontId="20" fillId="0" borderId="9" xfId="0" quotePrefix="1" applyNumberFormat="1" applyFont="1" applyBorder="1" applyAlignment="1">
      <alignment vertical="center"/>
    </xf>
    <xf numFmtId="9" fontId="20" fillId="0" borderId="9" xfId="0" quotePrefix="1" applyNumberFormat="1" applyFont="1" applyBorder="1" applyAlignment="1">
      <alignment vertical="center"/>
    </xf>
    <xf numFmtId="9" fontId="20" fillId="0" borderId="10" xfId="0" quotePrefix="1" applyNumberFormat="1" applyFont="1" applyBorder="1" applyAlignment="1">
      <alignment vertical="center"/>
    </xf>
    <xf numFmtId="172" fontId="11" fillId="0" borderId="4" xfId="0" quotePrefix="1" applyNumberFormat="1" applyFont="1" applyBorder="1" applyAlignment="1">
      <alignment horizontal="right"/>
    </xf>
    <xf numFmtId="166" fontId="20" fillId="0" borderId="4" xfId="0" applyNumberFormat="1" applyFont="1" applyBorder="1" applyAlignment="1">
      <alignment vertical="center"/>
    </xf>
    <xf numFmtId="166" fontId="20" fillId="0" borderId="14" xfId="0" applyNumberFormat="1" applyFont="1" applyBorder="1" applyAlignment="1">
      <alignment vertical="center"/>
    </xf>
    <xf numFmtId="0" fontId="11" fillId="0" borderId="2" xfId="0" applyFont="1" applyBorder="1"/>
    <xf numFmtId="172" fontId="11" fillId="0" borderId="2" xfId="0" quotePrefix="1" applyNumberFormat="1" applyFont="1" applyBorder="1" applyAlignment="1">
      <alignment horizontal="right"/>
    </xf>
    <xf numFmtId="166" fontId="20" fillId="0" borderId="2" xfId="0" applyNumberFormat="1" applyFont="1" applyBorder="1" applyAlignment="1">
      <alignment vertical="center"/>
    </xf>
    <xf numFmtId="166" fontId="20" fillId="0" borderId="3" xfId="0" applyNumberFormat="1" applyFont="1" applyBorder="1" applyAlignment="1">
      <alignment vertical="center"/>
    </xf>
    <xf numFmtId="179" fontId="14" fillId="0" borderId="14" xfId="0" applyNumberFormat="1" applyFont="1" applyBorder="1" applyAlignment="1">
      <alignment vertical="center"/>
    </xf>
    <xf numFmtId="0" fontId="10" fillId="0" borderId="12" xfId="0" applyFont="1" applyBorder="1"/>
    <xf numFmtId="180" fontId="2" fillId="0" borderId="14" xfId="0" applyNumberFormat="1" applyFont="1" applyBorder="1"/>
    <xf numFmtId="180" fontId="2" fillId="0" borderId="16" xfId="0" applyNumberFormat="1" applyFont="1" applyBorder="1"/>
    <xf numFmtId="180" fontId="2" fillId="0" borderId="13" xfId="0" applyNumberFormat="1" applyFont="1" applyBorder="1"/>
    <xf numFmtId="166" fontId="2" fillId="0" borderId="8" xfId="0" applyNumberFormat="1" applyFont="1" applyBorder="1"/>
    <xf numFmtId="166" fontId="2" fillId="0" borderId="9" xfId="0" applyNumberFormat="1" applyFont="1" applyBorder="1"/>
    <xf numFmtId="166" fontId="2" fillId="0" borderId="10" xfId="0" applyNumberFormat="1" applyFont="1" applyBorder="1"/>
    <xf numFmtId="178" fontId="2" fillId="0" borderId="0" xfId="0" applyNumberFormat="1" applyFont="1" applyAlignment="1"/>
    <xf numFmtId="166" fontId="2" fillId="0" borderId="0" xfId="0" applyNumberFormat="1" applyFont="1" applyBorder="1"/>
    <xf numFmtId="178" fontId="2" fillId="0" borderId="2" xfId="0" applyNumberFormat="1" applyFont="1" applyBorder="1" applyAlignment="1"/>
    <xf numFmtId="8" fontId="10" fillId="0" borderId="0" xfId="0" applyNumberFormat="1" applyFont="1"/>
    <xf numFmtId="166" fontId="20" fillId="0" borderId="0" xfId="1" applyNumberFormat="1" applyFont="1" applyFill="1" applyAlignment="1" applyProtection="1">
      <alignment vertical="center"/>
      <protection locked="0"/>
    </xf>
    <xf numFmtId="9" fontId="21" fillId="0" borderId="0" xfId="0" applyNumberFormat="1" applyFont="1" applyAlignment="1">
      <alignment vertical="center"/>
    </xf>
    <xf numFmtId="9" fontId="21" fillId="0" borderId="10" xfId="0" applyNumberFormat="1" applyFont="1" applyBorder="1" applyAlignment="1">
      <alignment vertical="center"/>
    </xf>
    <xf numFmtId="166" fontId="20" fillId="0" borderId="2" xfId="1" applyNumberFormat="1" applyFont="1" applyFill="1" applyBorder="1" applyAlignment="1" applyProtection="1">
      <alignment vertical="center"/>
      <protection locked="0"/>
    </xf>
    <xf numFmtId="166" fontId="20" fillId="0" borderId="0" xfId="1" applyNumberFormat="1" applyFont="1" applyFill="1" applyBorder="1" applyAlignment="1" applyProtection="1">
      <alignment vertical="center"/>
      <protection locked="0"/>
    </xf>
    <xf numFmtId="2" fontId="2" fillId="0" borderId="0" xfId="0" applyNumberFormat="1" applyFont="1"/>
    <xf numFmtId="166" fontId="2" fillId="0" borderId="2" xfId="0" applyNumberFormat="1" applyFont="1" applyBorder="1"/>
    <xf numFmtId="166" fontId="2" fillId="0" borderId="13" xfId="0" applyNumberFormat="1" applyFont="1" applyBorder="1"/>
    <xf numFmtId="166" fontId="10" fillId="0" borderId="2" xfId="0" applyNumberFormat="1" applyFont="1" applyBorder="1"/>
    <xf numFmtId="166" fontId="10" fillId="0" borderId="0" xfId="0" applyNumberFormat="1" applyFont="1" applyBorder="1"/>
    <xf numFmtId="2" fontId="10" fillId="0" borderId="4" xfId="0" applyNumberFormat="1" applyFont="1" applyBorder="1"/>
    <xf numFmtId="2" fontId="10" fillId="0" borderId="14" xfId="0" applyNumberFormat="1" applyFont="1" applyBorder="1"/>
    <xf numFmtId="166" fontId="2" fillId="0" borderId="4" xfId="0" applyNumberFormat="1" applyFont="1" applyBorder="1"/>
    <xf numFmtId="166" fontId="2" fillId="0" borderId="14" xfId="0" applyNumberFormat="1" applyFont="1" applyBorder="1"/>
    <xf numFmtId="37" fontId="2" fillId="0" borderId="4" xfId="0" applyNumberFormat="1" applyFont="1" applyBorder="1"/>
    <xf numFmtId="1" fontId="2" fillId="0" borderId="0" xfId="0" applyNumberFormat="1" applyFont="1" applyAlignment="1"/>
    <xf numFmtId="178" fontId="14" fillId="4" borderId="0" xfId="0" applyNumberFormat="1" applyFont="1" applyFill="1" applyBorder="1" applyAlignment="1">
      <alignment vertical="center"/>
    </xf>
    <xf numFmtId="178" fontId="14" fillId="4" borderId="2" xfId="0" applyNumberFormat="1" applyFont="1" applyFill="1" applyBorder="1" applyAlignment="1">
      <alignment vertical="center"/>
    </xf>
    <xf numFmtId="178" fontId="14" fillId="4" borderId="16" xfId="0" applyNumberFormat="1" applyFont="1" applyFill="1" applyBorder="1" applyAlignment="1">
      <alignment vertical="center"/>
    </xf>
    <xf numFmtId="178" fontId="14" fillId="4" borderId="13" xfId="0" applyNumberFormat="1" applyFont="1" applyFill="1" applyBorder="1" applyAlignment="1">
      <alignment vertical="center"/>
    </xf>
    <xf numFmtId="0" fontId="24" fillId="0" borderId="0" xfId="0" applyFont="1"/>
    <xf numFmtId="0" fontId="21" fillId="0" borderId="0" xfId="0" applyFont="1" applyAlignment="1">
      <alignment vertical="center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166" fontId="21" fillId="0" borderId="0" xfId="1" applyNumberFormat="1" applyFont="1" applyFill="1" applyAlignment="1" applyProtection="1">
      <alignment vertical="center"/>
      <protection locked="0"/>
    </xf>
    <xf numFmtId="0" fontId="2" fillId="0" borderId="7" xfId="0" applyFont="1" applyBorder="1"/>
    <xf numFmtId="9" fontId="21" fillId="0" borderId="7" xfId="0" applyNumberFormat="1" applyFont="1" applyBorder="1" applyAlignment="1">
      <alignment vertical="center"/>
    </xf>
    <xf numFmtId="37" fontId="2" fillId="0" borderId="0" xfId="0" applyNumberFormat="1" applyFont="1"/>
    <xf numFmtId="37" fontId="10" fillId="0" borderId="0" xfId="0" applyNumberFormat="1" applyFont="1"/>
    <xf numFmtId="166" fontId="10" fillId="0" borderId="0" xfId="0" applyNumberFormat="1" applyFont="1"/>
    <xf numFmtId="7" fontId="10" fillId="0" borderId="0" xfId="0" applyNumberFormat="1" applyFont="1"/>
    <xf numFmtId="166" fontId="21" fillId="0" borderId="0" xfId="0" applyNumberFormat="1" applyFont="1" applyAlignment="1">
      <alignment vertical="center"/>
    </xf>
    <xf numFmtId="39" fontId="2" fillId="0" borderId="2" xfId="0" applyNumberFormat="1" applyFont="1" applyBorder="1"/>
    <xf numFmtId="39" fontId="10" fillId="0" borderId="0" xfId="0" applyNumberFormat="1" applyFont="1" applyBorder="1"/>
    <xf numFmtId="37" fontId="2" fillId="0" borderId="2" xfId="0" applyNumberFormat="1" applyFont="1" applyBorder="1"/>
    <xf numFmtId="166" fontId="20" fillId="4" borderId="2" xfId="1" applyNumberFormat="1" applyFont="1" applyFill="1" applyBorder="1" applyAlignment="1" applyProtection="1">
      <alignment vertical="center"/>
      <protection locked="0"/>
    </xf>
    <xf numFmtId="8" fontId="10" fillId="0" borderId="0" xfId="0" applyNumberFormat="1" applyFont="1" applyBorder="1"/>
    <xf numFmtId="7" fontId="10" fillId="0" borderId="0" xfId="0" applyNumberFormat="1" applyFont="1" applyBorder="1"/>
    <xf numFmtId="181" fontId="20" fillId="0" borderId="2" xfId="0" applyNumberFormat="1" applyFont="1" applyBorder="1" applyAlignment="1">
      <alignment vertical="center"/>
    </xf>
    <xf numFmtId="181" fontId="20" fillId="0" borderId="13" xfId="0" applyNumberFormat="1" applyFont="1" applyBorder="1" applyAlignment="1">
      <alignment vertical="center"/>
    </xf>
    <xf numFmtId="9" fontId="2" fillId="0" borderId="0" xfId="1" applyNumberFormat="1" applyFont="1" applyBorder="1" applyAlignment="1" applyProtection="1">
      <alignment horizontal="right"/>
    </xf>
    <xf numFmtId="0" fontId="10" fillId="0" borderId="4" xfId="0" applyFont="1" applyBorder="1"/>
    <xf numFmtId="9" fontId="2" fillId="0" borderId="4" xfId="1" applyNumberFormat="1" applyFont="1" applyBorder="1" applyAlignment="1" applyProtection="1">
      <alignment horizontal="right"/>
    </xf>
    <xf numFmtId="9" fontId="2" fillId="0" borderId="14" xfId="1" applyNumberFormat="1" applyFont="1" applyBorder="1" applyAlignment="1" applyProtection="1">
      <alignment horizontal="right"/>
    </xf>
    <xf numFmtId="9" fontId="2" fillId="0" borderId="16" xfId="1" applyNumberFormat="1" applyFont="1" applyBorder="1" applyAlignment="1" applyProtection="1">
      <alignment horizontal="right"/>
    </xf>
    <xf numFmtId="0" fontId="10" fillId="0" borderId="2" xfId="0" applyFont="1" applyBorder="1"/>
    <xf numFmtId="9" fontId="2" fillId="0" borderId="2" xfId="1" applyNumberFormat="1" applyFont="1" applyBorder="1" applyAlignment="1" applyProtection="1">
      <alignment horizontal="right"/>
    </xf>
    <xf numFmtId="9" fontId="2" fillId="0" borderId="13" xfId="1" applyNumberFormat="1" applyFont="1" applyBorder="1" applyAlignment="1" applyProtection="1">
      <alignment horizontal="right"/>
    </xf>
    <xf numFmtId="6" fontId="9" fillId="0" borderId="11" xfId="0" quotePrefix="1" applyNumberFormat="1" applyFont="1" applyBorder="1" applyAlignment="1">
      <alignment horizontal="left"/>
    </xf>
    <xf numFmtId="6" fontId="9" fillId="0" borderId="15" xfId="0" quotePrefix="1" applyNumberFormat="1" applyFont="1" applyBorder="1" applyAlignment="1">
      <alignment horizontal="left"/>
    </xf>
    <xf numFmtId="6" fontId="9" fillId="0" borderId="12" xfId="0" quotePrefix="1" applyNumberFormat="1" applyFont="1" applyBorder="1" applyAlignment="1">
      <alignment horizontal="left"/>
    </xf>
    <xf numFmtId="182" fontId="21" fillId="0" borderId="2" xfId="0" applyNumberFormat="1" applyFont="1" applyBorder="1" applyAlignment="1">
      <alignment vertical="center"/>
    </xf>
    <xf numFmtId="182" fontId="2" fillId="0" borderId="0" xfId="0" applyNumberFormat="1" applyFont="1"/>
    <xf numFmtId="183" fontId="10" fillId="0" borderId="7" xfId="0" applyNumberFormat="1" applyFont="1" applyBorder="1" applyAlignment="1"/>
    <xf numFmtId="166" fontId="2" fillId="4" borderId="0" xfId="0" applyNumberFormat="1" applyFont="1" applyFill="1"/>
    <xf numFmtId="181" fontId="2" fillId="0" borderId="0" xfId="0" applyNumberFormat="1" applyFont="1" applyBorder="1"/>
    <xf numFmtId="2" fontId="2" fillId="0" borderId="0" xfId="0" applyNumberFormat="1" applyFont="1" applyBorder="1"/>
    <xf numFmtId="2" fontId="14" fillId="0" borderId="0" xfId="0" applyNumberFormat="1" applyFont="1" applyBorder="1" applyAlignment="1">
      <alignment vertical="center"/>
    </xf>
    <xf numFmtId="181" fontId="14" fillId="0" borderId="0" xfId="0" applyNumberFormat="1" applyFont="1" applyBorder="1" applyAlignment="1">
      <alignment vertical="center"/>
    </xf>
    <xf numFmtId="0" fontId="14" fillId="0" borderId="2" xfId="0" applyFont="1" applyBorder="1" applyAlignment="1">
      <alignment vertical="center"/>
    </xf>
    <xf numFmtId="9" fontId="14" fillId="0" borderId="2" xfId="0" applyNumberFormat="1" applyFont="1" applyBorder="1" applyAlignment="1">
      <alignment vertical="center"/>
    </xf>
    <xf numFmtId="2" fontId="14" fillId="0" borderId="16" xfId="0" applyNumberFormat="1" applyFont="1" applyBorder="1" applyAlignment="1">
      <alignment vertical="center"/>
    </xf>
    <xf numFmtId="181" fontId="14" fillId="0" borderId="16" xfId="0" applyNumberFormat="1" applyFont="1" applyBorder="1" applyAlignment="1">
      <alignment vertical="center"/>
    </xf>
    <xf numFmtId="0" fontId="8" fillId="0" borderId="0" xfId="0" applyFont="1" applyBorder="1" applyAlignment="1">
      <alignment horizontal="centerContinuous"/>
    </xf>
    <xf numFmtId="0" fontId="25" fillId="0" borderId="0" xfId="0" applyFont="1" applyAlignment="1">
      <alignment vertical="center"/>
    </xf>
    <xf numFmtId="0" fontId="26" fillId="0" borderId="0" xfId="0" applyFont="1"/>
    <xf numFmtId="0" fontId="25" fillId="0" borderId="0" xfId="0" applyFont="1" applyBorder="1"/>
  </cellXfs>
  <cellStyles count="12">
    <cellStyle name="Across" xfId="2" xr:uid="{00000000-0005-0000-0000-000000000000}"/>
    <cellStyle name="Bottom" xfId="3" xr:uid="{00000000-0005-0000-0000-000001000000}"/>
    <cellStyle name="Center" xfId="4" xr:uid="{00000000-0005-0000-0000-000002000000}"/>
    <cellStyle name="Comma" xfId="1" builtinId="3"/>
    <cellStyle name="Currency [2]" xfId="5" xr:uid="{00000000-0005-0000-0000-000004000000}"/>
    <cellStyle name="Double" xfId="6" xr:uid="{00000000-0005-0000-0000-000005000000}"/>
    <cellStyle name="Normal" xfId="0" builtinId="0"/>
    <cellStyle name="Numbers" xfId="7" xr:uid="{00000000-0005-0000-0000-000007000000}"/>
    <cellStyle name="Numbers - Bold - Italic" xfId="8" xr:uid="{00000000-0005-0000-0000-000008000000}"/>
    <cellStyle name="Outline" xfId="9" xr:uid="{00000000-0005-0000-0000-000009000000}"/>
    <cellStyle name="Percent" xfId="11" builtinId="5"/>
    <cellStyle name="Percent 2" xfId="10" xr:uid="{00000000-0005-0000-0000-00000B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EE6B2-41E4-4D22-B911-EA16258951AE}">
  <dimension ref="A1:O12"/>
  <sheetViews>
    <sheetView showGridLines="0" tabSelected="1" zoomScaleNormal="100" zoomScaleSheetLayoutView="90" workbookViewId="0">
      <selection activeCell="D10" sqref="D10"/>
    </sheetView>
  </sheetViews>
  <sheetFormatPr defaultColWidth="9.21875" defaultRowHeight="13.2"/>
  <cols>
    <col min="1" max="1" width="2.5546875" style="1" customWidth="1"/>
    <col min="2" max="2" width="1.77734375" style="1" customWidth="1"/>
    <col min="3" max="3" width="2.21875" style="1" customWidth="1"/>
    <col min="4" max="4" width="32.77734375" style="1" customWidth="1"/>
    <col min="5" max="5" width="12.77734375" style="1" customWidth="1"/>
    <col min="6" max="6" width="1.77734375" style="1" customWidth="1"/>
    <col min="7" max="9" width="12.77734375" style="1" customWidth="1"/>
    <col min="10" max="16384" width="9.21875" style="1"/>
  </cols>
  <sheetData>
    <row r="1" spans="1:15">
      <c r="G1" s="2"/>
      <c r="H1" s="2"/>
      <c r="I1" s="2"/>
    </row>
    <row r="2" spans="1:15" ht="22.8">
      <c r="A2" s="3"/>
      <c r="C2" s="4"/>
      <c r="E2" s="4"/>
      <c r="F2" s="4"/>
      <c r="G2" s="4"/>
      <c r="H2" s="4"/>
      <c r="I2" s="4"/>
      <c r="J2" s="32"/>
      <c r="K2" s="32"/>
      <c r="L2" s="32"/>
      <c r="M2" s="32"/>
      <c r="N2" s="32"/>
      <c r="O2" s="32"/>
    </row>
    <row r="10" spans="1:15" ht="34.799999999999997">
      <c r="D10" s="272" t="s">
        <v>185</v>
      </c>
    </row>
    <row r="11" spans="1:15">
      <c r="D11" s="70"/>
    </row>
    <row r="12" spans="1:15">
      <c r="D12" s="12"/>
    </row>
  </sheetData>
  <sheetProtection formatCells="0"/>
  <printOptions horizontalCentered="1"/>
  <pageMargins left="0.25" right="0.25" top="0.25" bottom="0.5" header="0.25" footer="0.25"/>
  <pageSetup scale="85" orientation="landscape" r:id="rId1"/>
  <headerFooter alignWithMargins="0">
    <oddFooter>&amp;C&amp;P of &amp;N&amp;RShchebrina Yury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29D2D-2222-4BC3-8629-7C32B1B5898E}">
  <dimension ref="A1:AB43"/>
  <sheetViews>
    <sheetView showGridLines="0" tabSelected="1" zoomScale="50" zoomScaleNormal="50" zoomScaleSheetLayoutView="58" workbookViewId="0">
      <selection activeCell="D10" sqref="D10"/>
    </sheetView>
  </sheetViews>
  <sheetFormatPr defaultColWidth="9.21875" defaultRowHeight="13.2"/>
  <cols>
    <col min="1" max="1" width="2.5546875" style="1" customWidth="1"/>
    <col min="2" max="2" width="1.77734375" style="1" customWidth="1"/>
    <col min="3" max="3" width="2.21875" style="1" customWidth="1"/>
    <col min="4" max="4" width="32.77734375" style="1" customWidth="1"/>
    <col min="5" max="5" width="12.77734375" style="1" customWidth="1"/>
    <col min="6" max="6" width="1.77734375" style="1" customWidth="1"/>
    <col min="7" max="9" width="12.77734375" style="1" customWidth="1"/>
    <col min="10" max="16384" width="9.21875" style="1"/>
  </cols>
  <sheetData>
    <row r="1" spans="1:28">
      <c r="G1" s="2"/>
      <c r="H1" s="2"/>
      <c r="I1" s="2"/>
    </row>
    <row r="2" spans="1:28" ht="22.8">
      <c r="A2" s="3"/>
      <c r="B2" s="4" t="s">
        <v>185</v>
      </c>
      <c r="C2" s="4"/>
      <c r="D2" s="4"/>
      <c r="E2" s="4"/>
      <c r="F2" s="4"/>
      <c r="G2" s="4"/>
      <c r="H2" s="4"/>
      <c r="I2" s="4"/>
      <c r="J2" s="32"/>
      <c r="K2" s="32"/>
      <c r="L2" s="32"/>
      <c r="M2" s="32"/>
      <c r="N2" s="32"/>
      <c r="O2" s="32"/>
    </row>
    <row r="3" spans="1:28" ht="19.5" customHeight="1">
      <c r="A3" s="5"/>
      <c r="B3" s="6" t="s">
        <v>58</v>
      </c>
      <c r="C3" s="6"/>
      <c r="D3" s="6"/>
      <c r="E3" s="6"/>
      <c r="F3" s="6"/>
      <c r="G3" s="6"/>
      <c r="H3" s="6"/>
      <c r="I3" s="6"/>
      <c r="J3" s="32"/>
      <c r="K3" s="32"/>
      <c r="L3" s="32"/>
      <c r="M3" s="32"/>
      <c r="N3" s="32"/>
      <c r="O3" s="32"/>
    </row>
    <row r="4" spans="1:28" ht="6" customHeight="1" thickBo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28">
      <c r="B5" s="8"/>
    </row>
    <row r="6" spans="1:28" ht="15.6">
      <c r="B6" s="8"/>
      <c r="C6" s="98" t="s">
        <v>62</v>
      </c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Q6" s="1" t="s">
        <v>62</v>
      </c>
    </row>
    <row r="7" spans="1:28">
      <c r="C7" s="74"/>
      <c r="D7" s="75"/>
      <c r="E7" s="75"/>
      <c r="F7" s="76"/>
      <c r="G7" s="75"/>
      <c r="H7" s="75"/>
      <c r="I7" s="75"/>
      <c r="J7" s="77" t="s">
        <v>61</v>
      </c>
      <c r="K7" s="77"/>
      <c r="L7" s="77"/>
      <c r="M7" s="77"/>
      <c r="N7" s="78"/>
      <c r="X7" s="1" t="s">
        <v>61</v>
      </c>
    </row>
    <row r="8" spans="1:28">
      <c r="C8" s="79"/>
      <c r="D8" s="80"/>
      <c r="E8" s="80"/>
      <c r="F8" s="81"/>
      <c r="G8" s="82">
        <v>2019</v>
      </c>
      <c r="H8" s="82">
        <f>G8+1</f>
        <v>2020</v>
      </c>
      <c r="I8" s="82">
        <f>H8+1</f>
        <v>2021</v>
      </c>
      <c r="J8" s="83">
        <f t="shared" ref="J8:N8" si="0">I8+1</f>
        <v>2022</v>
      </c>
      <c r="K8" s="83">
        <f t="shared" si="0"/>
        <v>2023</v>
      </c>
      <c r="L8" s="83">
        <f t="shared" si="0"/>
        <v>2024</v>
      </c>
      <c r="M8" s="83">
        <f t="shared" si="0"/>
        <v>2025</v>
      </c>
      <c r="N8" s="84">
        <f t="shared" si="0"/>
        <v>2026</v>
      </c>
      <c r="O8" s="11"/>
      <c r="Q8" s="85"/>
      <c r="R8" s="86"/>
      <c r="S8" s="86"/>
      <c r="T8" s="86"/>
      <c r="U8" s="86">
        <v>2019</v>
      </c>
      <c r="V8" s="86">
        <v>2020</v>
      </c>
      <c r="W8" s="86">
        <v>2021</v>
      </c>
      <c r="X8" s="86">
        <v>2022</v>
      </c>
      <c r="Y8" s="86">
        <v>2023</v>
      </c>
      <c r="Z8" s="86">
        <v>2024</v>
      </c>
      <c r="AA8" s="86">
        <v>2025</v>
      </c>
      <c r="AB8" s="88">
        <v>2026</v>
      </c>
    </row>
    <row r="9" spans="1:28" ht="13.2" customHeight="1">
      <c r="C9" s="85"/>
      <c r="D9" s="86"/>
      <c r="E9" s="86"/>
      <c r="F9" s="87"/>
      <c r="G9" s="87"/>
      <c r="H9" s="87"/>
      <c r="I9" s="87"/>
      <c r="J9" s="86"/>
      <c r="K9" s="86"/>
      <c r="L9" s="86"/>
      <c r="M9" s="86"/>
      <c r="N9" s="88"/>
      <c r="Q9" s="94"/>
      <c r="R9" s="92"/>
      <c r="S9" s="92"/>
      <c r="T9" s="92"/>
      <c r="U9" s="92"/>
      <c r="V9" s="92"/>
      <c r="W9" s="92"/>
      <c r="X9" s="92"/>
      <c r="Y9" s="92"/>
      <c r="Z9" s="92"/>
      <c r="AA9" s="92"/>
      <c r="AB9" s="93"/>
    </row>
    <row r="10" spans="1:28" ht="34.799999999999997">
      <c r="C10" s="89" t="s">
        <v>51</v>
      </c>
      <c r="D10" s="274"/>
      <c r="E10" s="90"/>
      <c r="F10" s="91"/>
      <c r="G10" s="110">
        <v>213.49999999999997</v>
      </c>
      <c r="H10" s="110">
        <v>236.60000000000002</v>
      </c>
      <c r="I10" s="110">
        <v>204.79999999999998</v>
      </c>
      <c r="J10" s="265">
        <v>252.46209677419353</v>
      </c>
      <c r="K10" s="265">
        <v>233.58111483870971</v>
      </c>
      <c r="L10" s="265">
        <v>281.23110855638714</v>
      </c>
      <c r="M10" s="265">
        <v>281.22955436627001</v>
      </c>
      <c r="N10" s="269">
        <v>268.17287049000004</v>
      </c>
      <c r="Q10" s="94" t="s">
        <v>51</v>
      </c>
      <c r="R10" s="92"/>
      <c r="S10" s="92"/>
      <c r="T10" s="92"/>
      <c r="U10" s="92">
        <f>Model!G11</f>
        <v>213.49999999999997</v>
      </c>
      <c r="V10" s="92">
        <f>Model!H11</f>
        <v>236.60000000000002</v>
      </c>
      <c r="W10" s="92">
        <f>Model!I11</f>
        <v>204.79999999999998</v>
      </c>
      <c r="X10" s="264">
        <f>Model!J11</f>
        <v>264.10862903225802</v>
      </c>
      <c r="Y10" s="264">
        <f>Model!K11</f>
        <v>244.64311560000002</v>
      </c>
      <c r="Z10" s="264">
        <f>Model!L11</f>
        <v>297.21531508419486</v>
      </c>
      <c r="AA10" s="264">
        <f>Model!M11</f>
        <v>300.41838123259203</v>
      </c>
      <c r="AB10" s="264">
        <f>Model!N11</f>
        <v>281.50084467066245</v>
      </c>
    </row>
    <row r="11" spans="1:28">
      <c r="C11" s="89"/>
      <c r="D11" s="92" t="s">
        <v>59</v>
      </c>
      <c r="E11" s="90"/>
      <c r="F11" s="91"/>
      <c r="G11" s="110"/>
      <c r="H11" s="266">
        <v>0.10819672131147562</v>
      </c>
      <c r="I11" s="266">
        <v>-0.13440405748098072</v>
      </c>
      <c r="J11" s="266">
        <v>0.23272508190524199</v>
      </c>
      <c r="K11" s="266">
        <v>-7.4787392550143106E-2</v>
      </c>
      <c r="L11" s="266">
        <v>0.203997629476939</v>
      </c>
      <c r="M11" s="266">
        <v>-5.5263805099903252E-6</v>
      </c>
      <c r="N11" s="270">
        <v>-4.6427139941576323E-2</v>
      </c>
      <c r="Q11" s="94"/>
      <c r="R11" s="92" t="s">
        <v>59</v>
      </c>
      <c r="S11" s="92"/>
      <c r="T11" s="92"/>
      <c r="U11" s="92"/>
      <c r="V11" s="263">
        <f>V10/U10-1</f>
        <v>0.10819672131147562</v>
      </c>
      <c r="W11" s="263">
        <f t="shared" ref="W11:AB11" si="1">W10/V10-1</f>
        <v>-0.13440405748098072</v>
      </c>
      <c r="X11" s="263">
        <f t="shared" si="1"/>
        <v>0.28959291519657238</v>
      </c>
      <c r="Y11" s="263">
        <f t="shared" si="1"/>
        <v>-7.3702678718159165E-2</v>
      </c>
      <c r="Z11" s="263">
        <f t="shared" si="1"/>
        <v>0.2148934350973204</v>
      </c>
      <c r="AA11" s="263">
        <f t="shared" si="1"/>
        <v>1.077692159803334E-2</v>
      </c>
      <c r="AB11" s="263">
        <f t="shared" si="1"/>
        <v>-6.2970636098605093E-2</v>
      </c>
    </row>
    <row r="12" spans="1:28">
      <c r="B12" s="12"/>
      <c r="C12" s="89" t="s">
        <v>4</v>
      </c>
      <c r="D12" s="92"/>
      <c r="E12" s="92"/>
      <c r="F12" s="92"/>
      <c r="G12" s="110">
        <v>50.19999999999996</v>
      </c>
      <c r="H12" s="110">
        <v>68.400000000000034</v>
      </c>
      <c r="I12" s="110">
        <v>33.099999999999966</v>
      </c>
      <c r="J12" s="265">
        <v>73.875241935483842</v>
      </c>
      <c r="K12" s="265">
        <v>47.11049922580645</v>
      </c>
      <c r="L12" s="265">
        <v>86.456885914219384</v>
      </c>
      <c r="M12" s="265">
        <v>76.730172389719201</v>
      </c>
      <c r="N12" s="269">
        <v>54.362890899000064</v>
      </c>
      <c r="Q12" s="94" t="s">
        <v>4</v>
      </c>
      <c r="R12" s="92"/>
      <c r="S12" s="92"/>
      <c r="T12" s="92"/>
      <c r="U12" s="92">
        <f>Model!G18</f>
        <v>50.19999999999996</v>
      </c>
      <c r="V12" s="92">
        <f>Model!H18</f>
        <v>68.400000000000034</v>
      </c>
      <c r="W12" s="92">
        <f>Model!I18</f>
        <v>33.099999999999966</v>
      </c>
      <c r="X12" s="264">
        <f>Model!J18</f>
        <v>85.521774193548339</v>
      </c>
      <c r="Y12" s="264">
        <f>Model!K18</f>
        <v>58.538128645161294</v>
      </c>
      <c r="Z12" s="264">
        <f>Model!L18</f>
        <v>102.06509550816776</v>
      </c>
      <c r="AA12" s="264">
        <f>Model!M18</f>
        <v>95.273528393466989</v>
      </c>
      <c r="AB12" s="264">
        <f>Model!N18</f>
        <v>70.58895770289601</v>
      </c>
    </row>
    <row r="13" spans="1:28">
      <c r="B13" s="12"/>
      <c r="C13" s="89"/>
      <c r="D13" s="92" t="s">
        <v>60</v>
      </c>
      <c r="E13" s="92"/>
      <c r="F13" s="92"/>
      <c r="G13" s="266">
        <v>0.23512880562060876</v>
      </c>
      <c r="H13" s="266">
        <v>0.28909551986475074</v>
      </c>
      <c r="I13" s="266">
        <v>0.16162109374999983</v>
      </c>
      <c r="J13" s="266">
        <v>0.29261914116778937</v>
      </c>
      <c r="K13" s="266">
        <v>0.20168796290888824</v>
      </c>
      <c r="L13" s="266">
        <v>0.30742291049528286</v>
      </c>
      <c r="M13" s="266">
        <v>0.27283822485380305</v>
      </c>
      <c r="N13" s="270">
        <v>0.20271584817535529</v>
      </c>
      <c r="Q13" s="94"/>
      <c r="R13" s="92" t="s">
        <v>60</v>
      </c>
      <c r="S13" s="92"/>
      <c r="T13" s="92"/>
      <c r="U13" s="263">
        <f>U12/U10</f>
        <v>0.23512880562060876</v>
      </c>
      <c r="V13" s="263">
        <f t="shared" ref="V13:AB13" si="2">V12/V10</f>
        <v>0.28909551986475074</v>
      </c>
      <c r="W13" s="263">
        <f t="shared" si="2"/>
        <v>0.16162109374999983</v>
      </c>
      <c r="X13" s="263">
        <f t="shared" si="2"/>
        <v>0.3238128739182648</v>
      </c>
      <c r="Y13" s="263">
        <f t="shared" si="2"/>
        <v>0.23927968911609662</v>
      </c>
      <c r="Z13" s="263">
        <f t="shared" si="2"/>
        <v>0.34340456338615949</v>
      </c>
      <c r="AA13" s="263">
        <f t="shared" si="2"/>
        <v>0.31713614860238409</v>
      </c>
      <c r="AB13" s="263">
        <f t="shared" si="2"/>
        <v>0.25075931045777311</v>
      </c>
    </row>
    <row r="14" spans="1:28">
      <c r="C14" s="94"/>
      <c r="D14" s="92" t="s">
        <v>59</v>
      </c>
      <c r="E14" s="92"/>
      <c r="F14" s="92"/>
      <c r="G14" s="110"/>
      <c r="H14" s="134">
        <v>0.36254980079681443</v>
      </c>
      <c r="I14" s="134">
        <v>-0.51608187134502992</v>
      </c>
      <c r="J14" s="134">
        <v>1.2318804210115988</v>
      </c>
      <c r="K14" s="134">
        <v>-0.36229651515796557</v>
      </c>
      <c r="L14" s="134">
        <v>0.83519358391471998</v>
      </c>
      <c r="M14" s="134">
        <v>-0.11250363023890098</v>
      </c>
      <c r="N14" s="136">
        <v>-0.29150568536603538</v>
      </c>
      <c r="Q14" s="94"/>
      <c r="R14" s="92" t="s">
        <v>59</v>
      </c>
      <c r="S14" s="92"/>
      <c r="T14" s="92"/>
      <c r="U14" s="92"/>
      <c r="V14" s="111">
        <f>V12/U12-1</f>
        <v>0.36254980079681443</v>
      </c>
      <c r="W14" s="111">
        <f t="shared" ref="W14:AB14" si="3">W12/V12-1</f>
        <v>-0.51608187134502992</v>
      </c>
      <c r="X14" s="111">
        <f t="shared" si="3"/>
        <v>1.5837394016177773</v>
      </c>
      <c r="Y14" s="111">
        <f t="shared" si="3"/>
        <v>-0.31551784095731095</v>
      </c>
      <c r="Z14" s="111">
        <f t="shared" si="3"/>
        <v>0.7435660802697075</v>
      </c>
      <c r="AA14" s="111">
        <f t="shared" si="3"/>
        <v>-6.6541525101079024E-2</v>
      </c>
      <c r="AB14" s="111">
        <f t="shared" si="3"/>
        <v>-0.25909159770620638</v>
      </c>
    </row>
    <row r="15" spans="1:28" ht="14.1" customHeight="1">
      <c r="C15" s="95" t="s">
        <v>12</v>
      </c>
      <c r="D15" s="90"/>
      <c r="E15" s="90"/>
      <c r="F15" s="92"/>
      <c r="G15" s="110">
        <v>14.099999999999962</v>
      </c>
      <c r="H15" s="110">
        <v>23.700000000000035</v>
      </c>
      <c r="I15" s="110">
        <v>2.1999999999999651</v>
      </c>
      <c r="J15" s="265">
        <v>29.703423924731165</v>
      </c>
      <c r="K15" s="265">
        <v>12.919314216927381</v>
      </c>
      <c r="L15" s="265">
        <v>38.897681195059398</v>
      </c>
      <c r="M15" s="265">
        <v>33.341766003839254</v>
      </c>
      <c r="N15" s="269">
        <v>19.421682492133321</v>
      </c>
      <c r="Q15" s="94" t="s">
        <v>12</v>
      </c>
      <c r="R15" s="92"/>
      <c r="S15" s="92"/>
      <c r="T15" s="92"/>
      <c r="U15" s="92">
        <f>Model!G30</f>
        <v>14.099999999999962</v>
      </c>
      <c r="V15" s="92">
        <f>Model!H30</f>
        <v>23.700000000000035</v>
      </c>
      <c r="W15" s="92">
        <f>Model!I30</f>
        <v>2.1999999999999651</v>
      </c>
      <c r="X15" s="264">
        <f>Model!J30</f>
        <v>37.273669892473087</v>
      </c>
      <c r="Y15" s="264">
        <f>Model!K30</f>
        <v>20.317241240436005</v>
      </c>
      <c r="Z15" s="264">
        <f>Model!L30</f>
        <v>49.213881155895294</v>
      </c>
      <c r="AA15" s="264">
        <f>Model!M30</f>
        <v>45.319723788084517</v>
      </c>
      <c r="AB15" s="264">
        <f>Model!N30</f>
        <v>29.789043425757207</v>
      </c>
    </row>
    <row r="16" spans="1:28">
      <c r="C16" s="95"/>
      <c r="D16" s="92" t="s">
        <v>60</v>
      </c>
      <c r="E16" s="90"/>
      <c r="F16" s="92"/>
      <c r="G16" s="266">
        <v>6.604215456674456E-2</v>
      </c>
      <c r="H16" s="266">
        <v>0.10016906170752338</v>
      </c>
      <c r="I16" s="266">
        <v>1.074218749999983E-2</v>
      </c>
      <c r="J16" s="266">
        <v>0.11765498387387008</v>
      </c>
      <c r="K16" s="266">
        <v>5.530975492538559E-2</v>
      </c>
      <c r="L16" s="266">
        <v>0.13831215684043136</v>
      </c>
      <c r="M16" s="266">
        <v>0.11855711992636214</v>
      </c>
      <c r="N16" s="270">
        <v>7.2422249337326397E-2</v>
      </c>
      <c r="Q16" s="94"/>
      <c r="R16" s="92" t="s">
        <v>60</v>
      </c>
      <c r="S16" s="92"/>
      <c r="T16" s="92"/>
      <c r="U16" s="263">
        <f>U15/U10</f>
        <v>6.604215456674456E-2</v>
      </c>
      <c r="V16" s="263">
        <f t="shared" ref="V16:AB16" si="4">V15/V10</f>
        <v>0.10016906170752338</v>
      </c>
      <c r="W16" s="263">
        <f t="shared" si="4"/>
        <v>1.074218749999983E-2</v>
      </c>
      <c r="X16" s="263">
        <f t="shared" si="4"/>
        <v>0.14113007223221211</v>
      </c>
      <c r="Y16" s="263">
        <f t="shared" si="4"/>
        <v>8.3048489595167682E-2</v>
      </c>
      <c r="Z16" s="263">
        <f t="shared" si="4"/>
        <v>0.16558326121907291</v>
      </c>
      <c r="AA16" s="263">
        <f t="shared" si="4"/>
        <v>0.15085536245199577</v>
      </c>
      <c r="AB16" s="263">
        <f t="shared" si="4"/>
        <v>0.10582221684133288</v>
      </c>
    </row>
    <row r="17" spans="3:28">
      <c r="C17" s="96"/>
      <c r="D17" s="28" t="s">
        <v>59</v>
      </c>
      <c r="E17" s="28"/>
      <c r="F17" s="28"/>
      <c r="G17" s="267"/>
      <c r="H17" s="268">
        <v>0.68085106382979421</v>
      </c>
      <c r="I17" s="268">
        <v>-0.9071729957805923</v>
      </c>
      <c r="J17" s="268">
        <v>12.501556329423471</v>
      </c>
      <c r="K17" s="268">
        <v>-0.56505639721316037</v>
      </c>
      <c r="L17" s="268">
        <v>2.0108162509194307</v>
      </c>
      <c r="M17" s="268">
        <v>-0.14283409757406906</v>
      </c>
      <c r="N17" s="133">
        <v>-0.41749688694063347</v>
      </c>
      <c r="Q17" s="96"/>
      <c r="R17" s="28" t="s">
        <v>59</v>
      </c>
      <c r="S17" s="28"/>
      <c r="T17" s="28"/>
      <c r="U17" s="28"/>
      <c r="V17" s="112">
        <f>V15/U15-1</f>
        <v>0.68085106382979421</v>
      </c>
      <c r="W17" s="112">
        <f t="shared" ref="W17:AB17" si="5">W15/V15-1</f>
        <v>-0.9071729957805923</v>
      </c>
      <c r="X17" s="112">
        <f t="shared" si="5"/>
        <v>15.942577223851671</v>
      </c>
      <c r="Y17" s="112">
        <f t="shared" si="5"/>
        <v>-0.4549170688304347</v>
      </c>
      <c r="Z17" s="112">
        <f t="shared" si="5"/>
        <v>1.4222718317656384</v>
      </c>
      <c r="AA17" s="112">
        <f t="shared" si="5"/>
        <v>-7.9127215256102557E-2</v>
      </c>
      <c r="AB17" s="112">
        <f t="shared" si="5"/>
        <v>-0.34269141698543726</v>
      </c>
    </row>
    <row r="19" spans="3:28" ht="15.6">
      <c r="C19" s="98" t="s">
        <v>63</v>
      </c>
      <c r="D19" s="98"/>
      <c r="E19" s="98"/>
      <c r="F19" s="98"/>
      <c r="G19" s="98"/>
      <c r="H19" s="98"/>
      <c r="I19" s="98"/>
      <c r="J19" s="98"/>
      <c r="K19" s="98"/>
      <c r="L19" s="98"/>
      <c r="M19" s="98"/>
      <c r="N19" s="98"/>
    </row>
    <row r="20" spans="3:28">
      <c r="C20" s="74"/>
      <c r="D20" s="75"/>
      <c r="E20" s="75"/>
      <c r="F20" s="76"/>
      <c r="G20" s="75"/>
      <c r="H20" s="75"/>
      <c r="I20" s="75"/>
      <c r="J20" s="77" t="s">
        <v>61</v>
      </c>
      <c r="K20" s="77"/>
      <c r="L20" s="77"/>
      <c r="M20" s="77"/>
      <c r="N20" s="78"/>
    </row>
    <row r="21" spans="3:28">
      <c r="C21" s="79"/>
      <c r="D21" s="80"/>
      <c r="E21" s="80"/>
      <c r="F21" s="81"/>
      <c r="G21" s="82">
        <v>2019</v>
      </c>
      <c r="H21" s="82">
        <f>G21+1</f>
        <v>2020</v>
      </c>
      <c r="I21" s="82">
        <f>H21+1</f>
        <v>2021</v>
      </c>
      <c r="J21" s="83">
        <f t="shared" ref="J21:N21" si="6">I21+1</f>
        <v>2022</v>
      </c>
      <c r="K21" s="83">
        <f t="shared" si="6"/>
        <v>2023</v>
      </c>
      <c r="L21" s="83">
        <f t="shared" si="6"/>
        <v>2024</v>
      </c>
      <c r="M21" s="83">
        <f t="shared" si="6"/>
        <v>2025</v>
      </c>
      <c r="N21" s="84">
        <f t="shared" si="6"/>
        <v>2026</v>
      </c>
    </row>
    <row r="22" spans="3:28">
      <c r="C22" s="85"/>
      <c r="D22" s="86"/>
      <c r="E22" s="86"/>
      <c r="F22" s="87"/>
      <c r="G22" s="87"/>
      <c r="H22" s="87"/>
      <c r="I22" s="87"/>
      <c r="J22" s="86"/>
      <c r="K22" s="86"/>
      <c r="L22" s="86"/>
      <c r="M22" s="86"/>
      <c r="N22" s="88"/>
    </row>
    <row r="23" spans="3:28">
      <c r="C23" s="89" t="s">
        <v>51</v>
      </c>
      <c r="D23" s="90"/>
      <c r="E23" s="90"/>
      <c r="F23" s="91"/>
      <c r="G23" s="110">
        <v>213.49999999999997</v>
      </c>
      <c r="H23" s="110">
        <v>236.60000000000002</v>
      </c>
      <c r="I23" s="110">
        <v>204.79999999999998</v>
      </c>
      <c r="J23" s="265">
        <v>264.10862903225802</v>
      </c>
      <c r="K23" s="265">
        <v>244.64311560000002</v>
      </c>
      <c r="L23" s="265">
        <v>297.21531508419486</v>
      </c>
      <c r="M23" s="265">
        <v>300.41838123259203</v>
      </c>
      <c r="N23" s="269">
        <v>281.50084467066245</v>
      </c>
    </row>
    <row r="24" spans="3:28">
      <c r="C24" s="89"/>
      <c r="D24" s="92" t="s">
        <v>59</v>
      </c>
      <c r="E24" s="90"/>
      <c r="F24" s="91"/>
      <c r="G24" s="110"/>
      <c r="H24" s="266">
        <v>0.10819672131147562</v>
      </c>
      <c r="I24" s="266">
        <v>-0.13440405748098072</v>
      </c>
      <c r="J24" s="266">
        <v>0.28959291519657238</v>
      </c>
      <c r="K24" s="266">
        <v>-7.3702678718159165E-2</v>
      </c>
      <c r="L24" s="266">
        <v>0.2148934350973204</v>
      </c>
      <c r="M24" s="266">
        <v>1.077692159803334E-2</v>
      </c>
      <c r="N24" s="270">
        <v>-6.2970636098605093E-2</v>
      </c>
    </row>
    <row r="25" spans="3:28">
      <c r="C25" s="89" t="s">
        <v>4</v>
      </c>
      <c r="D25" s="92"/>
      <c r="E25" s="92"/>
      <c r="F25" s="92"/>
      <c r="G25" s="110">
        <v>50.19999999999996</v>
      </c>
      <c r="H25" s="110">
        <v>68.400000000000034</v>
      </c>
      <c r="I25" s="110">
        <v>33.099999999999966</v>
      </c>
      <c r="J25" s="265">
        <v>85.521774193548339</v>
      </c>
      <c r="K25" s="265">
        <v>58.538128645161294</v>
      </c>
      <c r="L25" s="265">
        <v>102.06509550816776</v>
      </c>
      <c r="M25" s="265">
        <v>95.273528393466989</v>
      </c>
      <c r="N25" s="269">
        <v>70.58895770289601</v>
      </c>
    </row>
    <row r="26" spans="3:28">
      <c r="C26" s="89"/>
      <c r="D26" s="92" t="s">
        <v>60</v>
      </c>
      <c r="E26" s="92"/>
      <c r="F26" s="92"/>
      <c r="G26" s="266">
        <v>0.23512880562060876</v>
      </c>
      <c r="H26" s="266">
        <v>0.28909551986475074</v>
      </c>
      <c r="I26" s="266">
        <v>0.16162109374999983</v>
      </c>
      <c r="J26" s="266">
        <v>0.3238128739182648</v>
      </c>
      <c r="K26" s="266">
        <v>0.23927968911609662</v>
      </c>
      <c r="L26" s="266">
        <v>0.34340456338615949</v>
      </c>
      <c r="M26" s="266">
        <v>0.31713614860238409</v>
      </c>
      <c r="N26" s="270">
        <v>0.25075931045777311</v>
      </c>
    </row>
    <row r="27" spans="3:28">
      <c r="C27" s="94"/>
      <c r="D27" s="92" t="s">
        <v>59</v>
      </c>
      <c r="E27" s="92"/>
      <c r="F27" s="92"/>
      <c r="G27" s="110"/>
      <c r="H27" s="134">
        <v>0.36254980079681443</v>
      </c>
      <c r="I27" s="134">
        <v>-0.51608187134502992</v>
      </c>
      <c r="J27" s="134">
        <v>1.5837394016177773</v>
      </c>
      <c r="K27" s="134">
        <v>-0.31551784095731095</v>
      </c>
      <c r="L27" s="134">
        <v>0.7435660802697075</v>
      </c>
      <c r="M27" s="134">
        <v>-6.6541525101079024E-2</v>
      </c>
      <c r="N27" s="136">
        <v>-0.25909159770620638</v>
      </c>
    </row>
    <row r="28" spans="3:28">
      <c r="C28" s="95" t="s">
        <v>12</v>
      </c>
      <c r="D28" s="90"/>
      <c r="E28" s="90"/>
      <c r="F28" s="92"/>
      <c r="G28" s="110">
        <v>14.099999999999962</v>
      </c>
      <c r="H28" s="110">
        <v>23.700000000000035</v>
      </c>
      <c r="I28" s="110">
        <v>2.1999999999999651</v>
      </c>
      <c r="J28" s="265">
        <v>37.273669892473087</v>
      </c>
      <c r="K28" s="265">
        <v>20.317241240436005</v>
      </c>
      <c r="L28" s="265">
        <v>49.213881155895294</v>
      </c>
      <c r="M28" s="265">
        <v>45.319723788084517</v>
      </c>
      <c r="N28" s="269">
        <v>29.789043425757207</v>
      </c>
    </row>
    <row r="29" spans="3:28">
      <c r="C29" s="95"/>
      <c r="D29" s="92" t="s">
        <v>60</v>
      </c>
      <c r="E29" s="90"/>
      <c r="F29" s="92"/>
      <c r="G29" s="266">
        <v>6.604215456674456E-2</v>
      </c>
      <c r="H29" s="266">
        <v>0.10016906170752338</v>
      </c>
      <c r="I29" s="266">
        <v>1.074218749999983E-2</v>
      </c>
      <c r="J29" s="266">
        <v>0.14113007223221211</v>
      </c>
      <c r="K29" s="266">
        <v>8.3048489595167682E-2</v>
      </c>
      <c r="L29" s="266">
        <v>0.16558326121907291</v>
      </c>
      <c r="M29" s="266">
        <v>0.15085536245199577</v>
      </c>
      <c r="N29" s="270">
        <v>0.10582221684133288</v>
      </c>
    </row>
    <row r="30" spans="3:28">
      <c r="C30" s="96"/>
      <c r="D30" s="28" t="s">
        <v>59</v>
      </c>
      <c r="E30" s="28"/>
      <c r="F30" s="28"/>
      <c r="G30" s="267"/>
      <c r="H30" s="268">
        <v>0.68085106382979421</v>
      </c>
      <c r="I30" s="268">
        <v>-0.9071729957805923</v>
      </c>
      <c r="J30" s="268">
        <v>15.942577223851671</v>
      </c>
      <c r="K30" s="268">
        <v>-0.4549170688304347</v>
      </c>
      <c r="L30" s="268">
        <v>1.4222718317656384</v>
      </c>
      <c r="M30" s="268">
        <v>-7.9127215256102557E-2</v>
      </c>
      <c r="N30" s="133">
        <v>-0.34269141698543726</v>
      </c>
    </row>
    <row r="32" spans="3:28" ht="15.6">
      <c r="C32" s="98" t="s">
        <v>64</v>
      </c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98"/>
    </row>
    <row r="33" spans="3:14">
      <c r="C33" s="74"/>
      <c r="D33" s="75"/>
      <c r="E33" s="75"/>
      <c r="F33" s="76"/>
      <c r="G33" s="75"/>
      <c r="H33" s="75"/>
      <c r="I33" s="75"/>
      <c r="J33" s="77" t="s">
        <v>61</v>
      </c>
      <c r="K33" s="77"/>
      <c r="L33" s="77"/>
      <c r="M33" s="77"/>
      <c r="N33" s="78"/>
    </row>
    <row r="34" spans="3:14">
      <c r="C34" s="79"/>
      <c r="D34" s="80"/>
      <c r="E34" s="80"/>
      <c r="F34" s="81"/>
      <c r="G34" s="82">
        <v>2019</v>
      </c>
      <c r="H34" s="82">
        <f>G34+1</f>
        <v>2020</v>
      </c>
      <c r="I34" s="82">
        <f>H34+1</f>
        <v>2021</v>
      </c>
      <c r="J34" s="83">
        <f t="shared" ref="J34:N34" si="7">I34+1</f>
        <v>2022</v>
      </c>
      <c r="K34" s="83">
        <f t="shared" si="7"/>
        <v>2023</v>
      </c>
      <c r="L34" s="83">
        <f t="shared" si="7"/>
        <v>2024</v>
      </c>
      <c r="M34" s="83">
        <f t="shared" si="7"/>
        <v>2025</v>
      </c>
      <c r="N34" s="84">
        <f t="shared" si="7"/>
        <v>2026</v>
      </c>
    </row>
    <row r="35" spans="3:14">
      <c r="C35" s="85"/>
      <c r="D35" s="86"/>
      <c r="E35" s="86"/>
      <c r="F35" s="87"/>
      <c r="G35" s="87"/>
      <c r="H35" s="87"/>
      <c r="I35" s="87"/>
      <c r="J35" s="86"/>
      <c r="K35" s="86"/>
      <c r="L35" s="86"/>
      <c r="M35" s="86"/>
      <c r="N35" s="88"/>
    </row>
    <row r="36" spans="3:14">
      <c r="C36" s="89" t="s">
        <v>51</v>
      </c>
      <c r="D36" s="90"/>
      <c r="E36" s="90"/>
      <c r="F36" s="91"/>
      <c r="G36" s="110">
        <v>213.49999999999997</v>
      </c>
      <c r="H36" s="110">
        <v>236.60000000000002</v>
      </c>
      <c r="I36" s="110">
        <v>204.79999999999998</v>
      </c>
      <c r="J36" s="265">
        <v>264.10862903225802</v>
      </c>
      <c r="K36" s="265">
        <v>244.64311560000002</v>
      </c>
      <c r="L36" s="265">
        <v>297.21531508419486</v>
      </c>
      <c r="M36" s="265">
        <v>300.41838123259203</v>
      </c>
      <c r="N36" s="269">
        <v>281.50084467066245</v>
      </c>
    </row>
    <row r="37" spans="3:14">
      <c r="C37" s="89"/>
      <c r="D37" s="92" t="s">
        <v>59</v>
      </c>
      <c r="E37" s="90"/>
      <c r="F37" s="91"/>
      <c r="G37" s="110"/>
      <c r="H37" s="266">
        <v>0.10819672131147562</v>
      </c>
      <c r="I37" s="266">
        <v>-0.13440405748098072</v>
      </c>
      <c r="J37" s="266">
        <v>0.28959291519657238</v>
      </c>
      <c r="K37" s="266">
        <v>-7.3702678718159165E-2</v>
      </c>
      <c r="L37" s="266">
        <v>0.2148934350973204</v>
      </c>
      <c r="M37" s="266">
        <v>1.077692159803334E-2</v>
      </c>
      <c r="N37" s="270">
        <v>-6.2970636098605093E-2</v>
      </c>
    </row>
    <row r="38" spans="3:14">
      <c r="C38" s="89" t="s">
        <v>4</v>
      </c>
      <c r="D38" s="92"/>
      <c r="E38" s="92"/>
      <c r="F38" s="92"/>
      <c r="G38" s="110">
        <v>50.19999999999996</v>
      </c>
      <c r="H38" s="110">
        <v>68.400000000000034</v>
      </c>
      <c r="I38" s="110">
        <v>33.099999999999966</v>
      </c>
      <c r="J38" s="265">
        <v>85.521774193548339</v>
      </c>
      <c r="K38" s="265">
        <v>58.538128645161294</v>
      </c>
      <c r="L38" s="265">
        <v>102.06509550816776</v>
      </c>
      <c r="M38" s="265">
        <v>95.273528393466989</v>
      </c>
      <c r="N38" s="269">
        <v>70.58895770289601</v>
      </c>
    </row>
    <row r="39" spans="3:14">
      <c r="C39" s="89"/>
      <c r="D39" s="92" t="s">
        <v>60</v>
      </c>
      <c r="E39" s="92"/>
      <c r="F39" s="92"/>
      <c r="G39" s="266">
        <v>0.23512880562060876</v>
      </c>
      <c r="H39" s="266">
        <v>0.28909551986475074</v>
      </c>
      <c r="I39" s="266">
        <v>0.16162109374999983</v>
      </c>
      <c r="J39" s="266">
        <v>0.3238128739182648</v>
      </c>
      <c r="K39" s="266">
        <v>0.23927968911609662</v>
      </c>
      <c r="L39" s="266">
        <v>0.34340456338615949</v>
      </c>
      <c r="M39" s="266">
        <v>0.31713614860238409</v>
      </c>
      <c r="N39" s="270">
        <v>0.25075931045777311</v>
      </c>
    </row>
    <row r="40" spans="3:14">
      <c r="C40" s="94"/>
      <c r="D40" s="92" t="s">
        <v>59</v>
      </c>
      <c r="E40" s="92"/>
      <c r="F40" s="92"/>
      <c r="G40" s="110"/>
      <c r="H40" s="134">
        <v>0.36254980079681443</v>
      </c>
      <c r="I40" s="134">
        <v>-0.51608187134502992</v>
      </c>
      <c r="J40" s="134">
        <v>1.5837394016177773</v>
      </c>
      <c r="K40" s="134">
        <v>-0.31551784095731095</v>
      </c>
      <c r="L40" s="134">
        <v>0.7435660802697075</v>
      </c>
      <c r="M40" s="134">
        <v>-6.6541525101079024E-2</v>
      </c>
      <c r="N40" s="136">
        <v>-0.25909159770620638</v>
      </c>
    </row>
    <row r="41" spans="3:14">
      <c r="C41" s="95" t="s">
        <v>12</v>
      </c>
      <c r="D41" s="90"/>
      <c r="E41" s="90"/>
      <c r="F41" s="92"/>
      <c r="G41" s="110">
        <v>14.099999999999962</v>
      </c>
      <c r="H41" s="110">
        <v>23.700000000000035</v>
      </c>
      <c r="I41" s="110">
        <v>2.1999999999999651</v>
      </c>
      <c r="J41" s="265">
        <v>37.273669892473087</v>
      </c>
      <c r="K41" s="265">
        <v>20.317241240436005</v>
      </c>
      <c r="L41" s="265">
        <v>49.213881155895294</v>
      </c>
      <c r="M41" s="265">
        <v>45.319723788084517</v>
      </c>
      <c r="N41" s="269">
        <v>29.789043425757207</v>
      </c>
    </row>
    <row r="42" spans="3:14">
      <c r="C42" s="95"/>
      <c r="D42" s="92" t="s">
        <v>60</v>
      </c>
      <c r="E42" s="90"/>
      <c r="F42" s="92"/>
      <c r="G42" s="266">
        <v>6.604215456674456E-2</v>
      </c>
      <c r="H42" s="266">
        <v>0.10016906170752338</v>
      </c>
      <c r="I42" s="266">
        <v>1.074218749999983E-2</v>
      </c>
      <c r="J42" s="266">
        <v>0.14113007223221211</v>
      </c>
      <c r="K42" s="266">
        <v>8.3048489595167682E-2</v>
      </c>
      <c r="L42" s="266">
        <v>0.16558326121907291</v>
      </c>
      <c r="M42" s="266">
        <v>0.15085536245199577</v>
      </c>
      <c r="N42" s="270">
        <v>0.10582221684133288</v>
      </c>
    </row>
    <row r="43" spans="3:14">
      <c r="C43" s="96"/>
      <c r="D43" s="28" t="s">
        <v>59</v>
      </c>
      <c r="E43" s="28"/>
      <c r="F43" s="28"/>
      <c r="G43" s="267"/>
      <c r="H43" s="268">
        <v>0.68085106382979421</v>
      </c>
      <c r="I43" s="268">
        <v>-0.9071729957805923</v>
      </c>
      <c r="J43" s="268">
        <v>15.942577223851671</v>
      </c>
      <c r="K43" s="268">
        <v>-0.4549170688304347</v>
      </c>
      <c r="L43" s="268">
        <v>1.4222718317656384</v>
      </c>
      <c r="M43" s="268">
        <v>-7.9127215256102557E-2</v>
      </c>
      <c r="N43" s="133">
        <v>-0.34269141698543726</v>
      </c>
    </row>
  </sheetData>
  <sheetProtection formatCells="0"/>
  <printOptions horizontalCentered="1"/>
  <pageMargins left="0.25" right="0.25" top="0.25" bottom="0.5" header="0.25" footer="0.25"/>
  <pageSetup scale="85" orientation="landscape" r:id="rId1"/>
  <headerFooter alignWithMargins="0">
    <oddFooter>&amp;C&amp;P of &amp;N&amp;RShchebrina Yury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67190-96B4-438B-8635-E3545659DCFB}">
  <dimension ref="A1:O47"/>
  <sheetViews>
    <sheetView showGridLines="0" tabSelected="1" topLeftCell="A4" zoomScaleNormal="100" zoomScaleSheetLayoutView="90" workbookViewId="0">
      <selection activeCell="D10" sqref="D10"/>
    </sheetView>
  </sheetViews>
  <sheetFormatPr defaultColWidth="9.21875" defaultRowHeight="13.2"/>
  <cols>
    <col min="1" max="1" width="2.5546875" style="1" customWidth="1"/>
    <col min="2" max="2" width="1.77734375" style="1" customWidth="1"/>
    <col min="3" max="3" width="2.21875" style="1" customWidth="1"/>
    <col min="4" max="4" width="32.77734375" style="1" customWidth="1"/>
    <col min="5" max="5" width="12.77734375" style="1" customWidth="1"/>
    <col min="6" max="6" width="6.21875" style="1" customWidth="1"/>
    <col min="7" max="7" width="7.44140625" style="1" customWidth="1"/>
    <col min="8" max="8" width="10.77734375" style="1" customWidth="1"/>
    <col min="9" max="9" width="12.77734375" style="1" customWidth="1"/>
    <col min="10" max="16384" width="9.21875" style="1"/>
  </cols>
  <sheetData>
    <row r="1" spans="1:15">
      <c r="G1" s="2"/>
      <c r="H1" s="2"/>
      <c r="I1" s="2"/>
    </row>
    <row r="2" spans="1:15" ht="22.8">
      <c r="A2" s="3"/>
      <c r="B2" s="4" t="s">
        <v>185</v>
      </c>
      <c r="C2" s="4"/>
      <c r="D2" s="4"/>
      <c r="E2" s="4"/>
      <c r="F2" s="4"/>
      <c r="G2" s="4"/>
      <c r="H2" s="4"/>
      <c r="I2" s="4"/>
      <c r="J2" s="32"/>
      <c r="K2" s="32"/>
      <c r="L2" s="32"/>
      <c r="M2" s="32"/>
      <c r="N2" s="32"/>
      <c r="O2" s="32"/>
    </row>
    <row r="3" spans="1:15" ht="19.5" customHeight="1">
      <c r="A3" s="5"/>
      <c r="B3" s="6" t="s">
        <v>57</v>
      </c>
      <c r="C3" s="6"/>
      <c r="D3" s="6"/>
      <c r="E3" s="6"/>
      <c r="F3" s="6"/>
      <c r="G3" s="6"/>
      <c r="H3" s="6"/>
      <c r="I3" s="6"/>
      <c r="J3" s="32"/>
      <c r="K3" s="32"/>
      <c r="L3" s="32"/>
      <c r="M3" s="32"/>
      <c r="N3" s="32"/>
      <c r="O3" s="32"/>
    </row>
    <row r="4" spans="1:15" ht="6" customHeight="1" thickBo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6" spans="1:15" ht="13.8">
      <c r="C6" s="104" t="s">
        <v>65</v>
      </c>
      <c r="D6" s="102"/>
      <c r="E6" s="102"/>
      <c r="F6" s="102"/>
      <c r="G6" s="102"/>
      <c r="H6" s="103"/>
      <c r="J6" s="104" t="s">
        <v>89</v>
      </c>
      <c r="K6" s="102"/>
      <c r="L6" s="102"/>
      <c r="M6" s="102"/>
      <c r="N6" s="102"/>
      <c r="O6" s="103"/>
    </row>
    <row r="7" spans="1:15">
      <c r="C7" s="94" t="s">
        <v>66</v>
      </c>
      <c r="D7" s="92"/>
      <c r="E7" s="92"/>
      <c r="F7" s="92"/>
      <c r="G7" s="92"/>
      <c r="H7" s="107">
        <v>2022</v>
      </c>
      <c r="J7" s="131" t="str">
        <f ca="1">"Closing share price "&amp;TEXT(TODAY()-1,"mm/dd/yy")</f>
        <v>Closing share price 11/06/24</v>
      </c>
      <c r="K7" s="92"/>
      <c r="L7" s="92"/>
      <c r="M7" s="92"/>
      <c r="N7" s="92"/>
      <c r="O7" s="132">
        <v>11.5</v>
      </c>
    </row>
    <row r="8" spans="1:15">
      <c r="C8" s="94" t="s">
        <v>67</v>
      </c>
      <c r="D8" s="92"/>
      <c r="E8" s="92"/>
      <c r="F8" s="92"/>
      <c r="G8" s="92"/>
      <c r="H8" s="93"/>
      <c r="J8" s="94" t="s">
        <v>90</v>
      </c>
      <c r="K8" s="92"/>
      <c r="L8" s="92"/>
      <c r="M8" s="92"/>
      <c r="N8" s="92"/>
      <c r="O8" s="107">
        <v>14.8</v>
      </c>
    </row>
    <row r="9" spans="1:15">
      <c r="C9" s="96"/>
      <c r="D9" s="28"/>
      <c r="E9" s="28"/>
      <c r="F9" s="28"/>
      <c r="G9" s="28"/>
      <c r="H9" s="97"/>
      <c r="J9" s="96" t="s">
        <v>91</v>
      </c>
      <c r="K9" s="28"/>
      <c r="L9" s="28"/>
      <c r="M9" s="28"/>
      <c r="N9" s="28"/>
      <c r="O9" s="133">
        <v>0.2</v>
      </c>
    </row>
    <row r="10" spans="1:15" ht="35.4">
      <c r="D10" s="273"/>
    </row>
    <row r="11" spans="1:15" ht="13.8">
      <c r="C11" s="113" t="s">
        <v>68</v>
      </c>
      <c r="D11" s="114"/>
      <c r="E11" s="114"/>
      <c r="F11" s="114"/>
      <c r="G11" s="114"/>
      <c r="H11" s="115"/>
      <c r="J11" s="113" t="s">
        <v>92</v>
      </c>
      <c r="K11" s="114"/>
      <c r="L11" s="114"/>
      <c r="M11" s="114"/>
      <c r="N11" s="114"/>
      <c r="O11" s="115"/>
    </row>
    <row r="12" spans="1:15">
      <c r="C12" s="85" t="s">
        <v>69</v>
      </c>
      <c r="D12" s="86"/>
      <c r="E12" s="86"/>
      <c r="F12" s="116" t="s">
        <v>70</v>
      </c>
      <c r="G12" s="127"/>
      <c r="H12" s="118"/>
      <c r="J12" s="135" t="s">
        <v>95</v>
      </c>
      <c r="K12" s="86"/>
      <c r="L12" s="86"/>
      <c r="M12" s="86"/>
      <c r="N12" s="86"/>
      <c r="O12" s="88"/>
    </row>
    <row r="13" spans="1:15">
      <c r="C13" s="94" t="s">
        <v>71</v>
      </c>
      <c r="D13" s="92"/>
      <c r="E13" s="92"/>
      <c r="F13" s="108" t="s">
        <v>72</v>
      </c>
      <c r="G13" s="108"/>
      <c r="H13" s="109"/>
      <c r="J13" s="131" t="s">
        <v>93</v>
      </c>
      <c r="K13" s="92"/>
      <c r="L13" s="92"/>
      <c r="M13" s="92"/>
      <c r="N13" s="92"/>
      <c r="O13" s="136">
        <v>0.01</v>
      </c>
    </row>
    <row r="14" spans="1:15">
      <c r="C14" s="94" t="s">
        <v>73</v>
      </c>
      <c r="D14" s="92"/>
      <c r="E14" s="92"/>
      <c r="F14" s="119">
        <v>0.04</v>
      </c>
      <c r="G14" s="108"/>
      <c r="H14" s="120"/>
      <c r="J14" s="94" t="s">
        <v>94</v>
      </c>
      <c r="K14" s="92"/>
      <c r="L14" s="92"/>
      <c r="M14" s="92"/>
      <c r="N14" s="92"/>
      <c r="O14" s="136">
        <v>0.06</v>
      </c>
    </row>
    <row r="15" spans="1:15">
      <c r="C15" s="96" t="s">
        <v>74</v>
      </c>
      <c r="D15" s="28"/>
      <c r="E15" s="28"/>
      <c r="F15" s="121">
        <v>-0.04</v>
      </c>
      <c r="G15" s="73"/>
      <c r="H15" s="122"/>
      <c r="J15" s="94" t="s">
        <v>172</v>
      </c>
      <c r="K15" s="92"/>
      <c r="L15" s="92"/>
      <c r="M15" s="92"/>
      <c r="N15" s="92"/>
      <c r="O15" s="136">
        <v>0.06</v>
      </c>
    </row>
    <row r="16" spans="1:15">
      <c r="J16" s="96" t="s">
        <v>96</v>
      </c>
      <c r="K16" s="28"/>
      <c r="L16" s="28"/>
      <c r="M16" s="28"/>
      <c r="N16" s="28"/>
      <c r="O16" s="97"/>
    </row>
    <row r="17" spans="3:15" ht="13.8">
      <c r="C17" s="104" t="s">
        <v>75</v>
      </c>
      <c r="D17" s="102"/>
      <c r="E17" s="102"/>
      <c r="F17" s="102"/>
      <c r="G17" s="102"/>
      <c r="H17" s="103"/>
    </row>
    <row r="18" spans="3:15" ht="13.8">
      <c r="C18" s="85" t="s">
        <v>76</v>
      </c>
      <c r="D18" s="86"/>
      <c r="E18" s="124">
        <v>226</v>
      </c>
      <c r="F18" s="86" t="s">
        <v>80</v>
      </c>
      <c r="G18" s="86" t="s">
        <v>82</v>
      </c>
      <c r="H18" s="88"/>
      <c r="J18" s="104" t="s">
        <v>97</v>
      </c>
      <c r="K18" s="102"/>
      <c r="L18" s="102"/>
      <c r="M18" s="102"/>
      <c r="N18" s="102"/>
      <c r="O18" s="103"/>
    </row>
    <row r="19" spans="3:15">
      <c r="C19" s="94" t="s">
        <v>77</v>
      </c>
      <c r="D19" s="92"/>
      <c r="E19" s="125">
        <v>66.2</v>
      </c>
      <c r="F19" s="92" t="s">
        <v>80</v>
      </c>
      <c r="G19" s="92" t="s">
        <v>82</v>
      </c>
      <c r="H19" s="93"/>
      <c r="J19" s="131" t="s">
        <v>98</v>
      </c>
      <c r="K19" s="92"/>
      <c r="L19" s="92"/>
      <c r="M19" s="92"/>
      <c r="N19" s="92"/>
      <c r="O19" s="136">
        <v>0.35</v>
      </c>
    </row>
    <row r="20" spans="3:15">
      <c r="C20" s="94" t="s">
        <v>78</v>
      </c>
      <c r="D20" s="92"/>
      <c r="E20" s="125">
        <v>23.5</v>
      </c>
      <c r="F20" s="92" t="s">
        <v>81</v>
      </c>
      <c r="G20" s="92" t="s">
        <v>83</v>
      </c>
      <c r="H20" s="93"/>
      <c r="J20" s="94" t="s">
        <v>99</v>
      </c>
      <c r="K20" s="92"/>
      <c r="L20" s="92"/>
      <c r="M20" s="92"/>
      <c r="N20" s="92"/>
      <c r="O20" s="107"/>
    </row>
    <row r="21" spans="3:15">
      <c r="C21" s="94" t="s">
        <v>79</v>
      </c>
      <c r="D21" s="92"/>
      <c r="E21" s="125">
        <v>43.5</v>
      </c>
      <c r="F21" s="92" t="s">
        <v>81</v>
      </c>
      <c r="G21" s="92" t="s">
        <v>83</v>
      </c>
      <c r="H21" s="93"/>
      <c r="J21" s="96" t="s">
        <v>100</v>
      </c>
      <c r="K21" s="28"/>
      <c r="L21" s="28"/>
      <c r="M21" s="28"/>
      <c r="N21" s="28"/>
      <c r="O21" s="133"/>
    </row>
    <row r="22" spans="3:15">
      <c r="C22" s="94" t="s">
        <v>31</v>
      </c>
      <c r="D22" s="92"/>
      <c r="E22" s="125">
        <v>2</v>
      </c>
      <c r="F22" s="92" t="s">
        <v>81</v>
      </c>
      <c r="G22" s="92" t="s">
        <v>83</v>
      </c>
      <c r="H22" s="93"/>
    </row>
    <row r="23" spans="3:15">
      <c r="C23" s="96" t="s">
        <v>2</v>
      </c>
      <c r="D23" s="28"/>
      <c r="E23" s="126">
        <v>3.9</v>
      </c>
      <c r="F23" s="28" t="s">
        <v>81</v>
      </c>
      <c r="G23" s="28" t="s">
        <v>83</v>
      </c>
      <c r="H23" s="97"/>
    </row>
    <row r="24" spans="3:15" ht="13.8">
      <c r="J24" s="104" t="s">
        <v>107</v>
      </c>
      <c r="K24" s="102"/>
      <c r="L24" s="102"/>
      <c r="M24" s="102"/>
      <c r="N24" s="102"/>
      <c r="O24" s="103"/>
    </row>
    <row r="25" spans="3:15" ht="13.8">
      <c r="C25" s="104" t="s">
        <v>84</v>
      </c>
      <c r="D25" s="102"/>
      <c r="E25" s="102"/>
      <c r="F25" s="102"/>
      <c r="G25" s="102"/>
      <c r="H25" s="103"/>
      <c r="J25" s="131" t="s">
        <v>108</v>
      </c>
      <c r="K25" s="92"/>
      <c r="L25" s="92"/>
      <c r="M25" s="92"/>
      <c r="N25" s="92"/>
      <c r="O25" s="138">
        <v>420</v>
      </c>
    </row>
    <row r="26" spans="3:15">
      <c r="C26" s="85" t="s">
        <v>85</v>
      </c>
      <c r="D26" s="86"/>
      <c r="E26" s="86"/>
      <c r="F26" s="86"/>
      <c r="G26" s="86"/>
      <c r="H26" s="129" t="s">
        <v>86</v>
      </c>
      <c r="J26" s="94" t="s">
        <v>99</v>
      </c>
      <c r="K26" s="92"/>
      <c r="L26" s="92"/>
      <c r="M26" s="92"/>
      <c r="N26" s="92"/>
      <c r="O26" s="107"/>
    </row>
    <row r="27" spans="3:15">
      <c r="C27" s="94" t="s">
        <v>87</v>
      </c>
      <c r="D27" s="92"/>
      <c r="E27" s="92"/>
      <c r="F27" s="92"/>
      <c r="G27" s="92"/>
      <c r="H27" s="128">
        <v>25</v>
      </c>
      <c r="J27" s="96" t="s">
        <v>100</v>
      </c>
      <c r="K27" s="28"/>
      <c r="L27" s="28"/>
      <c r="M27" s="28"/>
      <c r="N27" s="28"/>
      <c r="O27" s="133"/>
    </row>
    <row r="28" spans="3:15">
      <c r="C28" s="96" t="s">
        <v>88</v>
      </c>
      <c r="D28" s="28"/>
      <c r="E28" s="28"/>
      <c r="F28" s="28"/>
      <c r="G28" s="28"/>
      <c r="H28" s="130">
        <v>30</v>
      </c>
    </row>
    <row r="31" spans="3:15">
      <c r="C31" s="74"/>
      <c r="D31" s="75"/>
      <c r="E31" s="75"/>
      <c r="F31" s="76"/>
      <c r="G31" s="76"/>
      <c r="H31" s="75"/>
      <c r="I31" s="75"/>
      <c r="J31" s="75"/>
      <c r="K31" s="77" t="s">
        <v>61</v>
      </c>
      <c r="L31" s="77"/>
      <c r="M31" s="77"/>
      <c r="N31" s="77"/>
      <c r="O31" s="78"/>
    </row>
    <row r="32" spans="3:15">
      <c r="C32" s="139" t="s">
        <v>101</v>
      </c>
      <c r="D32" s="140"/>
      <c r="E32" s="140"/>
      <c r="F32" s="141"/>
      <c r="G32" s="141"/>
      <c r="H32" s="142">
        <v>2019</v>
      </c>
      <c r="I32" s="142">
        <f>H32+1</f>
        <v>2020</v>
      </c>
      <c r="J32" s="142">
        <f>I32+1</f>
        <v>2021</v>
      </c>
      <c r="K32" s="143">
        <f t="shared" ref="K32:O32" si="0">J32+1</f>
        <v>2022</v>
      </c>
      <c r="L32" s="143">
        <f t="shared" si="0"/>
        <v>2023</v>
      </c>
      <c r="M32" s="143">
        <f t="shared" si="0"/>
        <v>2024</v>
      </c>
      <c r="N32" s="143">
        <f t="shared" si="0"/>
        <v>2025</v>
      </c>
      <c r="O32" s="144">
        <f t="shared" si="0"/>
        <v>2026</v>
      </c>
    </row>
    <row r="33" spans="3:15">
      <c r="C33" s="85"/>
      <c r="D33" s="86"/>
      <c r="E33" s="86"/>
      <c r="F33" s="87"/>
      <c r="G33" s="87"/>
      <c r="H33" s="87"/>
      <c r="I33" s="87"/>
      <c r="J33" s="86"/>
      <c r="K33" s="86"/>
      <c r="L33" s="86"/>
      <c r="M33" s="86"/>
      <c r="N33" s="86"/>
      <c r="O33" s="88"/>
    </row>
    <row r="34" spans="3:15">
      <c r="C34" s="89" t="s">
        <v>113</v>
      </c>
      <c r="D34" s="90"/>
      <c r="E34" s="90"/>
      <c r="F34" s="91"/>
      <c r="G34" s="15"/>
      <c r="H34" s="15"/>
      <c r="I34" s="15"/>
      <c r="J34" s="92"/>
      <c r="K34" s="92"/>
      <c r="L34" s="92"/>
      <c r="M34" s="92"/>
      <c r="N34" s="92"/>
      <c r="O34" s="93"/>
    </row>
    <row r="35" spans="3:15">
      <c r="C35" s="89"/>
      <c r="D35" s="92" t="s">
        <v>102</v>
      </c>
      <c r="E35" s="92" t="s">
        <v>81</v>
      </c>
      <c r="F35" s="91"/>
      <c r="G35" s="15"/>
      <c r="H35" s="15"/>
      <c r="I35" s="15"/>
      <c r="J35" s="92"/>
      <c r="K35" s="137">
        <v>25</v>
      </c>
      <c r="L35" s="137">
        <v>25</v>
      </c>
      <c r="M35" s="137">
        <v>25</v>
      </c>
      <c r="N35" s="137">
        <v>25</v>
      </c>
      <c r="O35" s="145">
        <v>25</v>
      </c>
    </row>
    <row r="36" spans="3:15">
      <c r="C36" s="89"/>
      <c r="D36" s="92" t="s">
        <v>114</v>
      </c>
      <c r="E36" s="92" t="s">
        <v>81</v>
      </c>
      <c r="F36" s="91"/>
      <c r="G36" s="15"/>
      <c r="H36" s="15"/>
      <c r="I36" s="15"/>
      <c r="J36" s="92"/>
      <c r="K36" s="137">
        <v>0</v>
      </c>
      <c r="L36" s="137">
        <v>0</v>
      </c>
      <c r="M36" s="137">
        <v>0</v>
      </c>
      <c r="N36" s="137">
        <v>0</v>
      </c>
      <c r="O36" s="145">
        <v>0</v>
      </c>
    </row>
    <row r="37" spans="3:15">
      <c r="C37" s="89" t="s">
        <v>103</v>
      </c>
      <c r="D37" s="92"/>
      <c r="E37" s="92"/>
      <c r="F37" s="92"/>
      <c r="G37" s="20"/>
      <c r="H37" s="20"/>
      <c r="I37" s="20"/>
      <c r="J37" s="92"/>
      <c r="K37" s="92"/>
      <c r="L37" s="92"/>
      <c r="M37" s="92"/>
      <c r="N37" s="92"/>
      <c r="O37" s="93"/>
    </row>
    <row r="38" spans="3:15">
      <c r="C38" s="89"/>
      <c r="D38" s="92" t="s">
        <v>104</v>
      </c>
      <c r="E38" s="92" t="s">
        <v>81</v>
      </c>
      <c r="F38" s="92"/>
      <c r="G38" s="20"/>
      <c r="H38" s="20"/>
      <c r="I38" s="20"/>
      <c r="J38" s="92"/>
      <c r="K38" s="137">
        <v>5</v>
      </c>
      <c r="L38" s="137">
        <v>5</v>
      </c>
      <c r="M38" s="137">
        <v>5</v>
      </c>
      <c r="N38" s="137">
        <v>5</v>
      </c>
      <c r="O38" s="145">
        <v>5</v>
      </c>
    </row>
    <row r="39" spans="3:15">
      <c r="C39" s="95" t="s">
        <v>105</v>
      </c>
      <c r="D39" s="90"/>
      <c r="E39" s="92"/>
      <c r="F39" s="92"/>
      <c r="G39" s="72"/>
      <c r="H39" s="72"/>
      <c r="I39" s="72"/>
      <c r="J39" s="92"/>
      <c r="K39" s="92"/>
      <c r="L39" s="92"/>
      <c r="M39" s="92"/>
      <c r="N39" s="92"/>
      <c r="O39" s="93"/>
    </row>
    <row r="40" spans="3:15">
      <c r="C40" s="95"/>
      <c r="D40" s="92" t="s">
        <v>106</v>
      </c>
      <c r="E40" s="92" t="s">
        <v>81</v>
      </c>
      <c r="F40" s="92"/>
      <c r="G40" s="27"/>
      <c r="H40" s="27"/>
      <c r="I40" s="27"/>
      <c r="J40" s="92"/>
      <c r="K40" s="137">
        <v>16</v>
      </c>
      <c r="L40" s="137">
        <v>17</v>
      </c>
      <c r="M40" s="137">
        <v>17.3</v>
      </c>
      <c r="N40" s="137">
        <v>17.5</v>
      </c>
      <c r="O40" s="145">
        <v>18</v>
      </c>
    </row>
    <row r="41" spans="3:15">
      <c r="C41" s="95" t="s">
        <v>109</v>
      </c>
      <c r="D41" s="92"/>
      <c r="E41" s="92"/>
      <c r="F41" s="92"/>
      <c r="G41" s="27"/>
      <c r="H41" s="27"/>
      <c r="I41" s="27"/>
      <c r="J41" s="137"/>
      <c r="K41" s="137"/>
      <c r="L41" s="137"/>
      <c r="M41" s="137"/>
      <c r="N41" s="137"/>
      <c r="O41" s="93"/>
    </row>
    <row r="42" spans="3:15">
      <c r="C42" s="95"/>
      <c r="D42" s="92" t="s">
        <v>29</v>
      </c>
      <c r="E42" s="92" t="s">
        <v>112</v>
      </c>
      <c r="F42" s="92"/>
      <c r="G42" s="27"/>
      <c r="H42" s="27"/>
      <c r="I42" s="27"/>
      <c r="J42" s="92"/>
      <c r="K42" s="224">
        <v>45</v>
      </c>
      <c r="L42" s="224">
        <v>40</v>
      </c>
      <c r="M42" s="224">
        <v>40</v>
      </c>
      <c r="N42" s="224">
        <v>40</v>
      </c>
      <c r="O42" s="226">
        <v>40</v>
      </c>
    </row>
    <row r="43" spans="3:15">
      <c r="C43" s="95"/>
      <c r="D43" s="92" t="s">
        <v>30</v>
      </c>
      <c r="E43" s="92" t="s">
        <v>112</v>
      </c>
      <c r="F43" s="92"/>
      <c r="G43" s="27"/>
      <c r="H43" s="27"/>
      <c r="I43" s="27"/>
      <c r="J43" s="92"/>
      <c r="K43" s="224">
        <v>70</v>
      </c>
      <c r="L43" s="224">
        <v>65</v>
      </c>
      <c r="M43" s="224">
        <v>60</v>
      </c>
      <c r="N43" s="224">
        <v>60</v>
      </c>
      <c r="O43" s="226">
        <v>55</v>
      </c>
    </row>
    <row r="44" spans="3:15">
      <c r="C44" s="95"/>
      <c r="D44" s="92" t="s">
        <v>54</v>
      </c>
      <c r="E44" s="92" t="s">
        <v>112</v>
      </c>
      <c r="F44" s="92"/>
      <c r="G44" s="27"/>
      <c r="H44" s="27"/>
      <c r="I44" s="27"/>
      <c r="J44" s="92"/>
      <c r="K44" s="224">
        <v>30</v>
      </c>
      <c r="L44" s="224">
        <v>30</v>
      </c>
      <c r="M44" s="224">
        <v>30</v>
      </c>
      <c r="N44" s="224">
        <v>30</v>
      </c>
      <c r="O44" s="226">
        <v>30</v>
      </c>
    </row>
    <row r="45" spans="3:15">
      <c r="C45" s="94"/>
      <c r="D45" s="123" t="s">
        <v>110</v>
      </c>
      <c r="E45" s="92" t="s">
        <v>112</v>
      </c>
      <c r="F45" s="92"/>
      <c r="G45" s="92"/>
      <c r="H45" s="92"/>
      <c r="I45" s="92"/>
      <c r="J45" s="92"/>
      <c r="K45" s="224">
        <v>3</v>
      </c>
      <c r="L45" s="224">
        <v>3</v>
      </c>
      <c r="M45" s="224">
        <v>3</v>
      </c>
      <c r="N45" s="224">
        <v>3</v>
      </c>
      <c r="O45" s="226">
        <v>3</v>
      </c>
    </row>
    <row r="46" spans="3:15">
      <c r="C46" s="94"/>
      <c r="D46" s="123" t="s">
        <v>38</v>
      </c>
      <c r="E46" s="92" t="s">
        <v>112</v>
      </c>
      <c r="F46" s="92"/>
      <c r="G46" s="92"/>
      <c r="H46" s="92"/>
      <c r="I46" s="92"/>
      <c r="J46" s="92"/>
      <c r="K46" s="224">
        <v>40</v>
      </c>
      <c r="L46" s="224">
        <v>40</v>
      </c>
      <c r="M46" s="224">
        <v>40</v>
      </c>
      <c r="N46" s="224">
        <v>40</v>
      </c>
      <c r="O46" s="226">
        <v>40</v>
      </c>
    </row>
    <row r="47" spans="3:15">
      <c r="C47" s="96"/>
      <c r="D47" s="146" t="s">
        <v>111</v>
      </c>
      <c r="E47" s="28" t="s">
        <v>112</v>
      </c>
      <c r="F47" s="28"/>
      <c r="G47" s="28"/>
      <c r="H47" s="28"/>
      <c r="I47" s="28"/>
      <c r="J47" s="28"/>
      <c r="K47" s="225">
        <v>10</v>
      </c>
      <c r="L47" s="225">
        <v>10</v>
      </c>
      <c r="M47" s="225">
        <v>10</v>
      </c>
      <c r="N47" s="225">
        <v>10</v>
      </c>
      <c r="O47" s="227">
        <v>10</v>
      </c>
    </row>
  </sheetData>
  <sheetProtection formatCells="0"/>
  <printOptions horizontalCentered="1"/>
  <pageMargins left="0.25" right="0.25" top="0.25" bottom="0.5" header="0.25" footer="0.25"/>
  <pageSetup scale="85" orientation="landscape" r:id="rId1"/>
  <headerFooter alignWithMargins="0">
    <oddFooter>&amp;C&amp;P of &amp;N&amp;RShchebrina Yury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46"/>
  <sheetViews>
    <sheetView showGridLines="0" tabSelected="1" topLeftCell="A276" zoomScale="91" zoomScaleNormal="91" zoomScaleSheetLayoutView="47" workbookViewId="0">
      <selection activeCell="D10" sqref="D10"/>
    </sheetView>
  </sheetViews>
  <sheetFormatPr defaultColWidth="9.21875" defaultRowHeight="13.2"/>
  <cols>
    <col min="1" max="1" width="2.5546875" style="1" customWidth="1"/>
    <col min="2" max="2" width="1.77734375" style="1" customWidth="1"/>
    <col min="3" max="3" width="2.21875" style="1" customWidth="1"/>
    <col min="4" max="4" width="32.77734375" style="1" customWidth="1"/>
    <col min="5" max="5" width="12.77734375" style="1" customWidth="1"/>
    <col min="6" max="6" width="1.77734375" style="1" customWidth="1"/>
    <col min="7" max="9" width="12.77734375" style="1" customWidth="1"/>
    <col min="10" max="10" width="15.6640625" style="1" customWidth="1"/>
    <col min="11" max="11" width="9.44140625" style="1" customWidth="1"/>
    <col min="12" max="14" width="9.44140625" style="1" bestFit="1" customWidth="1"/>
    <col min="15" max="15" width="9.21875" style="1"/>
    <col min="16" max="16" width="9.21875" style="92"/>
    <col min="17" max="16384" width="9.21875" style="1"/>
  </cols>
  <sheetData>
    <row r="1" spans="1:15">
      <c r="G1" s="2"/>
      <c r="H1" s="2"/>
      <c r="I1" s="2"/>
      <c r="K1" s="1" t="str">
        <f>UPPER("currently running "&amp;TEXT(Scenario!$E$9,"Base case")&amp;" Scenario")</f>
        <v>CURRENTLY RUNNING BEST CASE SCENARIO</v>
      </c>
    </row>
    <row r="2" spans="1:15" ht="22.8">
      <c r="A2" s="3"/>
      <c r="B2" s="4" t="s">
        <v>185</v>
      </c>
      <c r="C2" s="4"/>
      <c r="D2" s="4"/>
      <c r="E2" s="4"/>
      <c r="F2" s="4"/>
      <c r="G2" s="4"/>
      <c r="H2" s="4"/>
      <c r="I2" s="4"/>
      <c r="J2" s="32"/>
      <c r="K2" s="32"/>
      <c r="L2" s="32"/>
      <c r="M2" s="32"/>
      <c r="N2" s="32"/>
      <c r="O2" s="32"/>
    </row>
    <row r="3" spans="1:15" ht="19.5" customHeight="1">
      <c r="A3" s="5"/>
      <c r="B3" s="6" t="s">
        <v>0</v>
      </c>
      <c r="C3" s="6"/>
      <c r="D3" s="6"/>
      <c r="E3" s="6"/>
      <c r="F3" s="6"/>
      <c r="G3" s="6"/>
      <c r="H3" s="6"/>
      <c r="I3" s="6"/>
      <c r="J3" s="32"/>
      <c r="K3" s="32"/>
      <c r="L3" s="32"/>
      <c r="M3" s="32"/>
      <c r="N3" s="32"/>
      <c r="O3" s="32"/>
    </row>
    <row r="4" spans="1:15" ht="6" customHeight="1" thickBo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>
      <c r="B5" s="8" t="s">
        <v>56</v>
      </c>
    </row>
    <row r="6" spans="1:15">
      <c r="F6" s="9"/>
      <c r="J6" s="73" t="s">
        <v>148</v>
      </c>
      <c r="K6" s="73"/>
      <c r="L6" s="73"/>
      <c r="M6" s="73"/>
      <c r="N6" s="73"/>
    </row>
    <row r="7" spans="1:15">
      <c r="F7" s="10"/>
      <c r="G7" s="11">
        <v>2019</v>
      </c>
      <c r="H7" s="11">
        <f>G7+1</f>
        <v>2020</v>
      </c>
      <c r="I7" s="11">
        <f>H7+1</f>
        <v>2021</v>
      </c>
      <c r="J7" s="71">
        <f t="shared" ref="J7:N7" si="0">I7+1</f>
        <v>2022</v>
      </c>
      <c r="K7" s="71">
        <f t="shared" si="0"/>
        <v>2023</v>
      </c>
      <c r="L7" s="71">
        <f t="shared" si="0"/>
        <v>2024</v>
      </c>
      <c r="M7" s="71">
        <f t="shared" si="0"/>
        <v>2025</v>
      </c>
      <c r="N7" s="71">
        <f t="shared" si="0"/>
        <v>2026</v>
      </c>
      <c r="O7" s="11"/>
    </row>
    <row r="8" spans="1:15" ht="13.2" customHeight="1">
      <c r="F8" s="10"/>
      <c r="G8" s="10"/>
      <c r="H8" s="10"/>
      <c r="I8" s="10"/>
    </row>
    <row r="9" spans="1:15" ht="13.2" customHeight="1">
      <c r="B9" s="12"/>
      <c r="C9" s="1" t="s">
        <v>50</v>
      </c>
      <c r="F9" s="10"/>
      <c r="G9" s="13">
        <v>244.79999999999998</v>
      </c>
      <c r="H9" s="13">
        <v>269.3</v>
      </c>
      <c r="I9" s="13">
        <v>239.2</v>
      </c>
      <c r="J9" s="212">
        <f>J141</f>
        <v>300.92903225806447</v>
      </c>
      <c r="K9" s="212">
        <f t="shared" ref="K9:N9" si="1">K141</f>
        <v>283.62561290322583</v>
      </c>
      <c r="L9" s="212">
        <f t="shared" si="1"/>
        <v>338.88370645161291</v>
      </c>
      <c r="M9" s="212">
        <f t="shared" si="1"/>
        <v>345.04522838709676</v>
      </c>
      <c r="N9" s="212">
        <f t="shared" si="1"/>
        <v>327.60000000000002</v>
      </c>
    </row>
    <row r="10" spans="1:15" ht="13.2" customHeight="1">
      <c r="B10" s="12"/>
      <c r="C10" s="1" t="s">
        <v>52</v>
      </c>
      <c r="D10" s="273"/>
      <c r="F10" s="10"/>
      <c r="G10" s="14">
        <v>31.3</v>
      </c>
      <c r="H10" s="14">
        <v>32.700000000000003</v>
      </c>
      <c r="I10" s="14">
        <v>34.4</v>
      </c>
      <c r="J10" s="211">
        <f>J142</f>
        <v>36.820403225806444</v>
      </c>
      <c r="K10" s="211">
        <f t="shared" ref="K10:N10" si="2">K142</f>
        <v>38.982497303225813</v>
      </c>
      <c r="L10" s="211">
        <f t="shared" si="2"/>
        <v>41.668391367418067</v>
      </c>
      <c r="M10" s="211">
        <f t="shared" si="2"/>
        <v>44.626847154504752</v>
      </c>
      <c r="N10" s="211">
        <f t="shared" si="2"/>
        <v>46.099155329337599</v>
      </c>
    </row>
    <row r="11" spans="1:15">
      <c r="C11" s="12" t="s">
        <v>51</v>
      </c>
      <c r="D11" s="12"/>
      <c r="E11" s="12"/>
      <c r="F11" s="10"/>
      <c r="G11" s="15">
        <f>G9-G10</f>
        <v>213.49999999999997</v>
      </c>
      <c r="H11" s="15">
        <f t="shared" ref="H11:J11" si="3">H9-H10</f>
        <v>236.60000000000002</v>
      </c>
      <c r="I11" s="15">
        <f t="shared" si="3"/>
        <v>204.79999999999998</v>
      </c>
      <c r="J11" s="15">
        <f t="shared" si="3"/>
        <v>264.10862903225802</v>
      </c>
      <c r="K11" s="15">
        <f t="shared" ref="K11:N11" si="4">K9-K10</f>
        <v>244.64311560000002</v>
      </c>
      <c r="L11" s="15">
        <f t="shared" si="4"/>
        <v>297.21531508419486</v>
      </c>
      <c r="M11" s="15">
        <f t="shared" si="4"/>
        <v>300.41838123259203</v>
      </c>
      <c r="N11" s="15">
        <f t="shared" si="4"/>
        <v>281.50084467066245</v>
      </c>
    </row>
    <row r="12" spans="1:15" ht="13.2" customHeight="1">
      <c r="F12" s="10"/>
      <c r="G12" s="10"/>
      <c r="H12" s="10"/>
      <c r="I12" s="10"/>
    </row>
    <row r="13" spans="1:15">
      <c r="C13" s="1" t="s">
        <v>1</v>
      </c>
      <c r="F13" s="10"/>
      <c r="G13" s="13">
        <v>159.9</v>
      </c>
      <c r="H13" s="13">
        <v>164.6</v>
      </c>
      <c r="I13" s="13">
        <v>167.9</v>
      </c>
      <c r="J13" s="212">
        <f>J188</f>
        <v>174.68685483870968</v>
      </c>
      <c r="K13" s="212">
        <f t="shared" ref="K13:N13" si="5">K188</f>
        <v>182.13478695483872</v>
      </c>
      <c r="L13" s="212">
        <f t="shared" si="5"/>
        <v>191.10855597602711</v>
      </c>
      <c r="M13" s="212">
        <f t="shared" si="5"/>
        <v>201.03043929432505</v>
      </c>
      <c r="N13" s="212">
        <f t="shared" si="5"/>
        <v>206.71518515207043</v>
      </c>
    </row>
    <row r="14" spans="1:15">
      <c r="A14" s="16"/>
      <c r="C14" s="17" t="s">
        <v>2</v>
      </c>
      <c r="F14" s="10"/>
      <c r="G14" s="14">
        <v>3.4</v>
      </c>
      <c r="H14" s="14">
        <v>3.6</v>
      </c>
      <c r="I14" s="14">
        <v>3.8</v>
      </c>
      <c r="J14" s="14">
        <f>Asumptions!E23</f>
        <v>3.9</v>
      </c>
      <c r="K14" s="211">
        <f>J14*(1+Model!J129)</f>
        <v>3.9702000000000002</v>
      </c>
      <c r="L14" s="211">
        <f>K14*(1+Model!K129)</f>
        <v>4.0416636000000006</v>
      </c>
      <c r="M14" s="211">
        <f>L14*(1+Model!L129)</f>
        <v>4.1144135448000005</v>
      </c>
      <c r="N14" s="211">
        <f>M14*(1+Model!M129)</f>
        <v>4.1967018156960005</v>
      </c>
    </row>
    <row r="15" spans="1:15">
      <c r="C15" s="18" t="s">
        <v>3</v>
      </c>
      <c r="F15" s="10"/>
      <c r="G15" s="19">
        <f t="shared" ref="G15" si="6">SUM(G13:G14)</f>
        <v>163.30000000000001</v>
      </c>
      <c r="H15" s="19">
        <f t="shared" ref="H15:I15" si="7">SUM(H13:H14)</f>
        <v>168.2</v>
      </c>
      <c r="I15" s="19">
        <f t="shared" si="7"/>
        <v>171.70000000000002</v>
      </c>
      <c r="J15" s="19">
        <f t="shared" ref="J15:N15" si="8">SUM(J13:J14)</f>
        <v>178.58685483870968</v>
      </c>
      <c r="K15" s="19">
        <f t="shared" si="8"/>
        <v>186.10498695483872</v>
      </c>
      <c r="L15" s="19">
        <f t="shared" si="8"/>
        <v>195.1502195760271</v>
      </c>
      <c r="M15" s="19">
        <f t="shared" si="8"/>
        <v>205.14485283912504</v>
      </c>
      <c r="N15" s="19">
        <f t="shared" si="8"/>
        <v>210.91188696776643</v>
      </c>
    </row>
    <row r="16" spans="1:15">
      <c r="C16" s="18"/>
      <c r="F16" s="10"/>
      <c r="G16" s="10"/>
      <c r="H16" s="10"/>
      <c r="I16" s="10"/>
    </row>
    <row r="17" spans="2:14">
      <c r="C17" s="17" t="s">
        <v>55</v>
      </c>
      <c r="F17" s="10"/>
      <c r="G17" s="14">
        <v>0</v>
      </c>
      <c r="H17" s="14">
        <v>0</v>
      </c>
      <c r="I17" s="14">
        <v>0</v>
      </c>
      <c r="J17" s="214">
        <f>I17</f>
        <v>0</v>
      </c>
      <c r="K17" s="214">
        <f t="shared" ref="K17:N17" si="9">J17</f>
        <v>0</v>
      </c>
      <c r="L17" s="214">
        <f t="shared" si="9"/>
        <v>0</v>
      </c>
      <c r="M17" s="214">
        <f t="shared" si="9"/>
        <v>0</v>
      </c>
      <c r="N17" s="214">
        <f t="shared" si="9"/>
        <v>0</v>
      </c>
    </row>
    <row r="18" spans="2:14">
      <c r="B18" s="12"/>
      <c r="C18" s="12" t="s">
        <v>4</v>
      </c>
      <c r="G18" s="20">
        <f>G11-G15+G17</f>
        <v>50.19999999999996</v>
      </c>
      <c r="H18" s="20">
        <f t="shared" ref="H18:N18" si="10">H11-H15+H17</f>
        <v>68.400000000000034</v>
      </c>
      <c r="I18" s="20">
        <f t="shared" si="10"/>
        <v>33.099999999999966</v>
      </c>
      <c r="J18" s="20">
        <f t="shared" si="10"/>
        <v>85.521774193548339</v>
      </c>
      <c r="K18" s="20">
        <f t="shared" si="10"/>
        <v>58.538128645161294</v>
      </c>
      <c r="L18" s="20">
        <f t="shared" si="10"/>
        <v>102.06509550816776</v>
      </c>
      <c r="M18" s="20">
        <f t="shared" si="10"/>
        <v>95.273528393466989</v>
      </c>
      <c r="N18" s="20">
        <f t="shared" si="10"/>
        <v>70.58895770289601</v>
      </c>
    </row>
    <row r="20" spans="2:14">
      <c r="C20" s="1" t="s">
        <v>5</v>
      </c>
      <c r="G20" s="21">
        <v>15.4</v>
      </c>
      <c r="H20" s="21">
        <v>15.5</v>
      </c>
      <c r="I20" s="21">
        <v>15.8</v>
      </c>
      <c r="J20" s="211">
        <f>-J219</f>
        <v>16.174666666666667</v>
      </c>
      <c r="K20" s="211">
        <f t="shared" ref="K20:N20" si="11">-K219</f>
        <v>16.724666666666668</v>
      </c>
      <c r="L20" s="211">
        <f t="shared" si="11"/>
        <v>17.296333333333333</v>
      </c>
      <c r="M20" s="211">
        <f t="shared" si="11"/>
        <v>17.876333333333331</v>
      </c>
      <c r="N20" s="211">
        <f t="shared" si="11"/>
        <v>18.468</v>
      </c>
    </row>
    <row r="21" spans="2:14">
      <c r="C21" s="18" t="s">
        <v>6</v>
      </c>
      <c r="G21" s="20">
        <f>G18-G20</f>
        <v>34.799999999999962</v>
      </c>
      <c r="H21" s="20">
        <f>H18-H20</f>
        <v>52.900000000000034</v>
      </c>
      <c r="I21" s="20">
        <f t="shared" ref="I21:N21" si="12">I18-I20</f>
        <v>17.299999999999965</v>
      </c>
      <c r="J21" s="20">
        <f t="shared" si="12"/>
        <v>69.347107526881672</v>
      </c>
      <c r="K21" s="20">
        <f t="shared" si="12"/>
        <v>41.81346197849463</v>
      </c>
      <c r="L21" s="20">
        <f t="shared" si="12"/>
        <v>84.768762174834421</v>
      </c>
      <c r="M21" s="20">
        <f t="shared" si="12"/>
        <v>77.397195060133654</v>
      </c>
      <c r="N21" s="20">
        <f t="shared" si="12"/>
        <v>52.120957702896007</v>
      </c>
    </row>
    <row r="22" spans="2:14" ht="6" customHeight="1">
      <c r="C22" s="18"/>
    </row>
    <row r="23" spans="2:14">
      <c r="C23" s="22" t="s">
        <v>7</v>
      </c>
      <c r="G23" s="21">
        <v>15</v>
      </c>
      <c r="H23" s="21">
        <v>15</v>
      </c>
      <c r="I23" s="21">
        <v>14</v>
      </c>
      <c r="J23" s="211">
        <f>J323</f>
        <v>12.003</v>
      </c>
      <c r="K23" s="211">
        <f t="shared" ref="K23:N23" si="13">K323</f>
        <v>10.556167762439239</v>
      </c>
      <c r="L23" s="211">
        <f t="shared" si="13"/>
        <v>9.0550988580724354</v>
      </c>
      <c r="M23" s="211">
        <f t="shared" si="13"/>
        <v>7.6745430784651631</v>
      </c>
      <c r="N23" s="211">
        <f t="shared" si="13"/>
        <v>6.2916601248079971</v>
      </c>
    </row>
    <row r="24" spans="2:14">
      <c r="C24" s="23" t="s">
        <v>8</v>
      </c>
      <c r="G24" s="20">
        <f>G21-G23</f>
        <v>19.799999999999962</v>
      </c>
      <c r="H24" s="20">
        <f t="shared" ref="H24:N24" si="14">H21-H23</f>
        <v>37.900000000000034</v>
      </c>
      <c r="I24" s="20">
        <f t="shared" si="14"/>
        <v>3.2999999999999652</v>
      </c>
      <c r="J24" s="20">
        <f>J21-J23</f>
        <v>57.344107526881672</v>
      </c>
      <c r="K24" s="20">
        <f t="shared" si="14"/>
        <v>31.257294216055392</v>
      </c>
      <c r="L24" s="20">
        <f t="shared" si="14"/>
        <v>75.713663316761981</v>
      </c>
      <c r="M24" s="20">
        <f t="shared" si="14"/>
        <v>69.722651981668491</v>
      </c>
      <c r="N24" s="20">
        <f t="shared" si="14"/>
        <v>45.82929757808801</v>
      </c>
    </row>
    <row r="25" spans="2:14" ht="6" customHeight="1">
      <c r="C25" s="18"/>
    </row>
    <row r="26" spans="2:14">
      <c r="C26" s="1" t="s">
        <v>9</v>
      </c>
      <c r="G26" s="24">
        <v>3</v>
      </c>
      <c r="H26" s="24">
        <v>8</v>
      </c>
      <c r="I26" s="24">
        <v>0</v>
      </c>
      <c r="J26" s="213">
        <f>J246</f>
        <v>18.320437634408584</v>
      </c>
      <c r="K26" s="213">
        <f t="shared" ref="K26:N26" si="15">K246</f>
        <v>9.1900529756193858</v>
      </c>
      <c r="L26" s="213">
        <f t="shared" si="15"/>
        <v>24.74978216086669</v>
      </c>
      <c r="M26" s="213">
        <f t="shared" si="15"/>
        <v>22.652928193583971</v>
      </c>
      <c r="N26" s="213">
        <f t="shared" si="15"/>
        <v>14.290254152330803</v>
      </c>
    </row>
    <row r="27" spans="2:14">
      <c r="C27" s="1" t="s">
        <v>10</v>
      </c>
      <c r="G27" s="21">
        <v>2.7</v>
      </c>
      <c r="H27" s="21">
        <v>6.2</v>
      </c>
      <c r="I27" s="21">
        <v>1.1000000000000001</v>
      </c>
      <c r="J27" s="214">
        <f>J247</f>
        <v>1.75</v>
      </c>
      <c r="K27" s="214">
        <f t="shared" ref="K27:N27" si="16">K247</f>
        <v>1.75</v>
      </c>
      <c r="L27" s="214">
        <f t="shared" si="16"/>
        <v>1.75</v>
      </c>
      <c r="M27" s="214">
        <f t="shared" si="16"/>
        <v>1.75</v>
      </c>
      <c r="N27" s="214">
        <f t="shared" si="16"/>
        <v>1.75</v>
      </c>
    </row>
    <row r="28" spans="2:14">
      <c r="C28" s="12" t="s">
        <v>11</v>
      </c>
      <c r="G28" s="20">
        <f>SUM(G26:G27)</f>
        <v>5.7</v>
      </c>
      <c r="H28" s="20">
        <f>SUM(H26:H27)</f>
        <v>14.2</v>
      </c>
      <c r="I28" s="20">
        <f t="shared" ref="I28:J28" si="17">SUM(I26:I27)</f>
        <v>1.1000000000000001</v>
      </c>
      <c r="J28" s="20">
        <f t="shared" si="17"/>
        <v>20.070437634408584</v>
      </c>
      <c r="K28" s="20">
        <f t="shared" ref="K28:N28" si="18">SUM(K26:K27)</f>
        <v>10.940052975619386</v>
      </c>
      <c r="L28" s="20">
        <f t="shared" si="18"/>
        <v>26.49978216086669</v>
      </c>
      <c r="M28" s="20">
        <f t="shared" si="18"/>
        <v>24.402928193583971</v>
      </c>
      <c r="N28" s="20">
        <f t="shared" si="18"/>
        <v>16.040254152330803</v>
      </c>
    </row>
    <row r="29" spans="2:14" ht="9" customHeight="1"/>
    <row r="30" spans="2:14" ht="14.1" customHeight="1" thickBot="1">
      <c r="C30" s="25" t="s">
        <v>13</v>
      </c>
      <c r="D30" s="12"/>
      <c r="E30" s="12"/>
      <c r="G30" s="26">
        <f>G24-G28</f>
        <v>14.099999999999962</v>
      </c>
      <c r="H30" s="26">
        <f t="shared" ref="H30:N30" si="19">H24-H28</f>
        <v>23.700000000000035</v>
      </c>
      <c r="I30" s="26">
        <f t="shared" si="19"/>
        <v>2.1999999999999651</v>
      </c>
      <c r="J30" s="26">
        <f>J24-J28</f>
        <v>37.273669892473087</v>
      </c>
      <c r="K30" s="26">
        <f t="shared" si="19"/>
        <v>20.317241240436005</v>
      </c>
      <c r="L30" s="26">
        <f t="shared" si="19"/>
        <v>49.213881155895294</v>
      </c>
      <c r="M30" s="26">
        <f t="shared" si="19"/>
        <v>45.319723788084517</v>
      </c>
      <c r="N30" s="26">
        <f t="shared" si="19"/>
        <v>29.789043425757207</v>
      </c>
    </row>
    <row r="31" spans="2:14" ht="13.8" thickTop="1">
      <c r="C31" s="25"/>
      <c r="D31" s="12"/>
      <c r="E31" s="12"/>
      <c r="G31" s="27"/>
      <c r="H31" s="27"/>
      <c r="I31" s="27"/>
    </row>
    <row r="32" spans="2:14">
      <c r="C32" s="256" t="s">
        <v>183</v>
      </c>
      <c r="D32" s="249"/>
      <c r="E32" s="249"/>
      <c r="F32" s="86"/>
      <c r="G32" s="250">
        <f>G18/G11</f>
        <v>0.23512880562060876</v>
      </c>
      <c r="H32" s="250">
        <f t="shared" ref="H32:N32" si="20">H18/H11</f>
        <v>0.28909551986475074</v>
      </c>
      <c r="I32" s="250">
        <f t="shared" si="20"/>
        <v>0.16162109374999983</v>
      </c>
      <c r="J32" s="250">
        <f t="shared" si="20"/>
        <v>0.3238128739182648</v>
      </c>
      <c r="K32" s="250">
        <f t="shared" si="20"/>
        <v>0.23927968911609662</v>
      </c>
      <c r="L32" s="250">
        <f t="shared" si="20"/>
        <v>0.34340456338615949</v>
      </c>
      <c r="M32" s="250">
        <f t="shared" si="20"/>
        <v>0.31713614860238409</v>
      </c>
      <c r="N32" s="251">
        <f t="shared" si="20"/>
        <v>0.25075931045777311</v>
      </c>
    </row>
    <row r="33" spans="2:16">
      <c r="C33" s="257" t="s">
        <v>182</v>
      </c>
      <c r="D33" s="90"/>
      <c r="E33" s="90"/>
      <c r="F33" s="92"/>
      <c r="G33" s="248">
        <f>G24/G11</f>
        <v>9.2740046838407322E-2</v>
      </c>
      <c r="H33" s="248">
        <f t="shared" ref="H33:N33" si="21">H24/H11</f>
        <v>0.16018596787827569</v>
      </c>
      <c r="I33" s="248">
        <f t="shared" si="21"/>
        <v>1.611328124999983E-2</v>
      </c>
      <c r="J33" s="248">
        <f t="shared" si="21"/>
        <v>0.2171231880495571</v>
      </c>
      <c r="K33" s="248">
        <f t="shared" si="21"/>
        <v>0.12776690706948873</v>
      </c>
      <c r="L33" s="248">
        <f t="shared" si="21"/>
        <v>0.25474347879857367</v>
      </c>
      <c r="M33" s="248">
        <f t="shared" si="21"/>
        <v>0.23208517300307044</v>
      </c>
      <c r="N33" s="252">
        <f t="shared" si="21"/>
        <v>0.16280341052512751</v>
      </c>
    </row>
    <row r="34" spans="2:16">
      <c r="C34" s="258" t="s">
        <v>184</v>
      </c>
      <c r="D34" s="253"/>
      <c r="E34" s="253"/>
      <c r="F34" s="28"/>
      <c r="G34" s="254">
        <f>G30/G11</f>
        <v>6.604215456674456E-2</v>
      </c>
      <c r="H34" s="254">
        <f t="shared" ref="H34:N34" si="22">H30/H11</f>
        <v>0.10016906170752338</v>
      </c>
      <c r="I34" s="254">
        <f t="shared" si="22"/>
        <v>1.074218749999983E-2</v>
      </c>
      <c r="J34" s="254">
        <f t="shared" si="22"/>
        <v>0.14113007223221211</v>
      </c>
      <c r="K34" s="254">
        <f t="shared" si="22"/>
        <v>8.3048489595167682E-2</v>
      </c>
      <c r="L34" s="254">
        <f t="shared" si="22"/>
        <v>0.16558326121907291</v>
      </c>
      <c r="M34" s="254">
        <f t="shared" si="22"/>
        <v>0.15085536245199577</v>
      </c>
      <c r="N34" s="255">
        <f t="shared" si="22"/>
        <v>0.10582221684133288</v>
      </c>
    </row>
    <row r="35" spans="2:16">
      <c r="B35" s="28"/>
      <c r="C35" s="28"/>
      <c r="D35" s="28"/>
      <c r="E35" s="28"/>
      <c r="F35" s="28"/>
      <c r="G35" s="29"/>
      <c r="H35" s="29"/>
      <c r="I35" s="29"/>
    </row>
    <row r="36" spans="2:16">
      <c r="C36" s="30"/>
      <c r="G36" s="31"/>
      <c r="H36" s="31"/>
      <c r="I36" s="31"/>
    </row>
    <row r="37" spans="2:16">
      <c r="B37" s="12"/>
      <c r="G37" s="31"/>
      <c r="H37" s="31"/>
      <c r="I37" s="31"/>
    </row>
    <row r="38" spans="2:16">
      <c r="B38" s="12"/>
      <c r="G38" s="2"/>
      <c r="H38" s="2"/>
      <c r="I38" s="2"/>
      <c r="K38" s="1" t="str">
        <f>UPPER("currently running "&amp;TEXT(Scenario!$E$9,"Base case")&amp;" Scenario")</f>
        <v>CURRENTLY RUNNING BEST CASE SCENARIO</v>
      </c>
    </row>
    <row r="39" spans="2:16" ht="22.8">
      <c r="B39" s="4" t="str">
        <f>B2</f>
        <v>GAS Manufact</v>
      </c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108"/>
    </row>
    <row r="40" spans="2:16" ht="17.399999999999999">
      <c r="B40" s="6" t="s">
        <v>14</v>
      </c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108"/>
    </row>
    <row r="41" spans="2:16" ht="6" customHeight="1" thickBot="1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271"/>
    </row>
    <row r="42" spans="2:16">
      <c r="B42" s="8" t="s">
        <v>56</v>
      </c>
    </row>
    <row r="43" spans="2:16">
      <c r="J43" s="73" t="s">
        <v>148</v>
      </c>
      <c r="K43" s="73"/>
      <c r="L43" s="73"/>
      <c r="M43" s="73"/>
      <c r="N43" s="73"/>
    </row>
    <row r="44" spans="2:16">
      <c r="B44" s="33"/>
      <c r="F44" s="34"/>
      <c r="G44" s="11">
        <f>G7</f>
        <v>2019</v>
      </c>
      <c r="H44" s="11">
        <f>H7</f>
        <v>2020</v>
      </c>
      <c r="I44" s="11">
        <f>I7</f>
        <v>2021</v>
      </c>
      <c r="J44" s="71">
        <f t="shared" ref="J44:N44" si="23">I44+1</f>
        <v>2022</v>
      </c>
      <c r="K44" s="71">
        <f t="shared" si="23"/>
        <v>2023</v>
      </c>
      <c r="L44" s="71">
        <f t="shared" si="23"/>
        <v>2024</v>
      </c>
      <c r="M44" s="71">
        <f t="shared" si="23"/>
        <v>2025</v>
      </c>
      <c r="N44" s="71">
        <f t="shared" si="23"/>
        <v>2026</v>
      </c>
    </row>
    <row r="45" spans="2:16">
      <c r="B45" s="33"/>
      <c r="F45" s="34"/>
      <c r="G45" s="34"/>
      <c r="H45" s="34"/>
      <c r="I45" s="34"/>
    </row>
    <row r="46" spans="2:16">
      <c r="B46" s="12" t="s">
        <v>15</v>
      </c>
    </row>
    <row r="47" spans="2:16">
      <c r="C47" s="1" t="s">
        <v>12</v>
      </c>
      <c r="F47" s="35"/>
      <c r="G47" s="36">
        <v>14.099999999999962</v>
      </c>
      <c r="H47" s="36">
        <v>23.700000000000035</v>
      </c>
      <c r="I47" s="36">
        <v>2.2000000000000002</v>
      </c>
      <c r="J47" s="208">
        <f>J30</f>
        <v>37.273669892473087</v>
      </c>
      <c r="K47" s="208">
        <f t="shared" ref="K47:N47" si="24">K30</f>
        <v>20.317241240436005</v>
      </c>
      <c r="L47" s="208">
        <f t="shared" si="24"/>
        <v>49.213881155895294</v>
      </c>
      <c r="M47" s="208">
        <f t="shared" si="24"/>
        <v>45.319723788084517</v>
      </c>
      <c r="N47" s="208">
        <f t="shared" si="24"/>
        <v>29.789043425757207</v>
      </c>
    </row>
    <row r="48" spans="2:16">
      <c r="C48" s="1" t="s">
        <v>5</v>
      </c>
      <c r="F48" s="35"/>
      <c r="G48" s="36">
        <v>15.4</v>
      </c>
      <c r="H48" s="36">
        <v>15.5</v>
      </c>
      <c r="I48" s="36">
        <v>15.8</v>
      </c>
      <c r="J48" s="208">
        <f>J20</f>
        <v>16.174666666666667</v>
      </c>
      <c r="K48" s="208">
        <f t="shared" ref="K48:N48" si="25">K20</f>
        <v>16.724666666666668</v>
      </c>
      <c r="L48" s="208">
        <f t="shared" si="25"/>
        <v>17.296333333333333</v>
      </c>
      <c r="M48" s="208">
        <f t="shared" si="25"/>
        <v>17.876333333333331</v>
      </c>
      <c r="N48" s="208">
        <f t="shared" si="25"/>
        <v>18.468</v>
      </c>
    </row>
    <row r="49" spans="1:14">
      <c r="C49" s="1" t="s">
        <v>10</v>
      </c>
      <c r="F49" s="35"/>
      <c r="G49" s="36">
        <v>2.7</v>
      </c>
      <c r="H49" s="36">
        <v>6.2</v>
      </c>
      <c r="I49" s="36">
        <v>1.1000000000000001</v>
      </c>
      <c r="J49" s="176">
        <f>J247</f>
        <v>1.75</v>
      </c>
      <c r="K49" s="176">
        <f t="shared" ref="K49:N49" si="26">K247</f>
        <v>1.75</v>
      </c>
      <c r="L49" s="176">
        <f t="shared" si="26"/>
        <v>1.75</v>
      </c>
      <c r="M49" s="176">
        <f t="shared" si="26"/>
        <v>1.75</v>
      </c>
      <c r="N49" s="176">
        <f t="shared" si="26"/>
        <v>1.75</v>
      </c>
    </row>
    <row r="50" spans="1:14">
      <c r="C50" s="1" t="s">
        <v>16</v>
      </c>
      <c r="F50" s="37"/>
      <c r="G50" s="38">
        <v>0</v>
      </c>
      <c r="H50" s="38">
        <v>0</v>
      </c>
      <c r="I50" s="14">
        <v>0</v>
      </c>
      <c r="J50" s="214">
        <f>J281</f>
        <v>-1.426826336721156</v>
      </c>
      <c r="K50" s="214">
        <f t="shared" ref="K50:N50" si="27">K281</f>
        <v>7.1646499043040279</v>
      </c>
      <c r="L50" s="214">
        <f t="shared" si="27"/>
        <v>-4.1730162187767306</v>
      </c>
      <c r="M50" s="214">
        <f t="shared" si="27"/>
        <v>-1.670407729517521</v>
      </c>
      <c r="N50" s="214">
        <f t="shared" si="27"/>
        <v>4.2351597708342013</v>
      </c>
    </row>
    <row r="51" spans="1:14">
      <c r="C51" s="18" t="s">
        <v>17</v>
      </c>
      <c r="F51" s="39"/>
      <c r="G51" s="40">
        <f>SUM(G47:G50)</f>
        <v>32.199999999999967</v>
      </c>
      <c r="H51" s="40">
        <f>SUM(H47:H50)</f>
        <v>45.400000000000034</v>
      </c>
      <c r="I51" s="40">
        <f>SUM(I47:I50)</f>
        <v>19.100000000000001</v>
      </c>
      <c r="J51" s="40">
        <f>SUM(J47:J50)</f>
        <v>53.771510222418598</v>
      </c>
      <c r="K51" s="40">
        <f t="shared" ref="K51:N51" si="28">SUM(K47:K50)</f>
        <v>45.956557811406697</v>
      </c>
      <c r="L51" s="40">
        <f t="shared" si="28"/>
        <v>64.087198270451893</v>
      </c>
      <c r="M51" s="40">
        <f t="shared" si="28"/>
        <v>63.27564939190033</v>
      </c>
      <c r="N51" s="40">
        <f t="shared" si="28"/>
        <v>54.242203196591404</v>
      </c>
    </row>
    <row r="52" spans="1:14">
      <c r="B52" s="17"/>
    </row>
    <row r="53" spans="1:14">
      <c r="B53" s="17"/>
    </row>
    <row r="54" spans="1:14">
      <c r="B54" s="12" t="s">
        <v>18</v>
      </c>
    </row>
    <row r="55" spans="1:14">
      <c r="C55" s="1" t="s">
        <v>19</v>
      </c>
      <c r="G55" s="41">
        <v>-14.1</v>
      </c>
      <c r="H55" s="41">
        <v>-15</v>
      </c>
      <c r="I55" s="41">
        <v>-15.5</v>
      </c>
      <c r="J55" s="232">
        <f>-Asumptions!K40</f>
        <v>-16</v>
      </c>
      <c r="K55" s="232">
        <f>-Asumptions!L40</f>
        <v>-17</v>
      </c>
      <c r="L55" s="232">
        <f>-Asumptions!M40</f>
        <v>-17.3</v>
      </c>
      <c r="M55" s="232">
        <f>-Asumptions!N40</f>
        <v>-17.5</v>
      </c>
      <c r="N55" s="232">
        <f>-Asumptions!O40</f>
        <v>-18</v>
      </c>
    </row>
    <row r="56" spans="1:14">
      <c r="C56" s="1" t="s">
        <v>31</v>
      </c>
      <c r="G56" s="21">
        <v>-5</v>
      </c>
      <c r="H56" s="21">
        <v>4</v>
      </c>
      <c r="I56" s="21">
        <v>3</v>
      </c>
      <c r="J56" s="147">
        <v>0</v>
      </c>
      <c r="K56" s="147">
        <v>0</v>
      </c>
      <c r="L56" s="147">
        <v>0</v>
      </c>
      <c r="M56" s="147">
        <v>0</v>
      </c>
      <c r="N56" s="147">
        <v>0</v>
      </c>
    </row>
    <row r="57" spans="1:14">
      <c r="A57" s="12"/>
      <c r="C57" s="12" t="s">
        <v>20</v>
      </c>
      <c r="F57" s="39"/>
      <c r="G57" s="42">
        <f>SUM(G55:G56)</f>
        <v>-19.100000000000001</v>
      </c>
      <c r="H57" s="42">
        <f>SUM(H55:H56)</f>
        <v>-11</v>
      </c>
      <c r="I57" s="42">
        <f>SUM(I55:I56)</f>
        <v>-12.5</v>
      </c>
      <c r="J57" s="42">
        <f t="shared" ref="J57:N57" si="29">SUM(J55:J56)</f>
        <v>-16</v>
      </c>
      <c r="K57" s="42">
        <f t="shared" si="29"/>
        <v>-17</v>
      </c>
      <c r="L57" s="42">
        <f t="shared" si="29"/>
        <v>-17.3</v>
      </c>
      <c r="M57" s="42">
        <f t="shared" si="29"/>
        <v>-17.5</v>
      </c>
      <c r="N57" s="42">
        <f t="shared" si="29"/>
        <v>-18</v>
      </c>
    </row>
    <row r="58" spans="1:14">
      <c r="A58" s="12"/>
      <c r="B58" s="23"/>
      <c r="F58" s="43"/>
      <c r="G58" s="44"/>
      <c r="H58" s="43"/>
      <c r="I58" s="44"/>
    </row>
    <row r="59" spans="1:14">
      <c r="A59" s="12"/>
      <c r="B59" s="23"/>
      <c r="F59" s="43"/>
      <c r="G59" s="45"/>
      <c r="H59" s="46"/>
      <c r="I59" s="45"/>
    </row>
    <row r="60" spans="1:14">
      <c r="A60" s="12"/>
      <c r="B60" s="23" t="s">
        <v>21</v>
      </c>
      <c r="F60" s="43"/>
      <c r="G60" s="44"/>
      <c r="H60" s="44"/>
      <c r="I60" s="44"/>
    </row>
    <row r="61" spans="1:14">
      <c r="A61" s="12"/>
      <c r="B61" s="23"/>
      <c r="C61" s="1" t="s">
        <v>22</v>
      </c>
      <c r="F61" s="39"/>
      <c r="G61" s="41">
        <v>0</v>
      </c>
      <c r="H61" s="41">
        <v>0</v>
      </c>
      <c r="I61" s="41">
        <v>0</v>
      </c>
      <c r="J61" s="262">
        <f>J308</f>
        <v>0</v>
      </c>
      <c r="K61" s="262">
        <f t="shared" ref="K61:N61" si="30">K308</f>
        <v>0</v>
      </c>
      <c r="L61" s="262">
        <f t="shared" si="30"/>
        <v>0</v>
      </c>
      <c r="M61" s="262">
        <f t="shared" si="30"/>
        <v>0</v>
      </c>
      <c r="N61" s="262">
        <f t="shared" si="30"/>
        <v>0</v>
      </c>
    </row>
    <row r="62" spans="1:14">
      <c r="A62" s="12"/>
      <c r="B62" s="23"/>
      <c r="C62" s="1" t="s">
        <v>23</v>
      </c>
      <c r="F62" s="39"/>
      <c r="G62" s="41">
        <v>-25</v>
      </c>
      <c r="H62" s="41">
        <v>-25</v>
      </c>
      <c r="I62" s="41">
        <v>-25</v>
      </c>
      <c r="J62" s="232">
        <f>-Asumptions!K35</f>
        <v>-25</v>
      </c>
      <c r="K62" s="232">
        <f>-Asumptions!L35</f>
        <v>-25</v>
      </c>
      <c r="L62" s="232">
        <f>-Asumptions!M35</f>
        <v>-25</v>
      </c>
      <c r="M62" s="232">
        <f>-Asumptions!N35</f>
        <v>-25</v>
      </c>
      <c r="N62" s="232">
        <f>-Asumptions!O35</f>
        <v>-25</v>
      </c>
    </row>
    <row r="63" spans="1:14">
      <c r="C63" s="1" t="s">
        <v>24</v>
      </c>
      <c r="G63" s="41">
        <v>0</v>
      </c>
      <c r="H63" s="41">
        <v>0</v>
      </c>
      <c r="I63" s="41">
        <v>0</v>
      </c>
      <c r="J63" s="239">
        <f>I63</f>
        <v>0</v>
      </c>
      <c r="K63" s="239">
        <f t="shared" ref="K63:N63" si="31">J63</f>
        <v>0</v>
      </c>
      <c r="L63" s="239">
        <f t="shared" si="31"/>
        <v>0</v>
      </c>
      <c r="M63" s="239">
        <f t="shared" si="31"/>
        <v>0</v>
      </c>
      <c r="N63" s="239">
        <f t="shared" si="31"/>
        <v>0</v>
      </c>
    </row>
    <row r="64" spans="1:14">
      <c r="A64" s="12"/>
      <c r="B64" s="23"/>
      <c r="C64" s="1" t="s">
        <v>25</v>
      </c>
      <c r="F64" s="47"/>
      <c r="G64" s="21">
        <v>-2.8</v>
      </c>
      <c r="H64" s="21">
        <v>-4.7</v>
      </c>
      <c r="I64" s="21">
        <v>-2.4</v>
      </c>
      <c r="J64" s="243">
        <f>J345</f>
        <v>-7.4547339784946178</v>
      </c>
      <c r="K64" s="243">
        <f t="shared" ref="K64:N64" si="32">K345</f>
        <v>-4.0634482480872007</v>
      </c>
      <c r="L64" s="243">
        <f t="shared" si="32"/>
        <v>-9.8427762311790588</v>
      </c>
      <c r="M64" s="243">
        <f t="shared" si="32"/>
        <v>-9.0639447576169037</v>
      </c>
      <c r="N64" s="243">
        <f t="shared" si="32"/>
        <v>-5.9578086851514414</v>
      </c>
    </row>
    <row r="65" spans="1:16">
      <c r="A65" s="12"/>
      <c r="B65" s="23"/>
      <c r="C65" s="12" t="s">
        <v>26</v>
      </c>
      <c r="F65" s="39"/>
      <c r="G65" s="40">
        <f>SUM(G61:G64)</f>
        <v>-27.8</v>
      </c>
      <c r="H65" s="40">
        <f>SUM(H61:H64)</f>
        <v>-29.7</v>
      </c>
      <c r="I65" s="40">
        <f>SUM(I61:I64)</f>
        <v>-27.4</v>
      </c>
      <c r="J65" s="40">
        <f t="shared" ref="J65:N65" si="33">SUM(J61:J64)</f>
        <v>-32.454733978494616</v>
      </c>
      <c r="K65" s="40">
        <f t="shared" si="33"/>
        <v>-29.063448248087202</v>
      </c>
      <c r="L65" s="40">
        <f t="shared" si="33"/>
        <v>-34.842776231179059</v>
      </c>
      <c r="M65" s="40">
        <f>SUM(M61:M64)</f>
        <v>-34.063944757616902</v>
      </c>
      <c r="N65" s="40">
        <f t="shared" si="33"/>
        <v>-30.957808685151441</v>
      </c>
    </row>
    <row r="66" spans="1:16">
      <c r="A66" s="12"/>
      <c r="B66" s="23"/>
      <c r="C66" s="12"/>
      <c r="F66" s="39"/>
      <c r="G66" s="48"/>
      <c r="H66" s="48"/>
      <c r="I66" s="49"/>
    </row>
    <row r="67" spans="1:16">
      <c r="A67" s="12"/>
      <c r="B67" s="23"/>
      <c r="C67" s="12"/>
      <c r="F67" s="39"/>
      <c r="G67" s="50"/>
      <c r="H67" s="48"/>
      <c r="I67" s="49"/>
    </row>
    <row r="68" spans="1:16">
      <c r="A68" s="12"/>
      <c r="C68" s="17" t="s">
        <v>46</v>
      </c>
      <c r="F68" s="39"/>
      <c r="G68" s="51">
        <f>G65+G57+G51</f>
        <v>-14.700000000000038</v>
      </c>
      <c r="H68" s="51">
        <f>H65+H57+H51</f>
        <v>4.7000000000000313</v>
      </c>
      <c r="I68" s="51">
        <f>I65+I57+I51</f>
        <v>-20.799999999999997</v>
      </c>
      <c r="J68" s="51">
        <f t="shared" ref="J68:N68" si="34">J65+J57+J51</f>
        <v>5.3167762439239823</v>
      </c>
      <c r="K68" s="51">
        <f t="shared" si="34"/>
        <v>-0.10689043668050147</v>
      </c>
      <c r="L68" s="51">
        <f t="shared" si="34"/>
        <v>11.944422039272837</v>
      </c>
      <c r="M68" s="51">
        <f t="shared" si="34"/>
        <v>11.711704634283429</v>
      </c>
      <c r="N68" s="51">
        <f t="shared" si="34"/>
        <v>5.2843945114399631</v>
      </c>
    </row>
    <row r="69" spans="1:16">
      <c r="A69" s="12"/>
      <c r="C69" s="17" t="s">
        <v>47</v>
      </c>
      <c r="F69" s="39"/>
      <c r="G69" s="21">
        <v>31.1</v>
      </c>
      <c r="H69" s="52">
        <f>+G70</f>
        <v>16.399999999999963</v>
      </c>
      <c r="I69" s="52">
        <f t="shared" ref="I69" si="35">+H70</f>
        <v>21.099999999999994</v>
      </c>
      <c r="J69" s="52">
        <f t="shared" ref="J69" si="36">+I70</f>
        <v>0.29999999999999716</v>
      </c>
      <c r="K69" s="52">
        <f t="shared" ref="K69" si="37">+J70</f>
        <v>5.6167762439239795</v>
      </c>
      <c r="L69" s="52">
        <f t="shared" ref="L69" si="38">+K70</f>
        <v>5.509885807243478</v>
      </c>
      <c r="M69" s="52">
        <f t="shared" ref="M69" si="39">+L70</f>
        <v>17.454307846516315</v>
      </c>
      <c r="N69" s="52">
        <f t="shared" ref="N69" si="40">+M70</f>
        <v>29.166012480799743</v>
      </c>
    </row>
    <row r="70" spans="1:16">
      <c r="A70" s="12"/>
      <c r="C70" s="18" t="s">
        <v>48</v>
      </c>
      <c r="F70" s="39"/>
      <c r="G70" s="53">
        <f>G69+G68</f>
        <v>16.399999999999963</v>
      </c>
      <c r="H70" s="53">
        <f>H69+H68</f>
        <v>21.099999999999994</v>
      </c>
      <c r="I70" s="53">
        <f>I69+I68</f>
        <v>0.29999999999999716</v>
      </c>
      <c r="J70" s="53">
        <f t="shared" ref="J70:N70" si="41">J69+J68</f>
        <v>5.6167762439239795</v>
      </c>
      <c r="K70" s="53">
        <f t="shared" si="41"/>
        <v>5.509885807243478</v>
      </c>
      <c r="L70" s="53">
        <f t="shared" si="41"/>
        <v>17.454307846516315</v>
      </c>
      <c r="M70" s="53">
        <f t="shared" si="41"/>
        <v>29.166012480799743</v>
      </c>
      <c r="N70" s="53">
        <f t="shared" si="41"/>
        <v>34.450406992239706</v>
      </c>
    </row>
    <row r="71" spans="1:16"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</row>
    <row r="74" spans="1:16">
      <c r="K74" s="1" t="str">
        <f>UPPER("currently running "&amp;TEXT(Scenario!$E$9,"Base case")&amp;" Scenario")</f>
        <v>CURRENTLY RUNNING BEST CASE SCENARIO</v>
      </c>
    </row>
    <row r="75" spans="1:16" ht="22.8">
      <c r="B75" s="4" t="str">
        <f>B2</f>
        <v>GAS Manufact</v>
      </c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108"/>
    </row>
    <row r="76" spans="1:16" ht="17.399999999999999">
      <c r="B76" s="6" t="s">
        <v>27</v>
      </c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108"/>
    </row>
    <row r="77" spans="1:16" ht="6" customHeight="1" thickBot="1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271"/>
    </row>
    <row r="78" spans="1:16" ht="13.8">
      <c r="B78" s="8" t="s">
        <v>56</v>
      </c>
      <c r="D78" s="12"/>
      <c r="E78" s="12"/>
      <c r="G78" s="54"/>
      <c r="H78" s="54"/>
      <c r="I78" s="54"/>
    </row>
    <row r="79" spans="1:16" ht="13.8">
      <c r="B79" s="8"/>
      <c r="D79" s="12"/>
      <c r="E79" s="12"/>
      <c r="G79" s="54"/>
      <c r="H79" s="54"/>
      <c r="I79" s="54"/>
      <c r="J79" s="73" t="s">
        <v>148</v>
      </c>
      <c r="K79" s="73"/>
      <c r="L79" s="73"/>
      <c r="M79" s="73"/>
      <c r="N79" s="73"/>
    </row>
    <row r="80" spans="1:16">
      <c r="B80" s="55"/>
      <c r="F80" s="34"/>
      <c r="G80" s="11">
        <f>G7</f>
        <v>2019</v>
      </c>
      <c r="H80" s="11">
        <f>H7</f>
        <v>2020</v>
      </c>
      <c r="I80" s="11">
        <f>I7</f>
        <v>2021</v>
      </c>
      <c r="J80" s="71">
        <f t="shared" ref="J80:N80" si="42">I80+1</f>
        <v>2022</v>
      </c>
      <c r="K80" s="71">
        <f t="shared" si="42"/>
        <v>2023</v>
      </c>
      <c r="L80" s="71">
        <f t="shared" si="42"/>
        <v>2024</v>
      </c>
      <c r="M80" s="71">
        <f t="shared" si="42"/>
        <v>2025</v>
      </c>
      <c r="N80" s="71">
        <f t="shared" si="42"/>
        <v>2026</v>
      </c>
    </row>
    <row r="81" spans="2:14">
      <c r="B81" s="12" t="s">
        <v>28</v>
      </c>
      <c r="I81" s="56"/>
    </row>
    <row r="82" spans="2:14">
      <c r="C82" s="1" t="s">
        <v>49</v>
      </c>
      <c r="F82" s="57"/>
      <c r="G82" s="41">
        <v>16.399999999999963</v>
      </c>
      <c r="H82" s="41">
        <v>21.099999999999994</v>
      </c>
      <c r="I82" s="41">
        <v>0.3</v>
      </c>
      <c r="J82" s="208">
        <f>J70</f>
        <v>5.6167762439239795</v>
      </c>
      <c r="K82" s="208">
        <f t="shared" ref="K82:N82" si="43">K70</f>
        <v>5.509885807243478</v>
      </c>
      <c r="L82" s="208">
        <f t="shared" si="43"/>
        <v>17.454307846516315</v>
      </c>
      <c r="M82" s="208">
        <f t="shared" si="43"/>
        <v>29.166012480799743</v>
      </c>
      <c r="N82" s="208">
        <f t="shared" si="43"/>
        <v>34.450406992239706</v>
      </c>
    </row>
    <row r="83" spans="2:14">
      <c r="C83" s="1" t="s">
        <v>29</v>
      </c>
      <c r="F83" s="37"/>
      <c r="G83" s="41">
        <v>27</v>
      </c>
      <c r="H83" s="41">
        <v>27.8</v>
      </c>
      <c r="I83" s="41">
        <v>28.3</v>
      </c>
      <c r="J83" s="176">
        <f>J273</f>
        <v>32.561337825894825</v>
      </c>
      <c r="K83" s="176">
        <f t="shared" ref="K83:M83" si="44">K273</f>
        <v>26.810204449315069</v>
      </c>
      <c r="L83" s="176">
        <f t="shared" si="44"/>
        <v>32.482548096633316</v>
      </c>
      <c r="M83" s="176">
        <f t="shared" si="44"/>
        <v>32.922562326859399</v>
      </c>
      <c r="N83" s="176">
        <f t="shared" ref="N83" si="45">N273</f>
        <v>30.849407635141088</v>
      </c>
    </row>
    <row r="84" spans="2:14">
      <c r="C84" s="1" t="s">
        <v>30</v>
      </c>
      <c r="F84" s="37"/>
      <c r="G84" s="41">
        <v>36.5</v>
      </c>
      <c r="H84" s="41">
        <v>36.1</v>
      </c>
      <c r="I84" s="41">
        <v>35.1</v>
      </c>
      <c r="J84" s="176">
        <f t="shared" ref="J84:M86" si="46">J274</f>
        <v>33.501588599204595</v>
      </c>
      <c r="K84" s="176">
        <f t="shared" si="46"/>
        <v>32.434962060450729</v>
      </c>
      <c r="L84" s="176">
        <f t="shared" si="46"/>
        <v>31.329271471479849</v>
      </c>
      <c r="M84" s="176">
        <f t="shared" si="46"/>
        <v>33.046099610026033</v>
      </c>
      <c r="N84" s="176">
        <f t="shared" ref="N84" si="47">N274</f>
        <v>31.148863516065404</v>
      </c>
    </row>
    <row r="85" spans="2:14">
      <c r="C85" s="1" t="s">
        <v>54</v>
      </c>
      <c r="F85" s="37"/>
      <c r="G85" s="41">
        <v>14.6</v>
      </c>
      <c r="H85" s="41">
        <v>14.4</v>
      </c>
      <c r="I85" s="41">
        <v>14.9</v>
      </c>
      <c r="J85" s="176">
        <f t="shared" si="46"/>
        <v>14.357823685373397</v>
      </c>
      <c r="K85" s="176">
        <f t="shared" si="46"/>
        <v>14.969982489438797</v>
      </c>
      <c r="L85" s="176">
        <f t="shared" si="46"/>
        <v>15.664635735739925</v>
      </c>
      <c r="M85" s="176">
        <f t="shared" si="46"/>
        <v>16.523049805013017</v>
      </c>
      <c r="N85" s="176">
        <f t="shared" ref="N85" si="48">N275</f>
        <v>16.99028919058113</v>
      </c>
    </row>
    <row r="86" spans="2:14">
      <c r="C86" s="22" t="s">
        <v>31</v>
      </c>
      <c r="F86" s="37"/>
      <c r="G86" s="21">
        <v>1.4</v>
      </c>
      <c r="H86" s="21">
        <v>1.8</v>
      </c>
      <c r="I86" s="21">
        <v>1.2</v>
      </c>
      <c r="J86" s="214">
        <f t="shared" si="46"/>
        <v>1.4357823685373396</v>
      </c>
      <c r="K86" s="214">
        <f t="shared" si="46"/>
        <v>1.4969982489438798</v>
      </c>
      <c r="L86" s="214">
        <f t="shared" si="46"/>
        <v>1.5664635735739927</v>
      </c>
      <c r="M86" s="214">
        <f t="shared" si="46"/>
        <v>1.6523049805013017</v>
      </c>
      <c r="N86" s="214">
        <f t="shared" ref="N86" si="49">N276</f>
        <v>1.6990289190581129</v>
      </c>
    </row>
    <row r="87" spans="2:14">
      <c r="C87" s="18" t="s">
        <v>32</v>
      </c>
      <c r="F87" s="43"/>
      <c r="G87" s="51">
        <f>SUM(G82:G86)</f>
        <v>95.899999999999963</v>
      </c>
      <c r="H87" s="51">
        <f>SUM(H82:H86)</f>
        <v>101.2</v>
      </c>
      <c r="I87" s="51">
        <f>SUM(I82:I86)</f>
        <v>79.800000000000011</v>
      </c>
      <c r="J87" s="51">
        <f t="shared" ref="J87:N87" si="50">SUM(J82:J86)</f>
        <v>87.473308722934135</v>
      </c>
      <c r="K87" s="51">
        <f t="shared" si="50"/>
        <v>81.222033055391947</v>
      </c>
      <c r="L87" s="51">
        <f t="shared" si="50"/>
        <v>98.497226723943399</v>
      </c>
      <c r="M87" s="51">
        <f t="shared" si="50"/>
        <v>113.31002920319949</v>
      </c>
      <c r="N87" s="51">
        <f t="shared" si="50"/>
        <v>115.13799625308543</v>
      </c>
    </row>
    <row r="88" spans="2:14" ht="10.95" customHeight="1">
      <c r="F88" s="35"/>
      <c r="G88" s="58"/>
      <c r="H88" s="35"/>
      <c r="I88" s="35"/>
    </row>
    <row r="89" spans="2:14">
      <c r="C89" s="1" t="s">
        <v>33</v>
      </c>
      <c r="F89" s="37"/>
      <c r="G89" s="41">
        <v>398.5</v>
      </c>
      <c r="H89" s="41">
        <v>398</v>
      </c>
      <c r="I89" s="41">
        <v>397.7</v>
      </c>
      <c r="J89" s="208">
        <f>I89-J48-J55</f>
        <v>397.52533333333332</v>
      </c>
      <c r="K89" s="208">
        <f t="shared" ref="K89:N89" si="51">J89-K48-K55</f>
        <v>397.80066666666664</v>
      </c>
      <c r="L89" s="208">
        <f t="shared" si="51"/>
        <v>397.80433333333332</v>
      </c>
      <c r="M89" s="208">
        <f t="shared" si="51"/>
        <v>397.428</v>
      </c>
      <c r="N89" s="208">
        <f t="shared" si="51"/>
        <v>396.96</v>
      </c>
    </row>
    <row r="90" spans="2:14">
      <c r="C90" s="22" t="s">
        <v>31</v>
      </c>
      <c r="F90" s="57"/>
      <c r="G90" s="41">
        <v>19</v>
      </c>
      <c r="H90" s="41">
        <v>15</v>
      </c>
      <c r="I90" s="41">
        <v>12</v>
      </c>
      <c r="J90" s="239">
        <f>I90</f>
        <v>12</v>
      </c>
      <c r="K90" s="239">
        <f>J90</f>
        <v>12</v>
      </c>
      <c r="L90" s="239">
        <f t="shared" ref="L90:N90" si="52">K90</f>
        <v>12</v>
      </c>
      <c r="M90" s="239">
        <f t="shared" si="52"/>
        <v>12</v>
      </c>
      <c r="N90" s="239">
        <f t="shared" si="52"/>
        <v>12</v>
      </c>
    </row>
    <row r="91" spans="2:14">
      <c r="C91" s="23" t="s">
        <v>34</v>
      </c>
      <c r="F91" s="37"/>
      <c r="G91" s="59">
        <f>SUM(G89:G90)</f>
        <v>417.5</v>
      </c>
      <c r="H91" s="59">
        <f>SUM(H89:H90)</f>
        <v>413</v>
      </c>
      <c r="I91" s="59">
        <f>SUM(I89:I90)</f>
        <v>409.7</v>
      </c>
      <c r="J91" s="59">
        <f t="shared" ref="J91:N91" si="53">SUM(J89:J90)</f>
        <v>409.52533333333332</v>
      </c>
      <c r="K91" s="59">
        <f t="shared" si="53"/>
        <v>409.80066666666664</v>
      </c>
      <c r="L91" s="59">
        <f t="shared" si="53"/>
        <v>409.80433333333332</v>
      </c>
      <c r="M91" s="59">
        <f t="shared" si="53"/>
        <v>409.428</v>
      </c>
      <c r="N91" s="59">
        <f t="shared" si="53"/>
        <v>408.96</v>
      </c>
    </row>
    <row r="92" spans="2:14" ht="10.95" customHeight="1">
      <c r="C92" s="22"/>
      <c r="F92" s="35"/>
      <c r="G92" s="58"/>
      <c r="H92" s="35"/>
      <c r="I92" s="35"/>
    </row>
    <row r="93" spans="2:14" ht="13.8" thickBot="1">
      <c r="C93" s="12" t="s">
        <v>35</v>
      </c>
      <c r="F93" s="39"/>
      <c r="G93" s="60">
        <f>G87+G91</f>
        <v>513.4</v>
      </c>
      <c r="H93" s="60">
        <f>H87+H91</f>
        <v>514.20000000000005</v>
      </c>
      <c r="I93" s="60">
        <f>I87+I91</f>
        <v>489.5</v>
      </c>
      <c r="J93" s="60">
        <f t="shared" ref="J93:N93" si="54">J87+J91</f>
        <v>496.99864205626744</v>
      </c>
      <c r="K93" s="60">
        <f t="shared" si="54"/>
        <v>491.02269972205858</v>
      </c>
      <c r="L93" s="60">
        <f t="shared" si="54"/>
        <v>508.30156005727673</v>
      </c>
      <c r="M93" s="60">
        <f t="shared" si="54"/>
        <v>522.73802920319952</v>
      </c>
      <c r="N93" s="60">
        <f t="shared" si="54"/>
        <v>524.0979962530854</v>
      </c>
    </row>
    <row r="94" spans="2:14" ht="13.8" thickTop="1">
      <c r="F94" s="35"/>
      <c r="G94" s="35"/>
      <c r="H94" s="35"/>
      <c r="I94" s="35"/>
    </row>
    <row r="95" spans="2:14">
      <c r="F95" s="35"/>
      <c r="G95" s="35"/>
      <c r="H95" s="35"/>
      <c r="I95" s="35"/>
    </row>
    <row r="96" spans="2:14">
      <c r="B96" s="18" t="s">
        <v>36</v>
      </c>
      <c r="F96" s="35"/>
      <c r="G96" s="35"/>
      <c r="H96" s="35"/>
      <c r="I96" s="35"/>
    </row>
    <row r="97" spans="2:14">
      <c r="C97" s="22" t="s">
        <v>37</v>
      </c>
      <c r="F97" s="37"/>
      <c r="G97" s="41">
        <v>0</v>
      </c>
      <c r="H97" s="41">
        <v>0</v>
      </c>
      <c r="I97" s="41">
        <v>0</v>
      </c>
      <c r="J97" s="262">
        <f>J309</f>
        <v>0</v>
      </c>
      <c r="K97" s="262">
        <f t="shared" ref="K97:N97" si="55">K309</f>
        <v>0</v>
      </c>
      <c r="L97" s="262">
        <f t="shared" si="55"/>
        <v>0</v>
      </c>
      <c r="M97" s="262">
        <f t="shared" si="55"/>
        <v>0</v>
      </c>
      <c r="N97" s="262">
        <f t="shared" si="55"/>
        <v>0</v>
      </c>
    </row>
    <row r="98" spans="2:14">
      <c r="C98" s="22" t="s">
        <v>38</v>
      </c>
      <c r="F98" s="37"/>
      <c r="G98" s="61">
        <v>18.299999999999997</v>
      </c>
      <c r="H98" s="61">
        <v>18.700000000000003</v>
      </c>
      <c r="I98" s="61">
        <v>18.2</v>
      </c>
      <c r="J98" s="262">
        <f>J277</f>
        <v>19.143764913831198</v>
      </c>
      <c r="K98" s="262">
        <f t="shared" ref="K98:N98" si="56">K277</f>
        <v>19.959976652585063</v>
      </c>
      <c r="L98" s="262">
        <f t="shared" si="56"/>
        <v>20.88618098098657</v>
      </c>
      <c r="M98" s="262">
        <f t="shared" si="56"/>
        <v>22.030733073350689</v>
      </c>
      <c r="N98" s="262">
        <f t="shared" si="56"/>
        <v>22.653718920774839</v>
      </c>
    </row>
    <row r="99" spans="2:14">
      <c r="C99" s="22" t="s">
        <v>31</v>
      </c>
      <c r="F99" s="37"/>
      <c r="G99" s="21">
        <v>4.7</v>
      </c>
      <c r="H99" s="21">
        <v>4.9000000000000004</v>
      </c>
      <c r="I99" s="21">
        <v>4.8</v>
      </c>
      <c r="J99" s="214">
        <f>J278</f>
        <v>4.7859412284577996</v>
      </c>
      <c r="K99" s="214">
        <f t="shared" ref="K99:N99" si="57">K278</f>
        <v>4.9899941631462656</v>
      </c>
      <c r="L99" s="214">
        <f t="shared" si="57"/>
        <v>5.2215452452466424</v>
      </c>
      <c r="M99" s="214">
        <f t="shared" si="57"/>
        <v>5.5076832683376722</v>
      </c>
      <c r="N99" s="214">
        <f t="shared" si="57"/>
        <v>5.6634297301937098</v>
      </c>
    </row>
    <row r="100" spans="2:14">
      <c r="C100" s="18" t="s">
        <v>39</v>
      </c>
      <c r="F100" s="43"/>
      <c r="G100" s="62">
        <f t="shared" ref="G100:H100" si="58">SUM(G97:G99)</f>
        <v>22.999999999999996</v>
      </c>
      <c r="H100" s="62">
        <f t="shared" si="58"/>
        <v>23.6</v>
      </c>
      <c r="I100" s="62">
        <f t="shared" ref="I100:N100" si="59">SUM(I97:I99)</f>
        <v>23</v>
      </c>
      <c r="J100" s="62">
        <f t="shared" si="59"/>
        <v>23.929706142289</v>
      </c>
      <c r="K100" s="62">
        <f t="shared" si="59"/>
        <v>24.949970815731326</v>
      </c>
      <c r="L100" s="62">
        <f t="shared" si="59"/>
        <v>26.107726226233211</v>
      </c>
      <c r="M100" s="62">
        <f t="shared" si="59"/>
        <v>27.538416341688361</v>
      </c>
      <c r="N100" s="62">
        <f t="shared" si="59"/>
        <v>28.317148650968548</v>
      </c>
    </row>
    <row r="101" spans="2:14" ht="10.95" customHeight="1">
      <c r="F101" s="35"/>
      <c r="G101" s="58"/>
      <c r="H101" s="58"/>
      <c r="I101" s="58"/>
    </row>
    <row r="102" spans="2:14">
      <c r="C102" s="1" t="s">
        <v>10</v>
      </c>
      <c r="F102" s="68"/>
      <c r="G102" s="24">
        <v>0.70000000000000018</v>
      </c>
      <c r="H102" s="24">
        <v>6.9</v>
      </c>
      <c r="I102" s="24">
        <v>8</v>
      </c>
      <c r="J102" s="176">
        <f>J247+I102</f>
        <v>9.75</v>
      </c>
      <c r="K102" s="176">
        <f t="shared" ref="K102:N102" si="60">K247+J102</f>
        <v>11.5</v>
      </c>
      <c r="L102" s="176">
        <f t="shared" si="60"/>
        <v>13.25</v>
      </c>
      <c r="M102" s="176">
        <f t="shared" si="60"/>
        <v>15</v>
      </c>
      <c r="N102" s="176">
        <f t="shared" si="60"/>
        <v>16.75</v>
      </c>
    </row>
    <row r="103" spans="2:14">
      <c r="C103" s="1" t="s">
        <v>53</v>
      </c>
      <c r="F103" s="68"/>
      <c r="G103" s="21">
        <v>250</v>
      </c>
      <c r="H103" s="21">
        <v>225</v>
      </c>
      <c r="I103" s="21">
        <v>200</v>
      </c>
      <c r="J103" s="242">
        <f>J318</f>
        <v>175</v>
      </c>
      <c r="K103" s="242">
        <f t="shared" ref="K103:N103" si="61">K318</f>
        <v>150</v>
      </c>
      <c r="L103" s="242">
        <f t="shared" si="61"/>
        <v>125</v>
      </c>
      <c r="M103" s="242">
        <f t="shared" si="61"/>
        <v>100</v>
      </c>
      <c r="N103" s="242">
        <f t="shared" si="61"/>
        <v>75</v>
      </c>
    </row>
    <row r="104" spans="2:14">
      <c r="C104" s="23" t="s">
        <v>40</v>
      </c>
      <c r="F104" s="37"/>
      <c r="G104" s="51">
        <f>SUM(G102:G103)</f>
        <v>250.7</v>
      </c>
      <c r="H104" s="51">
        <f>SUM(H102:H103)</f>
        <v>231.9</v>
      </c>
      <c r="I104" s="51">
        <f t="shared" ref="I104:N104" si="62">SUM(I102:I103)</f>
        <v>208</v>
      </c>
      <c r="J104" s="51">
        <f t="shared" si="62"/>
        <v>184.75</v>
      </c>
      <c r="K104" s="51">
        <f t="shared" si="62"/>
        <v>161.5</v>
      </c>
      <c r="L104" s="51">
        <f t="shared" si="62"/>
        <v>138.25</v>
      </c>
      <c r="M104" s="51">
        <f t="shared" si="62"/>
        <v>115</v>
      </c>
      <c r="N104" s="51">
        <f t="shared" si="62"/>
        <v>91.75</v>
      </c>
    </row>
    <row r="105" spans="2:14" ht="10.95" customHeight="1">
      <c r="C105" s="18"/>
      <c r="F105" s="35"/>
      <c r="G105" s="58"/>
      <c r="H105" s="58"/>
      <c r="I105" s="58"/>
    </row>
    <row r="106" spans="2:14">
      <c r="C106" s="23" t="s">
        <v>41</v>
      </c>
      <c r="F106" s="39"/>
      <c r="G106" s="20">
        <f>G104+G100</f>
        <v>273.7</v>
      </c>
      <c r="H106" s="20">
        <f>H104+H100</f>
        <v>255.5</v>
      </c>
      <c r="I106" s="20">
        <f t="shared" ref="I106:N106" si="63">I104+I100</f>
        <v>231</v>
      </c>
      <c r="J106" s="20">
        <f t="shared" si="63"/>
        <v>208.67970614228901</v>
      </c>
      <c r="K106" s="20">
        <f t="shared" si="63"/>
        <v>186.44997081573132</v>
      </c>
      <c r="L106" s="20">
        <f t="shared" si="63"/>
        <v>164.35772622623321</v>
      </c>
      <c r="M106" s="20">
        <f t="shared" si="63"/>
        <v>142.53841634168836</v>
      </c>
      <c r="N106" s="20">
        <f t="shared" si="63"/>
        <v>120.06714865096855</v>
      </c>
    </row>
    <row r="107" spans="2:14" ht="10.95" customHeight="1">
      <c r="F107" s="35"/>
      <c r="G107" s="58"/>
      <c r="H107" s="63"/>
      <c r="I107" s="63"/>
    </row>
    <row r="108" spans="2:14">
      <c r="C108" s="1" t="s">
        <v>42</v>
      </c>
      <c r="F108" s="43"/>
      <c r="G108" s="41">
        <v>120</v>
      </c>
      <c r="H108" s="41">
        <v>120</v>
      </c>
      <c r="I108" s="41">
        <v>120</v>
      </c>
      <c r="J108" s="176">
        <f>J336</f>
        <v>120</v>
      </c>
      <c r="K108" s="176">
        <f t="shared" ref="K108:N108" si="64">K336</f>
        <v>120</v>
      </c>
      <c r="L108" s="176">
        <f t="shared" si="64"/>
        <v>120</v>
      </c>
      <c r="M108" s="176">
        <f t="shared" si="64"/>
        <v>120</v>
      </c>
      <c r="N108" s="176">
        <f t="shared" si="64"/>
        <v>120</v>
      </c>
    </row>
    <row r="109" spans="2:14">
      <c r="C109" s="1" t="s">
        <v>43</v>
      </c>
      <c r="E109" s="64"/>
      <c r="F109" s="44"/>
      <c r="G109" s="21">
        <v>119.70000000000002</v>
      </c>
      <c r="H109" s="21">
        <v>138.70000000000007</v>
      </c>
      <c r="I109" s="21">
        <v>138.50000000000003</v>
      </c>
      <c r="J109" s="214">
        <f>J346</f>
        <v>168.31893591397849</v>
      </c>
      <c r="K109" s="214">
        <f t="shared" ref="K109:N109" si="65">K346</f>
        <v>184.57272890632728</v>
      </c>
      <c r="L109" s="214">
        <f t="shared" si="65"/>
        <v>223.94383383104349</v>
      </c>
      <c r="M109" s="214">
        <f t="shared" si="65"/>
        <v>260.19961286151107</v>
      </c>
      <c r="N109" s="214">
        <f t="shared" si="65"/>
        <v>284.03084760211681</v>
      </c>
    </row>
    <row r="110" spans="2:14">
      <c r="C110" s="18" t="s">
        <v>44</v>
      </c>
      <c r="F110" s="37"/>
      <c r="G110" s="53">
        <f>SUM(G108:G109)</f>
        <v>239.70000000000002</v>
      </c>
      <c r="H110" s="53">
        <f>SUM(H108:H109)</f>
        <v>258.70000000000005</v>
      </c>
      <c r="I110" s="53">
        <f t="shared" ref="I110:N110" si="66">SUM(I108:I109)</f>
        <v>258.5</v>
      </c>
      <c r="J110" s="53">
        <f t="shared" si="66"/>
        <v>288.31893591397852</v>
      </c>
      <c r="K110" s="53">
        <f t="shared" si="66"/>
        <v>304.57272890632726</v>
      </c>
      <c r="L110" s="53">
        <f t="shared" si="66"/>
        <v>343.94383383104349</v>
      </c>
      <c r="M110" s="53">
        <f t="shared" si="66"/>
        <v>380.19961286151107</v>
      </c>
      <c r="N110" s="53">
        <f t="shared" si="66"/>
        <v>404.03084760211681</v>
      </c>
    </row>
    <row r="111" spans="2:14">
      <c r="F111" s="35"/>
      <c r="G111" s="58"/>
      <c r="H111" s="58"/>
      <c r="I111" s="58"/>
    </row>
    <row r="112" spans="2:14" ht="13.8" thickBot="1">
      <c r="B112" s="18" t="s">
        <v>45</v>
      </c>
      <c r="F112" s="39"/>
      <c r="G112" s="60">
        <f>G110+G106</f>
        <v>513.4</v>
      </c>
      <c r="H112" s="60">
        <f>H110+H106</f>
        <v>514.20000000000005</v>
      </c>
      <c r="I112" s="60">
        <f t="shared" ref="I112:N112" si="67">I110+I106</f>
        <v>489.5</v>
      </c>
      <c r="J112" s="60">
        <f t="shared" si="67"/>
        <v>496.9986420562675</v>
      </c>
      <c r="K112" s="60">
        <f t="shared" si="67"/>
        <v>491.02269972205858</v>
      </c>
      <c r="L112" s="60">
        <f t="shared" si="67"/>
        <v>508.30156005727667</v>
      </c>
      <c r="M112" s="60">
        <f t="shared" si="67"/>
        <v>522.7380292031994</v>
      </c>
      <c r="N112" s="60">
        <f t="shared" si="67"/>
        <v>524.0979962530854</v>
      </c>
    </row>
    <row r="113" spans="1:16" ht="6" customHeight="1" thickTop="1">
      <c r="F113" s="65"/>
      <c r="G113" s="66"/>
      <c r="H113" s="66"/>
      <c r="I113" s="65"/>
    </row>
    <row r="114" spans="1:16" ht="6" customHeight="1">
      <c r="F114" s="65"/>
      <c r="G114" s="66"/>
      <c r="H114" s="66"/>
      <c r="I114" s="65"/>
    </row>
    <row r="115" spans="1:16">
      <c r="B115" s="105" t="s">
        <v>181</v>
      </c>
      <c r="F115" s="65"/>
      <c r="G115" s="66">
        <f>G93-G112</f>
        <v>0</v>
      </c>
      <c r="H115" s="66">
        <f t="shared" ref="H115:N115" si="68">H93-H112</f>
        <v>0</v>
      </c>
      <c r="I115" s="66">
        <f t="shared" si="68"/>
        <v>0</v>
      </c>
      <c r="J115" s="66">
        <f t="shared" si="68"/>
        <v>0</v>
      </c>
      <c r="K115" s="66">
        <f t="shared" si="68"/>
        <v>0</v>
      </c>
      <c r="L115" s="66">
        <f t="shared" si="68"/>
        <v>0</v>
      </c>
      <c r="M115" s="66">
        <f t="shared" si="68"/>
        <v>0</v>
      </c>
      <c r="N115" s="66">
        <f t="shared" si="68"/>
        <v>0</v>
      </c>
    </row>
    <row r="116" spans="1:16" ht="6" customHeight="1">
      <c r="B116" s="67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</row>
    <row r="119" spans="1:16">
      <c r="G119" s="2"/>
      <c r="H119" s="2"/>
      <c r="I119" s="2"/>
      <c r="K119" s="1" t="str">
        <f>UPPER("currently running "&amp;TEXT(Scenario!$E$9,"Base case")&amp;" Scenario")</f>
        <v>CURRENTLY RUNNING BEST CASE SCENARIO</v>
      </c>
    </row>
    <row r="120" spans="1:16" ht="22.8">
      <c r="A120" s="3"/>
      <c r="B120" s="4" t="s">
        <v>185</v>
      </c>
      <c r="C120" s="4"/>
      <c r="D120" s="4"/>
      <c r="E120" s="4"/>
      <c r="F120" s="4"/>
      <c r="G120" s="4"/>
      <c r="H120" s="4"/>
      <c r="I120" s="4"/>
      <c r="J120" s="32"/>
      <c r="K120" s="32"/>
      <c r="L120" s="32"/>
      <c r="M120" s="32"/>
      <c r="N120" s="32"/>
      <c r="O120" s="32"/>
    </row>
    <row r="121" spans="1:16" ht="19.5" customHeight="1">
      <c r="A121" s="5"/>
      <c r="B121" s="6" t="s">
        <v>124</v>
      </c>
      <c r="C121" s="6"/>
      <c r="D121" s="6"/>
      <c r="E121" s="6"/>
      <c r="F121" s="6"/>
      <c r="G121" s="6"/>
      <c r="H121" s="6"/>
      <c r="I121" s="6"/>
      <c r="J121" s="32"/>
      <c r="K121" s="32"/>
      <c r="L121" s="32"/>
      <c r="M121" s="32"/>
      <c r="N121" s="32"/>
      <c r="O121" s="32"/>
      <c r="P121" s="108"/>
    </row>
    <row r="122" spans="1:16" ht="6" customHeight="1" thickBot="1">
      <c r="A122" s="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271"/>
    </row>
    <row r="123" spans="1:16">
      <c r="B123" s="8" t="s">
        <v>56</v>
      </c>
    </row>
    <row r="124" spans="1:16">
      <c r="F124" s="9"/>
      <c r="J124" s="73" t="s">
        <v>148</v>
      </c>
      <c r="K124" s="73"/>
      <c r="L124" s="73"/>
      <c r="M124" s="73"/>
      <c r="N124" s="73"/>
    </row>
    <row r="125" spans="1:16">
      <c r="F125" s="10"/>
      <c r="G125" s="11">
        <v>2019</v>
      </c>
      <c r="H125" s="11">
        <f>G125+1</f>
        <v>2020</v>
      </c>
      <c r="I125" s="11">
        <f>H125+1</f>
        <v>2021</v>
      </c>
      <c r="J125" s="71">
        <f t="shared" ref="J125:N125" si="69">I125+1</f>
        <v>2022</v>
      </c>
      <c r="K125" s="71">
        <f t="shared" si="69"/>
        <v>2023</v>
      </c>
      <c r="L125" s="71">
        <f t="shared" si="69"/>
        <v>2024</v>
      </c>
      <c r="M125" s="71">
        <f t="shared" si="69"/>
        <v>2025</v>
      </c>
      <c r="N125" s="71">
        <f t="shared" si="69"/>
        <v>2026</v>
      </c>
      <c r="O125" s="11"/>
    </row>
    <row r="126" spans="1:16">
      <c r="F126" s="10"/>
      <c r="G126" s="11"/>
      <c r="H126" s="11"/>
      <c r="I126" s="11"/>
      <c r="J126" s="71"/>
      <c r="K126" s="71"/>
      <c r="L126" s="71"/>
      <c r="M126" s="71"/>
      <c r="N126" s="71"/>
      <c r="O126" s="11"/>
    </row>
    <row r="127" spans="1:16">
      <c r="B127" s="69" t="s">
        <v>128</v>
      </c>
      <c r="F127" s="10"/>
      <c r="G127" s="171"/>
      <c r="H127" s="171"/>
      <c r="I127" s="171"/>
      <c r="J127" s="172"/>
      <c r="K127" s="172"/>
      <c r="L127" s="172"/>
      <c r="M127" s="172"/>
      <c r="N127" s="172"/>
      <c r="O127" s="171"/>
    </row>
    <row r="128" spans="1:16">
      <c r="C128" s="1" t="s">
        <v>132</v>
      </c>
      <c r="E128" s="1" t="s">
        <v>135</v>
      </c>
      <c r="F128" s="10"/>
      <c r="G128" s="173"/>
      <c r="H128" s="173"/>
      <c r="I128" s="170">
        <v>694.4</v>
      </c>
      <c r="J128" s="173">
        <f>Scenario!G19</f>
        <v>832</v>
      </c>
      <c r="K128" s="173">
        <f>Scenario!H19</f>
        <v>754</v>
      </c>
      <c r="L128" s="173">
        <f>Scenario!I19</f>
        <v>858</v>
      </c>
      <c r="M128" s="173">
        <f>Scenario!J19</f>
        <v>832</v>
      </c>
      <c r="N128" s="173">
        <f>Scenario!K19</f>
        <v>780</v>
      </c>
      <c r="O128" s="171"/>
    </row>
    <row r="129" spans="2:15">
      <c r="C129" s="1" t="s">
        <v>118</v>
      </c>
      <c r="E129" s="1" t="s">
        <v>136</v>
      </c>
      <c r="F129" s="10"/>
      <c r="G129" s="173"/>
      <c r="H129" s="173"/>
      <c r="J129" s="175">
        <f>Scenario!G11</f>
        <v>1.7999999999999999E-2</v>
      </c>
      <c r="K129" s="175">
        <f>Scenario!H11</f>
        <v>1.7999999999999999E-2</v>
      </c>
      <c r="L129" s="175">
        <f>Scenario!I11</f>
        <v>1.7999999999999999E-2</v>
      </c>
      <c r="M129" s="175">
        <f>Scenario!J11</f>
        <v>0.02</v>
      </c>
      <c r="N129" s="175">
        <f>Scenario!K11</f>
        <v>0.02</v>
      </c>
      <c r="O129" s="171"/>
    </row>
    <row r="130" spans="2:15">
      <c r="C130" s="1" t="s">
        <v>52</v>
      </c>
      <c r="E130" s="1" t="s">
        <v>135</v>
      </c>
      <c r="F130" s="10"/>
      <c r="G130" s="173"/>
      <c r="H130" s="173"/>
      <c r="I130" s="170">
        <v>100</v>
      </c>
      <c r="J130" s="173">
        <f>I130*(1+J129)</f>
        <v>101.8</v>
      </c>
      <c r="K130" s="173">
        <f t="shared" ref="K130:N130" si="70">J130*(1+K129)</f>
        <v>103.6324</v>
      </c>
      <c r="L130" s="173">
        <f t="shared" si="70"/>
        <v>105.4977832</v>
      </c>
      <c r="M130" s="173">
        <f t="shared" si="70"/>
        <v>107.607738864</v>
      </c>
      <c r="N130" s="173">
        <f t="shared" si="70"/>
        <v>109.75989364128</v>
      </c>
      <c r="O130" s="171"/>
    </row>
    <row r="131" spans="2:15">
      <c r="C131" s="12" t="s">
        <v>133</v>
      </c>
      <c r="E131" s="1" t="s">
        <v>135</v>
      </c>
      <c r="F131" s="10"/>
      <c r="G131" s="173"/>
      <c r="H131" s="173"/>
      <c r="I131" s="170">
        <v>594.4</v>
      </c>
      <c r="J131" s="173">
        <f>J128-J130</f>
        <v>730.2</v>
      </c>
      <c r="K131" s="173">
        <f t="shared" ref="K131:N131" si="71">K128-K130</f>
        <v>650.36760000000004</v>
      </c>
      <c r="L131" s="173">
        <f t="shared" si="71"/>
        <v>752.50221680000004</v>
      </c>
      <c r="M131" s="173">
        <f t="shared" si="71"/>
        <v>724.392261136</v>
      </c>
      <c r="N131" s="173">
        <f t="shared" si="71"/>
        <v>670.24010635872003</v>
      </c>
      <c r="O131" s="171"/>
    </row>
    <row r="132" spans="2:15">
      <c r="C132" s="12"/>
      <c r="F132" s="10"/>
      <c r="G132" s="173"/>
      <c r="H132" s="173"/>
      <c r="I132" s="173"/>
      <c r="J132" s="173"/>
      <c r="K132" s="173"/>
      <c r="L132" s="173"/>
      <c r="M132" s="173"/>
      <c r="N132" s="173"/>
      <c r="O132" s="171"/>
    </row>
    <row r="133" spans="2:15">
      <c r="B133" s="12" t="s">
        <v>130</v>
      </c>
      <c r="F133" s="10"/>
      <c r="G133" s="173"/>
      <c r="H133" s="173"/>
      <c r="I133" s="173"/>
      <c r="J133" s="173"/>
      <c r="K133" s="173"/>
      <c r="L133" s="173"/>
      <c r="M133" s="173"/>
      <c r="N133" s="173"/>
      <c r="O133" s="171"/>
    </row>
    <row r="134" spans="2:15">
      <c r="B134" s="12"/>
      <c r="C134" s="1" t="s">
        <v>134</v>
      </c>
      <c r="E134" s="1" t="s">
        <v>137</v>
      </c>
      <c r="F134" s="10"/>
      <c r="G134" s="173"/>
      <c r="H134" s="173"/>
      <c r="J134" s="174">
        <f>Asumptions!$O$25</f>
        <v>420</v>
      </c>
      <c r="K134" s="174">
        <f>J134</f>
        <v>420</v>
      </c>
      <c r="L134" s="174">
        <f t="shared" ref="L134:N134" si="72">K134</f>
        <v>420</v>
      </c>
      <c r="M134" s="174">
        <f t="shared" si="72"/>
        <v>420</v>
      </c>
      <c r="N134" s="174">
        <f t="shared" si="72"/>
        <v>420</v>
      </c>
      <c r="O134" s="171"/>
    </row>
    <row r="135" spans="2:15">
      <c r="B135" s="12"/>
      <c r="C135" s="1" t="s">
        <v>120</v>
      </c>
      <c r="E135" s="1" t="s">
        <v>136</v>
      </c>
      <c r="F135" s="10"/>
      <c r="G135" s="173"/>
      <c r="H135" s="173"/>
      <c r="I135" s="28"/>
      <c r="J135" s="184">
        <f>Scenario!G25</f>
        <v>0.05</v>
      </c>
      <c r="K135" s="184">
        <f>Scenario!H25</f>
        <v>0.04</v>
      </c>
      <c r="L135" s="184">
        <f>Scenario!I25</f>
        <v>0.05</v>
      </c>
      <c r="M135" s="184">
        <f>Scenario!J25</f>
        <v>0.05</v>
      </c>
      <c r="N135" s="184">
        <f>Scenario!K25</f>
        <v>0.04</v>
      </c>
      <c r="O135" s="171"/>
    </row>
    <row r="136" spans="2:15">
      <c r="C136" s="12" t="s">
        <v>138</v>
      </c>
      <c r="E136" s="1" t="s">
        <v>137</v>
      </c>
      <c r="F136" s="10"/>
      <c r="G136" s="173"/>
      <c r="H136" s="173"/>
      <c r="I136" s="179">
        <f>I141*1000/I128</f>
        <v>344.4700460829493</v>
      </c>
      <c r="J136" s="179">
        <f>MIN(J134,I136*(1+J135))</f>
        <v>361.69354838709677</v>
      </c>
      <c r="K136" s="179">
        <f t="shared" ref="K136:N136" si="73">MIN(K134,J136*(1+K135))</f>
        <v>376.16129032258067</v>
      </c>
      <c r="L136" s="179">
        <f t="shared" si="73"/>
        <v>394.96935483870971</v>
      </c>
      <c r="M136" s="179">
        <f t="shared" si="73"/>
        <v>414.71782258064519</v>
      </c>
      <c r="N136" s="179">
        <f t="shared" si="73"/>
        <v>420</v>
      </c>
      <c r="O136" s="171"/>
    </row>
    <row r="137" spans="2:15">
      <c r="C137" s="12"/>
      <c r="F137" s="10"/>
      <c r="G137" s="173"/>
      <c r="H137" s="173"/>
      <c r="I137" s="173"/>
      <c r="J137" s="173"/>
      <c r="K137" s="173"/>
      <c r="L137" s="173"/>
      <c r="M137" s="173"/>
      <c r="N137" s="173"/>
      <c r="O137" s="171"/>
    </row>
    <row r="138" spans="2:15">
      <c r="B138" s="99" t="s">
        <v>139</v>
      </c>
      <c r="C138" s="100"/>
      <c r="D138" s="100"/>
      <c r="E138" s="100"/>
      <c r="F138" s="185"/>
      <c r="G138" s="186"/>
      <c r="H138" s="186"/>
      <c r="I138" s="186"/>
      <c r="J138" s="187">
        <f>J136/J134</f>
        <v>0.86117511520737322</v>
      </c>
      <c r="K138" s="187">
        <f t="shared" ref="K138:N138" si="74">K136/K134</f>
        <v>0.8956221198156683</v>
      </c>
      <c r="L138" s="187">
        <f t="shared" si="74"/>
        <v>0.94040322580645164</v>
      </c>
      <c r="M138" s="187">
        <f t="shared" si="74"/>
        <v>0.98742338709677424</v>
      </c>
      <c r="N138" s="188">
        <f t="shared" si="74"/>
        <v>1</v>
      </c>
      <c r="O138" s="171"/>
    </row>
    <row r="139" spans="2:15">
      <c r="F139" s="10"/>
      <c r="G139" s="173"/>
      <c r="H139" s="173"/>
      <c r="I139" s="173"/>
      <c r="J139" s="173"/>
      <c r="K139" s="173"/>
      <c r="L139" s="173"/>
      <c r="M139" s="173"/>
      <c r="N139" s="173"/>
      <c r="O139" s="171"/>
    </row>
    <row r="140" spans="2:15">
      <c r="B140" s="12" t="s">
        <v>131</v>
      </c>
      <c r="F140" s="10"/>
      <c r="G140" s="173"/>
      <c r="H140" s="173"/>
      <c r="I140" s="173"/>
      <c r="J140" s="173"/>
      <c r="K140" s="173"/>
      <c r="L140" s="173"/>
      <c r="M140" s="173"/>
      <c r="N140" s="173"/>
      <c r="O140" s="171"/>
    </row>
    <row r="141" spans="2:15">
      <c r="C141" s="1" t="s">
        <v>50</v>
      </c>
      <c r="E141" s="1" t="s">
        <v>81</v>
      </c>
      <c r="F141" s="10"/>
      <c r="G141" s="173"/>
      <c r="H141" s="173"/>
      <c r="I141" s="178">
        <f>I9</f>
        <v>239.2</v>
      </c>
      <c r="J141" s="173">
        <f>J136*J128/1000</f>
        <v>300.92903225806447</v>
      </c>
      <c r="K141" s="173">
        <f t="shared" ref="K141:N141" si="75">K136*K128/1000</f>
        <v>283.62561290322583</v>
      </c>
      <c r="L141" s="173">
        <f t="shared" si="75"/>
        <v>338.88370645161291</v>
      </c>
      <c r="M141" s="173">
        <f t="shared" si="75"/>
        <v>345.04522838709676</v>
      </c>
      <c r="N141" s="173">
        <f t="shared" si="75"/>
        <v>327.60000000000002</v>
      </c>
      <c r="O141" s="171"/>
    </row>
    <row r="142" spans="2:15">
      <c r="C142" s="1" t="s">
        <v>52</v>
      </c>
      <c r="E142" s="1" t="s">
        <v>81</v>
      </c>
      <c r="F142" s="10"/>
      <c r="G142" s="173"/>
      <c r="H142" s="173"/>
      <c r="I142" s="180">
        <f>I10</f>
        <v>34.4</v>
      </c>
      <c r="J142" s="181">
        <f>J130*J136/1000</f>
        <v>36.820403225806444</v>
      </c>
      <c r="K142" s="181">
        <f t="shared" ref="K142:N142" si="76">K130*K136/1000</f>
        <v>38.982497303225813</v>
      </c>
      <c r="L142" s="181">
        <f t="shared" si="76"/>
        <v>41.668391367418067</v>
      </c>
      <c r="M142" s="181">
        <f t="shared" si="76"/>
        <v>44.626847154504752</v>
      </c>
      <c r="N142" s="181">
        <f t="shared" si="76"/>
        <v>46.099155329337599</v>
      </c>
      <c r="O142" s="171"/>
    </row>
    <row r="143" spans="2:15">
      <c r="C143" s="12" t="s">
        <v>51</v>
      </c>
      <c r="E143" s="1" t="s">
        <v>81</v>
      </c>
      <c r="F143" s="10"/>
      <c r="G143" s="171"/>
      <c r="H143" s="171"/>
      <c r="I143" s="183">
        <f>I141-I142</f>
        <v>204.79999999999998</v>
      </c>
      <c r="J143" s="183">
        <f>J141-J142</f>
        <v>264.10862903225802</v>
      </c>
      <c r="K143" s="183">
        <f t="shared" ref="K143:N143" si="77">K141-K142</f>
        <v>244.64311560000002</v>
      </c>
      <c r="L143" s="183">
        <f t="shared" si="77"/>
        <v>297.21531508419486</v>
      </c>
      <c r="M143" s="183">
        <f t="shared" si="77"/>
        <v>300.41838123259203</v>
      </c>
      <c r="N143" s="183">
        <f t="shared" si="77"/>
        <v>281.50084467066245</v>
      </c>
      <c r="O143" s="171"/>
    </row>
    <row r="144" spans="2:15">
      <c r="F144" s="10"/>
      <c r="G144" s="11"/>
      <c r="H144" s="11"/>
      <c r="I144" s="11"/>
      <c r="J144" s="71"/>
      <c r="K144" s="71"/>
      <c r="L144" s="71"/>
      <c r="M144" s="71"/>
      <c r="N144" s="71"/>
      <c r="O144" s="11"/>
    </row>
    <row r="145" spans="1:16">
      <c r="F145" s="10"/>
      <c r="G145" s="11"/>
      <c r="H145" s="11"/>
      <c r="I145" s="11"/>
      <c r="J145" s="71"/>
      <c r="K145" s="71"/>
      <c r="L145" s="71"/>
      <c r="M145" s="71"/>
      <c r="N145" s="71"/>
      <c r="O145" s="11"/>
    </row>
    <row r="146" spans="1:16">
      <c r="F146" s="10"/>
      <c r="G146" s="11"/>
      <c r="H146" s="11"/>
      <c r="I146" s="11"/>
      <c r="J146" s="71"/>
      <c r="K146" s="71"/>
      <c r="L146" s="71"/>
      <c r="M146" s="71"/>
      <c r="N146" s="71"/>
      <c r="O146" s="11"/>
    </row>
    <row r="147" spans="1:16">
      <c r="F147" s="10"/>
      <c r="G147" s="11"/>
      <c r="H147" s="11"/>
      <c r="I147" s="11"/>
      <c r="J147" s="71"/>
      <c r="K147" s="71"/>
      <c r="L147" s="71"/>
      <c r="M147" s="71"/>
      <c r="N147" s="71"/>
      <c r="O147" s="11"/>
    </row>
    <row r="148" spans="1:16">
      <c r="F148" s="10"/>
      <c r="G148" s="11"/>
      <c r="H148" s="11"/>
      <c r="I148" s="11"/>
      <c r="J148" s="71"/>
      <c r="K148" s="71"/>
      <c r="L148" s="71"/>
      <c r="M148" s="71"/>
      <c r="N148" s="71"/>
      <c r="O148" s="11"/>
    </row>
    <row r="149" spans="1:16">
      <c r="F149" s="10"/>
      <c r="G149" s="11"/>
      <c r="H149" s="11"/>
      <c r="I149" s="11"/>
      <c r="J149" s="71"/>
      <c r="K149" s="71"/>
      <c r="L149" s="71"/>
      <c r="M149" s="71"/>
      <c r="N149" s="71"/>
      <c r="O149" s="11"/>
    </row>
    <row r="153" spans="1:16">
      <c r="G153" s="2"/>
      <c r="H153" s="2"/>
      <c r="I153" s="2"/>
      <c r="K153" s="1" t="str">
        <f>UPPER("currently running "&amp;TEXT(Scenario!$E$9,"Base case")&amp;" Scenario")</f>
        <v>CURRENTLY RUNNING BEST CASE SCENARIO</v>
      </c>
    </row>
    <row r="154" spans="1:16" ht="22.8">
      <c r="A154" s="3"/>
      <c r="B154" s="4" t="s">
        <v>185</v>
      </c>
      <c r="C154" s="4"/>
      <c r="D154" s="4"/>
      <c r="E154" s="4"/>
      <c r="F154" s="4"/>
      <c r="G154" s="4"/>
      <c r="H154" s="4"/>
      <c r="I154" s="4"/>
      <c r="J154" s="32"/>
      <c r="K154" s="32"/>
      <c r="L154" s="32"/>
      <c r="M154" s="32"/>
      <c r="N154" s="32"/>
      <c r="O154" s="32"/>
    </row>
    <row r="155" spans="1:16" ht="19.5" customHeight="1">
      <c r="A155" s="5"/>
      <c r="B155" s="6" t="s">
        <v>125</v>
      </c>
      <c r="C155" s="6"/>
      <c r="D155" s="6"/>
      <c r="E155" s="6"/>
      <c r="F155" s="6"/>
      <c r="G155" s="6"/>
      <c r="H155" s="6"/>
      <c r="I155" s="6"/>
      <c r="J155" s="32"/>
      <c r="K155" s="32"/>
      <c r="L155" s="32"/>
      <c r="M155" s="32"/>
      <c r="N155" s="32"/>
      <c r="O155" s="32"/>
      <c r="P155" s="108"/>
    </row>
    <row r="156" spans="1:16" ht="6" customHeight="1" thickBot="1">
      <c r="A156" s="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271"/>
    </row>
    <row r="157" spans="1:16">
      <c r="B157" s="8" t="s">
        <v>56</v>
      </c>
    </row>
    <row r="158" spans="1:16">
      <c r="F158" s="9"/>
      <c r="J158" s="73" t="s">
        <v>148</v>
      </c>
      <c r="K158" s="73"/>
      <c r="L158" s="73"/>
      <c r="M158" s="73"/>
      <c r="N158" s="73"/>
    </row>
    <row r="159" spans="1:16">
      <c r="F159" s="10"/>
      <c r="G159" s="11">
        <v>2019</v>
      </c>
      <c r="H159" s="11">
        <f>G159+1</f>
        <v>2020</v>
      </c>
      <c r="I159" s="11">
        <f>H159+1</f>
        <v>2021</v>
      </c>
      <c r="J159" s="71">
        <f t="shared" ref="J159:N159" si="78">I159+1</f>
        <v>2022</v>
      </c>
      <c r="K159" s="71">
        <f t="shared" si="78"/>
        <v>2023</v>
      </c>
      <c r="L159" s="71">
        <f t="shared" si="78"/>
        <v>2024</v>
      </c>
      <c r="M159" s="71">
        <f t="shared" si="78"/>
        <v>2025</v>
      </c>
      <c r="N159" s="71">
        <f t="shared" si="78"/>
        <v>2026</v>
      </c>
      <c r="O159" s="11"/>
    </row>
    <row r="160" spans="1:16">
      <c r="F160" s="10"/>
      <c r="G160" s="11"/>
      <c r="H160" s="11"/>
      <c r="I160" s="11"/>
      <c r="J160" s="71"/>
      <c r="K160" s="71"/>
      <c r="L160" s="71"/>
      <c r="M160" s="71"/>
      <c r="N160" s="71"/>
      <c r="O160" s="11"/>
    </row>
    <row r="161" spans="2:15">
      <c r="B161" s="85" t="s">
        <v>129</v>
      </c>
      <c r="C161" s="86"/>
      <c r="D161" s="85"/>
      <c r="E161" s="86"/>
      <c r="F161" s="87"/>
      <c r="G161" s="189"/>
      <c r="H161" s="189"/>
      <c r="I161" s="190">
        <f t="shared" ref="I161:N161" si="79">I136</f>
        <v>344.4700460829493</v>
      </c>
      <c r="J161" s="190">
        <f t="shared" si="79"/>
        <v>361.69354838709677</v>
      </c>
      <c r="K161" s="190">
        <f t="shared" si="79"/>
        <v>376.16129032258067</v>
      </c>
      <c r="L161" s="190">
        <f t="shared" si="79"/>
        <v>394.96935483870971</v>
      </c>
      <c r="M161" s="190">
        <f t="shared" si="79"/>
        <v>414.71782258064519</v>
      </c>
      <c r="N161" s="191">
        <f t="shared" si="79"/>
        <v>420</v>
      </c>
      <c r="O161" s="11"/>
    </row>
    <row r="162" spans="2:15">
      <c r="B162" s="96" t="s">
        <v>147</v>
      </c>
      <c r="C162" s="28"/>
      <c r="D162" s="96"/>
      <c r="E162" s="28"/>
      <c r="F162" s="192"/>
      <c r="G162" s="193"/>
      <c r="H162" s="193"/>
      <c r="I162" s="180"/>
      <c r="J162" s="246">
        <f>J129</f>
        <v>1.7999999999999999E-2</v>
      </c>
      <c r="K162" s="246">
        <f t="shared" ref="K162:N162" si="80">K129</f>
        <v>1.7999999999999999E-2</v>
      </c>
      <c r="L162" s="246">
        <f t="shared" si="80"/>
        <v>1.7999999999999999E-2</v>
      </c>
      <c r="M162" s="246">
        <f t="shared" si="80"/>
        <v>0.02</v>
      </c>
      <c r="N162" s="247">
        <f t="shared" si="80"/>
        <v>0.02</v>
      </c>
      <c r="O162" s="11"/>
    </row>
    <row r="163" spans="2:15">
      <c r="F163" s="10"/>
      <c r="G163" s="11"/>
      <c r="H163" s="11"/>
      <c r="I163" s="11"/>
      <c r="J163" s="71"/>
      <c r="K163" s="71"/>
      <c r="L163" s="71"/>
      <c r="M163" s="71"/>
      <c r="N163" s="71"/>
      <c r="O163" s="11"/>
    </row>
    <row r="164" spans="2:15">
      <c r="B164" s="12" t="s">
        <v>140</v>
      </c>
      <c r="F164" s="10"/>
      <c r="G164" s="11"/>
      <c r="H164" s="11"/>
      <c r="I164" s="11"/>
      <c r="J164" s="71"/>
      <c r="K164" s="71"/>
      <c r="L164" s="71"/>
      <c r="M164" s="71"/>
      <c r="N164" s="71"/>
      <c r="O164" s="11"/>
    </row>
    <row r="165" spans="2:15">
      <c r="B165" s="12"/>
      <c r="F165" s="10"/>
      <c r="G165" s="177"/>
      <c r="H165" s="177"/>
      <c r="I165" s="177"/>
      <c r="J165" s="177"/>
      <c r="K165" s="177"/>
      <c r="L165" s="177"/>
      <c r="M165" s="177"/>
      <c r="N165" s="177"/>
      <c r="O165" s="177"/>
    </row>
    <row r="166" spans="2:15">
      <c r="B166" s="12"/>
      <c r="C166" s="12" t="s">
        <v>142</v>
      </c>
      <c r="F166" s="10"/>
      <c r="G166" s="177"/>
      <c r="H166" s="177"/>
      <c r="I166" s="177"/>
      <c r="J166" s="177"/>
      <c r="K166" s="177"/>
      <c r="L166" s="177"/>
      <c r="M166" s="177"/>
      <c r="N166" s="177"/>
      <c r="O166" s="177"/>
    </row>
    <row r="167" spans="2:15">
      <c r="B167" s="12"/>
      <c r="C167" s="12"/>
      <c r="D167" s="1" t="s">
        <v>76</v>
      </c>
      <c r="E167" s="1" t="s">
        <v>146</v>
      </c>
      <c r="F167" s="10"/>
      <c r="G167" s="177"/>
      <c r="H167" s="177"/>
      <c r="I167" s="177"/>
      <c r="J167" s="178">
        <f>Asumptions!E18</f>
        <v>226</v>
      </c>
      <c r="K167" s="177">
        <f>J167*(1+K$162)</f>
        <v>230.06800000000001</v>
      </c>
      <c r="L167" s="177">
        <f t="shared" ref="L167:N167" si="81">K167*(1+L$162)</f>
        <v>234.20922400000001</v>
      </c>
      <c r="M167" s="177">
        <f t="shared" si="81"/>
        <v>238.89340848000001</v>
      </c>
      <c r="N167" s="177">
        <f t="shared" si="81"/>
        <v>243.6712766496</v>
      </c>
      <c r="O167" s="177"/>
    </row>
    <row r="168" spans="2:15">
      <c r="B168" s="12"/>
      <c r="C168" s="12"/>
      <c r="D168" s="1" t="s">
        <v>77</v>
      </c>
      <c r="E168" s="1" t="s">
        <v>146</v>
      </c>
      <c r="F168" s="10"/>
      <c r="G168" s="177"/>
      <c r="H168" s="177"/>
      <c r="I168" s="177"/>
      <c r="J168" s="180">
        <f>Asumptions!E19</f>
        <v>66.2</v>
      </c>
      <c r="K168" s="194">
        <f>J168*(1+K$162)</f>
        <v>67.391600000000011</v>
      </c>
      <c r="L168" s="194">
        <f t="shared" ref="L168:N168" si="82">K168*(1+L$162)</f>
        <v>68.604648800000007</v>
      </c>
      <c r="M168" s="194">
        <f t="shared" si="82"/>
        <v>69.976741776000011</v>
      </c>
      <c r="N168" s="194">
        <f t="shared" si="82"/>
        <v>71.376276611520012</v>
      </c>
      <c r="O168" s="177"/>
    </row>
    <row r="169" spans="2:15">
      <c r="B169" s="12"/>
      <c r="D169" s="12" t="s">
        <v>144</v>
      </c>
      <c r="E169" s="12" t="s">
        <v>146</v>
      </c>
      <c r="F169" s="10"/>
      <c r="G169" s="177"/>
      <c r="H169" s="177"/>
      <c r="I169" s="177"/>
      <c r="J169" s="177">
        <f>SUM(J167:J168)</f>
        <v>292.2</v>
      </c>
      <c r="K169" s="177">
        <f t="shared" ref="K169:N169" si="83">SUM(K167:K168)</f>
        <v>297.45960000000002</v>
      </c>
      <c r="L169" s="177">
        <f t="shared" si="83"/>
        <v>302.81387280000001</v>
      </c>
      <c r="M169" s="177">
        <f t="shared" si="83"/>
        <v>308.87015025599999</v>
      </c>
      <c r="N169" s="177">
        <f t="shared" si="83"/>
        <v>315.04755326112002</v>
      </c>
      <c r="O169" s="177"/>
    </row>
    <row r="170" spans="2:15">
      <c r="C170" s="12" t="s">
        <v>143</v>
      </c>
      <c r="F170" s="10"/>
      <c r="G170" s="177"/>
      <c r="H170" s="177"/>
      <c r="I170" s="177"/>
      <c r="J170" s="177"/>
      <c r="K170" s="177"/>
      <c r="L170" s="177"/>
      <c r="M170" s="177"/>
      <c r="N170" s="177"/>
      <c r="O170" s="177"/>
    </row>
    <row r="171" spans="2:15">
      <c r="C171" s="12"/>
      <c r="D171" s="1" t="s">
        <v>78</v>
      </c>
      <c r="E171" s="1" t="s">
        <v>146</v>
      </c>
      <c r="F171" s="10"/>
      <c r="G171" s="177"/>
      <c r="H171" s="177"/>
      <c r="I171" s="177"/>
      <c r="J171" s="177">
        <f>J184*1000/J$161</f>
        <v>64.972129319955414</v>
      </c>
      <c r="K171" s="177">
        <f t="shared" ref="K171:N171" si="84">K184*1000/K$161</f>
        <v>63.597718892033271</v>
      </c>
      <c r="L171" s="177">
        <f t="shared" si="84"/>
        <v>61.659502697228461</v>
      </c>
      <c r="M171" s="177">
        <f t="shared" si="84"/>
        <v>59.897802620164782</v>
      </c>
      <c r="N171" s="177">
        <f t="shared" si="84"/>
        <v>60.327380965714291</v>
      </c>
      <c r="O171" s="177"/>
    </row>
    <row r="172" spans="2:15">
      <c r="C172" s="12"/>
      <c r="D172" s="1" t="s">
        <v>79</v>
      </c>
      <c r="E172" s="1" t="s">
        <v>146</v>
      </c>
      <c r="F172" s="10"/>
      <c r="G172" s="177"/>
      <c r="H172" s="177"/>
      <c r="I172" s="177"/>
      <c r="J172" s="177">
        <f>J185*1000/J$161</f>
        <v>120.2675585284281</v>
      </c>
      <c r="K172" s="177">
        <f t="shared" ref="K172:N172" si="85">K185*1000/K$161</f>
        <v>117.72343709801903</v>
      </c>
      <c r="L172" s="177">
        <f t="shared" si="85"/>
        <v>114.13567520550798</v>
      </c>
      <c r="M172" s="177">
        <f t="shared" si="85"/>
        <v>110.87465591392204</v>
      </c>
      <c r="N172" s="177">
        <f t="shared" si="85"/>
        <v>111.66983285142858</v>
      </c>
      <c r="O172" s="177"/>
    </row>
    <row r="173" spans="2:15">
      <c r="D173" s="1" t="s">
        <v>31</v>
      </c>
      <c r="E173" s="1" t="s">
        <v>146</v>
      </c>
      <c r="F173" s="10"/>
      <c r="G173" s="177"/>
      <c r="H173" s="177"/>
      <c r="I173" s="177"/>
      <c r="J173" s="194">
        <f>J186*1000/J$161</f>
        <v>5.5295429208472688</v>
      </c>
      <c r="K173" s="194">
        <f t="shared" ref="K173:N173" si="86">K186*1000/K$161</f>
        <v>5.4125718205985764</v>
      </c>
      <c r="L173" s="194">
        <f t="shared" si="86"/>
        <v>5.2476172508279531</v>
      </c>
      <c r="M173" s="194">
        <f t="shared" si="86"/>
        <v>5.097685329375726</v>
      </c>
      <c r="N173" s="194">
        <f t="shared" si="86"/>
        <v>5.1342451885714286</v>
      </c>
      <c r="O173" s="177"/>
    </row>
    <row r="174" spans="2:15" ht="13.8" thickBot="1">
      <c r="D174" s="12" t="s">
        <v>145</v>
      </c>
      <c r="E174" s="12" t="s">
        <v>146</v>
      </c>
      <c r="F174" s="10"/>
      <c r="G174" s="177"/>
      <c r="H174" s="177"/>
      <c r="I174" s="177"/>
      <c r="J174" s="195">
        <f>SUM(J171:J173)</f>
        <v>190.76923076923077</v>
      </c>
      <c r="K174" s="195">
        <f t="shared" ref="K174:N174" si="87">SUM(K171:K173)</f>
        <v>186.73372781065089</v>
      </c>
      <c r="L174" s="195">
        <f t="shared" si="87"/>
        <v>181.04279515356438</v>
      </c>
      <c r="M174" s="195">
        <f t="shared" si="87"/>
        <v>175.87014386346254</v>
      </c>
      <c r="N174" s="195">
        <f t="shared" si="87"/>
        <v>177.13145900571431</v>
      </c>
      <c r="O174" s="177"/>
    </row>
    <row r="175" spans="2:15" ht="13.8" thickTop="1">
      <c r="C175" s="12" t="s">
        <v>3</v>
      </c>
      <c r="E175" s="12" t="s">
        <v>146</v>
      </c>
      <c r="F175" s="10"/>
      <c r="G175" s="177"/>
      <c r="H175" s="177"/>
      <c r="I175" s="177"/>
      <c r="J175" s="183">
        <f>J174+J169</f>
        <v>482.96923076923076</v>
      </c>
      <c r="K175" s="183">
        <f t="shared" ref="K175:N175" si="88">K174+K169</f>
        <v>484.19332781065089</v>
      </c>
      <c r="L175" s="183">
        <f t="shared" si="88"/>
        <v>483.8566679535644</v>
      </c>
      <c r="M175" s="183">
        <f t="shared" si="88"/>
        <v>484.74029411946253</v>
      </c>
      <c r="N175" s="183">
        <f t="shared" si="88"/>
        <v>492.17901226683432</v>
      </c>
      <c r="O175" s="177"/>
    </row>
    <row r="176" spans="2:15">
      <c r="F176" s="10"/>
      <c r="G176" s="177"/>
      <c r="H176" s="177"/>
      <c r="I176" s="177"/>
      <c r="J176" s="177"/>
      <c r="K176" s="177"/>
      <c r="L176" s="177"/>
      <c r="M176" s="177"/>
      <c r="N176" s="177"/>
      <c r="O176" s="177"/>
    </row>
    <row r="177" spans="2:15">
      <c r="B177" s="12" t="s">
        <v>141</v>
      </c>
      <c r="F177" s="10"/>
      <c r="G177" s="177"/>
      <c r="H177" s="177"/>
      <c r="I177" s="177"/>
      <c r="J177" s="177"/>
      <c r="K177" s="177"/>
      <c r="L177" s="177"/>
      <c r="M177" s="177"/>
      <c r="N177" s="177"/>
      <c r="O177" s="177"/>
    </row>
    <row r="178" spans="2:15">
      <c r="F178" s="10"/>
      <c r="G178" s="177"/>
      <c r="H178" s="177"/>
      <c r="I178" s="177"/>
      <c r="J178" s="177"/>
      <c r="K178" s="177"/>
      <c r="L178" s="177"/>
      <c r="M178" s="177"/>
      <c r="N178" s="177"/>
      <c r="O178" s="177"/>
    </row>
    <row r="179" spans="2:15">
      <c r="C179" s="12" t="s">
        <v>142</v>
      </c>
      <c r="F179" s="10"/>
      <c r="G179" s="177"/>
      <c r="H179" s="177"/>
      <c r="I179" s="177"/>
      <c r="J179" s="177"/>
      <c r="K179" s="177"/>
      <c r="L179" s="177"/>
      <c r="M179" s="177"/>
      <c r="N179" s="177"/>
      <c r="O179" s="177"/>
    </row>
    <row r="180" spans="2:15">
      <c r="C180" s="12"/>
      <c r="D180" s="1" t="s">
        <v>76</v>
      </c>
      <c r="E180" s="1" t="s">
        <v>81</v>
      </c>
      <c r="F180" s="10"/>
      <c r="G180" s="177"/>
      <c r="H180" s="177"/>
      <c r="I180" s="177"/>
      <c r="J180" s="177">
        <f>J167*J$161/1000</f>
        <v>81.742741935483863</v>
      </c>
      <c r="K180" s="177">
        <f t="shared" ref="K180:N180" si="89">K167*K$161/1000</f>
        <v>86.542675741935497</v>
      </c>
      <c r="L180" s="177">
        <f t="shared" si="89"/>
        <v>92.505466100554841</v>
      </c>
      <c r="M180" s="177">
        <f t="shared" si="89"/>
        <v>99.073354193694229</v>
      </c>
      <c r="N180" s="177">
        <f t="shared" si="89"/>
        <v>102.34193619283199</v>
      </c>
      <c r="O180" s="177"/>
    </row>
    <row r="181" spans="2:15">
      <c r="C181" s="12"/>
      <c r="D181" s="1" t="s">
        <v>77</v>
      </c>
      <c r="E181" s="1" t="s">
        <v>81</v>
      </c>
      <c r="F181" s="10"/>
      <c r="G181" s="177"/>
      <c r="H181" s="177"/>
      <c r="I181" s="177"/>
      <c r="J181" s="194">
        <f>J168*J$161/1000</f>
        <v>23.944112903225808</v>
      </c>
      <c r="K181" s="194">
        <f t="shared" ref="K181:N181" si="90">K168*K$161/1000</f>
        <v>25.350111212903229</v>
      </c>
      <c r="L181" s="194">
        <f t="shared" si="90"/>
        <v>27.096733875472264</v>
      </c>
      <c r="M181" s="194">
        <f t="shared" si="90"/>
        <v>29.020601980630797</v>
      </c>
      <c r="N181" s="194">
        <f t="shared" si="90"/>
        <v>29.978036176838405</v>
      </c>
      <c r="O181" s="177"/>
    </row>
    <row r="182" spans="2:15">
      <c r="D182" s="12" t="s">
        <v>144</v>
      </c>
      <c r="E182" s="12" t="s">
        <v>81</v>
      </c>
      <c r="F182" s="10"/>
      <c r="G182" s="177"/>
      <c r="H182" s="177"/>
      <c r="I182" s="177"/>
      <c r="J182" s="177">
        <f>SUM(J180:J181)</f>
        <v>105.68685483870968</v>
      </c>
      <c r="K182" s="177">
        <f t="shared" ref="K182:N182" si="91">SUM(K180:K181)</f>
        <v>111.89278695483873</v>
      </c>
      <c r="L182" s="177">
        <f t="shared" si="91"/>
        <v>119.60219997602711</v>
      </c>
      <c r="M182" s="177">
        <f t="shared" si="91"/>
        <v>128.09395617432503</v>
      </c>
      <c r="N182" s="177">
        <f t="shared" si="91"/>
        <v>132.31997236967041</v>
      </c>
      <c r="O182" s="177"/>
    </row>
    <row r="183" spans="2:15">
      <c r="C183" s="12" t="s">
        <v>143</v>
      </c>
      <c r="F183" s="10"/>
      <c r="G183" s="177"/>
      <c r="H183" s="177"/>
      <c r="I183" s="177"/>
      <c r="J183" s="177"/>
      <c r="K183" s="177"/>
      <c r="L183" s="177"/>
      <c r="M183" s="177"/>
      <c r="N183" s="177"/>
      <c r="O183" s="177"/>
    </row>
    <row r="184" spans="2:15">
      <c r="C184" s="12"/>
      <c r="D184" s="1" t="s">
        <v>78</v>
      </c>
      <c r="E184" s="1" t="s">
        <v>81</v>
      </c>
      <c r="F184" s="10"/>
      <c r="G184" s="177"/>
      <c r="H184" s="177"/>
      <c r="I184" s="177"/>
      <c r="J184" s="178">
        <f>Asumptions!E20</f>
        <v>23.5</v>
      </c>
      <c r="K184" s="177">
        <f>J184*(1+K$162)</f>
        <v>23.923000000000002</v>
      </c>
      <c r="L184" s="177">
        <f t="shared" ref="L184:N184" si="92">K184*(1+L$162)</f>
        <v>24.353614000000004</v>
      </c>
      <c r="M184" s="177">
        <f t="shared" si="92"/>
        <v>24.840686280000003</v>
      </c>
      <c r="N184" s="177">
        <f t="shared" si="92"/>
        <v>25.337500005600003</v>
      </c>
      <c r="O184" s="177"/>
    </row>
    <row r="185" spans="2:15">
      <c r="C185" s="12"/>
      <c r="D185" s="1" t="s">
        <v>79</v>
      </c>
      <c r="E185" s="1" t="s">
        <v>81</v>
      </c>
      <c r="F185" s="10"/>
      <c r="G185" s="177"/>
      <c r="H185" s="177"/>
      <c r="I185" s="177"/>
      <c r="J185" s="178">
        <f>Asumptions!E21</f>
        <v>43.5</v>
      </c>
      <c r="K185" s="177">
        <f t="shared" ref="K185:N186" si="93">J185*(1+K$162)</f>
        <v>44.283000000000001</v>
      </c>
      <c r="L185" s="177">
        <f t="shared" si="93"/>
        <v>45.080094000000003</v>
      </c>
      <c r="M185" s="177">
        <f t="shared" si="93"/>
        <v>45.981695880000004</v>
      </c>
      <c r="N185" s="177">
        <f t="shared" si="93"/>
        <v>46.901329797600006</v>
      </c>
      <c r="O185" s="177"/>
    </row>
    <row r="186" spans="2:15">
      <c r="D186" s="1" t="s">
        <v>31</v>
      </c>
      <c r="E186" s="1" t="s">
        <v>81</v>
      </c>
      <c r="F186" s="10"/>
      <c r="G186" s="177"/>
      <c r="H186" s="177"/>
      <c r="I186" s="177"/>
      <c r="J186" s="180">
        <f>Asumptions!E22</f>
        <v>2</v>
      </c>
      <c r="K186" s="194">
        <f t="shared" si="93"/>
        <v>2.036</v>
      </c>
      <c r="L186" s="194">
        <f t="shared" si="93"/>
        <v>2.072648</v>
      </c>
      <c r="M186" s="194">
        <f t="shared" si="93"/>
        <v>2.11410096</v>
      </c>
      <c r="N186" s="194">
        <f t="shared" si="93"/>
        <v>2.1563829792</v>
      </c>
      <c r="O186" s="177"/>
    </row>
    <row r="187" spans="2:15" ht="13.8" thickBot="1">
      <c r="D187" s="12" t="s">
        <v>145</v>
      </c>
      <c r="E187" s="12" t="s">
        <v>81</v>
      </c>
      <c r="F187" s="10"/>
      <c r="G187" s="177"/>
      <c r="H187" s="177"/>
      <c r="I187" s="177"/>
      <c r="J187" s="195">
        <f>SUM(J184:J186)</f>
        <v>69</v>
      </c>
      <c r="K187" s="195">
        <f t="shared" ref="K187:N187" si="94">SUM(K184:K186)</f>
        <v>70.242000000000004</v>
      </c>
      <c r="L187" s="195">
        <f t="shared" si="94"/>
        <v>71.506356000000011</v>
      </c>
      <c r="M187" s="195">
        <f t="shared" si="94"/>
        <v>72.936483120000005</v>
      </c>
      <c r="N187" s="195">
        <f t="shared" si="94"/>
        <v>74.395212782400009</v>
      </c>
      <c r="O187" s="177"/>
    </row>
    <row r="188" spans="2:15" ht="13.8" thickTop="1">
      <c r="C188" s="12" t="s">
        <v>3</v>
      </c>
      <c r="E188" s="12" t="s">
        <v>81</v>
      </c>
      <c r="F188" s="10"/>
      <c r="G188" s="177"/>
      <c r="H188" s="177"/>
      <c r="I188" s="177"/>
      <c r="J188" s="183">
        <f>J187+J182</f>
        <v>174.68685483870968</v>
      </c>
      <c r="K188" s="183">
        <f t="shared" ref="K188:N188" si="95">K187+K182</f>
        <v>182.13478695483872</v>
      </c>
      <c r="L188" s="183">
        <f t="shared" si="95"/>
        <v>191.10855597602711</v>
      </c>
      <c r="M188" s="183">
        <f t="shared" si="95"/>
        <v>201.03043929432505</v>
      </c>
      <c r="N188" s="183">
        <f t="shared" si="95"/>
        <v>206.71518515207043</v>
      </c>
      <c r="O188" s="177"/>
    </row>
    <row r="189" spans="2:15">
      <c r="F189" s="10"/>
      <c r="G189" s="11"/>
      <c r="H189" s="11"/>
      <c r="I189" s="11"/>
      <c r="J189" s="71"/>
      <c r="K189" s="71"/>
      <c r="L189" s="71"/>
      <c r="M189" s="71"/>
      <c r="N189" s="71"/>
      <c r="O189" s="11"/>
    </row>
    <row r="190" spans="2:15">
      <c r="F190" s="10"/>
      <c r="G190" s="11"/>
      <c r="H190" s="11"/>
      <c r="I190" s="11"/>
      <c r="J190" s="71"/>
      <c r="K190" s="71"/>
      <c r="L190" s="71"/>
      <c r="M190" s="71"/>
      <c r="N190" s="71"/>
      <c r="O190" s="11"/>
    </row>
    <row r="195" spans="1:16">
      <c r="G195" s="2"/>
      <c r="H195" s="2"/>
      <c r="I195" s="2"/>
      <c r="K195" s="1" t="str">
        <f>UPPER("currently running "&amp;TEXT(Scenario!$E$9,"Base case")&amp;" Scenario")</f>
        <v>CURRENTLY RUNNING BEST CASE SCENARIO</v>
      </c>
    </row>
    <row r="196" spans="1:16" ht="22.8">
      <c r="A196" s="3"/>
      <c r="B196" s="4" t="s">
        <v>185</v>
      </c>
      <c r="C196" s="4"/>
      <c r="D196" s="4"/>
      <c r="E196" s="4"/>
      <c r="F196" s="4"/>
      <c r="G196" s="4"/>
      <c r="H196" s="4"/>
      <c r="I196" s="4"/>
      <c r="J196" s="32"/>
      <c r="K196" s="32"/>
      <c r="L196" s="32"/>
      <c r="M196" s="32"/>
      <c r="N196" s="32"/>
      <c r="O196" s="32"/>
    </row>
    <row r="197" spans="1:16" ht="19.5" customHeight="1">
      <c r="A197" s="5"/>
      <c r="B197" s="6" t="s">
        <v>126</v>
      </c>
      <c r="C197" s="6"/>
      <c r="D197" s="6"/>
      <c r="E197" s="6"/>
      <c r="F197" s="6"/>
      <c r="G197" s="6"/>
      <c r="H197" s="6"/>
      <c r="I197" s="6"/>
      <c r="J197" s="32"/>
      <c r="K197" s="32"/>
      <c r="L197" s="32"/>
      <c r="M197" s="32"/>
      <c r="N197" s="32"/>
      <c r="O197" s="32"/>
      <c r="P197" s="108"/>
    </row>
    <row r="198" spans="1:16" ht="6" customHeight="1" thickBot="1">
      <c r="A198" s="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271"/>
    </row>
    <row r="199" spans="1:16">
      <c r="B199" s="8" t="s">
        <v>56</v>
      </c>
    </row>
    <row r="200" spans="1:16">
      <c r="F200" s="9"/>
      <c r="J200" s="73" t="s">
        <v>148</v>
      </c>
      <c r="K200" s="73"/>
      <c r="L200" s="73"/>
      <c r="M200" s="73"/>
      <c r="N200" s="73"/>
    </row>
    <row r="201" spans="1:16">
      <c r="F201" s="10"/>
      <c r="G201" s="11">
        <v>2019</v>
      </c>
      <c r="H201" s="11">
        <f>G201+1</f>
        <v>2020</v>
      </c>
      <c r="I201" s="11">
        <f>H201+1</f>
        <v>2021</v>
      </c>
      <c r="J201" s="71">
        <f t="shared" ref="J201:N201" si="96">I201+1</f>
        <v>2022</v>
      </c>
      <c r="K201" s="71">
        <f t="shared" si="96"/>
        <v>2023</v>
      </c>
      <c r="L201" s="71">
        <f t="shared" si="96"/>
        <v>2024</v>
      </c>
      <c r="M201" s="71">
        <f t="shared" si="96"/>
        <v>2025</v>
      </c>
      <c r="N201" s="71">
        <f t="shared" si="96"/>
        <v>2026</v>
      </c>
      <c r="O201" s="11"/>
    </row>
    <row r="203" spans="1:16">
      <c r="B203" s="135" t="s">
        <v>149</v>
      </c>
      <c r="C203" s="86"/>
      <c r="D203" s="86"/>
      <c r="E203" s="196">
        <f>Asumptions!H27</f>
        <v>25</v>
      </c>
    </row>
    <row r="204" spans="1:16">
      <c r="B204" s="197" t="s">
        <v>150</v>
      </c>
      <c r="C204" s="28"/>
      <c r="D204" s="28"/>
      <c r="E204" s="130">
        <f>Asumptions!H28</f>
        <v>30</v>
      </c>
    </row>
    <row r="206" spans="1:16">
      <c r="B206" s="1" t="s">
        <v>151</v>
      </c>
      <c r="J206" s="176">
        <f>I221</f>
        <v>397.7</v>
      </c>
      <c r="K206" s="176">
        <f t="shared" ref="K206:N206" si="97">J221</f>
        <v>397.87466666666666</v>
      </c>
      <c r="L206" s="176">
        <f t="shared" si="97"/>
        <v>397.59933333333333</v>
      </c>
      <c r="M206" s="176">
        <f t="shared" si="97"/>
        <v>397.59566666666666</v>
      </c>
      <c r="N206" s="176">
        <f t="shared" si="97"/>
        <v>397.97199999999998</v>
      </c>
    </row>
    <row r="208" spans="1:16">
      <c r="B208" s="1" t="s">
        <v>152</v>
      </c>
      <c r="J208" s="201">
        <f>$J$206/$E$203</f>
        <v>15.907999999999999</v>
      </c>
      <c r="K208" s="202">
        <f t="shared" ref="K208:N208" si="98">$J$206/$E$203</f>
        <v>15.907999999999999</v>
      </c>
      <c r="L208" s="202">
        <f t="shared" si="98"/>
        <v>15.907999999999999</v>
      </c>
      <c r="M208" s="202">
        <f t="shared" si="98"/>
        <v>15.907999999999999</v>
      </c>
      <c r="N208" s="203">
        <f t="shared" si="98"/>
        <v>15.907999999999999</v>
      </c>
      <c r="O208" s="205"/>
    </row>
    <row r="210" spans="2:15">
      <c r="B210" s="1" t="s">
        <v>153</v>
      </c>
    </row>
    <row r="212" spans="2:15">
      <c r="C212" s="1" t="s">
        <v>19</v>
      </c>
    </row>
    <row r="213" spans="2:15">
      <c r="D213" s="85" cm="1">
        <f t="array" ref="D213:D217">TRANSPOSE(J201:N201)</f>
        <v>2022</v>
      </c>
      <c r="E213" s="198" cm="1">
        <f t="array" ref="E213:E217">TRANSPOSE(Asumptions!K40:O40)</f>
        <v>16</v>
      </c>
      <c r="J213" s="204">
        <f>IF(J$201&lt;$D213," ",IF(J$201=$D213,$E213/$E$204/2,$E213/$E$204))</f>
        <v>0.26666666666666666</v>
      </c>
      <c r="K213" s="204">
        <f t="shared" ref="K213:N213" si="99">IF(K$201&lt;$D213," ",IF(K$201=$D213,$E213/$E$204/2,$E213/$E$204))</f>
        <v>0.53333333333333333</v>
      </c>
      <c r="L213" s="204">
        <f t="shared" si="99"/>
        <v>0.53333333333333333</v>
      </c>
      <c r="M213" s="204">
        <f t="shared" si="99"/>
        <v>0.53333333333333333</v>
      </c>
      <c r="N213" s="204">
        <f t="shared" si="99"/>
        <v>0.53333333333333333</v>
      </c>
      <c r="O213" s="204" t="str">
        <f>IF(O$201&lt;$D213," ",IF(O$201=$D213,$E213/$E$204/2,$E213-SUM(N$213:N213)))</f>
        <v xml:space="preserve"> </v>
      </c>
    </row>
    <row r="214" spans="2:15">
      <c r="D214" s="94">
        <v>2023</v>
      </c>
      <c r="E214" s="199">
        <v>17</v>
      </c>
      <c r="J214" s="204" t="str">
        <f t="shared" ref="J214:N217" si="100">IF(J$201&lt;$D214," ",IF(J$201=$D214,$E214/$E$204/2,$E214/$E$204))</f>
        <v xml:space="preserve"> </v>
      </c>
      <c r="K214" s="204">
        <f t="shared" si="100"/>
        <v>0.28333333333333333</v>
      </c>
      <c r="L214" s="204">
        <f t="shared" si="100"/>
        <v>0.56666666666666665</v>
      </c>
      <c r="M214" s="204">
        <f t="shared" si="100"/>
        <v>0.56666666666666665</v>
      </c>
      <c r="N214" s="204">
        <f t="shared" si="100"/>
        <v>0.56666666666666665</v>
      </c>
      <c r="O214" s="204" t="str">
        <f>IF(O$201&lt;$D214," ",IF(O$201=$D214,$E214/$E$204/2,$E214-SUM(N$213:N214)))</f>
        <v xml:space="preserve"> </v>
      </c>
    </row>
    <row r="215" spans="2:15">
      <c r="D215" s="94">
        <v>2024</v>
      </c>
      <c r="E215" s="199">
        <v>17.3</v>
      </c>
      <c r="J215" s="204" t="str">
        <f t="shared" si="100"/>
        <v xml:space="preserve"> </v>
      </c>
      <c r="K215" s="204" t="str">
        <f t="shared" si="100"/>
        <v xml:space="preserve"> </v>
      </c>
      <c r="L215" s="204">
        <f t="shared" si="100"/>
        <v>0.28833333333333333</v>
      </c>
      <c r="M215" s="204">
        <f t="shared" si="100"/>
        <v>0.57666666666666666</v>
      </c>
      <c r="N215" s="204">
        <f t="shared" si="100"/>
        <v>0.57666666666666666</v>
      </c>
      <c r="O215" s="204" t="str">
        <f>IF(O$201&lt;$D215," ",IF(O$201=$D215,$E215/$E$204/2,$E215-SUM(N$213:N215)))</f>
        <v xml:space="preserve"> </v>
      </c>
    </row>
    <row r="216" spans="2:15">
      <c r="D216" s="94">
        <v>2025</v>
      </c>
      <c r="E216" s="199">
        <v>17.5</v>
      </c>
      <c r="J216" s="204" t="str">
        <f t="shared" si="100"/>
        <v xml:space="preserve"> </v>
      </c>
      <c r="K216" s="204" t="str">
        <f t="shared" si="100"/>
        <v xml:space="preserve"> </v>
      </c>
      <c r="L216" s="204" t="str">
        <f t="shared" si="100"/>
        <v xml:space="preserve"> </v>
      </c>
      <c r="M216" s="204">
        <f t="shared" si="100"/>
        <v>0.29166666666666669</v>
      </c>
      <c r="N216" s="204">
        <f t="shared" si="100"/>
        <v>0.58333333333333337</v>
      </c>
      <c r="O216" s="204" t="str">
        <f>IF(O$201&lt;$D216," ",IF(O$201=$D216,$E216/$E$204/2,$E216-SUM(N$213:N216)))</f>
        <v xml:space="preserve"> </v>
      </c>
    </row>
    <row r="217" spans="2:15">
      <c r="D217" s="96">
        <v>2026</v>
      </c>
      <c r="E217" s="200">
        <v>18</v>
      </c>
      <c r="J217" s="206" t="str">
        <f t="shared" si="100"/>
        <v xml:space="preserve"> </v>
      </c>
      <c r="K217" s="206" t="str">
        <f t="shared" si="100"/>
        <v xml:space="preserve"> </v>
      </c>
      <c r="L217" s="206" t="str">
        <f t="shared" si="100"/>
        <v xml:space="preserve"> </v>
      </c>
      <c r="M217" s="206" t="str">
        <f t="shared" si="100"/>
        <v xml:space="preserve"> </v>
      </c>
      <c r="N217" s="206">
        <f t="shared" si="100"/>
        <v>0.3</v>
      </c>
      <c r="O217" s="204" t="str">
        <f>IF(O$201&lt;$D217," ",IF(O$201=$D217,$E217/$E$204/2,$E217-SUM(N$213:N217)))</f>
        <v xml:space="preserve"> </v>
      </c>
    </row>
    <row r="219" spans="2:15" ht="13.8" thickBot="1">
      <c r="D219" s="1" t="s">
        <v>155</v>
      </c>
      <c r="J219" s="261">
        <f>-(J208+SUM(J213:J217))</f>
        <v>-16.174666666666667</v>
      </c>
      <c r="K219" s="261">
        <f t="shared" ref="K219:N219" si="101">-(K208+SUM(K213:K217))</f>
        <v>-16.724666666666668</v>
      </c>
      <c r="L219" s="261">
        <f t="shared" si="101"/>
        <v>-17.296333333333333</v>
      </c>
      <c r="M219" s="261">
        <f t="shared" si="101"/>
        <v>-17.876333333333331</v>
      </c>
      <c r="N219" s="261">
        <f t="shared" si="101"/>
        <v>-18.468</v>
      </c>
    </row>
    <row r="220" spans="2:15" ht="13.8" thickTop="1"/>
    <row r="221" spans="2:15">
      <c r="B221" s="1" t="s">
        <v>154</v>
      </c>
      <c r="I221" s="207">
        <f>I89</f>
        <v>397.7</v>
      </c>
      <c r="J221" s="207">
        <f>J206-J219-Asumptions!K40</f>
        <v>397.87466666666666</v>
      </c>
      <c r="K221" s="207">
        <f>K206-K219-Asumptions!L40</f>
        <v>397.59933333333333</v>
      </c>
      <c r="L221" s="207">
        <f>L206-L219-Asumptions!M40</f>
        <v>397.59566666666666</v>
      </c>
      <c r="M221" s="207">
        <f>M206-M219-Asumptions!N40</f>
        <v>397.97199999999998</v>
      </c>
      <c r="N221" s="207">
        <f>N206-N219-Asumptions!O40</f>
        <v>398.44</v>
      </c>
    </row>
    <row r="228" spans="1:15">
      <c r="G228" s="2"/>
      <c r="H228" s="2"/>
      <c r="I228" s="2"/>
      <c r="K228" s="1" t="str">
        <f>UPPER("currently running "&amp;TEXT(Scenario!$E$9,"Base case")&amp;" Scenario")</f>
        <v>CURRENTLY RUNNING BEST CASE SCENARIO</v>
      </c>
    </row>
    <row r="229" spans="1:15" ht="22.8">
      <c r="A229" s="3"/>
      <c r="B229" s="4" t="s">
        <v>185</v>
      </c>
      <c r="C229" s="4"/>
      <c r="D229" s="4"/>
      <c r="E229" s="4"/>
      <c r="F229" s="4"/>
      <c r="G229" s="4"/>
      <c r="H229" s="4"/>
      <c r="I229" s="4"/>
      <c r="J229" s="32"/>
      <c r="K229" s="32"/>
      <c r="L229" s="32"/>
      <c r="M229" s="32"/>
      <c r="N229" s="32"/>
      <c r="O229" s="32"/>
    </row>
    <row r="230" spans="1:15" ht="19.5" customHeight="1">
      <c r="A230" s="5"/>
      <c r="B230" s="6" t="s">
        <v>158</v>
      </c>
      <c r="C230" s="6"/>
      <c r="D230" s="6"/>
      <c r="E230" s="6"/>
      <c r="F230" s="6"/>
      <c r="G230" s="6"/>
      <c r="H230" s="6"/>
      <c r="I230" s="6"/>
      <c r="J230" s="32"/>
      <c r="K230" s="32"/>
      <c r="L230" s="32"/>
      <c r="M230" s="32"/>
      <c r="N230" s="32"/>
      <c r="O230" s="32"/>
    </row>
    <row r="231" spans="1:15" ht="6" customHeight="1" thickBot="1">
      <c r="A231" s="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</row>
    <row r="232" spans="1:15">
      <c r="B232" s="8" t="s">
        <v>56</v>
      </c>
    </row>
    <row r="233" spans="1:15">
      <c r="F233" s="9"/>
      <c r="J233" s="73" t="s">
        <v>148</v>
      </c>
      <c r="K233" s="73"/>
      <c r="L233" s="73"/>
      <c r="M233" s="73"/>
      <c r="N233" s="73"/>
    </row>
    <row r="234" spans="1:15">
      <c r="F234" s="10"/>
      <c r="G234" s="11">
        <v>2019</v>
      </c>
      <c r="H234" s="11">
        <f>G234+1</f>
        <v>2020</v>
      </c>
      <c r="I234" s="11">
        <f>H234+1</f>
        <v>2021</v>
      </c>
      <c r="J234" s="71">
        <f t="shared" ref="J234:N234" si="102">I234+1</f>
        <v>2022</v>
      </c>
      <c r="K234" s="71">
        <f t="shared" si="102"/>
        <v>2023</v>
      </c>
      <c r="L234" s="71">
        <f t="shared" si="102"/>
        <v>2024</v>
      </c>
      <c r="M234" s="71">
        <f t="shared" si="102"/>
        <v>2025</v>
      </c>
      <c r="N234" s="71">
        <f t="shared" si="102"/>
        <v>2026</v>
      </c>
      <c r="O234" s="11"/>
    </row>
    <row r="236" spans="1:15">
      <c r="B236" s="99" t="s">
        <v>156</v>
      </c>
      <c r="C236" s="100"/>
      <c r="D236" s="100"/>
      <c r="E236" s="210">
        <f>Asumptions!O19</f>
        <v>0.35</v>
      </c>
    </row>
    <row r="238" spans="1:15">
      <c r="B238" s="1" t="s">
        <v>159</v>
      </c>
      <c r="E238" s="1" t="s">
        <v>81</v>
      </c>
      <c r="I238" s="176">
        <f>I21</f>
        <v>17.299999999999965</v>
      </c>
      <c r="J238" s="176">
        <f>J24</f>
        <v>57.344107526881672</v>
      </c>
      <c r="K238" s="176">
        <f t="shared" ref="K238:N238" si="103">K24</f>
        <v>31.257294216055392</v>
      </c>
      <c r="L238" s="176">
        <f t="shared" si="103"/>
        <v>75.713663316761981</v>
      </c>
      <c r="M238" s="176">
        <f t="shared" si="103"/>
        <v>69.722651981668491</v>
      </c>
      <c r="N238" s="176">
        <f t="shared" si="103"/>
        <v>45.82929757808801</v>
      </c>
    </row>
    <row r="240" spans="1:15">
      <c r="D240" s="1" t="s">
        <v>104</v>
      </c>
      <c r="E240" s="1" t="s">
        <v>81</v>
      </c>
      <c r="J240" s="117">
        <f>Asumptions!K38</f>
        <v>5</v>
      </c>
      <c r="K240" s="117">
        <f>Asumptions!L38</f>
        <v>5</v>
      </c>
      <c r="L240" s="117">
        <f>Asumptions!M38</f>
        <v>5</v>
      </c>
      <c r="M240" s="117">
        <f>Asumptions!N38</f>
        <v>5</v>
      </c>
      <c r="N240" s="117">
        <f>Asumptions!O38</f>
        <v>5</v>
      </c>
    </row>
    <row r="242" spans="1:15">
      <c r="B242" s="1" t="s">
        <v>157</v>
      </c>
      <c r="E242" s="1" t="s">
        <v>81</v>
      </c>
      <c r="J242" s="176">
        <f>J238-J240</f>
        <v>52.344107526881672</v>
      </c>
      <c r="K242" s="176">
        <f t="shared" ref="K242:N242" si="104">K238-K240</f>
        <v>26.257294216055392</v>
      </c>
      <c r="L242" s="176">
        <f t="shared" si="104"/>
        <v>70.713663316761981</v>
      </c>
      <c r="M242" s="176">
        <f t="shared" si="104"/>
        <v>64.722651981668491</v>
      </c>
      <c r="N242" s="176">
        <f t="shared" si="104"/>
        <v>40.82929757808801</v>
      </c>
    </row>
    <row r="243" spans="1:15">
      <c r="J243" s="176"/>
      <c r="K243" s="176"/>
      <c r="L243" s="176"/>
      <c r="M243" s="176"/>
      <c r="N243" s="176"/>
    </row>
    <row r="244" spans="1:15">
      <c r="B244" s="1" t="s">
        <v>168</v>
      </c>
      <c r="J244" s="176">
        <f>J238*$E$236</f>
        <v>20.070437634408584</v>
      </c>
      <c r="K244" s="176">
        <f t="shared" ref="K244:N244" si="105">K238*$E$236</f>
        <v>10.940052975619386</v>
      </c>
      <c r="L244" s="176">
        <f t="shared" si="105"/>
        <v>26.49978216086669</v>
      </c>
      <c r="M244" s="176">
        <f t="shared" si="105"/>
        <v>24.402928193583971</v>
      </c>
      <c r="N244" s="176">
        <f t="shared" si="105"/>
        <v>16.040254152330803</v>
      </c>
    </row>
    <row r="246" spans="1:15">
      <c r="B246" s="85" t="s">
        <v>160</v>
      </c>
      <c r="C246" s="86"/>
      <c r="D246" s="86"/>
      <c r="E246" s="86" t="s">
        <v>81</v>
      </c>
      <c r="F246" s="86"/>
      <c r="G246" s="86"/>
      <c r="H246" s="86"/>
      <c r="I246" s="86"/>
      <c r="J246" s="218">
        <f>J242*$E$236</f>
        <v>18.320437634408584</v>
      </c>
      <c r="K246" s="218">
        <f t="shared" ref="K246:N246" si="106">K242*$E$236</f>
        <v>9.1900529756193858</v>
      </c>
      <c r="L246" s="218">
        <f t="shared" si="106"/>
        <v>24.74978216086669</v>
      </c>
      <c r="M246" s="218">
        <f t="shared" si="106"/>
        <v>22.652928193583971</v>
      </c>
      <c r="N246" s="219">
        <f t="shared" si="106"/>
        <v>14.290254152330803</v>
      </c>
    </row>
    <row r="247" spans="1:15">
      <c r="B247" s="94" t="s">
        <v>161</v>
      </c>
      <c r="C247" s="92"/>
      <c r="D247" s="92"/>
      <c r="E247" s="92" t="s">
        <v>81</v>
      </c>
      <c r="F247" s="92"/>
      <c r="G247" s="92"/>
      <c r="H247" s="92"/>
      <c r="I247" s="92"/>
      <c r="J247" s="217">
        <f>J244-J246</f>
        <v>1.75</v>
      </c>
      <c r="K247" s="217">
        <f t="shared" ref="K247:N247" si="107">K244-K246</f>
        <v>1.75</v>
      </c>
      <c r="L247" s="217">
        <f t="shared" si="107"/>
        <v>1.75</v>
      </c>
      <c r="M247" s="217">
        <f t="shared" si="107"/>
        <v>1.75</v>
      </c>
      <c r="N247" s="217">
        <f t="shared" si="107"/>
        <v>1.75</v>
      </c>
    </row>
    <row r="248" spans="1:15">
      <c r="B248" s="96" t="s">
        <v>162</v>
      </c>
      <c r="C248" s="28"/>
      <c r="D248" s="28"/>
      <c r="E248" s="28" t="s">
        <v>81</v>
      </c>
      <c r="F248" s="28"/>
      <c r="G248" s="28"/>
      <c r="H248" s="28"/>
      <c r="I248" s="28"/>
      <c r="J248" s="216">
        <f>SUM(J246:J247)</f>
        <v>20.070437634408584</v>
      </c>
      <c r="K248" s="216">
        <f t="shared" ref="K248:N248" si="108">SUM(K246:K247)</f>
        <v>10.940052975619386</v>
      </c>
      <c r="L248" s="216">
        <f t="shared" si="108"/>
        <v>26.49978216086669</v>
      </c>
      <c r="M248" s="216">
        <f t="shared" si="108"/>
        <v>24.402928193583971</v>
      </c>
      <c r="N248" s="216">
        <f t="shared" si="108"/>
        <v>16.040254152330803</v>
      </c>
    </row>
    <row r="251" spans="1:15">
      <c r="G251" s="2"/>
      <c r="H251" s="2"/>
      <c r="I251" s="2"/>
      <c r="K251" s="1" t="str">
        <f>UPPER("currently running "&amp;TEXT(Scenario!$E$9,"Base case")&amp;" Scenario")</f>
        <v>CURRENTLY RUNNING BEST CASE SCENARIO</v>
      </c>
    </row>
    <row r="252" spans="1:15" ht="22.8">
      <c r="A252" s="3"/>
      <c r="B252" s="4" t="s">
        <v>185</v>
      </c>
      <c r="C252" s="4"/>
      <c r="D252" s="4"/>
      <c r="E252" s="4"/>
      <c r="F252" s="4"/>
      <c r="G252" s="4"/>
      <c r="H252" s="4"/>
      <c r="I252" s="4"/>
      <c r="J252" s="32"/>
      <c r="K252" s="32"/>
      <c r="L252" s="32"/>
      <c r="M252" s="32"/>
      <c r="N252" s="32"/>
      <c r="O252" s="32"/>
    </row>
    <row r="253" spans="1:15" ht="19.5" customHeight="1">
      <c r="A253" s="5"/>
      <c r="B253" s="6" t="s">
        <v>127</v>
      </c>
      <c r="C253" s="6"/>
      <c r="D253" s="6"/>
      <c r="E253" s="6"/>
      <c r="F253" s="6"/>
      <c r="G253" s="6"/>
      <c r="H253" s="6"/>
      <c r="I253" s="6"/>
      <c r="J253" s="32"/>
      <c r="K253" s="32"/>
      <c r="L253" s="32"/>
      <c r="M253" s="32"/>
      <c r="N253" s="32"/>
      <c r="O253" s="32"/>
    </row>
    <row r="254" spans="1:15" ht="6" customHeight="1" thickBot="1">
      <c r="A254" s="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</row>
    <row r="255" spans="1:15">
      <c r="B255" s="8" t="s">
        <v>56</v>
      </c>
    </row>
    <row r="256" spans="1:15">
      <c r="F256" s="9"/>
      <c r="J256" s="73" t="s">
        <v>148</v>
      </c>
      <c r="K256" s="73"/>
      <c r="L256" s="73"/>
      <c r="M256" s="73"/>
      <c r="N256" s="73"/>
    </row>
    <row r="257" spans="2:15">
      <c r="F257" s="228">
        <v>2018</v>
      </c>
      <c r="G257" s="11">
        <v>2019</v>
      </c>
      <c r="H257" s="11">
        <f>G257+1</f>
        <v>2020</v>
      </c>
      <c r="I257" s="11">
        <f>H257+1</f>
        <v>2021</v>
      </c>
      <c r="J257" s="71">
        <f t="shared" ref="J257:N257" si="109">I257+1</f>
        <v>2022</v>
      </c>
      <c r="K257" s="71">
        <f t="shared" si="109"/>
        <v>2023</v>
      </c>
      <c r="L257" s="71">
        <f t="shared" si="109"/>
        <v>2024</v>
      </c>
      <c r="M257" s="71">
        <f t="shared" si="109"/>
        <v>2025</v>
      </c>
      <c r="N257" s="71">
        <f t="shared" si="109"/>
        <v>2026</v>
      </c>
      <c r="O257" s="11"/>
    </row>
    <row r="259" spans="2:15">
      <c r="B259" s="1" t="s">
        <v>167</v>
      </c>
      <c r="G259" s="222">
        <f>DATE(G257,12,31)-DATE(F257,12,31)</f>
        <v>365</v>
      </c>
      <c r="H259" s="222">
        <f>DATE(H257,12,31)-DATE(G257,12,31)</f>
        <v>366</v>
      </c>
      <c r="I259" s="222">
        <f t="shared" ref="I259:N259" si="110">DATE(I257,12,31)-DATE(H257,12,31)</f>
        <v>365</v>
      </c>
      <c r="J259" s="222">
        <f t="shared" si="110"/>
        <v>365</v>
      </c>
      <c r="K259" s="222">
        <f t="shared" si="110"/>
        <v>365</v>
      </c>
      <c r="L259" s="222">
        <f t="shared" si="110"/>
        <v>366</v>
      </c>
      <c r="M259" s="222">
        <f t="shared" si="110"/>
        <v>365</v>
      </c>
      <c r="N259" s="222">
        <f t="shared" si="110"/>
        <v>365</v>
      </c>
    </row>
    <row r="261" spans="2:15">
      <c r="B261" s="85" t="s">
        <v>165</v>
      </c>
      <c r="C261" s="86"/>
      <c r="D261" s="86"/>
      <c r="E261" s="86"/>
      <c r="F261" s="86"/>
      <c r="G261" s="220">
        <f>G11</f>
        <v>213.49999999999997</v>
      </c>
      <c r="H261" s="220">
        <f t="shared" ref="H261:J261" si="111">H11</f>
        <v>236.60000000000002</v>
      </c>
      <c r="I261" s="220">
        <f t="shared" si="111"/>
        <v>204.79999999999998</v>
      </c>
      <c r="J261" s="220">
        <f t="shared" si="111"/>
        <v>264.10862903225802</v>
      </c>
      <c r="K261" s="220">
        <f t="shared" ref="K261:N261" si="112">K11</f>
        <v>244.64311560000002</v>
      </c>
      <c r="L261" s="220">
        <f t="shared" si="112"/>
        <v>297.21531508419486</v>
      </c>
      <c r="M261" s="220">
        <f t="shared" si="112"/>
        <v>300.41838123259203</v>
      </c>
      <c r="N261" s="221">
        <f t="shared" si="112"/>
        <v>281.50084467066245</v>
      </c>
    </row>
    <row r="262" spans="2:15">
      <c r="B262" s="96" t="s">
        <v>166</v>
      </c>
      <c r="C262" s="28"/>
      <c r="D262" s="28"/>
      <c r="E262" s="28"/>
      <c r="F262" s="28"/>
      <c r="G262" s="214">
        <f>G13</f>
        <v>159.9</v>
      </c>
      <c r="H262" s="214">
        <f t="shared" ref="H262:J262" si="113">H13</f>
        <v>164.6</v>
      </c>
      <c r="I262" s="214">
        <f t="shared" si="113"/>
        <v>167.9</v>
      </c>
      <c r="J262" s="214">
        <f t="shared" si="113"/>
        <v>174.68685483870968</v>
      </c>
      <c r="K262" s="214">
        <f t="shared" ref="K262:N262" si="114">K13</f>
        <v>182.13478695483872</v>
      </c>
      <c r="L262" s="214">
        <f t="shared" si="114"/>
        <v>191.10855597602711</v>
      </c>
      <c r="M262" s="214">
        <f t="shared" si="114"/>
        <v>201.03043929432505</v>
      </c>
      <c r="N262" s="215">
        <f t="shared" si="114"/>
        <v>206.71518515207043</v>
      </c>
    </row>
    <row r="264" spans="2:15">
      <c r="B264" s="12" t="s">
        <v>163</v>
      </c>
    </row>
    <row r="265" spans="2:15">
      <c r="C265" s="92" t="s">
        <v>29</v>
      </c>
      <c r="E265" s="1" t="s">
        <v>112</v>
      </c>
      <c r="G265" s="223">
        <f>G273/G$261*G$259</f>
        <v>46.159250585480102</v>
      </c>
      <c r="H265" s="223">
        <f>H273/H$261*H$259</f>
        <v>43.00422654268808</v>
      </c>
      <c r="I265" s="223">
        <f>I273/I$261*I$259</f>
        <v>50.437011718750007</v>
      </c>
      <c r="J265" s="106">
        <f>Asumptions!K42</f>
        <v>45</v>
      </c>
      <c r="K265" s="106">
        <f>Asumptions!L42</f>
        <v>40</v>
      </c>
      <c r="L265" s="106">
        <f>Asumptions!M42</f>
        <v>40</v>
      </c>
      <c r="M265" s="106">
        <f>Asumptions!N42</f>
        <v>40</v>
      </c>
      <c r="N265" s="106">
        <f>Asumptions!O42</f>
        <v>40</v>
      </c>
    </row>
    <row r="266" spans="2:15">
      <c r="C266" s="92" t="s">
        <v>30</v>
      </c>
      <c r="E266" s="1" t="s">
        <v>112</v>
      </c>
      <c r="G266" s="223">
        <f>G274/G$262*G$259</f>
        <v>83.317698561600992</v>
      </c>
      <c r="H266" s="223">
        <f>H274/H$262*H$259</f>
        <v>80.270959902794658</v>
      </c>
      <c r="I266" s="223">
        <f>I274/I$262*I$259</f>
        <v>76.304347826086953</v>
      </c>
      <c r="J266" s="106">
        <f>Asumptions!K43</f>
        <v>70</v>
      </c>
      <c r="K266" s="106">
        <f>Asumptions!L43</f>
        <v>65</v>
      </c>
      <c r="L266" s="106">
        <f>Asumptions!M43</f>
        <v>60</v>
      </c>
      <c r="M266" s="106">
        <f>Asumptions!N43</f>
        <v>60</v>
      </c>
      <c r="N266" s="106">
        <f>Asumptions!O43</f>
        <v>55</v>
      </c>
    </row>
    <row r="267" spans="2:15">
      <c r="C267" s="92" t="s">
        <v>54</v>
      </c>
      <c r="E267" s="1" t="s">
        <v>112</v>
      </c>
      <c r="G267" s="223">
        <f t="shared" ref="G267" si="115">G275/G$262*G$259</f>
        <v>33.327079424640402</v>
      </c>
      <c r="H267" s="223">
        <f t="shared" ref="H267:I267" si="116">H275/H$262*H$259</f>
        <v>32.019441069258811</v>
      </c>
      <c r="I267" s="223">
        <f t="shared" si="116"/>
        <v>32.391304347826086</v>
      </c>
      <c r="J267" s="106">
        <f>Asumptions!K44</f>
        <v>30</v>
      </c>
      <c r="K267" s="106">
        <f>Asumptions!L44</f>
        <v>30</v>
      </c>
      <c r="L267" s="106">
        <f>Asumptions!M44</f>
        <v>30</v>
      </c>
      <c r="M267" s="106">
        <f>Asumptions!N44</f>
        <v>30</v>
      </c>
      <c r="N267" s="106">
        <f>Asumptions!O44</f>
        <v>30</v>
      </c>
    </row>
    <row r="268" spans="2:15">
      <c r="C268" s="123" t="s">
        <v>110</v>
      </c>
      <c r="E268" s="1" t="s">
        <v>112</v>
      </c>
      <c r="G268" s="223">
        <f t="shared" ref="G268" si="117">G276/G$262*G$259</f>
        <v>3.1957473420888056</v>
      </c>
      <c r="H268" s="223">
        <f t="shared" ref="H268:I268" si="118">H276/H$262*H$259</f>
        <v>4.0024301336573513</v>
      </c>
      <c r="I268" s="223">
        <f t="shared" si="118"/>
        <v>2.6086956521739131</v>
      </c>
      <c r="J268" s="106">
        <f>Asumptions!K45</f>
        <v>3</v>
      </c>
      <c r="K268" s="106">
        <f>Asumptions!L45</f>
        <v>3</v>
      </c>
      <c r="L268" s="106">
        <f>Asumptions!M45</f>
        <v>3</v>
      </c>
      <c r="M268" s="106">
        <f>Asumptions!N45</f>
        <v>3</v>
      </c>
      <c r="N268" s="106">
        <f>Asumptions!O45</f>
        <v>3</v>
      </c>
    </row>
    <row r="269" spans="2:15">
      <c r="C269" s="123" t="s">
        <v>38</v>
      </c>
      <c r="E269" s="1" t="s">
        <v>112</v>
      </c>
      <c r="G269" s="223">
        <f t="shared" ref="G269" si="119">G277/G$262*G$259</f>
        <v>41.772983114446525</v>
      </c>
      <c r="H269" s="223">
        <f t="shared" ref="H269:I269" si="120">H277/H$262*H$259</f>
        <v>41.580801944106938</v>
      </c>
      <c r="I269" s="223">
        <f t="shared" si="120"/>
        <v>39.565217391304344</v>
      </c>
      <c r="J269" s="106">
        <f>Asumptions!K46</f>
        <v>40</v>
      </c>
      <c r="K269" s="106">
        <f>Asumptions!L46</f>
        <v>40</v>
      </c>
      <c r="L269" s="106">
        <f>Asumptions!M46</f>
        <v>40</v>
      </c>
      <c r="M269" s="106">
        <f>Asumptions!N46</f>
        <v>40</v>
      </c>
      <c r="N269" s="106">
        <f>Asumptions!O46</f>
        <v>40</v>
      </c>
    </row>
    <row r="270" spans="2:15">
      <c r="C270" s="123" t="s">
        <v>111</v>
      </c>
      <c r="D270" s="92"/>
      <c r="E270" s="1" t="s">
        <v>112</v>
      </c>
      <c r="G270" s="223">
        <f t="shared" ref="G270" si="121">G278/G$262*G$259</f>
        <v>10.728580362726705</v>
      </c>
      <c r="H270" s="223">
        <f t="shared" ref="H270:I270" si="122">H278/H$262*H$259</f>
        <v>10.895504252733902</v>
      </c>
      <c r="I270" s="223">
        <f t="shared" si="122"/>
        <v>10.434782608695652</v>
      </c>
      <c r="J270" s="106">
        <f>Asumptions!K47</f>
        <v>10</v>
      </c>
      <c r="K270" s="106">
        <f>Asumptions!L47</f>
        <v>10</v>
      </c>
      <c r="L270" s="106">
        <f>Asumptions!M47</f>
        <v>10</v>
      </c>
      <c r="M270" s="106">
        <f>Asumptions!N47</f>
        <v>10</v>
      </c>
      <c r="N270" s="106">
        <f>Asumptions!O47</f>
        <v>10</v>
      </c>
    </row>
    <row r="272" spans="2:15">
      <c r="B272" s="12" t="s">
        <v>164</v>
      </c>
    </row>
    <row r="273" spans="1:15">
      <c r="C273" s="92" t="s">
        <v>29</v>
      </c>
      <c r="E273" s="1" t="s">
        <v>81</v>
      </c>
      <c r="G273" s="176">
        <f>G83</f>
        <v>27</v>
      </c>
      <c r="H273" s="176">
        <f t="shared" ref="H273:I273" si="123">H83</f>
        <v>27.8</v>
      </c>
      <c r="I273" s="176">
        <f t="shared" si="123"/>
        <v>28.3</v>
      </c>
      <c r="J273" s="176">
        <f>J265/J259*J261</f>
        <v>32.561337825894825</v>
      </c>
      <c r="K273" s="176">
        <f t="shared" ref="K273:N273" si="124">K265/K259*K261</f>
        <v>26.810204449315069</v>
      </c>
      <c r="L273" s="176">
        <f t="shared" si="124"/>
        <v>32.482548096633316</v>
      </c>
      <c r="M273" s="176">
        <f t="shared" si="124"/>
        <v>32.922562326859399</v>
      </c>
      <c r="N273" s="176">
        <f t="shared" si="124"/>
        <v>30.849407635141088</v>
      </c>
    </row>
    <row r="274" spans="1:15">
      <c r="C274" s="92" t="s">
        <v>30</v>
      </c>
      <c r="E274" s="1" t="s">
        <v>81</v>
      </c>
      <c r="G274" s="176">
        <f>G84</f>
        <v>36.5</v>
      </c>
      <c r="H274" s="176">
        <f t="shared" ref="H274:I276" si="125">H84</f>
        <v>36.1</v>
      </c>
      <c r="I274" s="176">
        <f t="shared" si="125"/>
        <v>35.1</v>
      </c>
      <c r="J274" s="176">
        <f>J266/J$259*J$262</f>
        <v>33.501588599204595</v>
      </c>
      <c r="K274" s="176">
        <f t="shared" ref="K274:N274" si="126">K266/K$259*K$262</f>
        <v>32.434962060450729</v>
      </c>
      <c r="L274" s="176">
        <f t="shared" si="126"/>
        <v>31.329271471479849</v>
      </c>
      <c r="M274" s="176">
        <f t="shared" si="126"/>
        <v>33.046099610026033</v>
      </c>
      <c r="N274" s="176">
        <f t="shared" si="126"/>
        <v>31.148863516065404</v>
      </c>
    </row>
    <row r="275" spans="1:15">
      <c r="C275" s="92" t="s">
        <v>54</v>
      </c>
      <c r="E275" s="1" t="s">
        <v>81</v>
      </c>
      <c r="G275" s="176">
        <f>G85</f>
        <v>14.6</v>
      </c>
      <c r="H275" s="176">
        <f t="shared" si="125"/>
        <v>14.4</v>
      </c>
      <c r="I275" s="176">
        <f t="shared" si="125"/>
        <v>14.9</v>
      </c>
      <c r="J275" s="176">
        <f t="shared" ref="J275:N278" si="127">J267/J$259*J$262</f>
        <v>14.357823685373397</v>
      </c>
      <c r="K275" s="176">
        <f t="shared" si="127"/>
        <v>14.969982489438797</v>
      </c>
      <c r="L275" s="176">
        <f t="shared" si="127"/>
        <v>15.664635735739925</v>
      </c>
      <c r="M275" s="176">
        <f t="shared" si="127"/>
        <v>16.523049805013017</v>
      </c>
      <c r="N275" s="176">
        <f t="shared" si="127"/>
        <v>16.99028919058113</v>
      </c>
    </row>
    <row r="276" spans="1:15">
      <c r="C276" s="123" t="s">
        <v>110</v>
      </c>
      <c r="E276" s="1" t="s">
        <v>81</v>
      </c>
      <c r="G276" s="176">
        <f>G86</f>
        <v>1.4</v>
      </c>
      <c r="H276" s="176">
        <f t="shared" si="125"/>
        <v>1.8</v>
      </c>
      <c r="I276" s="176">
        <f t="shared" si="125"/>
        <v>1.2</v>
      </c>
      <c r="J276" s="176">
        <f t="shared" si="127"/>
        <v>1.4357823685373396</v>
      </c>
      <c r="K276" s="176">
        <f t="shared" si="127"/>
        <v>1.4969982489438798</v>
      </c>
      <c r="L276" s="176">
        <f t="shared" si="127"/>
        <v>1.5664635735739927</v>
      </c>
      <c r="M276" s="176">
        <f t="shared" si="127"/>
        <v>1.6523049805013017</v>
      </c>
      <c r="N276" s="176">
        <f t="shared" si="127"/>
        <v>1.6990289190581129</v>
      </c>
    </row>
    <row r="277" spans="1:15">
      <c r="C277" s="123" t="s">
        <v>38</v>
      </c>
      <c r="E277" s="1" t="s">
        <v>81</v>
      </c>
      <c r="G277" s="176">
        <f>G98</f>
        <v>18.299999999999997</v>
      </c>
      <c r="H277" s="176">
        <f t="shared" ref="H277:I277" si="128">H98</f>
        <v>18.700000000000003</v>
      </c>
      <c r="I277" s="176">
        <f t="shared" si="128"/>
        <v>18.2</v>
      </c>
      <c r="J277" s="176">
        <f t="shared" si="127"/>
        <v>19.143764913831198</v>
      </c>
      <c r="K277" s="176">
        <f t="shared" si="127"/>
        <v>19.959976652585063</v>
      </c>
      <c r="L277" s="176">
        <f t="shared" si="127"/>
        <v>20.88618098098657</v>
      </c>
      <c r="M277" s="176">
        <f t="shared" si="127"/>
        <v>22.030733073350689</v>
      </c>
      <c r="N277" s="176">
        <f t="shared" si="127"/>
        <v>22.653718920774839</v>
      </c>
    </row>
    <row r="278" spans="1:15">
      <c r="C278" s="123" t="s">
        <v>111</v>
      </c>
      <c r="E278" s="1" t="s">
        <v>81</v>
      </c>
      <c r="G278" s="176">
        <f>G99</f>
        <v>4.7</v>
      </c>
      <c r="H278" s="176">
        <f t="shared" ref="H278:I278" si="129">H99</f>
        <v>4.9000000000000004</v>
      </c>
      <c r="I278" s="176">
        <f t="shared" si="129"/>
        <v>4.8</v>
      </c>
      <c r="J278" s="176">
        <f t="shared" si="127"/>
        <v>4.7859412284577996</v>
      </c>
      <c r="K278" s="176">
        <f t="shared" si="127"/>
        <v>4.9899941631462656</v>
      </c>
      <c r="L278" s="176">
        <f t="shared" si="127"/>
        <v>5.2215452452466424</v>
      </c>
      <c r="M278" s="176">
        <f t="shared" si="127"/>
        <v>5.5076832683376722</v>
      </c>
      <c r="N278" s="176">
        <f t="shared" si="127"/>
        <v>5.6634297301937098</v>
      </c>
    </row>
    <row r="279" spans="1:15">
      <c r="C279" s="123"/>
      <c r="G279" s="176"/>
      <c r="H279" s="176"/>
      <c r="I279" s="176"/>
      <c r="J279" s="176"/>
      <c r="K279" s="176"/>
      <c r="L279" s="176"/>
      <c r="M279" s="176"/>
      <c r="N279" s="176"/>
    </row>
    <row r="280" spans="1:15">
      <c r="C280" s="230" t="s">
        <v>170</v>
      </c>
      <c r="D280" s="86"/>
      <c r="E280" s="86"/>
      <c r="F280" s="86"/>
      <c r="G280" s="220">
        <f>SUM(G273:G276)-SUM(G277:G278)</f>
        <v>56.5</v>
      </c>
      <c r="H280" s="220">
        <f t="shared" ref="H280:N280" si="130">SUM(H273:H276)-SUM(H277:H278)</f>
        <v>56.500000000000007</v>
      </c>
      <c r="I280" s="220">
        <f t="shared" si="130"/>
        <v>56.500000000000014</v>
      </c>
      <c r="J280" s="220">
        <f t="shared" si="130"/>
        <v>57.92682633672117</v>
      </c>
      <c r="K280" s="220">
        <f t="shared" si="130"/>
        <v>50.762176432417142</v>
      </c>
      <c r="L280" s="220">
        <f t="shared" si="130"/>
        <v>54.935192651193873</v>
      </c>
      <c r="M280" s="220">
        <f t="shared" si="130"/>
        <v>56.605600380711394</v>
      </c>
      <c r="N280" s="221">
        <f t="shared" si="130"/>
        <v>52.370440609877193</v>
      </c>
    </row>
    <row r="281" spans="1:15">
      <c r="C281" s="231" t="s">
        <v>171</v>
      </c>
      <c r="D281" s="28"/>
      <c r="E281" s="28"/>
      <c r="F281" s="28"/>
      <c r="G281" s="214"/>
      <c r="H281" s="214">
        <f>G280-H280</f>
        <v>0</v>
      </c>
      <c r="I281" s="214">
        <f t="shared" ref="I281:N281" si="131">H280-I280</f>
        <v>0</v>
      </c>
      <c r="J281" s="214">
        <f t="shared" si="131"/>
        <v>-1.426826336721156</v>
      </c>
      <c r="K281" s="214">
        <f t="shared" si="131"/>
        <v>7.1646499043040279</v>
      </c>
      <c r="L281" s="214">
        <f t="shared" si="131"/>
        <v>-4.1730162187767306</v>
      </c>
      <c r="M281" s="214">
        <f t="shared" si="131"/>
        <v>-1.670407729517521</v>
      </c>
      <c r="N281" s="214">
        <f t="shared" si="131"/>
        <v>4.2351597708342013</v>
      </c>
    </row>
    <row r="282" spans="1:15">
      <c r="C282" s="123"/>
      <c r="G282" s="176"/>
      <c r="H282" s="176"/>
      <c r="I282" s="176"/>
      <c r="J282" s="176"/>
      <c r="K282" s="176"/>
      <c r="L282" s="176"/>
      <c r="M282" s="176"/>
      <c r="N282" s="176"/>
    </row>
    <row r="283" spans="1:15">
      <c r="G283" s="2"/>
      <c r="H283" s="2"/>
      <c r="I283" s="2"/>
      <c r="K283" s="1" t="str">
        <f>UPPER("currently running "&amp;TEXT(Scenario!$E$9,"Base case")&amp;" Scenario")</f>
        <v>CURRENTLY RUNNING BEST CASE SCENARIO</v>
      </c>
    </row>
    <row r="284" spans="1:15" ht="22.8">
      <c r="A284" s="3"/>
      <c r="B284" s="4" t="s">
        <v>185</v>
      </c>
      <c r="C284" s="4"/>
      <c r="D284" s="4"/>
      <c r="E284" s="4"/>
      <c r="F284" s="4"/>
      <c r="G284" s="4"/>
      <c r="H284" s="4"/>
      <c r="I284" s="4"/>
      <c r="J284" s="32"/>
      <c r="K284" s="32"/>
      <c r="L284" s="32"/>
      <c r="M284" s="32"/>
      <c r="N284" s="32"/>
      <c r="O284" s="32"/>
    </row>
    <row r="285" spans="1:15" ht="19.5" customHeight="1">
      <c r="A285" s="5"/>
      <c r="B285" s="6" t="s">
        <v>177</v>
      </c>
      <c r="C285" s="6"/>
      <c r="D285" s="6"/>
      <c r="E285" s="6"/>
      <c r="F285" s="6"/>
      <c r="G285" s="6"/>
      <c r="H285" s="6"/>
      <c r="I285" s="6"/>
      <c r="J285" s="32"/>
      <c r="K285" s="32"/>
      <c r="L285" s="32"/>
      <c r="M285" s="32"/>
      <c r="N285" s="32"/>
      <c r="O285" s="32"/>
    </row>
    <row r="286" spans="1:15" ht="6" customHeight="1" thickBot="1">
      <c r="A286" s="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</row>
    <row r="287" spans="1:15">
      <c r="B287" s="8" t="s">
        <v>56</v>
      </c>
    </row>
    <row r="288" spans="1:15">
      <c r="F288" s="9"/>
      <c r="J288" s="73" t="s">
        <v>148</v>
      </c>
      <c r="K288" s="73"/>
      <c r="L288" s="73"/>
      <c r="M288" s="73"/>
      <c r="N288" s="73"/>
    </row>
    <row r="289" spans="2:15">
      <c r="F289" s="10"/>
      <c r="G289" s="11">
        <v>2019</v>
      </c>
      <c r="H289" s="11">
        <f>G289+1</f>
        <v>2020</v>
      </c>
      <c r="I289" s="11">
        <f>H289+1</f>
        <v>2021</v>
      </c>
      <c r="J289" s="71">
        <f t="shared" ref="J289:N289" si="132">I289+1</f>
        <v>2022</v>
      </c>
      <c r="K289" s="71">
        <f t="shared" si="132"/>
        <v>2023</v>
      </c>
      <c r="L289" s="71">
        <f t="shared" si="132"/>
        <v>2024</v>
      </c>
      <c r="M289" s="71">
        <f t="shared" si="132"/>
        <v>2025</v>
      </c>
      <c r="N289" s="71">
        <f t="shared" si="132"/>
        <v>2026</v>
      </c>
      <c r="O289" s="11"/>
    </row>
    <row r="291" spans="2:15">
      <c r="B291" s="12" t="s">
        <v>93</v>
      </c>
    </row>
    <row r="292" spans="2:15">
      <c r="C292" s="1" t="str">
        <f>_xlfn.CONCAT("Beginnig Amount "&amp;TEXT(B291,"Cash"))</f>
        <v>Beginnig Amount Cash</v>
      </c>
      <c r="J292" s="176">
        <f>I294</f>
        <v>0.3</v>
      </c>
      <c r="K292" s="176">
        <f t="shared" ref="K292:N292" si="133">J294</f>
        <v>5.6167762439239821</v>
      </c>
      <c r="L292" s="176">
        <f t="shared" si="133"/>
        <v>5.5098858072434806</v>
      </c>
      <c r="M292" s="176">
        <f t="shared" si="133"/>
        <v>17.454307846516318</v>
      </c>
      <c r="N292" s="176">
        <f t="shared" si="133"/>
        <v>29.166012480799747</v>
      </c>
    </row>
    <row r="293" spans="2:15">
      <c r="C293" s="1" t="str">
        <f>_xlfn.CONCAT("Changing Amount "&amp;TEXT(B291,"Cash"))</f>
        <v>Changing Amount Cash</v>
      </c>
      <c r="I293" s="28"/>
      <c r="J293" s="214">
        <f>J68</f>
        <v>5.3167762439239823</v>
      </c>
      <c r="K293" s="214">
        <f t="shared" ref="K293:N293" si="134">K68</f>
        <v>-0.10689043668050147</v>
      </c>
      <c r="L293" s="214">
        <f t="shared" si="134"/>
        <v>11.944422039272837</v>
      </c>
      <c r="M293" s="214">
        <f t="shared" si="134"/>
        <v>11.711704634283429</v>
      </c>
      <c r="N293" s="214">
        <f t="shared" si="134"/>
        <v>5.2843945114399631</v>
      </c>
    </row>
    <row r="294" spans="2:15">
      <c r="C294" s="1" t="str">
        <f>_xlfn.CONCAT("Ending Amount "&amp;TEXT(B291,"Cash"))</f>
        <v>Ending Amount Cash</v>
      </c>
      <c r="I294" s="237">
        <f>I82</f>
        <v>0.3</v>
      </c>
      <c r="J294" s="237">
        <f>SUM(J292:J293)</f>
        <v>5.6167762439239821</v>
      </c>
      <c r="K294" s="237">
        <f t="shared" ref="K294:N294" si="135">SUM(K292:K293)</f>
        <v>5.5098858072434806</v>
      </c>
      <c r="L294" s="237">
        <f t="shared" si="135"/>
        <v>17.454307846516318</v>
      </c>
      <c r="M294" s="237">
        <f t="shared" si="135"/>
        <v>29.166012480799747</v>
      </c>
      <c r="N294" s="237">
        <f t="shared" si="135"/>
        <v>34.450406992239706</v>
      </c>
    </row>
    <row r="296" spans="2:15" ht="13.8" thickBot="1">
      <c r="C296" s="1" t="s">
        <v>95</v>
      </c>
      <c r="I296" s="233"/>
      <c r="J296" s="234">
        <f>Asumptions!O13</f>
        <v>0.01</v>
      </c>
      <c r="K296" s="234">
        <f>J296</f>
        <v>0.01</v>
      </c>
      <c r="L296" s="234">
        <f t="shared" ref="L296:N296" si="136">K296</f>
        <v>0.01</v>
      </c>
      <c r="M296" s="234">
        <f t="shared" si="136"/>
        <v>0.01</v>
      </c>
      <c r="N296" s="234">
        <f t="shared" si="136"/>
        <v>0.01</v>
      </c>
    </row>
    <row r="297" spans="2:15" ht="13.8" thickTop="1">
      <c r="C297" s="1" t="s">
        <v>169</v>
      </c>
      <c r="J297" s="238">
        <f>J292*J296</f>
        <v>3.0000000000000001E-3</v>
      </c>
      <c r="K297" s="238">
        <f t="shared" ref="K297:N297" si="137">K292*K296</f>
        <v>5.6167762439239821E-2</v>
      </c>
      <c r="L297" s="238">
        <f t="shared" si="137"/>
        <v>5.5098858072434809E-2</v>
      </c>
      <c r="M297" s="238">
        <f t="shared" si="137"/>
        <v>0.17454307846516318</v>
      </c>
      <c r="N297" s="238">
        <f t="shared" si="137"/>
        <v>0.29166012480799747</v>
      </c>
    </row>
    <row r="299" spans="2:15">
      <c r="B299" s="12" t="s">
        <v>94</v>
      </c>
    </row>
    <row r="300" spans="2:15">
      <c r="C300" s="1" t="s">
        <v>175</v>
      </c>
      <c r="I300" s="176">
        <f>I51</f>
        <v>19.100000000000001</v>
      </c>
      <c r="J300" s="176">
        <f t="shared" ref="J300:N300" si="138">J51</f>
        <v>53.771510222418598</v>
      </c>
      <c r="K300" s="176">
        <f t="shared" si="138"/>
        <v>45.956557811406697</v>
      </c>
      <c r="L300" s="176">
        <f t="shared" si="138"/>
        <v>64.087198270451893</v>
      </c>
      <c r="M300" s="176">
        <f t="shared" si="138"/>
        <v>63.27564939190033</v>
      </c>
      <c r="N300" s="176">
        <f t="shared" si="138"/>
        <v>54.242203196591404</v>
      </c>
    </row>
    <row r="301" spans="2:15">
      <c r="C301" s="1" t="s">
        <v>173</v>
      </c>
      <c r="I301" s="176">
        <f>I57</f>
        <v>-12.5</v>
      </c>
      <c r="J301" s="176">
        <f t="shared" ref="J301:N301" si="139">J57</f>
        <v>-16</v>
      </c>
      <c r="K301" s="176">
        <f t="shared" si="139"/>
        <v>-17</v>
      </c>
      <c r="L301" s="176">
        <f t="shared" si="139"/>
        <v>-17.3</v>
      </c>
      <c r="M301" s="176">
        <f t="shared" si="139"/>
        <v>-17.5</v>
      </c>
      <c r="N301" s="176">
        <f t="shared" si="139"/>
        <v>-18</v>
      </c>
    </row>
    <row r="302" spans="2:15">
      <c r="C302" s="1" t="s">
        <v>22</v>
      </c>
      <c r="I302" s="239">
        <f>I317</f>
        <v>0</v>
      </c>
      <c r="J302" s="239">
        <f t="shared" ref="J302:N302" si="140">J317</f>
        <v>-25</v>
      </c>
      <c r="K302" s="239">
        <f t="shared" si="140"/>
        <v>-25</v>
      </c>
      <c r="L302" s="239">
        <f t="shared" si="140"/>
        <v>-25</v>
      </c>
      <c r="M302" s="239">
        <f t="shared" si="140"/>
        <v>-25</v>
      </c>
      <c r="N302" s="239">
        <f t="shared" si="140"/>
        <v>-25</v>
      </c>
    </row>
    <row r="303" spans="2:15">
      <c r="C303" s="1" t="s">
        <v>24</v>
      </c>
      <c r="I303" s="176">
        <f>I63</f>
        <v>0</v>
      </c>
      <c r="J303" s="176">
        <f t="shared" ref="J303:N303" si="141">J63</f>
        <v>0</v>
      </c>
      <c r="K303" s="176">
        <f t="shared" si="141"/>
        <v>0</v>
      </c>
      <c r="L303" s="176">
        <f t="shared" si="141"/>
        <v>0</v>
      </c>
      <c r="M303" s="176">
        <f t="shared" si="141"/>
        <v>0</v>
      </c>
      <c r="N303" s="176">
        <f t="shared" si="141"/>
        <v>0</v>
      </c>
    </row>
    <row r="304" spans="2:15">
      <c r="C304" s="1" t="s">
        <v>25</v>
      </c>
      <c r="I304" s="214">
        <f>I64</f>
        <v>-2.4</v>
      </c>
      <c r="J304" s="214">
        <f t="shared" ref="J304:N304" si="142">J64</f>
        <v>-7.4547339784946178</v>
      </c>
      <c r="K304" s="214">
        <f t="shared" si="142"/>
        <v>-4.0634482480872007</v>
      </c>
      <c r="L304" s="214">
        <f t="shared" si="142"/>
        <v>-9.8427762311790588</v>
      </c>
      <c r="M304" s="214">
        <f t="shared" si="142"/>
        <v>-9.0639447576169037</v>
      </c>
      <c r="N304" s="214">
        <f t="shared" si="142"/>
        <v>-5.9578086851514414</v>
      </c>
    </row>
    <row r="305" spans="2:14">
      <c r="C305" s="12" t="s">
        <v>174</v>
      </c>
      <c r="I305" s="238">
        <f>SUM(I300:I304)</f>
        <v>4.2000000000000011</v>
      </c>
      <c r="J305" s="238">
        <f t="shared" ref="J305:N305" si="143">SUM(J300:J304)</f>
        <v>5.3167762439239805</v>
      </c>
      <c r="K305" s="238">
        <f t="shared" si="143"/>
        <v>-0.10689043668050413</v>
      </c>
      <c r="L305" s="238">
        <f t="shared" si="143"/>
        <v>11.944422039272837</v>
      </c>
      <c r="M305" s="238">
        <f t="shared" si="143"/>
        <v>11.711704634283427</v>
      </c>
      <c r="N305" s="238">
        <f t="shared" si="143"/>
        <v>5.2843945114399631</v>
      </c>
    </row>
    <row r="307" spans="2:14">
      <c r="C307" s="1" t="str">
        <f>_xlfn.CONCAT("Beginnig Amount "&amp;TEXT(B299,"Cash"))</f>
        <v>Beginnig Amount Revolver</v>
      </c>
      <c r="J307" s="176">
        <f>I309</f>
        <v>0</v>
      </c>
      <c r="K307" s="176">
        <f t="shared" ref="K307:N307" si="144">J309</f>
        <v>0</v>
      </c>
      <c r="L307" s="176">
        <f t="shared" si="144"/>
        <v>0</v>
      </c>
      <c r="M307" s="176">
        <f t="shared" si="144"/>
        <v>0</v>
      </c>
      <c r="N307" s="176">
        <f t="shared" si="144"/>
        <v>0</v>
      </c>
    </row>
    <row r="308" spans="2:14">
      <c r="C308" s="1" t="str">
        <f>_xlfn.CONCAT("Changing Amount "&amp;TEXT(B299,"Cash"))</f>
        <v>Changing Amount Revolver</v>
      </c>
      <c r="J308" s="176">
        <f>-MIN(J307,(J305+J292))</f>
        <v>0</v>
      </c>
      <c r="K308" s="176">
        <f t="shared" ref="K308:N308" si="145">-MIN(K307,(K305+K292))</f>
        <v>0</v>
      </c>
      <c r="L308" s="176">
        <f t="shared" si="145"/>
        <v>0</v>
      </c>
      <c r="M308" s="176">
        <f t="shared" si="145"/>
        <v>0</v>
      </c>
      <c r="N308" s="176">
        <f t="shared" si="145"/>
        <v>0</v>
      </c>
    </row>
    <row r="309" spans="2:14">
      <c r="C309" s="1" t="str">
        <f>_xlfn.CONCAT("Ending Amount "&amp;TEXT(B299,"Cash"))</f>
        <v>Ending Amount Revolver</v>
      </c>
      <c r="I309" s="176">
        <f>I61</f>
        <v>0</v>
      </c>
      <c r="J309" s="176">
        <f>SUM(J307:J308)</f>
        <v>0</v>
      </c>
      <c r="K309" s="176">
        <f t="shared" ref="K309:N309" si="146">SUM(K307:K308)</f>
        <v>0</v>
      </c>
      <c r="L309" s="176">
        <f t="shared" si="146"/>
        <v>0</v>
      </c>
      <c r="M309" s="176">
        <f t="shared" si="146"/>
        <v>0</v>
      </c>
      <c r="N309" s="176">
        <f t="shared" si="146"/>
        <v>0</v>
      </c>
    </row>
    <row r="311" spans="2:14">
      <c r="C311" s="1" t="s">
        <v>95</v>
      </c>
      <c r="J311" s="209">
        <f>Asumptions!O14</f>
        <v>0.06</v>
      </c>
      <c r="K311" s="209">
        <f>J311</f>
        <v>0.06</v>
      </c>
      <c r="L311" s="209">
        <f t="shared" ref="L311:N311" si="147">K311</f>
        <v>0.06</v>
      </c>
      <c r="M311" s="209">
        <f t="shared" si="147"/>
        <v>0.06</v>
      </c>
      <c r="N311" s="209">
        <f t="shared" si="147"/>
        <v>0.06</v>
      </c>
    </row>
    <row r="312" spans="2:14">
      <c r="C312" s="1" t="s">
        <v>169</v>
      </c>
      <c r="J312" s="1">
        <f>J311*J307</f>
        <v>0</v>
      </c>
      <c r="K312" s="1">
        <f t="shared" ref="K312:N312" si="148">K311*K307</f>
        <v>0</v>
      </c>
      <c r="L312" s="260">
        <f t="shared" si="148"/>
        <v>0</v>
      </c>
      <c r="M312" s="260">
        <f t="shared" si="148"/>
        <v>0</v>
      </c>
      <c r="N312" s="260">
        <f t="shared" si="148"/>
        <v>0</v>
      </c>
    </row>
    <row r="315" spans="2:14">
      <c r="B315" s="12" t="s">
        <v>172</v>
      </c>
    </row>
    <row r="316" spans="2:14">
      <c r="C316" s="1" t="str">
        <f>_xlfn.CONCAT("Beginnig Amount "&amp;TEXT(B315,"Cash"))</f>
        <v>Beginnig Amount Senior Secured debt</v>
      </c>
      <c r="J316" s="235">
        <f>I318</f>
        <v>200</v>
      </c>
      <c r="K316" s="235">
        <f t="shared" ref="K316:N316" si="149">J318</f>
        <v>175</v>
      </c>
      <c r="L316" s="235">
        <f t="shared" si="149"/>
        <v>150</v>
      </c>
      <c r="M316" s="235">
        <f t="shared" si="149"/>
        <v>125</v>
      </c>
      <c r="N316" s="235">
        <f t="shared" si="149"/>
        <v>100</v>
      </c>
    </row>
    <row r="317" spans="2:14">
      <c r="C317" s="1" t="str">
        <f>_xlfn.CONCAT("Changing Amount "&amp;TEXT(B315,"Cash"))</f>
        <v>Changing Amount Senior Secured debt</v>
      </c>
      <c r="I317" s="28">
        <v>0</v>
      </c>
      <c r="J317" s="259">
        <f>-Asumptions!K35</f>
        <v>-25</v>
      </c>
      <c r="K317" s="259">
        <f>-Asumptions!L35</f>
        <v>-25</v>
      </c>
      <c r="L317" s="259">
        <f>-Asumptions!M35</f>
        <v>-25</v>
      </c>
      <c r="M317" s="259">
        <f>-Asumptions!N35</f>
        <v>-25</v>
      </c>
      <c r="N317" s="259">
        <f>-Asumptions!O35</f>
        <v>-25</v>
      </c>
    </row>
    <row r="318" spans="2:14">
      <c r="C318" s="1" t="str">
        <f>_xlfn.CONCAT("Ending Amount "&amp;TEXT(B315,"Cash"))</f>
        <v>Ending Amount Senior Secured debt</v>
      </c>
      <c r="I318" s="236">
        <f>I103</f>
        <v>200</v>
      </c>
      <c r="J318" s="236">
        <f>SUM(J316:J317)</f>
        <v>175</v>
      </c>
      <c r="K318" s="236">
        <f t="shared" ref="K318:N318" si="150">SUM(K316:K317)</f>
        <v>150</v>
      </c>
      <c r="L318" s="236">
        <f t="shared" si="150"/>
        <v>125</v>
      </c>
      <c r="M318" s="236">
        <f t="shared" si="150"/>
        <v>100</v>
      </c>
      <c r="N318" s="236">
        <f t="shared" si="150"/>
        <v>75</v>
      </c>
    </row>
    <row r="320" spans="2:14" ht="13.8" thickBot="1">
      <c r="C320" s="1" t="s">
        <v>95</v>
      </c>
      <c r="I320" s="234">
        <f>Asumptions!$O$15</f>
        <v>0.06</v>
      </c>
      <c r="J320" s="234">
        <f>I320</f>
        <v>0.06</v>
      </c>
      <c r="K320" s="234">
        <f t="shared" ref="K320:N320" si="151">J320</f>
        <v>0.06</v>
      </c>
      <c r="L320" s="234">
        <f t="shared" si="151"/>
        <v>0.06</v>
      </c>
      <c r="M320" s="234">
        <f t="shared" si="151"/>
        <v>0.06</v>
      </c>
      <c r="N320" s="234">
        <f t="shared" si="151"/>
        <v>0.06</v>
      </c>
    </row>
    <row r="321" spans="1:15" ht="13.8" thickTop="1">
      <c r="C321" s="1" t="s">
        <v>169</v>
      </c>
      <c r="I321" s="207"/>
      <c r="J321" s="207">
        <f>J320*J316</f>
        <v>12</v>
      </c>
      <c r="K321" s="207">
        <f t="shared" ref="K321:N321" si="152">K320*K316</f>
        <v>10.5</v>
      </c>
      <c r="L321" s="207">
        <f t="shared" si="152"/>
        <v>9</v>
      </c>
      <c r="M321" s="207">
        <f t="shared" si="152"/>
        <v>7.5</v>
      </c>
      <c r="N321" s="207">
        <f t="shared" si="152"/>
        <v>6</v>
      </c>
    </row>
    <row r="322" spans="1:15">
      <c r="I322" s="92"/>
      <c r="J322" s="92"/>
      <c r="K322" s="92"/>
      <c r="L322" s="92"/>
      <c r="M322" s="92"/>
      <c r="N322" s="92"/>
    </row>
    <row r="323" spans="1:15" s="92" customFormat="1">
      <c r="B323" s="90" t="s">
        <v>176</v>
      </c>
      <c r="I323" s="244"/>
      <c r="J323" s="245">
        <f>J321+J312+J297</f>
        <v>12.003</v>
      </c>
      <c r="K323" s="245">
        <f t="shared" ref="K323:N323" si="153">K321+K312+K297</f>
        <v>10.556167762439239</v>
      </c>
      <c r="L323" s="245">
        <f t="shared" si="153"/>
        <v>9.0550988580724354</v>
      </c>
      <c r="M323" s="245">
        <f t="shared" si="153"/>
        <v>7.6745430784651631</v>
      </c>
      <c r="N323" s="245">
        <f t="shared" si="153"/>
        <v>6.2916601248079971</v>
      </c>
    </row>
    <row r="325" spans="1:15">
      <c r="G325" s="2"/>
      <c r="H325" s="2"/>
      <c r="I325" s="2"/>
      <c r="K325" s="1" t="str">
        <f>UPPER("currently running "&amp;TEXT(Scenario!$E$9,"Base case")&amp;" Scenario")</f>
        <v>CURRENTLY RUNNING BEST CASE SCENARIO</v>
      </c>
    </row>
    <row r="326" spans="1:15" ht="22.8">
      <c r="A326" s="3"/>
      <c r="B326" s="4" t="s">
        <v>185</v>
      </c>
      <c r="C326" s="4"/>
      <c r="D326" s="4"/>
      <c r="E326" s="4"/>
      <c r="F326" s="4"/>
      <c r="G326" s="4"/>
      <c r="H326" s="4"/>
      <c r="I326" s="4"/>
      <c r="J326" s="32"/>
      <c r="K326" s="32"/>
      <c r="L326" s="32"/>
      <c r="M326" s="32"/>
      <c r="N326" s="32"/>
      <c r="O326" s="32"/>
    </row>
    <row r="327" spans="1:15" ht="19.5" customHeight="1">
      <c r="A327" s="5"/>
      <c r="B327" s="6" t="s">
        <v>178</v>
      </c>
      <c r="C327" s="6"/>
      <c r="D327" s="6"/>
      <c r="E327" s="6"/>
      <c r="F327" s="6"/>
      <c r="G327" s="6"/>
      <c r="H327" s="6"/>
      <c r="I327" s="6"/>
      <c r="J327" s="32"/>
      <c r="K327" s="32"/>
      <c r="L327" s="32"/>
      <c r="M327" s="32"/>
      <c r="N327" s="32"/>
      <c r="O327" s="32"/>
    </row>
    <row r="328" spans="1:15" ht="6" customHeight="1" thickBot="1">
      <c r="A328" s="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</row>
    <row r="329" spans="1:15">
      <c r="B329" s="8" t="s">
        <v>56</v>
      </c>
    </row>
    <row r="330" spans="1:15">
      <c r="F330" s="9"/>
      <c r="J330" s="73" t="s">
        <v>148</v>
      </c>
      <c r="K330" s="73"/>
      <c r="L330" s="73"/>
      <c r="M330" s="73"/>
      <c r="N330" s="73"/>
    </row>
    <row r="331" spans="1:15">
      <c r="F331" s="10"/>
      <c r="G331" s="11">
        <v>2019</v>
      </c>
      <c r="H331" s="11">
        <f>G331+1</f>
        <v>2020</v>
      </c>
      <c r="I331" s="11">
        <f>H331+1</f>
        <v>2021</v>
      </c>
      <c r="J331" s="71">
        <f t="shared" ref="J331:N331" si="154">I331+1</f>
        <v>2022</v>
      </c>
      <c r="K331" s="71">
        <f t="shared" si="154"/>
        <v>2023</v>
      </c>
      <c r="L331" s="71">
        <f t="shared" si="154"/>
        <v>2024</v>
      </c>
      <c r="M331" s="71">
        <f t="shared" si="154"/>
        <v>2025</v>
      </c>
      <c r="N331" s="71">
        <f t="shared" si="154"/>
        <v>2026</v>
      </c>
      <c r="O331" s="11"/>
    </row>
    <row r="333" spans="1:15">
      <c r="B333" s="12" t="s">
        <v>42</v>
      </c>
    </row>
    <row r="334" spans="1:15">
      <c r="C334" s="1" t="str">
        <f>_xlfn.CONCAT("Beginnig Amount "&amp;TEXT(B333,"Cash"))</f>
        <v>Beginnig Amount Common Shares</v>
      </c>
      <c r="J334" s="176">
        <f>I336</f>
        <v>120</v>
      </c>
      <c r="K334" s="176">
        <f t="shared" ref="K334:N334" si="155">J336</f>
        <v>120</v>
      </c>
      <c r="L334" s="176">
        <f t="shared" si="155"/>
        <v>120</v>
      </c>
      <c r="M334" s="176">
        <f t="shared" si="155"/>
        <v>120</v>
      </c>
      <c r="N334" s="176">
        <f t="shared" si="155"/>
        <v>120</v>
      </c>
    </row>
    <row r="335" spans="1:15">
      <c r="C335" s="1" t="str">
        <f>_xlfn.CONCAT("New Issuance "&amp;TEXT(B333,"Cash"))</f>
        <v>New Issuance Common Shares</v>
      </c>
      <c r="J335" s="229">
        <f>Asumptions!K36</f>
        <v>0</v>
      </c>
      <c r="K335" s="229">
        <f>Asumptions!L36</f>
        <v>0</v>
      </c>
      <c r="L335" s="229">
        <f>Asumptions!M36</f>
        <v>0</v>
      </c>
      <c r="M335" s="229">
        <f>Asumptions!N36</f>
        <v>0</v>
      </c>
      <c r="N335" s="229">
        <f>Asumptions!O36</f>
        <v>0</v>
      </c>
    </row>
    <row r="336" spans="1:15">
      <c r="C336" s="1" t="str">
        <f>_xlfn.CONCAT("Ending Amount "&amp;TEXT(B333,"Cash"))</f>
        <v>Ending Amount Common Shares</v>
      </c>
      <c r="I336" s="178">
        <f>I108</f>
        <v>120</v>
      </c>
      <c r="J336" s="176">
        <f>SUM(J334:J335)</f>
        <v>120</v>
      </c>
      <c r="K336" s="176">
        <f t="shared" ref="K336:N336" si="156">SUM(K334:K335)</f>
        <v>120</v>
      </c>
      <c r="L336" s="176">
        <f t="shared" si="156"/>
        <v>120</v>
      </c>
      <c r="M336" s="176">
        <f t="shared" si="156"/>
        <v>120</v>
      </c>
      <c r="N336" s="176">
        <f t="shared" si="156"/>
        <v>120</v>
      </c>
    </row>
    <row r="338" spans="2:14">
      <c r="C338" s="1" t="s">
        <v>179</v>
      </c>
      <c r="J338" s="209">
        <f>Asumptions!O9</f>
        <v>0.2</v>
      </c>
      <c r="K338" s="209">
        <f>J338</f>
        <v>0.2</v>
      </c>
      <c r="L338" s="209">
        <f t="shared" ref="L338:N338" si="157">K338</f>
        <v>0.2</v>
      </c>
      <c r="M338" s="209">
        <f t="shared" si="157"/>
        <v>0.2</v>
      </c>
      <c r="N338" s="209">
        <f t="shared" si="157"/>
        <v>0.2</v>
      </c>
    </row>
    <row r="339" spans="2:14">
      <c r="C339" s="1" t="s">
        <v>12</v>
      </c>
      <c r="J339" s="214">
        <f>J30</f>
        <v>37.273669892473087</v>
      </c>
      <c r="K339" s="214">
        <f>K30</f>
        <v>20.317241240436005</v>
      </c>
      <c r="L339" s="214">
        <f>L30</f>
        <v>49.213881155895294</v>
      </c>
      <c r="M339" s="214">
        <f>M30</f>
        <v>45.319723788084517</v>
      </c>
      <c r="N339" s="214">
        <f>N30</f>
        <v>29.789043425757207</v>
      </c>
    </row>
    <row r="340" spans="2:14">
      <c r="C340" s="1" t="s">
        <v>180</v>
      </c>
      <c r="J340" s="241">
        <f>J338*J339</f>
        <v>7.4547339784946178</v>
      </c>
      <c r="K340" s="241">
        <f t="shared" ref="K340:N340" si="158">K338*K339</f>
        <v>4.0634482480872007</v>
      </c>
      <c r="L340" s="241">
        <f t="shared" si="158"/>
        <v>9.8427762311790588</v>
      </c>
      <c r="M340" s="241">
        <f t="shared" si="158"/>
        <v>9.0639447576169037</v>
      </c>
      <c r="N340" s="241">
        <f t="shared" si="158"/>
        <v>5.9578086851514414</v>
      </c>
    </row>
    <row r="342" spans="2:14">
      <c r="B342" s="12" t="s">
        <v>43</v>
      </c>
    </row>
    <row r="343" spans="2:14">
      <c r="C343" s="1" t="str">
        <f>_xlfn.CONCAT("Beginnig Amount "&amp;TEXT(B342,"Cash"))</f>
        <v>Beginnig Amount Retained Earnings</v>
      </c>
      <c r="J343" s="176">
        <f>I346</f>
        <v>138.50000000000003</v>
      </c>
      <c r="K343" s="176">
        <f t="shared" ref="K343:N343" si="159">J346</f>
        <v>168.31893591397849</v>
      </c>
      <c r="L343" s="176">
        <f t="shared" si="159"/>
        <v>184.57272890632728</v>
      </c>
      <c r="M343" s="176">
        <f t="shared" si="159"/>
        <v>223.94383383104349</v>
      </c>
      <c r="N343" s="176">
        <f t="shared" si="159"/>
        <v>260.19961286151107</v>
      </c>
    </row>
    <row r="344" spans="2:14">
      <c r="C344" s="1" t="s">
        <v>12</v>
      </c>
      <c r="J344" s="176">
        <f>J339</f>
        <v>37.273669892473087</v>
      </c>
      <c r="K344" s="176">
        <f t="shared" ref="K344:N344" si="160">K339</f>
        <v>20.317241240436005</v>
      </c>
      <c r="L344" s="176">
        <f t="shared" si="160"/>
        <v>49.213881155895294</v>
      </c>
      <c r="M344" s="176">
        <f t="shared" si="160"/>
        <v>45.319723788084517</v>
      </c>
      <c r="N344" s="176">
        <f t="shared" si="160"/>
        <v>29.789043425757207</v>
      </c>
    </row>
    <row r="345" spans="2:14">
      <c r="C345" s="1" t="s">
        <v>25</v>
      </c>
      <c r="J345" s="240">
        <f>-J340</f>
        <v>-7.4547339784946178</v>
      </c>
      <c r="K345" s="240">
        <f t="shared" ref="K345:N345" si="161">-K340</f>
        <v>-4.0634482480872007</v>
      </c>
      <c r="L345" s="240">
        <f t="shared" si="161"/>
        <v>-9.8427762311790588</v>
      </c>
      <c r="M345" s="240">
        <f t="shared" si="161"/>
        <v>-9.0639447576169037</v>
      </c>
      <c r="N345" s="240">
        <f t="shared" si="161"/>
        <v>-5.9578086851514414</v>
      </c>
    </row>
    <row r="346" spans="2:14">
      <c r="C346" s="1" t="str">
        <f>_xlfn.CONCAT("Ending Amount "&amp;TEXT(B342,"Cash"))</f>
        <v>Ending Amount Retained Earnings</v>
      </c>
      <c r="I346" s="182">
        <f>I109</f>
        <v>138.50000000000003</v>
      </c>
      <c r="J346" s="207">
        <f>SUM(J343:J345)</f>
        <v>168.31893591397849</v>
      </c>
      <c r="K346" s="207">
        <f t="shared" ref="K346:N346" si="162">SUM(K343:K345)</f>
        <v>184.57272890632728</v>
      </c>
      <c r="L346" s="207">
        <f t="shared" si="162"/>
        <v>223.94383383104349</v>
      </c>
      <c r="M346" s="207">
        <f t="shared" si="162"/>
        <v>260.19961286151107</v>
      </c>
      <c r="N346" s="207">
        <f t="shared" si="162"/>
        <v>284.03084760211681</v>
      </c>
    </row>
  </sheetData>
  <sheetProtection formatCells="0"/>
  <printOptions horizontalCentered="1"/>
  <pageMargins left="0.25" right="0.25" top="0.25" bottom="0.5" header="0.25" footer="0.25"/>
  <pageSetup scale="85" orientation="landscape" r:id="rId1"/>
  <headerFooter alignWithMargins="0">
    <oddFooter>&amp;C&amp;P of &amp;N&amp;RShchebrina Yury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289D2-02A2-49EE-8358-6DBF928843CB}">
  <dimension ref="A1:K29"/>
  <sheetViews>
    <sheetView showGridLines="0" tabSelected="1" zoomScale="44" zoomScaleNormal="44" zoomScaleSheetLayoutView="90" workbookViewId="0">
      <selection activeCell="D10" sqref="D10"/>
    </sheetView>
  </sheetViews>
  <sheetFormatPr defaultColWidth="9.21875" defaultRowHeight="13.2"/>
  <cols>
    <col min="1" max="1" width="2.5546875" style="1" customWidth="1"/>
    <col min="2" max="2" width="1.77734375" style="1" customWidth="1"/>
    <col min="3" max="3" width="2.21875" style="1" customWidth="1"/>
    <col min="4" max="4" width="32.77734375" style="1" customWidth="1"/>
    <col min="5" max="5" width="12.77734375" style="1" customWidth="1"/>
    <col min="6" max="6" width="1.77734375" style="1" customWidth="1"/>
    <col min="7" max="9" width="12.77734375" style="1" customWidth="1"/>
    <col min="10" max="16384" width="9.21875" style="1"/>
  </cols>
  <sheetData>
    <row r="1" spans="1:11">
      <c r="G1" s="2"/>
      <c r="H1" s="2"/>
      <c r="I1" s="2"/>
    </row>
    <row r="2" spans="1:11" ht="22.8">
      <c r="A2" s="3"/>
      <c r="B2" s="4" t="s">
        <v>185</v>
      </c>
      <c r="C2" s="4"/>
      <c r="D2" s="4"/>
      <c r="E2" s="4"/>
      <c r="F2" s="4"/>
      <c r="G2" s="4"/>
      <c r="H2" s="4"/>
      <c r="I2" s="4"/>
      <c r="J2" s="32"/>
      <c r="K2" s="32"/>
    </row>
    <row r="3" spans="1:11" ht="19.5" customHeight="1">
      <c r="A3" s="5"/>
      <c r="B3" s="6" t="s">
        <v>115</v>
      </c>
      <c r="C3" s="6"/>
      <c r="D3" s="6"/>
      <c r="E3" s="6"/>
      <c r="F3" s="6"/>
      <c r="G3" s="6"/>
      <c r="H3" s="6"/>
      <c r="I3" s="6"/>
      <c r="J3" s="32"/>
      <c r="K3" s="32"/>
    </row>
    <row r="4" spans="1:11" ht="6" customHeight="1" thickBot="1">
      <c r="A4" s="5"/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>
      <c r="B5" s="8"/>
    </row>
    <row r="6" spans="1:11">
      <c r="F6" s="9"/>
    </row>
    <row r="7" spans="1:11">
      <c r="F7" s="10"/>
      <c r="G7" s="71">
        <v>2022</v>
      </c>
      <c r="H7" s="71">
        <v>2023</v>
      </c>
      <c r="I7" s="71">
        <v>2024</v>
      </c>
      <c r="J7" s="71">
        <v>2025</v>
      </c>
      <c r="K7" s="71">
        <v>2026</v>
      </c>
    </row>
    <row r="8" spans="1:11" ht="13.2" customHeight="1">
      <c r="F8" s="10"/>
      <c r="G8" s="10"/>
      <c r="H8" s="10"/>
      <c r="I8" s="10"/>
    </row>
    <row r="9" spans="1:11">
      <c r="B9" s="157" t="s">
        <v>116</v>
      </c>
      <c r="C9" s="100"/>
      <c r="D9" s="100"/>
      <c r="E9" s="101" t="s">
        <v>122</v>
      </c>
    </row>
    <row r="10" spans="1:11" ht="35.4">
      <c r="B10" s="12"/>
      <c r="D10" s="273"/>
    </row>
    <row r="11" spans="1:11">
      <c r="B11" s="12" t="s">
        <v>118</v>
      </c>
      <c r="G11" s="158">
        <f>CHOOSE(MATCH($E$9,$C$13:$C$15),G13,G14,G15)</f>
        <v>1.7999999999999999E-2</v>
      </c>
      <c r="H11" s="159">
        <f t="shared" ref="H11:K11" si="0">CHOOSE(MATCH($E$9,$C$13:$C$15),H13,H14,H15)</f>
        <v>1.7999999999999999E-2</v>
      </c>
      <c r="I11" s="159">
        <f t="shared" si="0"/>
        <v>1.7999999999999999E-2</v>
      </c>
      <c r="J11" s="159">
        <f t="shared" si="0"/>
        <v>0.02</v>
      </c>
      <c r="K11" s="160">
        <f t="shared" si="0"/>
        <v>0.02</v>
      </c>
    </row>
    <row r="12" spans="1:11">
      <c r="B12" s="12"/>
      <c r="G12" s="92"/>
      <c r="H12" s="92"/>
      <c r="I12" s="92"/>
      <c r="J12" s="92"/>
      <c r="K12" s="92"/>
    </row>
    <row r="13" spans="1:11">
      <c r="C13" s="1" t="s">
        <v>121</v>
      </c>
      <c r="G13" s="148">
        <v>0.02</v>
      </c>
      <c r="H13" s="149">
        <v>0.02</v>
      </c>
      <c r="I13" s="149">
        <v>0.02</v>
      </c>
      <c r="J13" s="149">
        <v>2.5000000000000001E-2</v>
      </c>
      <c r="K13" s="150">
        <v>2.5000000000000001E-2</v>
      </c>
    </row>
    <row r="14" spans="1:11">
      <c r="C14" s="1" t="s">
        <v>122</v>
      </c>
      <c r="G14" s="151">
        <v>1.7999999999999999E-2</v>
      </c>
      <c r="H14" s="152">
        <v>1.7999999999999999E-2</v>
      </c>
      <c r="I14" s="152">
        <v>1.7999999999999999E-2</v>
      </c>
      <c r="J14" s="152">
        <v>0.02</v>
      </c>
      <c r="K14" s="153">
        <v>0.02</v>
      </c>
    </row>
    <row r="15" spans="1:11">
      <c r="C15" s="1" t="s">
        <v>123</v>
      </c>
      <c r="G15" s="154">
        <v>2.5000000000000001E-2</v>
      </c>
      <c r="H15" s="155">
        <v>2.5000000000000001E-2</v>
      </c>
      <c r="I15" s="155">
        <v>2.5000000000000001E-2</v>
      </c>
      <c r="J15" s="155">
        <v>2.5000000000000001E-2</v>
      </c>
      <c r="K15" s="156">
        <v>2.5000000000000001E-2</v>
      </c>
    </row>
    <row r="17" spans="2:11">
      <c r="B17" s="12" t="s">
        <v>117</v>
      </c>
    </row>
    <row r="19" spans="2:11">
      <c r="B19" s="12" t="s">
        <v>119</v>
      </c>
      <c r="G19" s="99">
        <f>CHOOSE(MATCH($E$9,$C$13:$C$15),G21,G22,G23)</f>
        <v>832</v>
      </c>
      <c r="H19" s="100">
        <f t="shared" ref="H19:K19" si="1">CHOOSE(MATCH($E$9,$C$13:$C$15),H21,H22,H23)</f>
        <v>754</v>
      </c>
      <c r="I19" s="100">
        <f t="shared" si="1"/>
        <v>858</v>
      </c>
      <c r="J19" s="100">
        <f t="shared" si="1"/>
        <v>832</v>
      </c>
      <c r="K19" s="101">
        <f t="shared" si="1"/>
        <v>780</v>
      </c>
    </row>
    <row r="20" spans="2:11">
      <c r="B20" s="12"/>
    </row>
    <row r="21" spans="2:11">
      <c r="C21" s="1" t="s">
        <v>121</v>
      </c>
      <c r="G21" s="161">
        <v>800</v>
      </c>
      <c r="H21" s="162">
        <v>725</v>
      </c>
      <c r="I21" s="162">
        <v>825</v>
      </c>
      <c r="J21" s="162">
        <v>800</v>
      </c>
      <c r="K21" s="163">
        <v>750</v>
      </c>
    </row>
    <row r="22" spans="2:11">
      <c r="C22" s="1" t="str">
        <f>CONCATENATE(Scenario!C14,TEXT(Asumptions!F14," 0%"))</f>
        <v>Best case 4%</v>
      </c>
      <c r="G22" s="164">
        <f>G21*(1+Asumptions!$F$14)</f>
        <v>832</v>
      </c>
      <c r="H22" s="165">
        <f>H21*(1+Asumptions!$F$14)</f>
        <v>754</v>
      </c>
      <c r="I22" s="165">
        <f>I21*(1+Asumptions!$F$14)</f>
        <v>858</v>
      </c>
      <c r="J22" s="165">
        <f>J21*(1+Asumptions!$F$14)</f>
        <v>832</v>
      </c>
      <c r="K22" s="166">
        <f>K21*(1+Asumptions!$F$14)</f>
        <v>780</v>
      </c>
    </row>
    <row r="23" spans="2:11">
      <c r="C23" s="1" t="str">
        <f>CONCATENATE(Scenario!C15,TEXT(Asumptions!F15," 0%"))</f>
        <v>Worst case- 4%</v>
      </c>
      <c r="G23" s="167">
        <f>G21*(1+Asumptions!$F$15)</f>
        <v>768</v>
      </c>
      <c r="H23" s="168">
        <f>H21*(1+Asumptions!$F$15)</f>
        <v>696</v>
      </c>
      <c r="I23" s="168">
        <f>I21*(1+Asumptions!$F$15)</f>
        <v>792</v>
      </c>
      <c r="J23" s="168">
        <f>J21*(1+Asumptions!$F$15)</f>
        <v>768</v>
      </c>
      <c r="K23" s="169">
        <f>K21*(1+Asumptions!$F$15)</f>
        <v>720</v>
      </c>
    </row>
    <row r="25" spans="2:11">
      <c r="B25" s="12" t="s">
        <v>120</v>
      </c>
      <c r="G25" s="158">
        <f>CHOOSE(MATCH($E$9,$C$13:$C$15),G27,G28,G29)</f>
        <v>0.05</v>
      </c>
      <c r="H25" s="159">
        <f t="shared" ref="H25:K25" si="2">CHOOSE(MATCH($E$9,$C$13:$C$15),H27,H28,H29)</f>
        <v>0.04</v>
      </c>
      <c r="I25" s="159">
        <f t="shared" si="2"/>
        <v>0.05</v>
      </c>
      <c r="J25" s="159">
        <f t="shared" si="2"/>
        <v>0.05</v>
      </c>
      <c r="K25" s="160">
        <f t="shared" si="2"/>
        <v>0.04</v>
      </c>
    </row>
    <row r="26" spans="2:11">
      <c r="B26" s="12"/>
    </row>
    <row r="27" spans="2:11">
      <c r="C27" s="1" t="s">
        <v>121</v>
      </c>
      <c r="G27" s="148">
        <v>0.05</v>
      </c>
      <c r="H27" s="149">
        <v>0.04</v>
      </c>
      <c r="I27" s="149">
        <v>0.04</v>
      </c>
      <c r="J27" s="149">
        <v>0.04</v>
      </c>
      <c r="K27" s="150">
        <v>0.04</v>
      </c>
    </row>
    <row r="28" spans="2:11">
      <c r="C28" s="1" t="s">
        <v>122</v>
      </c>
      <c r="G28" s="151">
        <v>0.05</v>
      </c>
      <c r="H28" s="152">
        <v>0.04</v>
      </c>
      <c r="I28" s="152">
        <v>0.05</v>
      </c>
      <c r="J28" s="152">
        <v>0.05</v>
      </c>
      <c r="K28" s="153">
        <v>0.04</v>
      </c>
    </row>
    <row r="29" spans="2:11">
      <c r="C29" s="1" t="s">
        <v>123</v>
      </c>
      <c r="G29" s="154">
        <v>0.04</v>
      </c>
      <c r="H29" s="155">
        <v>0.04</v>
      </c>
      <c r="I29" s="155">
        <v>0.03</v>
      </c>
      <c r="J29" s="155">
        <v>0.03</v>
      </c>
      <c r="K29" s="156">
        <v>0.02</v>
      </c>
    </row>
  </sheetData>
  <sheetProtection formatCells="0"/>
  <dataValidations count="1">
    <dataValidation type="list" allowBlank="1" showInputMessage="1" showErrorMessage="1" sqref="E9" xr:uid="{F055D564-9CDE-4B9F-8EA9-E7C539E7BC19}">
      <formula1>$C$13:$C$15</formula1>
    </dataValidation>
  </dataValidations>
  <printOptions horizontalCentered="1"/>
  <pageMargins left="0.25" right="0.25" top="0.25" bottom="0.5" header="0.25" footer="0.25"/>
  <pageSetup scale="85" orientation="landscape" r:id="rId1"/>
  <headerFooter alignWithMargins="0">
    <oddFooter>&amp;C&amp;P of &amp;N&amp;RShchebrina Yury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Cover</vt:lpstr>
      <vt:lpstr>Summary</vt:lpstr>
      <vt:lpstr>Asumptions</vt:lpstr>
      <vt:lpstr>Model</vt:lpstr>
      <vt:lpstr>Scenario</vt:lpstr>
      <vt:lpstr>Asumptions!Print_Area</vt:lpstr>
      <vt:lpstr>Cover!Print_Area</vt:lpstr>
      <vt:lpstr>Model!Print_Area</vt:lpstr>
      <vt:lpstr>Scenario!Print_Area</vt:lpstr>
      <vt:lpstr>Summary!Print_Area</vt:lpstr>
    </vt:vector>
  </TitlesOfParts>
  <Company>The Marquee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Schnoor</dc:creator>
  <cp:lastModifiedBy>Yury</cp:lastModifiedBy>
  <cp:lastPrinted>2024-11-07T22:49:33Z</cp:lastPrinted>
  <dcterms:created xsi:type="dcterms:W3CDTF">2012-02-20T17:20:16Z</dcterms:created>
  <dcterms:modified xsi:type="dcterms:W3CDTF">2024-11-07T22:49:36Z</dcterms:modified>
</cp:coreProperties>
</file>