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qwerty\Desktop\Python\JNotebook\start\"/>
    </mc:Choice>
  </mc:AlternateContent>
  <xr:revisionPtr revIDLastSave="0" documentId="8_{DEA413EF-AE99-4794-A4A0-F543B6013420}" xr6:coauthVersionLast="47" xr6:coauthVersionMax="47" xr10:uidLastSave="{00000000-0000-0000-0000-000000000000}"/>
  <bookViews>
    <workbookView xWindow="28680" yWindow="-120" windowWidth="29040" windowHeight="15840" xr2:uid="{ECFEA8BB-304C-43EA-A5BD-FDCEC159B825}"/>
  </bookViews>
  <sheets>
    <sheet name="BOND" sheetId="1" r:id="rId1"/>
  </sheets>
  <externalReferences>
    <externalReference r:id="rId2"/>
  </externalReferenc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3" i="1" l="1"/>
  <c r="B64" i="1" s="1"/>
  <c r="B65" i="1" s="1"/>
  <c r="K71" i="1"/>
  <c r="J71" i="1"/>
  <c r="I71" i="1"/>
  <c r="K70" i="1"/>
  <c r="J70" i="1"/>
  <c r="I70" i="1"/>
  <c r="B22" i="1"/>
  <c r="B21" i="1" s="1"/>
  <c r="B20" i="1" s="1"/>
  <c r="Q56" i="1"/>
  <c r="Q55" i="1"/>
  <c r="J54" i="1"/>
  <c r="J46" i="1"/>
  <c r="J47" i="1"/>
  <c r="J48" i="1"/>
  <c r="J49" i="1"/>
  <c r="J50" i="1"/>
  <c r="J51" i="1"/>
  <c r="J52" i="1"/>
  <c r="J53" i="1"/>
  <c r="J45" i="1"/>
  <c r="Q20" i="1"/>
  <c r="Q19" i="1"/>
  <c r="J35"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6" i="1"/>
  <c r="E51" i="1"/>
  <c r="E50" i="1"/>
  <c r="Q47" i="1"/>
  <c r="Q46" i="1"/>
  <c r="H45" i="1" a="1"/>
  <c r="I50" i="1" s="1"/>
  <c r="E11" i="1"/>
  <c r="E10" i="1"/>
  <c r="Q8" i="1"/>
  <c r="Q7" i="1"/>
  <c r="H6" i="1" a="1"/>
  <c r="I34" i="1" s="1"/>
  <c r="B62" i="1" l="1"/>
  <c r="B66" i="1"/>
  <c r="K50" i="1"/>
  <c r="Q49" i="1"/>
  <c r="Q57" i="1"/>
  <c r="Q11" i="1"/>
  <c r="I25" i="1"/>
  <c r="K25" i="1" s="1"/>
  <c r="I47" i="1"/>
  <c r="I10" i="1"/>
  <c r="I27" i="1"/>
  <c r="I31" i="1"/>
  <c r="I11" i="1"/>
  <c r="I35" i="1"/>
  <c r="Q48" i="1"/>
  <c r="I13" i="1"/>
  <c r="K34" i="1"/>
  <c r="I12" i="1"/>
  <c r="I18" i="1"/>
  <c r="I9" i="1"/>
  <c r="I20" i="1"/>
  <c r="B23" i="1"/>
  <c r="B19" i="1"/>
  <c r="Q22" i="1"/>
  <c r="I24" i="1"/>
  <c r="K24" i="1" s="1"/>
  <c r="I29" i="1"/>
  <c r="K29" i="1" s="1"/>
  <c r="I33" i="1"/>
  <c r="I46" i="1"/>
  <c r="I54" i="1"/>
  <c r="I8" i="1"/>
  <c r="K8" i="1" s="1"/>
  <c r="I17" i="1"/>
  <c r="Q21" i="1"/>
  <c r="I23" i="1"/>
  <c r="H45" i="1"/>
  <c r="I45" i="1" s="1"/>
  <c r="Q58" i="1"/>
  <c r="Q23" i="1"/>
  <c r="I7" i="1"/>
  <c r="I22" i="1"/>
  <c r="I28" i="1"/>
  <c r="I32" i="1"/>
  <c r="I53" i="1"/>
  <c r="Q59" i="1"/>
  <c r="H6" i="1"/>
  <c r="I6" i="1" s="1"/>
  <c r="I16" i="1"/>
  <c r="I21" i="1"/>
  <c r="I52" i="1"/>
  <c r="Q12" i="1"/>
  <c r="I15" i="1"/>
  <c r="I19" i="1"/>
  <c r="I51" i="1"/>
  <c r="Q9" i="1"/>
  <c r="Q10" i="1"/>
  <c r="I14" i="1"/>
  <c r="I26" i="1"/>
  <c r="I30" i="1"/>
  <c r="I48" i="1"/>
  <c r="I49" i="1"/>
  <c r="B61" i="1" l="1"/>
  <c r="B67" i="1"/>
  <c r="K32" i="1"/>
  <c r="K30" i="1"/>
  <c r="K28" i="1"/>
  <c r="K17" i="1"/>
  <c r="K35" i="1"/>
  <c r="K26" i="1"/>
  <c r="K22" i="1"/>
  <c r="K11" i="1"/>
  <c r="K14" i="1"/>
  <c r="K21" i="1"/>
  <c r="K7" i="1"/>
  <c r="K13" i="1"/>
  <c r="K15" i="1"/>
  <c r="K6" i="1"/>
  <c r="K33" i="1"/>
  <c r="K20" i="1"/>
  <c r="K31" i="1"/>
  <c r="K16" i="1"/>
  <c r="K9" i="1"/>
  <c r="K27" i="1"/>
  <c r="K19" i="1"/>
  <c r="K23" i="1"/>
  <c r="K10" i="1"/>
  <c r="K18" i="1"/>
  <c r="K12" i="1"/>
  <c r="K51" i="1"/>
  <c r="K45" i="1"/>
  <c r="K49" i="1"/>
  <c r="K53" i="1"/>
  <c r="K48" i="1"/>
  <c r="K47" i="1"/>
  <c r="K52" i="1"/>
  <c r="K54" i="1"/>
  <c r="K46" i="1"/>
  <c r="Q50" i="1"/>
  <c r="M71" i="1" s="1"/>
  <c r="Q13" i="1"/>
  <c r="M70" i="1" s="1"/>
  <c r="B24" i="1"/>
  <c r="Q60" i="1"/>
  <c r="L71" i="1" s="1"/>
  <c r="Q24" i="1"/>
  <c r="L70" i="1" s="1"/>
  <c r="B60" i="1" l="1"/>
  <c r="B25" i="1"/>
  <c r="K55" i="1"/>
  <c r="C63" i="1" s="1"/>
  <c r="D63" i="1" s="1"/>
  <c r="E63" i="1" s="1"/>
  <c r="K36" i="1"/>
  <c r="B26" i="1" l="1"/>
  <c r="L6" i="1"/>
  <c r="N6" i="1" s="1"/>
  <c r="D22" i="1"/>
  <c r="L14" i="1"/>
  <c r="N14" i="1" s="1"/>
  <c r="L22" i="1"/>
  <c r="N22" i="1" s="1"/>
  <c r="L30" i="1"/>
  <c r="N30" i="1" s="1"/>
  <c r="E22" i="1"/>
  <c r="L7" i="1"/>
  <c r="N7" i="1" s="1"/>
  <c r="L15" i="1"/>
  <c r="N15" i="1" s="1"/>
  <c r="L23" i="1"/>
  <c r="N23" i="1" s="1"/>
  <c r="L31" i="1"/>
  <c r="N31" i="1" s="1"/>
  <c r="C22" i="1"/>
  <c r="L8" i="1"/>
  <c r="N8" i="1" s="1"/>
  <c r="L16" i="1"/>
  <c r="N16" i="1" s="1"/>
  <c r="L24" i="1"/>
  <c r="N24" i="1" s="1"/>
  <c r="L32" i="1"/>
  <c r="N32" i="1" s="1"/>
  <c r="L9" i="1"/>
  <c r="N9" i="1" s="1"/>
  <c r="L17" i="1"/>
  <c r="N17" i="1" s="1"/>
  <c r="L25" i="1"/>
  <c r="N25" i="1" s="1"/>
  <c r="L33" i="1"/>
  <c r="N33" i="1" s="1"/>
  <c r="L10" i="1"/>
  <c r="N10" i="1" s="1"/>
  <c r="L18" i="1"/>
  <c r="N18" i="1" s="1"/>
  <c r="L26" i="1"/>
  <c r="N26" i="1" s="1"/>
  <c r="L34" i="1"/>
  <c r="N34" i="1" s="1"/>
  <c r="L11" i="1"/>
  <c r="N11" i="1" s="1"/>
  <c r="L19" i="1"/>
  <c r="N19" i="1" s="1"/>
  <c r="L27" i="1"/>
  <c r="N27" i="1" s="1"/>
  <c r="L35" i="1"/>
  <c r="N35" i="1" s="1"/>
  <c r="L12" i="1"/>
  <c r="N12" i="1" s="1"/>
  <c r="L20" i="1"/>
  <c r="N20" i="1" s="1"/>
  <c r="L28" i="1"/>
  <c r="N28" i="1" s="1"/>
  <c r="L13" i="1"/>
  <c r="N13" i="1" s="1"/>
  <c r="L21" i="1"/>
  <c r="N21" i="1" s="1"/>
  <c r="L29" i="1"/>
  <c r="N29" i="1" s="1"/>
  <c r="L50" i="1"/>
  <c r="N50" i="1" s="1"/>
  <c r="L53" i="1"/>
  <c r="N53" i="1" s="1"/>
  <c r="L45" i="1"/>
  <c r="N45" i="1" s="1"/>
  <c r="L51" i="1"/>
  <c r="N51" i="1" s="1"/>
  <c r="L46" i="1"/>
  <c r="N46" i="1" s="1"/>
  <c r="L48" i="1"/>
  <c r="N48" i="1" s="1"/>
  <c r="L54" i="1"/>
  <c r="N54" i="1" s="1"/>
  <c r="L52" i="1"/>
  <c r="N52" i="1" s="1"/>
  <c r="L49" i="1"/>
  <c r="N49" i="1" s="1"/>
  <c r="L47" i="1"/>
  <c r="N47" i="1" s="1"/>
  <c r="M45" i="1" l="1"/>
  <c r="M6" i="1"/>
  <c r="M15" i="1"/>
  <c r="M13" i="1"/>
  <c r="M34" i="1"/>
  <c r="M32" i="1"/>
  <c r="M7" i="1"/>
  <c r="M9" i="1"/>
  <c r="M28" i="1"/>
  <c r="M26" i="1"/>
  <c r="M24" i="1"/>
  <c r="M21" i="1"/>
  <c r="M20" i="1"/>
  <c r="M18" i="1"/>
  <c r="M16" i="1"/>
  <c r="M30" i="1"/>
  <c r="L36" i="1"/>
  <c r="M12" i="1"/>
  <c r="M10" i="1"/>
  <c r="M8" i="1"/>
  <c r="M22" i="1"/>
  <c r="M11" i="1"/>
  <c r="M35" i="1"/>
  <c r="M33" i="1"/>
  <c r="M14" i="1"/>
  <c r="M27" i="1"/>
  <c r="M25" i="1"/>
  <c r="M31" i="1"/>
  <c r="M29" i="1"/>
  <c r="M19" i="1"/>
  <c r="M17" i="1"/>
  <c r="M23" i="1"/>
  <c r="L55" i="1"/>
  <c r="M54" i="1"/>
  <c r="M48" i="1"/>
  <c r="M46" i="1"/>
  <c r="M51" i="1"/>
  <c r="M47" i="1"/>
  <c r="M53" i="1"/>
  <c r="M52" i="1"/>
  <c r="M49" i="1"/>
  <c r="M50" i="1"/>
  <c r="M36" i="1" l="1"/>
  <c r="M37" i="1" s="1"/>
  <c r="N36" i="1"/>
  <c r="N37" i="1" s="1"/>
  <c r="N55" i="1"/>
  <c r="M55" i="1"/>
  <c r="M57" i="1" l="1"/>
  <c r="C64" i="1"/>
  <c r="C65" i="1"/>
  <c r="C66" i="1"/>
  <c r="C62" i="1"/>
  <c r="C67" i="1"/>
  <c r="C61" i="1"/>
  <c r="C60" i="1"/>
  <c r="N56" i="1"/>
  <c r="C21" i="1"/>
  <c r="C24" i="1"/>
  <c r="C23" i="1"/>
  <c r="C20" i="1"/>
  <c r="C19" i="1"/>
  <c r="C25" i="1"/>
  <c r="C26" i="1"/>
  <c r="N38" i="1"/>
  <c r="Q14" i="1"/>
  <c r="M38" i="1"/>
  <c r="M39" i="1" s="1"/>
  <c r="M56" i="1"/>
  <c r="Q51" i="1" l="1"/>
  <c r="N57" i="1"/>
  <c r="M58" i="1"/>
  <c r="Q61" i="1" s="1"/>
  <c r="D64" i="1"/>
  <c r="D65" i="1"/>
  <c r="D66" i="1"/>
  <c r="D62" i="1"/>
  <c r="D67" i="1"/>
  <c r="D61" i="1"/>
  <c r="D60" i="1"/>
  <c r="E21" i="1"/>
  <c r="E20" i="1"/>
  <c r="E19" i="1"/>
  <c r="E23" i="1"/>
  <c r="E24" i="1"/>
  <c r="E25" i="1"/>
  <c r="E26" i="1"/>
  <c r="Q25" i="1"/>
  <c r="D20" i="1"/>
  <c r="D21" i="1"/>
  <c r="D23" i="1"/>
  <c r="D19" i="1"/>
  <c r="D24" i="1"/>
  <c r="D25" i="1"/>
  <c r="D26" i="1"/>
  <c r="E64" i="1" l="1"/>
  <c r="E65" i="1"/>
  <c r="E66" i="1"/>
  <c r="E62" i="1"/>
  <c r="E67" i="1"/>
  <c r="E61" i="1"/>
  <c r="E6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<sst xmlns="http://schemas.openxmlformats.org/spreadsheetml/2006/main" count="93" uniqueCount="42">
  <si>
    <t>INPUTS</t>
  </si>
  <si>
    <t>Time to Maturity (Years)</t>
  </si>
  <si>
    <t>YTM</t>
  </si>
  <si>
    <t>FV</t>
  </si>
  <si>
    <t>Period</t>
  </si>
  <si>
    <t>Weight</t>
  </si>
  <si>
    <t>Time to receipt</t>
  </si>
  <si>
    <t>Cash flow</t>
  </si>
  <si>
    <t>Present value</t>
  </si>
  <si>
    <t>Time to receipt * weght</t>
  </si>
  <si>
    <t>Convexity of Cash Flows</t>
  </si>
  <si>
    <t>Alternatively - approximate annualized convexity</t>
  </si>
  <si>
    <t>Coupon %</t>
  </si>
  <si>
    <t>YTM change 5 bps</t>
  </si>
  <si>
    <t>YTM +</t>
  </si>
  <si>
    <t>YTM -</t>
  </si>
  <si>
    <t>P0</t>
  </si>
  <si>
    <t>Settlement date</t>
  </si>
  <si>
    <t>PV+</t>
  </si>
  <si>
    <t>Maturity</t>
  </si>
  <si>
    <t>PV-</t>
  </si>
  <si>
    <t>PV0</t>
  </si>
  <si>
    <t>ApproxCon</t>
  </si>
  <si>
    <t>Annualized Macaulay Duration and Convexity</t>
  </si>
  <si>
    <t>Alternatively - approximate Mod Durration</t>
  </si>
  <si>
    <t>Mod duration</t>
  </si>
  <si>
    <t>AnnModDur</t>
  </si>
  <si>
    <t>ApproxModDur</t>
  </si>
  <si>
    <t>Bond</t>
  </si>
  <si>
    <t>A</t>
  </si>
  <si>
    <t>B</t>
  </si>
  <si>
    <t>Coupom freq</t>
  </si>
  <si>
    <t>Change YTM +/- 100bps</t>
  </si>
  <si>
    <t>Bonds A</t>
  </si>
  <si>
    <t>Bonds Price (Duration)</t>
  </si>
  <si>
    <t>Bonds Price (M Duration)</t>
  </si>
  <si>
    <t>Coupon Rate %</t>
  </si>
  <si>
    <t>Bnds Price (Convexity)</t>
  </si>
  <si>
    <t>Check</t>
  </si>
  <si>
    <t>Bonds B</t>
  </si>
  <si>
    <t>ApproxAmmModDur</t>
  </si>
  <si>
    <t>Conclusion
Interest Rate Sensitivity:
Bond A is highly sensitive to interest rate changes, as evidenced by its high modified duration and convexity. This makes it suitable for investors seeking long-term investments with significant rate exposure, particularly if they anticipate falling interest rates, which would lead to substantial price appreciation.
Bond B has lower sensitivity to interest rate changes, making it a more stable choice for investors who prefer lower volatility in bond prices. It is less affected by large shifts in YTM, which is beneficial in a rising interest rate environment.
Impact of Convexity:
The convexity adjustments for both bonds illustrate the non-linear price response to interest rate changes. Bond A’s high convexity provides a significant cushioning effect, leading to relatively higher prices under both increasing and decreasing interest rates compared to a duration-only approach.
Bond B’s lower convexity still offers some benefit, though its impact is smaller due to the bond’s shorter maturity. This reflects that convexity’s benefits are more pronounced in bonds with longer durations and maturities, as they exhibit greater price sensitivity.
Investment Implications:
For investors expecting stable or falling rates, Bond A may be attractive due to its high duration and convexity, which would lead to substantial gains if rates decrease.
For conservative investors or those anticipating rising rates, Bond B offers a more stable investment due to its lower duration and convexity, limiting potential losses as rates increase.
In summary, Bond A is suitable for more risk-tolerant investors looking for high sensitivity to interest rates, while Bond B is better suited for risk-averse investors seeking stability with limited exposure to rate fluctuations. Convexity plays a crucial role in smoothing price changes, especially for longer-maturity bonds like Bond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</si>
</sst>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70" formatCode="0.0%"/>
    <numFmt numFmtId="171" formatCode="0.000%"/>
    <numFmt numFmtId="172" formatCode="_(* #,##0.000_);_(* \(#,##0.000\);_(* &quot;-&quot;??_);_(@_)"/>
    <numFmt numFmtId="173" formatCode="&quot;$&quot;#,##0"/>
    <numFmt numFmtId="174" formatCode="_(* #,##0.0000_);_(* \(#,##0.0000\);_(* &quot;-&quot;??_);_(@_)"/>
    <numFmt numFmtId="184" formatCode="0\ &quot;years&quot;"/>
    <numFmt numFmtId="185" formatCode="_(* #,##0_);_(* \(#,##0\);_(* &quot;-&quot;??_);_(@_)"/>
  </numFmts>
  <fonts count="13" x14ac:knownFonts="1">
    <font>
      <sz val="11"/>
      <color theme="1"/>
      <name val="Calibri"/>
      <family val="2"/>
      <scheme val="minor"/>
    </font>
    <font>
      <sz val="11"/>
      <color theme="1"/>
      <name val="Calibri"/>
      <family val="2"/>
      <scheme val="minor"/>
    </font>
    <font>
      <sz val="10"/>
      <color theme="1"/>
      <name val="Times New Roman"/>
      <family val="1"/>
    </font>
    <font>
      <sz val="10"/>
      <color rgb="FF0000FF"/>
      <name val="Times New Roman"/>
      <family val="1"/>
    </font>
    <font>
      <b/>
      <sz val="20"/>
      <color rgb="FF000000"/>
      <name val="Arial"/>
      <family val="2"/>
    </font>
    <font>
      <b/>
      <sz val="10"/>
      <color rgb="FF000000"/>
      <name val="Arial"/>
      <family val="2"/>
    </font>
    <font>
      <sz val="10"/>
      <color rgb="FF000000"/>
      <name val="Arial"/>
      <family val="2"/>
    </font>
    <font>
      <b/>
      <sz val="15"/>
      <color rgb="FF000000"/>
      <name val="Arial"/>
      <family val="2"/>
    </font>
    <font>
      <sz val="10"/>
      <color rgb="FF000000"/>
      <name val="Arial"/>
    </font>
    <font>
      <sz val="10"/>
      <name val="Arial"/>
      <family val="2"/>
    </font>
    <font>
      <sz val="10"/>
      <color rgb="FFFF0000"/>
      <name val="Arial"/>
      <family val="2"/>
    </font>
    <font>
      <b/>
      <sz val="10"/>
      <color theme="1"/>
      <name val="Times New Roman"/>
      <family val="1"/>
    </font>
    <font>
      <b/>
      <sz val="10"/>
      <color rgb="FFFF0000"/>
      <name val="Arial"/>
      <family val="2"/>
    </font>
  </fonts>
  <fills count="2">
    <fill>
      <patternFill patternType="none"/>
    </fill>
    <fill>
      <patternFill patternType="gray125"/>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173" fontId="6" fillId="0" borderId="12"/>
    <xf numFmtId="0" fontId="8" fillId="0" borderId="0"/>
    <xf numFmtId="9" fontId="8" fillId="0" borderId="0" applyFont="0" applyFill="0" applyBorder="0" applyAlignment="0" applyProtection="0"/>
    <xf numFmtId="43" fontId="8" fillId="0" borderId="0" applyFont="0" applyFill="0" applyBorder="0" applyAlignment="0" applyProtection="0"/>
    <xf numFmtId="184" fontId="6" fillId="0" borderId="0"/>
  </cellStyleXfs>
  <cellXfs count="96">
    <xf numFmtId="0" fontId="0" fillId="0" borderId="0" xfId="0"/>
    <xf numFmtId="10" fontId="0" fillId="0" borderId="10" xfId="2" applyNumberFormat="1" applyFont="1" applyBorder="1"/>
    <xf numFmtId="43" fontId="10" fillId="0" borderId="0" xfId="1" applyFont="1"/>
    <xf numFmtId="0" fontId="8" fillId="0" borderId="0" xfId="4"/>
    <xf numFmtId="10" fontId="0" fillId="0" borderId="0" xfId="5" applyNumberFormat="1" applyFont="1"/>
    <xf numFmtId="0" fontId="8" fillId="0" borderId="10" xfId="4" applyBorder="1"/>
    <xf numFmtId="0" fontId="8" fillId="0" borderId="11" xfId="4" applyBorder="1"/>
    <xf numFmtId="0" fontId="6" fillId="0" borderId="4" xfId="4" applyFont="1" applyBorder="1"/>
    <xf numFmtId="0" fontId="6" fillId="0" borderId="0" xfId="4" applyFont="1"/>
    <xf numFmtId="0" fontId="4" fillId="0" borderId="0" xfId="4" applyFont="1"/>
    <xf numFmtId="0" fontId="5" fillId="0" borderId="0" xfId="4" applyFont="1"/>
    <xf numFmtId="43" fontId="8" fillId="0" borderId="0" xfId="4" applyNumberFormat="1"/>
    <xf numFmtId="0" fontId="6" fillId="0" borderId="0" xfId="4" applyFont="1" applyAlignment="1">
      <alignment horizontal="left" vertical="top" wrapText="1"/>
    </xf>
    <xf numFmtId="0" fontId="8" fillId="0" borderId="1" xfId="4" applyBorder="1"/>
    <xf numFmtId="0" fontId="8" fillId="0" borderId="2" xfId="4" applyBorder="1"/>
    <xf numFmtId="0" fontId="8" fillId="0" borderId="3" xfId="4" applyBorder="1"/>
    <xf numFmtId="0" fontId="8" fillId="0" borderId="5" xfId="4" applyBorder="1"/>
    <xf numFmtId="0" fontId="8" fillId="0" borderId="6" xfId="4" applyBorder="1"/>
    <xf numFmtId="0" fontId="7" fillId="0" borderId="0" xfId="4" applyFont="1"/>
    <xf numFmtId="0" fontId="6" fillId="0" borderId="7" xfId="4" applyFont="1" applyBorder="1"/>
    <xf numFmtId="172" fontId="0" fillId="0" borderId="8" xfId="6" applyNumberFormat="1" applyFont="1" applyBorder="1"/>
    <xf numFmtId="0" fontId="6" fillId="0" borderId="9" xfId="4" applyFont="1" applyBorder="1"/>
    <xf numFmtId="0" fontId="8" fillId="0" borderId="7" xfId="4" applyBorder="1"/>
    <xf numFmtId="0" fontId="8" fillId="0" borderId="8" xfId="4" applyBorder="1"/>
    <xf numFmtId="43" fontId="8" fillId="0" borderId="10" xfId="4" applyNumberFormat="1" applyBorder="1"/>
    <xf numFmtId="10" fontId="0" fillId="0" borderId="11" xfId="5" applyNumberFormat="1" applyFont="1" applyBorder="1"/>
    <xf numFmtId="10" fontId="0" fillId="0" borderId="8" xfId="5" applyNumberFormat="1" applyFont="1" applyBorder="1"/>
    <xf numFmtId="0" fontId="6" fillId="0" borderId="6" xfId="4" applyFont="1" applyBorder="1"/>
    <xf numFmtId="10" fontId="8" fillId="0" borderId="11" xfId="4" applyNumberFormat="1" applyBorder="1"/>
    <xf numFmtId="9" fontId="6" fillId="0" borderId="0" xfId="5" applyFont="1"/>
    <xf numFmtId="10" fontId="8" fillId="0" borderId="6" xfId="4" applyNumberFormat="1" applyBorder="1"/>
    <xf numFmtId="0" fontId="5" fillId="0" borderId="2" xfId="4" applyFont="1" applyBorder="1"/>
    <xf numFmtId="0" fontId="5" fillId="0" borderId="3" xfId="4" applyFont="1" applyBorder="1"/>
    <xf numFmtId="174" fontId="5" fillId="0" borderId="0" xfId="6" applyNumberFormat="1" applyFont="1"/>
    <xf numFmtId="171" fontId="6" fillId="0" borderId="0" xfId="5" applyNumberFormat="1" applyFont="1"/>
    <xf numFmtId="43" fontId="10" fillId="0" borderId="0" xfId="6" applyFont="1"/>
    <xf numFmtId="0" fontId="6" fillId="0" borderId="0" xfId="6" applyNumberFormat="1" applyFont="1"/>
    <xf numFmtId="172" fontId="9" fillId="0" borderId="0" xfId="6" applyNumberFormat="1" applyFont="1"/>
    <xf numFmtId="0" fontId="5" fillId="0" borderId="1" xfId="4" applyFont="1" applyBorder="1"/>
    <xf numFmtId="43" fontId="0" fillId="0" borderId="5" xfId="6" applyFont="1" applyBorder="1"/>
    <xf numFmtId="174" fontId="8" fillId="0" borderId="6" xfId="4" applyNumberFormat="1" applyBorder="1"/>
    <xf numFmtId="9" fontId="3" fillId="0" borderId="7" xfId="2" applyFont="1" applyBorder="1" applyAlignment="1">
      <alignment vertical="center"/>
    </xf>
    <xf numFmtId="0" fontId="8" fillId="0" borderId="0" xfId="4" applyBorder="1"/>
    <xf numFmtId="14" fontId="8" fillId="0" borderId="8" xfId="4" applyNumberFormat="1" applyBorder="1"/>
    <xf numFmtId="10" fontId="0" fillId="0" borderId="5" xfId="2" applyNumberFormat="1" applyFont="1" applyBorder="1"/>
    <xf numFmtId="0" fontId="2" fillId="0" borderId="0" xfId="0" applyFont="1" applyAlignment="1">
      <alignment vertical="center"/>
    </xf>
    <xf numFmtId="43" fontId="8" fillId="0" borderId="0" xfId="1" applyFont="1"/>
    <xf numFmtId="0" fontId="11" fillId="0" borderId="4" xfId="0" applyFont="1" applyBorder="1" applyAlignment="1">
      <alignment vertical="center"/>
    </xf>
    <xf numFmtId="0" fontId="11" fillId="0" borderId="5" xfId="0" applyFont="1" applyBorder="1" applyAlignment="1">
      <alignment vertical="center"/>
    </xf>
    <xf numFmtId="0" fontId="11" fillId="0" borderId="6" xfId="0" applyFont="1" applyBorder="1" applyAlignment="1">
      <alignment vertical="center"/>
    </xf>
    <xf numFmtId="0" fontId="2" fillId="0" borderId="4" xfId="0" applyFont="1" applyBorder="1" applyAlignment="1">
      <alignment vertical="center"/>
    </xf>
    <xf numFmtId="43" fontId="2" fillId="0" borderId="5" xfId="1" applyFont="1" applyBorder="1" applyAlignment="1">
      <alignment vertical="center"/>
    </xf>
    <xf numFmtId="0" fontId="2" fillId="0" borderId="9" xfId="0" applyFont="1" applyBorder="1" applyAlignment="1">
      <alignment vertical="center"/>
    </xf>
    <xf numFmtId="0" fontId="2" fillId="0" borderId="0" xfId="0" applyFont="1" applyBorder="1" applyAlignment="1">
      <alignment vertical="center"/>
    </xf>
    <xf numFmtId="0" fontId="2" fillId="0" borderId="7" xfId="0" applyFont="1" applyBorder="1" applyAlignment="1">
      <alignment vertical="center"/>
    </xf>
    <xf numFmtId="43" fontId="2" fillId="0" borderId="0" xfId="1" applyFont="1" applyBorder="1" applyAlignment="1">
      <alignment vertical="center"/>
    </xf>
    <xf numFmtId="43" fontId="2" fillId="0" borderId="8" xfId="1" applyFont="1" applyBorder="1" applyAlignment="1">
      <alignment vertical="center"/>
    </xf>
    <xf numFmtId="9" fontId="2" fillId="0" borderId="7" xfId="2" applyFont="1" applyBorder="1" applyAlignment="1">
      <alignment vertical="center"/>
    </xf>
    <xf numFmtId="0" fontId="2" fillId="0" borderId="7" xfId="4" applyFont="1" applyBorder="1" applyAlignment="1">
      <alignment vertical="center"/>
    </xf>
    <xf numFmtId="9" fontId="2" fillId="0" borderId="9" xfId="2" applyFont="1" applyBorder="1" applyAlignment="1">
      <alignment vertical="center"/>
    </xf>
    <xf numFmtId="43" fontId="2" fillId="0" borderId="10" xfId="1" applyFont="1" applyBorder="1" applyAlignment="1">
      <alignment vertical="center"/>
    </xf>
    <xf numFmtId="9" fontId="2" fillId="0" borderId="4" xfId="2" applyFont="1" applyBorder="1" applyAlignment="1">
      <alignment vertical="center"/>
    </xf>
    <xf numFmtId="0" fontId="11" fillId="0" borderId="1" xfId="0" applyFont="1" applyBorder="1" applyAlignment="1">
      <alignment vertical="center"/>
    </xf>
    <xf numFmtId="0" fontId="11" fillId="0" borderId="2" xfId="0" applyFont="1" applyBorder="1" applyAlignment="1">
      <alignment vertical="center"/>
    </xf>
    <xf numFmtId="43" fontId="2" fillId="0" borderId="11" xfId="1" applyFont="1" applyBorder="1" applyAlignment="1">
      <alignment vertical="center"/>
    </xf>
    <xf numFmtId="0" fontId="10" fillId="0" borderId="0" xfId="4" applyFont="1"/>
    <xf numFmtId="43" fontId="10" fillId="0" borderId="0" xfId="4" applyNumberFormat="1" applyFont="1"/>
    <xf numFmtId="43" fontId="6" fillId="0" borderId="6" xfId="1" applyFont="1" applyBorder="1"/>
    <xf numFmtId="43" fontId="6" fillId="0" borderId="11" xfId="1" applyFont="1" applyBorder="1"/>
    <xf numFmtId="172" fontId="6" fillId="0" borderId="0" xfId="1" applyNumberFormat="1" applyFont="1"/>
    <xf numFmtId="172" fontId="10" fillId="0" borderId="0" xfId="1" applyNumberFormat="1" applyFont="1"/>
    <xf numFmtId="0" fontId="12" fillId="0" borderId="0" xfId="4" applyFont="1"/>
    <xf numFmtId="170" fontId="8" fillId="0" borderId="0" xfId="2" applyNumberFormat="1" applyFont="1"/>
    <xf numFmtId="43" fontId="3" fillId="0" borderId="0" xfId="1" applyFont="1" applyBorder="1" applyAlignment="1">
      <alignment vertical="center"/>
    </xf>
    <xf numFmtId="43" fontId="3" fillId="0" borderId="8" xfId="1" applyFont="1" applyBorder="1" applyAlignment="1">
      <alignment vertical="center"/>
    </xf>
    <xf numFmtId="43" fontId="8" fillId="0" borderId="2" xfId="1" applyFont="1" applyBorder="1"/>
    <xf numFmtId="172" fontId="8" fillId="0" borderId="0" xfId="1" applyNumberFormat="1" applyFont="1"/>
    <xf numFmtId="172" fontId="5" fillId="0" borderId="2" xfId="1" applyNumberFormat="1" applyFont="1" applyBorder="1"/>
    <xf numFmtId="172" fontId="5" fillId="0" borderId="0" xfId="1" applyNumberFormat="1" applyFont="1"/>
    <xf numFmtId="172" fontId="5" fillId="0" borderId="3" xfId="1" applyNumberFormat="1" applyFont="1" applyBorder="1"/>
    <xf numFmtId="0" fontId="11" fillId="0" borderId="3" xfId="0" applyFont="1" applyBorder="1" applyAlignment="1">
      <alignment vertical="center"/>
    </xf>
    <xf numFmtId="0" fontId="5" fillId="0" borderId="0" xfId="4" applyFont="1" applyBorder="1"/>
    <xf numFmtId="172" fontId="8" fillId="0" borderId="5" xfId="4" applyNumberFormat="1" applyBorder="1"/>
    <xf numFmtId="185" fontId="6" fillId="0" borderId="8" xfId="1" applyNumberFormat="1" applyFont="1" applyBorder="1"/>
    <xf numFmtId="174" fontId="8" fillId="0" borderId="11" xfId="4" applyNumberFormat="1" applyBorder="1"/>
    <xf numFmtId="9" fontId="2" fillId="0" borderId="5" xfId="2" applyFont="1" applyBorder="1" applyAlignment="1">
      <alignment vertical="center"/>
    </xf>
    <xf numFmtId="9" fontId="2" fillId="0" borderId="6" xfId="2" applyFont="1" applyBorder="1" applyAlignment="1">
      <alignment vertical="center"/>
    </xf>
    <xf numFmtId="9" fontId="2" fillId="0" borderId="1" xfId="2" applyFont="1" applyBorder="1" applyAlignment="1">
      <alignment vertical="center" wrapText="1"/>
    </xf>
    <xf numFmtId="9" fontId="2" fillId="0" borderId="2" xfId="2" applyFont="1" applyBorder="1" applyAlignment="1">
      <alignment vertical="center" wrapText="1"/>
    </xf>
    <xf numFmtId="9" fontId="2" fillId="0" borderId="2" xfId="2" applyFont="1" applyFill="1" applyBorder="1" applyAlignment="1">
      <alignment vertical="center" wrapText="1"/>
    </xf>
    <xf numFmtId="9" fontId="2" fillId="0" borderId="3" xfId="2" applyFont="1" applyFill="1" applyBorder="1" applyAlignment="1">
      <alignment vertical="center" wrapText="1"/>
    </xf>
    <xf numFmtId="9" fontId="2" fillId="0" borderId="4" xfId="2" applyFont="1" applyBorder="1" applyAlignment="1">
      <alignment vertical="center" wrapText="1"/>
    </xf>
    <xf numFmtId="9" fontId="2" fillId="0" borderId="5" xfId="2" applyFont="1" applyBorder="1" applyAlignment="1">
      <alignment vertical="center" wrapText="1"/>
    </xf>
    <xf numFmtId="9" fontId="2" fillId="0" borderId="5" xfId="2" applyFont="1" applyFill="1" applyBorder="1" applyAlignment="1">
      <alignment vertical="center" wrapText="1"/>
    </xf>
    <xf numFmtId="9" fontId="2" fillId="0" borderId="6" xfId="2" applyFont="1" applyFill="1" applyBorder="1" applyAlignment="1">
      <alignment vertical="center" wrapText="1"/>
    </xf>
    <xf numFmtId="43" fontId="5" fillId="0" borderId="0" xfId="4" applyNumberFormat="1" applyFont="1"/>
  </cellXfs>
  <cellStyles count="8">
    <cellStyle name="Comma" xfId="1" builtinId="3"/>
    <cellStyle name="Comma 2" xfId="6" xr:uid="{BED6538D-1A68-4009-9099-AC2AEED1235A}"/>
    <cellStyle name="Normal" xfId="0" builtinId="0"/>
    <cellStyle name="Normal 2" xfId="4" xr:uid="{4AA8385E-3BBA-4D1D-9219-6B67A4AC5F75}"/>
    <cellStyle name="Percent" xfId="2" builtinId="5"/>
    <cellStyle name="Percent 2" xfId="5" xr:uid="{C104F61A-3AD2-460F-AE61-9E9083690938}"/>
    <cellStyle name="Style 2" xfId="7" xr:uid="{23AA56E5-448B-4BDE-8D06-B2C23F16CD90}"/>
    <cellStyle name="Style 4" xfId="3" xr:uid="{C107951F-DF4E-4D23-B22F-7055A9F223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BOND!$C$18</c:f>
              <c:strCache>
                <c:ptCount val="1"/>
                <c:pt idx="0">
                  <c:v>Bonds Price (Duration)</c:v>
                </c:pt>
              </c:strCache>
            </c:strRef>
          </c:tx>
          <c:spPr>
            <a:ln w="28575" cap="rnd">
              <a:solidFill>
                <a:schemeClr val="accent1"/>
              </a:solidFill>
              <a:round/>
            </a:ln>
            <a:effectLst/>
          </c:spPr>
          <c:marker>
            <c:symbol val="none"/>
          </c:marker>
          <c:cat>
            <c:numRef>
              <c:f>BOND!$B$19:$B$26</c:f>
              <c:numCache>
                <c:formatCode>0%</c:formatCode>
                <c:ptCount val="8"/>
                <c:pt idx="0">
                  <c:v>1.7499999999999995E-2</c:v>
                </c:pt>
                <c:pt idx="1">
                  <c:v>2.7499999999999997E-2</c:v>
                </c:pt>
                <c:pt idx="2">
                  <c:v>3.7499999999999999E-2</c:v>
                </c:pt>
                <c:pt idx="3">
                  <c:v>4.7500000000000001E-2</c:v>
                </c:pt>
                <c:pt idx="4">
                  <c:v>5.7500000000000002E-2</c:v>
                </c:pt>
                <c:pt idx="5">
                  <c:v>6.7500000000000004E-2</c:v>
                </c:pt>
                <c:pt idx="6">
                  <c:v>7.7499999999999999E-2</c:v>
                </c:pt>
                <c:pt idx="7">
                  <c:v>8.7499999999999994E-2</c:v>
                </c:pt>
              </c:numCache>
            </c:numRef>
          </c:cat>
          <c:val>
            <c:numRef>
              <c:f>BOND!$C$19:$C$26</c:f>
              <c:numCache>
                <c:formatCode>_(* #,##0.00_);_(* \(#,##0.00\);_(* "-"??_);_(@_)</c:formatCode>
                <c:ptCount val="8"/>
                <c:pt idx="0">
                  <c:v>122.52043844154319</c:v>
                </c:pt>
                <c:pt idx="1">
                  <c:v>114.35444153314135</c:v>
                </c:pt>
                <c:pt idx="2">
                  <c:v>106.1884446247395</c:v>
                </c:pt>
                <c:pt idx="3">
                  <c:v>98.022447716337652</c:v>
                </c:pt>
                <c:pt idx="4">
                  <c:v>89.856450807935801</c:v>
                </c:pt>
                <c:pt idx="5">
                  <c:v>81.690453899533949</c:v>
                </c:pt>
                <c:pt idx="6">
                  <c:v>73.524456991132112</c:v>
                </c:pt>
                <c:pt idx="7">
                  <c:v>65.358460082730261</c:v>
                </c:pt>
              </c:numCache>
            </c:numRef>
          </c:val>
          <c:smooth val="0"/>
          <c:extLst>
            <c:ext xmlns:c16="http://schemas.microsoft.com/office/drawing/2014/chart" uri="{C3380CC4-5D6E-409C-BE32-E72D297353CC}">
              <c16:uniqueId val="{00000000-FA89-4954-A0D3-ADB0FD3AF244}"/>
            </c:ext>
          </c:extLst>
        </c:ser>
        <c:ser>
          <c:idx val="1"/>
          <c:order val="1"/>
          <c:tx>
            <c:strRef>
              <c:f>BOND!$D$18</c:f>
              <c:strCache>
                <c:ptCount val="1"/>
                <c:pt idx="0">
                  <c:v>Bonds Price (M Duration)</c:v>
                </c:pt>
              </c:strCache>
            </c:strRef>
          </c:tx>
          <c:spPr>
            <a:ln w="28575" cap="rnd">
              <a:solidFill>
                <a:schemeClr val="accent2"/>
              </a:solidFill>
              <a:round/>
            </a:ln>
            <a:effectLst/>
          </c:spPr>
          <c:marker>
            <c:symbol val="none"/>
          </c:marker>
          <c:cat>
            <c:numRef>
              <c:f>BOND!$B$19:$B$26</c:f>
              <c:numCache>
                <c:formatCode>0%</c:formatCode>
                <c:ptCount val="8"/>
                <c:pt idx="0">
                  <c:v>1.7499999999999995E-2</c:v>
                </c:pt>
                <c:pt idx="1">
                  <c:v>2.7499999999999997E-2</c:v>
                </c:pt>
                <c:pt idx="2">
                  <c:v>3.7499999999999999E-2</c:v>
                </c:pt>
                <c:pt idx="3">
                  <c:v>4.7500000000000001E-2</c:v>
                </c:pt>
                <c:pt idx="4">
                  <c:v>5.7500000000000002E-2</c:v>
                </c:pt>
                <c:pt idx="5">
                  <c:v>6.7500000000000004E-2</c:v>
                </c:pt>
                <c:pt idx="6">
                  <c:v>7.7499999999999999E-2</c:v>
                </c:pt>
                <c:pt idx="7">
                  <c:v>8.7499999999999994E-2</c:v>
                </c:pt>
              </c:numCache>
            </c:numRef>
          </c:cat>
          <c:val>
            <c:numRef>
              <c:f>BOND!$D$19:$D$26</c:f>
              <c:numCache>
                <c:formatCode>_(* #,##0.00_);_(* \(#,##0.00\);_(* "-"??_);_(@_)</c:formatCode>
                <c:ptCount val="8"/>
                <c:pt idx="0">
                  <c:v>121.9521089863797</c:v>
                </c:pt>
                <c:pt idx="1">
                  <c:v>113.97555522969903</c:v>
                </c:pt>
                <c:pt idx="2">
                  <c:v>105.99900147301832</c:v>
                </c:pt>
                <c:pt idx="3">
                  <c:v>98.022447716337652</c:v>
                </c:pt>
                <c:pt idx="4">
                  <c:v>90.045893959656965</c:v>
                </c:pt>
                <c:pt idx="5">
                  <c:v>82.069340202976278</c:v>
                </c:pt>
                <c:pt idx="6">
                  <c:v>74.092786446295605</c:v>
                </c:pt>
                <c:pt idx="7">
                  <c:v>66.116232689614918</c:v>
                </c:pt>
              </c:numCache>
            </c:numRef>
          </c:val>
          <c:smooth val="0"/>
          <c:extLst>
            <c:ext xmlns:c16="http://schemas.microsoft.com/office/drawing/2014/chart" uri="{C3380CC4-5D6E-409C-BE32-E72D297353CC}">
              <c16:uniqueId val="{00000001-FA89-4954-A0D3-ADB0FD3AF244}"/>
            </c:ext>
          </c:extLst>
        </c:ser>
        <c:ser>
          <c:idx val="2"/>
          <c:order val="2"/>
          <c:tx>
            <c:strRef>
              <c:f>BOND!$E$18</c:f>
              <c:strCache>
                <c:ptCount val="1"/>
                <c:pt idx="0">
                  <c:v>Bnds Price (Convexity)</c:v>
                </c:pt>
              </c:strCache>
            </c:strRef>
          </c:tx>
          <c:spPr>
            <a:ln w="28575" cap="rnd">
              <a:solidFill>
                <a:schemeClr val="accent3"/>
              </a:solidFill>
              <a:round/>
            </a:ln>
            <a:effectLst/>
          </c:spPr>
          <c:marker>
            <c:symbol val="none"/>
          </c:marker>
          <c:cat>
            <c:numRef>
              <c:f>BOND!$B$19:$B$26</c:f>
              <c:numCache>
                <c:formatCode>0%</c:formatCode>
                <c:ptCount val="8"/>
                <c:pt idx="0">
                  <c:v>1.7499999999999995E-2</c:v>
                </c:pt>
                <c:pt idx="1">
                  <c:v>2.7499999999999997E-2</c:v>
                </c:pt>
                <c:pt idx="2">
                  <c:v>3.7499999999999999E-2</c:v>
                </c:pt>
                <c:pt idx="3">
                  <c:v>4.7500000000000001E-2</c:v>
                </c:pt>
                <c:pt idx="4">
                  <c:v>5.7500000000000002E-2</c:v>
                </c:pt>
                <c:pt idx="5">
                  <c:v>6.7500000000000004E-2</c:v>
                </c:pt>
                <c:pt idx="6">
                  <c:v>7.7499999999999999E-2</c:v>
                </c:pt>
                <c:pt idx="7">
                  <c:v>8.7499999999999994E-2</c:v>
                </c:pt>
              </c:numCache>
            </c:numRef>
          </c:cat>
          <c:val>
            <c:numRef>
              <c:f>BOND!$E$19:$E$26</c:f>
              <c:numCache>
                <c:formatCode>_(* #,##0.00_);_(* \(#,##0.00\);_(* "-"??_);_(@_)</c:formatCode>
                <c:ptCount val="8"/>
                <c:pt idx="0">
                  <c:v>116.99928431033285</c:v>
                </c:pt>
                <c:pt idx="1">
                  <c:v>110.67367211233446</c:v>
                </c:pt>
                <c:pt idx="2">
                  <c:v>104.34805991433605</c:v>
                </c:pt>
                <c:pt idx="3">
                  <c:v>98.022447716337652</c:v>
                </c:pt>
                <c:pt idx="4">
                  <c:v>91.696835518339242</c:v>
                </c:pt>
                <c:pt idx="5">
                  <c:v>85.371223320340846</c:v>
                </c:pt>
                <c:pt idx="6">
                  <c:v>79.04561112234245</c:v>
                </c:pt>
                <c:pt idx="7">
                  <c:v>72.719998924344054</c:v>
                </c:pt>
              </c:numCache>
            </c:numRef>
          </c:val>
          <c:smooth val="0"/>
          <c:extLst>
            <c:ext xmlns:c16="http://schemas.microsoft.com/office/drawing/2014/chart" uri="{C3380CC4-5D6E-409C-BE32-E72D297353CC}">
              <c16:uniqueId val="{00000002-FA89-4954-A0D3-ADB0FD3AF244}"/>
            </c:ext>
          </c:extLst>
        </c:ser>
        <c:dLbls>
          <c:showLegendKey val="0"/>
          <c:showVal val="0"/>
          <c:showCatName val="0"/>
          <c:showSerName val="0"/>
          <c:showPercent val="0"/>
          <c:showBubbleSize val="0"/>
        </c:dLbls>
        <c:smooth val="0"/>
        <c:axId val="1110077183"/>
        <c:axId val="1110079263"/>
      </c:lineChart>
      <c:catAx>
        <c:axId val="1110077183"/>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0079263"/>
        <c:crosses val="autoZero"/>
        <c:auto val="1"/>
        <c:lblAlgn val="ctr"/>
        <c:lblOffset val="100"/>
        <c:noMultiLvlLbl val="0"/>
      </c:catAx>
      <c:valAx>
        <c:axId val="1110079263"/>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00771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BOND!$C$18</c:f>
              <c:strCache>
                <c:ptCount val="1"/>
                <c:pt idx="0">
                  <c:v>Bonds Price (Duration)</c:v>
                </c:pt>
              </c:strCache>
            </c:strRef>
          </c:tx>
          <c:spPr>
            <a:ln w="28575" cap="rnd">
              <a:solidFill>
                <a:schemeClr val="accent1"/>
              </a:solidFill>
              <a:round/>
            </a:ln>
            <a:effectLst/>
          </c:spPr>
          <c:marker>
            <c:symbol val="none"/>
          </c:marker>
          <c:cat>
            <c:numRef>
              <c:f>BOND!$B$60:$B$67</c:f>
              <c:numCache>
                <c:formatCode>0%</c:formatCode>
                <c:ptCount val="8"/>
                <c:pt idx="0">
                  <c:v>1.9999999999999997E-2</c:v>
                </c:pt>
                <c:pt idx="1">
                  <c:v>0.03</c:v>
                </c:pt>
                <c:pt idx="2">
                  <c:v>0.04</c:v>
                </c:pt>
                <c:pt idx="3">
                  <c:v>0.05</c:v>
                </c:pt>
                <c:pt idx="4">
                  <c:v>6.0000000000000005E-2</c:v>
                </c:pt>
                <c:pt idx="5">
                  <c:v>7.0000000000000007E-2</c:v>
                </c:pt>
                <c:pt idx="6">
                  <c:v>0.08</c:v>
                </c:pt>
                <c:pt idx="7">
                  <c:v>0.09</c:v>
                </c:pt>
              </c:numCache>
            </c:numRef>
          </c:cat>
          <c:val>
            <c:numRef>
              <c:f>BOND!$C$60:$C$67</c:f>
              <c:numCache>
                <c:formatCode>_(* #,##0.00_);_(* \(#,##0.00\);_(* "-"??_);_(@_)</c:formatCode>
                <c:ptCount val="8"/>
                <c:pt idx="0">
                  <c:v>113.45629829386787</c:v>
                </c:pt>
                <c:pt idx="1">
                  <c:v>108.97086552924529</c:v>
                </c:pt>
                <c:pt idx="2">
                  <c:v>104.48543276462267</c:v>
                </c:pt>
                <c:pt idx="3">
                  <c:v>100.00000000000006</c:v>
                </c:pt>
                <c:pt idx="4">
                  <c:v>95.514567235377442</c:v>
                </c:pt>
                <c:pt idx="5">
                  <c:v>91.02913447075484</c:v>
                </c:pt>
                <c:pt idx="6">
                  <c:v>86.543701706132239</c:v>
                </c:pt>
                <c:pt idx="7">
                  <c:v>82.058268941509624</c:v>
                </c:pt>
              </c:numCache>
            </c:numRef>
          </c:val>
          <c:smooth val="0"/>
          <c:extLst>
            <c:ext xmlns:c16="http://schemas.microsoft.com/office/drawing/2014/chart" uri="{C3380CC4-5D6E-409C-BE32-E72D297353CC}">
              <c16:uniqueId val="{00000000-7FB4-4FF0-BE6F-65726AAE63A6}"/>
            </c:ext>
          </c:extLst>
        </c:ser>
        <c:ser>
          <c:idx val="1"/>
          <c:order val="1"/>
          <c:tx>
            <c:strRef>
              <c:f>BOND!$D$18</c:f>
              <c:strCache>
                <c:ptCount val="1"/>
                <c:pt idx="0">
                  <c:v>Bonds Price (M Duration)</c:v>
                </c:pt>
              </c:strCache>
            </c:strRef>
          </c:tx>
          <c:spPr>
            <a:ln w="28575" cap="rnd">
              <a:solidFill>
                <a:schemeClr val="accent2"/>
              </a:solidFill>
              <a:round/>
            </a:ln>
            <a:effectLst/>
          </c:spPr>
          <c:marker>
            <c:symbol val="none"/>
          </c:marker>
          <c:cat>
            <c:numRef>
              <c:f>BOND!$B$60:$B$67</c:f>
              <c:numCache>
                <c:formatCode>0%</c:formatCode>
                <c:ptCount val="8"/>
                <c:pt idx="0">
                  <c:v>1.9999999999999997E-2</c:v>
                </c:pt>
                <c:pt idx="1">
                  <c:v>0.03</c:v>
                </c:pt>
                <c:pt idx="2">
                  <c:v>0.04</c:v>
                </c:pt>
                <c:pt idx="3">
                  <c:v>0.05</c:v>
                </c:pt>
                <c:pt idx="4">
                  <c:v>6.0000000000000005E-2</c:v>
                </c:pt>
                <c:pt idx="5">
                  <c:v>7.0000000000000007E-2</c:v>
                </c:pt>
                <c:pt idx="6">
                  <c:v>0.08</c:v>
                </c:pt>
                <c:pt idx="7">
                  <c:v>0.09</c:v>
                </c:pt>
              </c:numCache>
            </c:numRef>
          </c:cat>
          <c:val>
            <c:numRef>
              <c:f>BOND!$D$60:$D$67</c:f>
              <c:numCache>
                <c:formatCode>_(* #,##0.00_);_(* \(#,##0.00\);_(* "-"??_);_(@_)</c:formatCode>
                <c:ptCount val="8"/>
                <c:pt idx="0">
                  <c:v>113.12809589645647</c:v>
                </c:pt>
                <c:pt idx="1">
                  <c:v>108.752063930971</c:v>
                </c:pt>
                <c:pt idx="2">
                  <c:v>104.37603196548552</c:v>
                </c:pt>
                <c:pt idx="3">
                  <c:v>100.00000000000006</c:v>
                </c:pt>
                <c:pt idx="4">
                  <c:v>95.623968034514576</c:v>
                </c:pt>
                <c:pt idx="5">
                  <c:v>91.247936069029123</c:v>
                </c:pt>
                <c:pt idx="6">
                  <c:v>86.871904103543642</c:v>
                </c:pt>
                <c:pt idx="7">
                  <c:v>82.495872138058175</c:v>
                </c:pt>
              </c:numCache>
            </c:numRef>
          </c:val>
          <c:smooth val="0"/>
          <c:extLst>
            <c:ext xmlns:c16="http://schemas.microsoft.com/office/drawing/2014/chart" uri="{C3380CC4-5D6E-409C-BE32-E72D297353CC}">
              <c16:uniqueId val="{00000001-7FB4-4FF0-BE6F-65726AAE63A6}"/>
            </c:ext>
          </c:extLst>
        </c:ser>
        <c:ser>
          <c:idx val="2"/>
          <c:order val="2"/>
          <c:tx>
            <c:strRef>
              <c:f>BOND!$E$18</c:f>
              <c:strCache>
                <c:ptCount val="1"/>
                <c:pt idx="0">
                  <c:v>Bnds Price (Convexity)</c:v>
                </c:pt>
              </c:strCache>
            </c:strRef>
          </c:tx>
          <c:spPr>
            <a:ln w="28575" cap="rnd">
              <a:solidFill>
                <a:schemeClr val="accent3"/>
              </a:solidFill>
              <a:round/>
            </a:ln>
            <a:effectLst/>
          </c:spPr>
          <c:marker>
            <c:symbol val="none"/>
          </c:marker>
          <c:cat>
            <c:numRef>
              <c:f>BOND!$B$60:$B$67</c:f>
              <c:numCache>
                <c:formatCode>0%</c:formatCode>
                <c:ptCount val="8"/>
                <c:pt idx="0">
                  <c:v>1.9999999999999997E-2</c:v>
                </c:pt>
                <c:pt idx="1">
                  <c:v>0.03</c:v>
                </c:pt>
                <c:pt idx="2">
                  <c:v>0.04</c:v>
                </c:pt>
                <c:pt idx="3">
                  <c:v>0.05</c:v>
                </c:pt>
                <c:pt idx="4">
                  <c:v>6.0000000000000005E-2</c:v>
                </c:pt>
                <c:pt idx="5">
                  <c:v>7.0000000000000007E-2</c:v>
                </c:pt>
                <c:pt idx="6">
                  <c:v>0.08</c:v>
                </c:pt>
                <c:pt idx="7">
                  <c:v>0.09</c:v>
                </c:pt>
              </c:numCache>
            </c:numRef>
          </c:cat>
          <c:val>
            <c:numRef>
              <c:f>BOND!$E$60:$E$67</c:f>
              <c:numCache>
                <c:formatCode>_(* #,##0.00_);_(* \(#,##0.00\);_(* "-"??_);_(@_)</c:formatCode>
                <c:ptCount val="8"/>
                <c:pt idx="0">
                  <c:v>106.78369665553923</c:v>
                </c:pt>
                <c:pt idx="1">
                  <c:v>104.52246443702617</c:v>
                </c:pt>
                <c:pt idx="2">
                  <c:v>102.26123221851313</c:v>
                </c:pt>
                <c:pt idx="3">
                  <c:v>100.00000000000006</c:v>
                </c:pt>
                <c:pt idx="4">
                  <c:v>97.738767781486999</c:v>
                </c:pt>
                <c:pt idx="5">
                  <c:v>95.477535562973941</c:v>
                </c:pt>
                <c:pt idx="6">
                  <c:v>93.216303344460883</c:v>
                </c:pt>
                <c:pt idx="7">
                  <c:v>90.955071125947825</c:v>
                </c:pt>
              </c:numCache>
            </c:numRef>
          </c:val>
          <c:smooth val="0"/>
          <c:extLst>
            <c:ext xmlns:c16="http://schemas.microsoft.com/office/drawing/2014/chart" uri="{C3380CC4-5D6E-409C-BE32-E72D297353CC}">
              <c16:uniqueId val="{00000002-7FB4-4FF0-BE6F-65726AAE63A6}"/>
            </c:ext>
          </c:extLst>
        </c:ser>
        <c:dLbls>
          <c:showLegendKey val="0"/>
          <c:showVal val="0"/>
          <c:showCatName val="0"/>
          <c:showSerName val="0"/>
          <c:showPercent val="0"/>
          <c:showBubbleSize val="0"/>
        </c:dLbls>
        <c:smooth val="0"/>
        <c:axId val="1110077183"/>
        <c:axId val="1110079263"/>
      </c:lineChart>
      <c:catAx>
        <c:axId val="1110077183"/>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0079263"/>
        <c:crosses val="autoZero"/>
        <c:auto val="1"/>
        <c:lblAlgn val="ctr"/>
        <c:lblOffset val="100"/>
        <c:noMultiLvlLbl val="0"/>
      </c:catAx>
      <c:valAx>
        <c:axId val="1110079263"/>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00771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chart" Target="../charts/chart2.xm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24</xdr:col>
      <xdr:colOff>435665</xdr:colOff>
      <xdr:row>14</xdr:row>
      <xdr:rowOff>17972</xdr:rowOff>
    </xdr:from>
    <xdr:ext cx="3114286" cy="552381"/>
    <xdr:pic>
      <xdr:nvPicPr>
        <xdr:cNvPr id="4" name="Picture 3">
          <a:extLst>
            <a:ext uri="{FF2B5EF4-FFF2-40B4-BE49-F238E27FC236}">
              <a16:creationId xmlns:a16="http://schemas.microsoft.com/office/drawing/2014/main" id="{49428321-EA5F-4F52-8B0A-0307FF65F4C3}"/>
            </a:ext>
          </a:extLst>
        </xdr:cNvPr>
        <xdr:cNvPicPr>
          <a:picLocks noChangeAspect="1"/>
        </xdr:cNvPicPr>
      </xdr:nvPicPr>
      <xdr:blipFill>
        <a:blip xmlns:r="http://schemas.openxmlformats.org/officeDocument/2006/relationships" r:embed="rId1"/>
        <a:stretch>
          <a:fillRect/>
        </a:stretch>
      </xdr:blipFill>
      <xdr:spPr>
        <a:xfrm>
          <a:off x="23978590" y="2731698"/>
          <a:ext cx="3114286" cy="552381"/>
        </a:xfrm>
        <a:prstGeom prst="rect">
          <a:avLst/>
        </a:prstGeom>
      </xdr:spPr>
    </xdr:pic>
    <xdr:clientData/>
  </xdr:oneCellAnchor>
  <xdr:oneCellAnchor>
    <xdr:from>
      <xdr:col>24</xdr:col>
      <xdr:colOff>741183</xdr:colOff>
      <xdr:row>16</xdr:row>
      <xdr:rowOff>197690</xdr:rowOff>
    </xdr:from>
    <xdr:ext cx="3114286" cy="552381"/>
    <xdr:pic>
      <xdr:nvPicPr>
        <xdr:cNvPr id="11" name="Picture 10">
          <a:extLst>
            <a:ext uri="{FF2B5EF4-FFF2-40B4-BE49-F238E27FC236}">
              <a16:creationId xmlns:a16="http://schemas.microsoft.com/office/drawing/2014/main" id="{3D64CFE3-BE5F-4FFB-942F-7CDE4958123B}"/>
            </a:ext>
          </a:extLst>
        </xdr:cNvPr>
        <xdr:cNvPicPr>
          <a:picLocks noChangeAspect="1"/>
        </xdr:cNvPicPr>
      </xdr:nvPicPr>
      <xdr:blipFill>
        <a:blip xmlns:r="http://schemas.openxmlformats.org/officeDocument/2006/relationships" r:embed="rId1"/>
        <a:stretch>
          <a:fillRect/>
        </a:stretch>
      </xdr:blipFill>
      <xdr:spPr>
        <a:xfrm>
          <a:off x="24284108" y="3270850"/>
          <a:ext cx="3114286" cy="552381"/>
        </a:xfrm>
        <a:prstGeom prst="rect">
          <a:avLst/>
        </a:prstGeom>
      </xdr:spPr>
    </xdr:pic>
    <xdr:clientData/>
  </xdr:oneCellAnchor>
  <xdr:twoCellAnchor editAs="oneCell">
    <xdr:from>
      <xdr:col>24</xdr:col>
      <xdr:colOff>611038</xdr:colOff>
      <xdr:row>18</xdr:row>
      <xdr:rowOff>161745</xdr:rowOff>
    </xdr:from>
    <xdr:to>
      <xdr:col>31</xdr:col>
      <xdr:colOff>594078</xdr:colOff>
      <xdr:row>21</xdr:row>
      <xdr:rowOff>19131</xdr:rowOff>
    </xdr:to>
    <xdr:pic>
      <xdr:nvPicPr>
        <xdr:cNvPr id="18" name="Picture 17">
          <a:extLst>
            <a:ext uri="{FF2B5EF4-FFF2-40B4-BE49-F238E27FC236}">
              <a16:creationId xmlns:a16="http://schemas.microsoft.com/office/drawing/2014/main" id="{30ABA1AD-1F6F-4EBC-98A5-599A9EF9E2DE}"/>
            </a:ext>
          </a:extLst>
        </xdr:cNvPr>
        <xdr:cNvPicPr>
          <a:picLocks noChangeAspect="1"/>
        </xdr:cNvPicPr>
      </xdr:nvPicPr>
      <xdr:blipFill>
        <a:blip xmlns:r="http://schemas.openxmlformats.org/officeDocument/2006/relationships" r:embed="rId2"/>
        <a:stretch>
          <a:fillRect/>
        </a:stretch>
      </xdr:blipFill>
      <xdr:spPr>
        <a:xfrm>
          <a:off x="24153963" y="3827971"/>
          <a:ext cx="5098432" cy="383202"/>
        </a:xfrm>
        <a:prstGeom prst="rect">
          <a:avLst/>
        </a:prstGeom>
      </xdr:spPr>
    </xdr:pic>
    <xdr:clientData/>
  </xdr:twoCellAnchor>
  <xdr:oneCellAnchor>
    <xdr:from>
      <xdr:col>24</xdr:col>
      <xdr:colOff>796723</xdr:colOff>
      <xdr:row>23</xdr:row>
      <xdr:rowOff>36712</xdr:rowOff>
    </xdr:from>
    <xdr:ext cx="3114286" cy="552381"/>
    <xdr:pic>
      <xdr:nvPicPr>
        <xdr:cNvPr id="19" name="Picture 18">
          <a:extLst>
            <a:ext uri="{FF2B5EF4-FFF2-40B4-BE49-F238E27FC236}">
              <a16:creationId xmlns:a16="http://schemas.microsoft.com/office/drawing/2014/main" id="{0FBE543E-8EBC-41B1-9ADB-3FA766F8E8FD}"/>
            </a:ext>
          </a:extLst>
        </xdr:cNvPr>
        <xdr:cNvPicPr>
          <a:picLocks noChangeAspect="1"/>
        </xdr:cNvPicPr>
      </xdr:nvPicPr>
      <xdr:blipFill>
        <a:blip xmlns:r="http://schemas.openxmlformats.org/officeDocument/2006/relationships" r:embed="rId1"/>
        <a:stretch>
          <a:fillRect/>
        </a:stretch>
      </xdr:blipFill>
      <xdr:spPr>
        <a:xfrm>
          <a:off x="24339648" y="4601523"/>
          <a:ext cx="3114286" cy="552381"/>
        </a:xfrm>
        <a:prstGeom prst="rect">
          <a:avLst/>
        </a:prstGeom>
      </xdr:spPr>
    </xdr:pic>
    <xdr:clientData/>
  </xdr:oneCellAnchor>
  <xdr:twoCellAnchor editAs="oneCell">
    <xdr:from>
      <xdr:col>24</xdr:col>
      <xdr:colOff>218614</xdr:colOff>
      <xdr:row>28</xdr:row>
      <xdr:rowOff>145629</xdr:rowOff>
    </xdr:from>
    <xdr:to>
      <xdr:col>27</xdr:col>
      <xdr:colOff>345363</xdr:colOff>
      <xdr:row>32</xdr:row>
      <xdr:rowOff>1933</xdr:rowOff>
    </xdr:to>
    <xdr:pic>
      <xdr:nvPicPr>
        <xdr:cNvPr id="20" name="Picture 19">
          <a:extLst>
            <a:ext uri="{FF2B5EF4-FFF2-40B4-BE49-F238E27FC236}">
              <a16:creationId xmlns:a16="http://schemas.microsoft.com/office/drawing/2014/main" id="{61ADBA99-CF18-4FE6-B711-F537BD618BFC}"/>
            </a:ext>
          </a:extLst>
        </xdr:cNvPr>
        <xdr:cNvPicPr>
          <a:picLocks noChangeAspect="1"/>
        </xdr:cNvPicPr>
      </xdr:nvPicPr>
      <xdr:blipFill>
        <a:blip xmlns:r="http://schemas.openxmlformats.org/officeDocument/2006/relationships" r:embed="rId3"/>
        <a:stretch>
          <a:fillRect/>
        </a:stretch>
      </xdr:blipFill>
      <xdr:spPr>
        <a:xfrm>
          <a:off x="23761539" y="5609025"/>
          <a:ext cx="2786560" cy="575172"/>
        </a:xfrm>
        <a:prstGeom prst="rect">
          <a:avLst/>
        </a:prstGeom>
      </xdr:spPr>
    </xdr:pic>
    <xdr:clientData/>
  </xdr:twoCellAnchor>
  <xdr:twoCellAnchor>
    <xdr:from>
      <xdr:col>17</xdr:col>
      <xdr:colOff>943266</xdr:colOff>
      <xdr:row>6</xdr:row>
      <xdr:rowOff>47917</xdr:rowOff>
    </xdr:from>
    <xdr:to>
      <xdr:col>22</xdr:col>
      <xdr:colOff>849628</xdr:colOff>
      <xdr:row>20</xdr:row>
      <xdr:rowOff>94810</xdr:rowOff>
    </xdr:to>
    <xdr:graphicFrame macro="">
      <xdr:nvGraphicFramePr>
        <xdr:cNvPr id="21" name="Chart 20">
          <a:extLst>
            <a:ext uri="{FF2B5EF4-FFF2-40B4-BE49-F238E27FC236}">
              <a16:creationId xmlns:a16="http://schemas.microsoft.com/office/drawing/2014/main" id="{70DDFA50-7227-40E7-B235-E50C385F3D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0</xdr:colOff>
      <xdr:row>48</xdr:row>
      <xdr:rowOff>0</xdr:rowOff>
    </xdr:from>
    <xdr:to>
      <xdr:col>23</xdr:col>
      <xdr:colOff>291172</xdr:colOff>
      <xdr:row>62</xdr:row>
      <xdr:rowOff>48797</xdr:rowOff>
    </xdr:to>
    <xdr:graphicFrame macro="">
      <xdr:nvGraphicFramePr>
        <xdr:cNvPr id="22" name="Chart 21">
          <a:extLst>
            <a:ext uri="{FF2B5EF4-FFF2-40B4-BE49-F238E27FC236}">
              <a16:creationId xmlns:a16="http://schemas.microsoft.com/office/drawing/2014/main" id="{E1CC5FFC-AA1A-4E95-A623-A840C55E89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qwerty/Desktop/COMP2/CFA%202024/CFA%20Revision%20Spreadsheet%20L1%202024(AutoRecover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Hours Log"/>
      <sheetName val="Timetable Example 2021"/>
      <sheetName val="Timetable Clean 2024 "/>
      <sheetName val="Timetable Clean 2023"/>
      <sheetName val="Depreciation FS"/>
      <sheetName val="Arithmetic, Geometric, and Harm"/>
      <sheetName val="FIFO AND LIFO"/>
      <sheetName val="Alternative Depreciation Method"/>
      <sheetName val="Income Taxes"/>
      <sheetName val="BONDS"/>
      <sheetName val="EX"/>
      <sheetName val="Morgage"/>
      <sheetName val="INTEREST RATES AND TVM"/>
      <sheetName val="CASH CONVERSION CYCLE"/>
      <sheetName val="Allocation capital"/>
      <sheetName val="Capital structure (WACC)"/>
      <sheetName val="Revenue Recognition"/>
      <sheetName val="Regognition Financial Instr"/>
      <sheetName val="CF OP, Invest, Finance part 1"/>
      <sheetName val="Inventories"/>
      <sheetName val="Impairment of PPE"/>
      <sheetName val="Lease"/>
      <sheetName val="Tax"/>
      <sheetName val="Fin Analysis"/>
      <sheetName val="Ratios"/>
      <sheetName val="CF OP, Invest, Finance part 2"/>
      <sheetName val="RATIOS AND COMMON-SIZE ANALYSIS"/>
      <sheetName val="Expense Recognition"/>
      <sheetName val="EARNINGS PER SHARE (EPS)"/>
      <sheetName val="GOOD WILL"/>
      <sheetName val="Portfolio Mathematics"/>
      <sheetName val="Correlation-Reggression"/>
      <sheetName val="Probablities"/>
      <sheetName val="Discount Instruments"/>
      <sheetName val="Dividend Cash Flows"/>
      <sheetName val="CONTINGENCY TABLE"/>
      <sheetName val="Mean"/>
      <sheetName val="Frequency Distribution"/>
      <sheetName val="PPL"/>
      <sheetName val="TWM"/>
      <sheetName val="Organizing Data"/>
      <sheetName val="Probabilies Distribution"/>
      <sheetName val="Sheet1"/>
      <sheetName val="ECONIMCS"/>
      <sheetName val="GDP"/>
      <sheetName val="Financial model"/>
      <sheetName val="Leveraged Stock Purchase"/>
      <sheetName val="Index "/>
      <sheetName val="Sheet2"/>
      <sheetName val="DDM and FCFE"/>
      <sheetName val=" Fixed-Income"/>
      <sheetName val="BOND pricing"/>
      <sheetName val="DERIVATIVES"/>
      <sheetName val="alternative investments"/>
      <sheetName val="Portfolio Management"/>
      <sheetName val="PORTFOLI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row r="685">
          <cell r="D685" t="str">
            <v>Forwards Rate</v>
          </cell>
          <cell r="E685" t="str">
            <v>Spot Rate</v>
          </cell>
        </row>
        <row r="686">
          <cell r="D686">
            <v>1.8800000000000001E-2</v>
          </cell>
          <cell r="E686">
            <v>1.8800000000000001E-2</v>
          </cell>
        </row>
        <row r="687">
          <cell r="D687">
            <v>2.7699999999999999E-2</v>
          </cell>
          <cell r="E687">
            <v>2.3240323677678365E-2</v>
          </cell>
        </row>
        <row r="688">
          <cell r="D688">
            <v>3.5400000000000001E-2</v>
          </cell>
          <cell r="E688">
            <v>2.7277598782059487E-2</v>
          </cell>
        </row>
        <row r="689">
          <cell r="D689">
            <v>4.1200000000000001E-2</v>
          </cell>
          <cell r="E689">
            <v>3.0740648299305562E-2</v>
          </cell>
        </row>
      </sheetData>
      <sheetData sheetId="53"/>
      <sheetData sheetId="54"/>
      <sheetData sheetId="55"/>
      <sheetData sheetId="5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E568-BAF0-451D-B1A2-FD9B56FA6779}">
  <dimension ref="B2:V82"/>
  <sheetViews>
    <sheetView showGridLines="0" tabSelected="1" topLeftCell="A22" zoomScale="70" zoomScaleNormal="70" workbookViewId="0">
      <selection activeCell="E75" sqref="E75"/>
    </sheetView>
  </sheetViews>
  <sheetFormatPr defaultRowHeight="13.2" x14ac:dyDescent="0.3"/>
  <cols>
    <col min="1" max="1" width="8.88671875" style="45"/>
    <col min="2" max="5" width="12.77734375" style="45" customWidth="1"/>
    <col min="6" max="6" width="9.5546875" style="45" bestFit="1" customWidth="1"/>
    <col min="7" max="8" width="8.88671875" style="45"/>
    <col min="9" max="9" width="10" style="45" bestFit="1" customWidth="1"/>
    <col min="10" max="11" width="8.88671875" style="45"/>
    <col min="12" max="12" width="19.33203125" style="45" customWidth="1"/>
    <col min="13" max="14" width="22.21875" style="45" bestFit="1" customWidth="1"/>
    <col min="15" max="15" width="13.6640625" style="45" customWidth="1"/>
    <col min="16" max="16" width="20.6640625" style="45" bestFit="1" customWidth="1"/>
    <col min="17" max="17" width="24.21875" style="45" customWidth="1"/>
    <col min="18" max="18" width="20.109375" style="45" customWidth="1"/>
    <col min="19" max="19" width="21" style="45" bestFit="1" customWidth="1"/>
    <col min="20" max="22" width="8.88671875" style="45"/>
    <col min="23" max="23" width="14.5546875" style="45" bestFit="1" customWidth="1"/>
    <col min="24" max="24" width="22.88671875" style="45" bestFit="1" customWidth="1"/>
    <col min="25" max="25" width="21" style="45" bestFit="1" customWidth="1"/>
    <col min="26" max="16384" width="8.88671875" style="45"/>
  </cols>
  <sheetData>
    <row r="2" spans="2:17" s="3" customFormat="1" ht="24.6" x14ac:dyDescent="0.4">
      <c r="D2" s="9"/>
    </row>
    <row r="3" spans="2:17" s="3" customFormat="1" x14ac:dyDescent="0.25"/>
    <row r="4" spans="2:17" s="3" customFormat="1" x14ac:dyDescent="0.25">
      <c r="B4" s="45" t="s">
        <v>33</v>
      </c>
      <c r="C4" s="45"/>
      <c r="D4" s="45"/>
      <c r="E4" s="45"/>
    </row>
    <row r="5" spans="2:17" s="3" customFormat="1" ht="19.2" x14ac:dyDescent="0.35">
      <c r="B5" s="47" t="s">
        <v>0</v>
      </c>
      <c r="C5" s="48"/>
      <c r="D5" s="48"/>
      <c r="E5" s="49"/>
      <c r="H5" s="13" t="s">
        <v>4</v>
      </c>
      <c r="I5" s="14" t="s">
        <v>6</v>
      </c>
      <c r="J5" s="14" t="s">
        <v>7</v>
      </c>
      <c r="K5" s="14" t="s">
        <v>8</v>
      </c>
      <c r="L5" s="14" t="s">
        <v>5</v>
      </c>
      <c r="M5" s="14" t="s">
        <v>9</v>
      </c>
      <c r="N5" s="15" t="s">
        <v>10</v>
      </c>
      <c r="P5" s="18" t="s">
        <v>11</v>
      </c>
    </row>
    <row r="6" spans="2:17" s="3" customFormat="1" x14ac:dyDescent="0.25">
      <c r="B6" s="50" t="s">
        <v>36</v>
      </c>
      <c r="C6" s="16"/>
      <c r="D6" s="16"/>
      <c r="E6" s="27">
        <v>4.625</v>
      </c>
      <c r="H6" s="3" cm="1">
        <f t="array" ref="H6:H35">_xlfn.SEQUENCE(30)</f>
        <v>1</v>
      </c>
      <c r="I6" s="3">
        <f>H6</f>
        <v>1</v>
      </c>
      <c r="J6" s="3">
        <f>$E$8*$E$6/100</f>
        <v>4.625</v>
      </c>
      <c r="K6" s="46">
        <f>J6/(1+$E$9)^I6</f>
        <v>4.4152744630071599</v>
      </c>
      <c r="L6" s="46">
        <f>K6/$K$36</f>
        <v>4.5043503461414329E-2</v>
      </c>
      <c r="M6" s="76">
        <f>L6*I6</f>
        <v>4.5043503461414329E-2</v>
      </c>
      <c r="N6" s="76">
        <f>(I6)*(I6+1)*L6*(1+$E$9)^(-E7)</f>
        <v>8.6001915916781524E-2</v>
      </c>
      <c r="P6" s="8" t="s">
        <v>13</v>
      </c>
      <c r="Q6" s="34">
        <v>5.0000000000000001E-4</v>
      </c>
    </row>
    <row r="7" spans="2:17" s="3" customFormat="1" x14ac:dyDescent="0.25">
      <c r="B7" s="54" t="s">
        <v>31</v>
      </c>
      <c r="C7" s="42"/>
      <c r="D7" s="42"/>
      <c r="E7" s="23">
        <v>1</v>
      </c>
      <c r="H7" s="3">
        <v>2</v>
      </c>
      <c r="I7" s="3">
        <f t="shared" ref="I7:I35" si="0">H7</f>
        <v>2</v>
      </c>
      <c r="J7" s="3">
        <f>$E$8*$E$6/100</f>
        <v>4.625</v>
      </c>
      <c r="K7" s="46">
        <f>J7/(1+$E$9)^I7</f>
        <v>4.2150591532287915</v>
      </c>
      <c r="L7" s="46">
        <f t="shared" ref="L7:L35" si="1">K7/$K$36</f>
        <v>4.3000957958390755E-2</v>
      </c>
      <c r="M7" s="76">
        <f t="shared" ref="M7:M35" si="2">L7*I7</f>
        <v>8.600191591678151E-2</v>
      </c>
      <c r="N7" s="76">
        <f t="shared" ref="N7:N35" si="3">(I7)*(I7+1)*L7*(1+$E$9)^(-1)</f>
        <v>0.24630620310295417</v>
      </c>
      <c r="P7" s="7" t="s">
        <v>14</v>
      </c>
      <c r="Q7" s="30">
        <f>E9+Q6</f>
        <v>4.8000000000000001E-2</v>
      </c>
    </row>
    <row r="8" spans="2:17" s="3" customFormat="1" ht="14.4" x14ac:dyDescent="0.3">
      <c r="B8" s="54" t="s">
        <v>3</v>
      </c>
      <c r="C8" s="42"/>
      <c r="D8" s="42"/>
      <c r="E8" s="23">
        <v>100</v>
      </c>
      <c r="H8" s="3">
        <v>3</v>
      </c>
      <c r="I8" s="3">
        <f t="shared" si="0"/>
        <v>3</v>
      </c>
      <c r="J8" s="3">
        <f>$E$8*$E$6/100</f>
        <v>4.625</v>
      </c>
      <c r="K8" s="46">
        <f>J8/(1+$E$9)^I8</f>
        <v>4.0239228193114949</v>
      </c>
      <c r="L8" s="46">
        <f t="shared" si="1"/>
        <v>4.1051033850492365E-2</v>
      </c>
      <c r="M8" s="76">
        <f t="shared" si="2"/>
        <v>0.1231531015514771</v>
      </c>
      <c r="N8" s="76">
        <f t="shared" si="3"/>
        <v>0.470274373466261</v>
      </c>
      <c r="P8" s="21" t="s">
        <v>15</v>
      </c>
      <c r="Q8" s="25">
        <f>E9-Q6</f>
        <v>4.7E-2</v>
      </c>
    </row>
    <row r="9" spans="2:17" s="3" customFormat="1" ht="14.4" x14ac:dyDescent="0.3">
      <c r="B9" s="22" t="s">
        <v>2</v>
      </c>
      <c r="C9" s="42"/>
      <c r="D9" s="42"/>
      <c r="E9" s="26">
        <v>4.7500000000000001E-2</v>
      </c>
      <c r="H9" s="3">
        <v>4</v>
      </c>
      <c r="I9" s="3">
        <f t="shared" si="0"/>
        <v>4</v>
      </c>
      <c r="J9" s="3">
        <f>$E$8*$E$6/100</f>
        <v>4.625</v>
      </c>
      <c r="K9" s="46">
        <f>J9/(1+$E$9)^I9</f>
        <v>3.8414537654525005</v>
      </c>
      <c r="L9" s="46">
        <f t="shared" si="1"/>
        <v>3.9189531122188412E-2</v>
      </c>
      <c r="M9" s="76">
        <f t="shared" si="2"/>
        <v>0.15675812448875365</v>
      </c>
      <c r="N9" s="76">
        <f t="shared" si="3"/>
        <v>0.74824880424226081</v>
      </c>
      <c r="P9" s="19" t="s">
        <v>16</v>
      </c>
      <c r="Q9" s="20">
        <f>PRICE(E10,E11,E6/100,E9,E8,1,2)</f>
        <v>98.022447716337652</v>
      </c>
    </row>
    <row r="10" spans="2:17" s="3" customFormat="1" x14ac:dyDescent="0.25">
      <c r="B10" s="58" t="s">
        <v>17</v>
      </c>
      <c r="C10" s="42"/>
      <c r="D10" s="42"/>
      <c r="E10" s="43">
        <f>DATE(2025,10,15)</f>
        <v>45945</v>
      </c>
      <c r="H10" s="3">
        <v>5</v>
      </c>
      <c r="I10" s="3">
        <f t="shared" si="0"/>
        <v>5</v>
      </c>
      <c r="J10" s="3">
        <f>$E$8*$E$6/100</f>
        <v>4.625</v>
      </c>
      <c r="K10" s="46">
        <f>J10/(1+$E$9)^I10</f>
        <v>3.6672589646324587</v>
      </c>
      <c r="L10" s="46">
        <f t="shared" si="1"/>
        <v>3.7412440212113041E-2</v>
      </c>
      <c r="M10" s="76">
        <f t="shared" si="2"/>
        <v>0.1870622010605652</v>
      </c>
      <c r="N10" s="76">
        <f t="shared" si="3"/>
        <v>1.0714780013015668</v>
      </c>
      <c r="P10" s="7" t="s">
        <v>18</v>
      </c>
      <c r="Q10" s="17">
        <f>PRICE(E10,E11,E6/100,Q7,E8,1,2)</f>
        <v>97.247386446858684</v>
      </c>
    </row>
    <row r="11" spans="2:17" s="3" customFormat="1" x14ac:dyDescent="0.25">
      <c r="B11" s="58" t="s">
        <v>19</v>
      </c>
      <c r="C11" s="42"/>
      <c r="D11" s="42"/>
      <c r="E11" s="43">
        <f>DATE(2055,10,15)</f>
        <v>56902</v>
      </c>
      <c r="H11" s="3">
        <v>6</v>
      </c>
      <c r="I11" s="3">
        <f t="shared" si="0"/>
        <v>6</v>
      </c>
      <c r="J11" s="3">
        <f>$E$8*$E$6/100</f>
        <v>4.625</v>
      </c>
      <c r="K11" s="46">
        <f>J11/(1+$E$9)^I11</f>
        <v>3.5009632120596255</v>
      </c>
      <c r="L11" s="46">
        <f t="shared" si="1"/>
        <v>3.5715933376718884E-2</v>
      </c>
      <c r="M11" s="76">
        <f t="shared" si="2"/>
        <v>0.2142956002603133</v>
      </c>
      <c r="N11" s="76">
        <f t="shared" si="3"/>
        <v>1.4320469707133108</v>
      </c>
      <c r="P11" s="21" t="s">
        <v>20</v>
      </c>
      <c r="Q11" s="6">
        <f>PRICE(E10,E11,E6/100,Q8,E8,1,2)</f>
        <v>98.806567289844423</v>
      </c>
    </row>
    <row r="12" spans="2:17" s="3" customFormat="1" x14ac:dyDescent="0.25">
      <c r="B12" s="52" t="s">
        <v>1</v>
      </c>
      <c r="C12" s="5"/>
      <c r="D12" s="5"/>
      <c r="E12" s="6">
        <v>30</v>
      </c>
      <c r="H12" s="3">
        <v>7</v>
      </c>
      <c r="I12" s="3">
        <f t="shared" si="0"/>
        <v>7</v>
      </c>
      <c r="J12" s="3">
        <f>$E$8*$E$6/100</f>
        <v>4.625</v>
      </c>
      <c r="K12" s="46">
        <f>J12/(1+$E$9)^I12</f>
        <v>3.3422083170020294</v>
      </c>
      <c r="L12" s="46">
        <f t="shared" si="1"/>
        <v>3.4096356445555018E-2</v>
      </c>
      <c r="M12" s="76">
        <f t="shared" si="2"/>
        <v>0.23867449511888511</v>
      </c>
      <c r="N12" s="76">
        <f t="shared" si="3"/>
        <v>1.8228123732229888</v>
      </c>
      <c r="P12" s="8" t="s">
        <v>21</v>
      </c>
      <c r="Q12" s="36">
        <f>PRICE(E10,E11,E6/100,E9,E8,1,2)</f>
        <v>98.022447716337652</v>
      </c>
    </row>
    <row r="13" spans="2:17" s="3" customFormat="1" x14ac:dyDescent="0.25">
      <c r="H13" s="3">
        <v>8</v>
      </c>
      <c r="I13" s="3">
        <f t="shared" si="0"/>
        <v>8</v>
      </c>
      <c r="J13" s="3">
        <f>$E$8*$E$6/100</f>
        <v>4.625</v>
      </c>
      <c r="K13" s="46">
        <f>J13/(1+$E$9)^I13</f>
        <v>3.1906523312668531</v>
      </c>
      <c r="L13" s="46">
        <f t="shared" si="1"/>
        <v>3.2550220950410512E-2</v>
      </c>
      <c r="M13" s="76">
        <f t="shared" si="2"/>
        <v>0.2604017676032841</v>
      </c>
      <c r="N13" s="76">
        <f t="shared" si="3"/>
        <v>2.2373421560186699</v>
      </c>
      <c r="P13" s="10" t="s">
        <v>22</v>
      </c>
      <c r="Q13" s="37">
        <f>((Q11+Q10-(2*Q9))/((Q6^2)*Q9))</f>
        <v>369.64202542734984</v>
      </c>
    </row>
    <row r="14" spans="2:17" s="3" customFormat="1" x14ac:dyDescent="0.25">
      <c r="H14" s="3">
        <v>9</v>
      </c>
      <c r="I14" s="3">
        <f t="shared" si="0"/>
        <v>9</v>
      </c>
      <c r="J14" s="3">
        <f>$E$8*$E$6/100</f>
        <v>4.625</v>
      </c>
      <c r="K14" s="46">
        <f>J14/(1+$E$9)^I14</f>
        <v>3.0459688126652535</v>
      </c>
      <c r="L14" s="46">
        <f t="shared" si="1"/>
        <v>3.1074196611370418E-2</v>
      </c>
      <c r="M14" s="76">
        <f t="shared" si="2"/>
        <v>0.27966776950233374</v>
      </c>
      <c r="N14" s="76">
        <f t="shared" si="3"/>
        <v>2.6698593747239499</v>
      </c>
      <c r="P14" s="65" t="s">
        <v>38</v>
      </c>
      <c r="Q14" s="66">
        <f>Q13-N37</f>
        <v>-17.55166410203924</v>
      </c>
    </row>
    <row r="15" spans="2:17" s="3" customFormat="1" x14ac:dyDescent="0.25">
      <c r="H15" s="3">
        <v>10</v>
      </c>
      <c r="I15" s="3">
        <f t="shared" si="0"/>
        <v>10</v>
      </c>
      <c r="J15" s="3">
        <f>$E$8*$E$6/100</f>
        <v>4.625</v>
      </c>
      <c r="K15" s="46">
        <f>J15/(1+$E$9)^I15</f>
        <v>2.9078461218761369</v>
      </c>
      <c r="L15" s="46">
        <f t="shared" si="1"/>
        <v>2.9665104163599444E-2</v>
      </c>
      <c r="M15" s="76">
        <f t="shared" si="2"/>
        <v>0.29665104163599443</v>
      </c>
      <c r="N15" s="76">
        <f t="shared" si="3"/>
        <v>3.1151899360343087</v>
      </c>
    </row>
    <row r="16" spans="2:17" s="3" customFormat="1" x14ac:dyDescent="0.25">
      <c r="H16" s="3">
        <v>11</v>
      </c>
      <c r="I16" s="3">
        <f t="shared" si="0"/>
        <v>11</v>
      </c>
      <c r="J16" s="3">
        <f>$E$8*$E$6/100</f>
        <v>4.625</v>
      </c>
      <c r="K16" s="46">
        <f>J16/(1+$E$9)^I16</f>
        <v>2.7759867511944023</v>
      </c>
      <c r="L16" s="46">
        <f t="shared" si="1"/>
        <v>2.8319908509402806E-2</v>
      </c>
      <c r="M16" s="76">
        <f t="shared" si="2"/>
        <v>0.31151899360343088</v>
      </c>
      <c r="N16" s="76">
        <f t="shared" si="3"/>
        <v>3.5687140078674657</v>
      </c>
    </row>
    <row r="17" spans="2:17" s="3" customFormat="1" ht="19.2" x14ac:dyDescent="0.35">
      <c r="B17" s="61" t="s">
        <v>32</v>
      </c>
      <c r="C17" s="85"/>
      <c r="D17" s="85"/>
      <c r="E17" s="86"/>
      <c r="H17" s="3">
        <v>12</v>
      </c>
      <c r="I17" s="3">
        <f t="shared" si="0"/>
        <v>12</v>
      </c>
      <c r="J17" s="3">
        <f>$E$8*$E$6/100</f>
        <v>4.625</v>
      </c>
      <c r="K17" s="46">
        <f>J17/(1+$E$9)^I17</f>
        <v>2.650106683717806</v>
      </c>
      <c r="L17" s="46">
        <f t="shared" si="1"/>
        <v>2.7035712180814131E-2</v>
      </c>
      <c r="M17" s="76">
        <f t="shared" si="2"/>
        <v>0.32442854616976957</v>
      </c>
      <c r="N17" s="76">
        <f t="shared" si="3"/>
        <v>4.0263208593861624</v>
      </c>
      <c r="P17" s="18" t="s">
        <v>24</v>
      </c>
    </row>
    <row r="18" spans="2:17" s="3" customFormat="1" ht="26.4" x14ac:dyDescent="0.3">
      <c r="B18" s="87" t="s">
        <v>2</v>
      </c>
      <c r="C18" s="88" t="s">
        <v>34</v>
      </c>
      <c r="D18" s="89" t="s">
        <v>35</v>
      </c>
      <c r="E18" s="90" t="s">
        <v>37</v>
      </c>
      <c r="H18" s="3">
        <v>13</v>
      </c>
      <c r="I18" s="3">
        <f t="shared" si="0"/>
        <v>13</v>
      </c>
      <c r="J18" s="3">
        <f>$E$8*$E$6/100</f>
        <v>4.625</v>
      </c>
      <c r="K18" s="46">
        <f>J18/(1+$E$9)^I18</f>
        <v>2.5299347815921776</v>
      </c>
      <c r="L18" s="46">
        <f t="shared" si="1"/>
        <v>2.580974909862924E-2</v>
      </c>
      <c r="M18" s="76">
        <f t="shared" si="2"/>
        <v>0.3355267382821801</v>
      </c>
      <c r="N18" s="76">
        <f t="shared" si="3"/>
        <v>4.4843669078286599</v>
      </c>
      <c r="P18" s="8" t="s">
        <v>13</v>
      </c>
      <c r="Q18" s="4">
        <v>5.0000000000000001E-4</v>
      </c>
    </row>
    <row r="19" spans="2:17" s="3" customFormat="1" x14ac:dyDescent="0.25">
      <c r="B19" s="57">
        <f>B20-1%</f>
        <v>1.7499999999999995E-2</v>
      </c>
      <c r="C19" s="55">
        <f>(1+(($B$22-B19)*($M$36/2)))*$C$22</f>
        <v>122.52043844154319</v>
      </c>
      <c r="D19" s="55">
        <f>(1+(($B$22-B19)*($M$39/2)))*$D$22</f>
        <v>121.9521089863797</v>
      </c>
      <c r="E19" s="56">
        <f>(1+(($B$22-B19)*($N$38/2)))*$E$22</f>
        <v>116.99928431033285</v>
      </c>
      <c r="H19" s="3">
        <v>14</v>
      </c>
      <c r="I19" s="3">
        <f t="shared" si="0"/>
        <v>14</v>
      </c>
      <c r="J19" s="3">
        <f>$E$8*$E$6/100</f>
        <v>4.625</v>
      </c>
      <c r="K19" s="46">
        <f>J19/(1+$E$9)^I19</f>
        <v>2.415212201997305</v>
      </c>
      <c r="L19" s="46">
        <f t="shared" si="1"/>
        <v>2.4639378614443184E-2</v>
      </c>
      <c r="M19" s="76">
        <f t="shared" si="2"/>
        <v>0.34495130060220458</v>
      </c>
      <c r="N19" s="76">
        <f t="shared" si="3"/>
        <v>4.939636762800065</v>
      </c>
      <c r="P19" s="7" t="s">
        <v>14</v>
      </c>
      <c r="Q19" s="30">
        <f>$E9+$Q$18</f>
        <v>4.8000000000000001E-2</v>
      </c>
    </row>
    <row r="20" spans="2:17" s="3" customFormat="1" x14ac:dyDescent="0.25">
      <c r="B20" s="57">
        <f>B21-1%</f>
        <v>2.7499999999999997E-2</v>
      </c>
      <c r="C20" s="55">
        <f>(1+(($B$22-B20)*($M$36/2)))*$C$22</f>
        <v>114.35444153314135</v>
      </c>
      <c r="D20" s="55">
        <f>(1+(($B$22-B20)*($M$39/2)))*$D$22</f>
        <v>113.97555522969903</v>
      </c>
      <c r="E20" s="56">
        <f>(1+(($B$22-B20)*($N$38/2)))*$E$22</f>
        <v>110.67367211233446</v>
      </c>
      <c r="H20" s="3">
        <v>15</v>
      </c>
      <c r="I20" s="3">
        <f t="shared" si="0"/>
        <v>15</v>
      </c>
      <c r="J20" s="3">
        <f>$E$8*$E$6/100</f>
        <v>4.625</v>
      </c>
      <c r="K20" s="46">
        <f>J20/(1+$E$9)^I20</f>
        <v>2.3056918396155655</v>
      </c>
      <c r="L20" s="46">
        <f t="shared" si="1"/>
        <v>2.3522079822857454E-2</v>
      </c>
      <c r="M20" s="76">
        <f t="shared" si="2"/>
        <v>0.35283119734286178</v>
      </c>
      <c r="N20" s="76">
        <f t="shared" si="3"/>
        <v>5.3893070715854776</v>
      </c>
      <c r="P20" s="21" t="s">
        <v>15</v>
      </c>
      <c r="Q20" s="28">
        <f>$E9-$Q$18</f>
        <v>4.7E-2</v>
      </c>
    </row>
    <row r="21" spans="2:17" s="3" customFormat="1" x14ac:dyDescent="0.25">
      <c r="B21" s="57">
        <f>B22-1%</f>
        <v>3.7499999999999999E-2</v>
      </c>
      <c r="C21" s="55">
        <f>(1+(($B$22-B21)*($M$36/2)))*$C$22</f>
        <v>106.1884446247395</v>
      </c>
      <c r="D21" s="55">
        <f>(1+(($B$22-B21)*($M$39/2)))*$D$22</f>
        <v>105.99900147301832</v>
      </c>
      <c r="E21" s="56">
        <f>(1+(($B$22-B21)*($N$38/2)))*$E$22</f>
        <v>104.34805991433605</v>
      </c>
      <c r="H21" s="3">
        <v>16</v>
      </c>
      <c r="I21" s="3">
        <f t="shared" si="0"/>
        <v>16</v>
      </c>
      <c r="J21" s="3">
        <f>$E$8*$E$6/100</f>
        <v>4.625</v>
      </c>
      <c r="K21" s="46">
        <f>J21/(1+$E$9)^I21</f>
        <v>2.2011377943824013</v>
      </c>
      <c r="L21" s="46">
        <f t="shared" si="1"/>
        <v>2.245544613160616E-2</v>
      </c>
      <c r="M21" s="76">
        <f t="shared" si="2"/>
        <v>0.35928713810569857</v>
      </c>
      <c r="N21" s="76">
        <f t="shared" si="3"/>
        <v>5.8309129811903349</v>
      </c>
      <c r="P21" s="7" t="s">
        <v>18</v>
      </c>
      <c r="Q21" s="67">
        <f>PRICE(E10,E11,E6/100,Q19,E8,1,2)</f>
        <v>97.247386446858684</v>
      </c>
    </row>
    <row r="22" spans="2:17" s="3" customFormat="1" x14ac:dyDescent="0.25">
      <c r="B22" s="41">
        <f>E9</f>
        <v>4.7500000000000001E-2</v>
      </c>
      <c r="C22" s="73">
        <f>$K$36</f>
        <v>98.022447716337652</v>
      </c>
      <c r="D22" s="73">
        <f t="shared" ref="D22:E22" si="4">$K$36</f>
        <v>98.022447716337652</v>
      </c>
      <c r="E22" s="74">
        <f t="shared" si="4"/>
        <v>98.022447716337652</v>
      </c>
      <c r="H22" s="3">
        <v>17</v>
      </c>
      <c r="I22" s="3">
        <f t="shared" si="0"/>
        <v>17</v>
      </c>
      <c r="J22" s="3">
        <f>$E$8*$E$6/100</f>
        <v>4.625</v>
      </c>
      <c r="K22" s="46">
        <f>J22/(1+$E$9)^I22</f>
        <v>2.1013248633722204</v>
      </c>
      <c r="L22" s="46">
        <f t="shared" si="1"/>
        <v>2.1437180077905637E-2</v>
      </c>
      <c r="M22" s="76">
        <f t="shared" si="2"/>
        <v>0.36443206132439582</v>
      </c>
      <c r="N22" s="76">
        <f t="shared" si="3"/>
        <v>6.262317044237828</v>
      </c>
      <c r="P22" s="21" t="s">
        <v>20</v>
      </c>
      <c r="Q22" s="68">
        <f>PRICE(E10,E11,E6/100,Q20,E8,1,2)</f>
        <v>98.806567289844423</v>
      </c>
    </row>
    <row r="23" spans="2:17" s="3" customFormat="1" x14ac:dyDescent="0.25">
      <c r="B23" s="57">
        <f>B22+1%</f>
        <v>5.7500000000000002E-2</v>
      </c>
      <c r="C23" s="55">
        <f>(1+(($B$22-B23)*($M$36/2)))*$C$22</f>
        <v>89.856450807935801</v>
      </c>
      <c r="D23" s="55">
        <f>(1+(($B$22-B23)*($M$39/2)))*$D$22</f>
        <v>90.045893959656965</v>
      </c>
      <c r="E23" s="56">
        <f>(1+(($B$22-B23)*($N$38/2)))*$E$22</f>
        <v>91.696835518339242</v>
      </c>
      <c r="H23" s="3">
        <v>18</v>
      </c>
      <c r="I23" s="3">
        <f t="shared" si="0"/>
        <v>18</v>
      </c>
      <c r="J23" s="3">
        <f>$E$8*$E$6/100</f>
        <v>4.625</v>
      </c>
      <c r="K23" s="46">
        <f>J23/(1+$E$9)^I23</f>
        <v>2.0060380557252699</v>
      </c>
      <c r="L23" s="46">
        <f t="shared" si="1"/>
        <v>2.0465088379862183E-2</v>
      </c>
      <c r="M23" s="76">
        <f t="shared" si="2"/>
        <v>0.3683715908375193</v>
      </c>
      <c r="N23" s="76">
        <f t="shared" si="3"/>
        <v>6.6816804065993942</v>
      </c>
      <c r="P23" s="8" t="s">
        <v>21</v>
      </c>
      <c r="Q23" s="69">
        <f>PRICE(E10,E11,E6/100,E9,E8,1,2)</f>
        <v>98.022447716337652</v>
      </c>
    </row>
    <row r="24" spans="2:17" s="3" customFormat="1" x14ac:dyDescent="0.25">
      <c r="B24" s="57">
        <f>B23+1%</f>
        <v>6.7500000000000004E-2</v>
      </c>
      <c r="C24" s="55">
        <f>(1+(($B$22-B24)*($M$36/2)))*$C$22</f>
        <v>81.690453899533949</v>
      </c>
      <c r="D24" s="55">
        <f>(1+(($B$22-B24)*($M$39/2)))*$D$22</f>
        <v>82.069340202976278</v>
      </c>
      <c r="E24" s="56">
        <f>(1+(($B$22-B24)*($N$38/2)))*$E$22</f>
        <v>85.371223320340846</v>
      </c>
      <c r="H24" s="3">
        <v>19</v>
      </c>
      <c r="I24" s="3">
        <f t="shared" si="0"/>
        <v>19</v>
      </c>
      <c r="J24" s="3">
        <f>$E$8*$E$6/100</f>
        <v>4.625</v>
      </c>
      <c r="K24" s="46">
        <f>J24/(1+$E$9)^I24</f>
        <v>1.9150721295706632</v>
      </c>
      <c r="L24" s="46">
        <f t="shared" si="1"/>
        <v>1.953707721227893E-2</v>
      </c>
      <c r="M24" s="76">
        <f t="shared" si="2"/>
        <v>0.37120446703329968</v>
      </c>
      <c r="N24" s="76">
        <f t="shared" si="3"/>
        <v>7.0874361247408046</v>
      </c>
      <c r="P24" s="10" t="s">
        <v>27</v>
      </c>
      <c r="Q24" s="69">
        <f>(Q22-Q21)/(2*Q23*Q18)</f>
        <v>15.906365116465734</v>
      </c>
    </row>
    <row r="25" spans="2:17" s="3" customFormat="1" x14ac:dyDescent="0.25">
      <c r="B25" s="57">
        <f>B24+1%</f>
        <v>7.7499999999999999E-2</v>
      </c>
      <c r="C25" s="55">
        <f>(1+(($B$22-B25)*($M$36/2)))*$C$22</f>
        <v>73.524456991132112</v>
      </c>
      <c r="D25" s="55">
        <f>(1+(($B$22-B25)*($M$39/2)))*$D$22</f>
        <v>74.092786446295605</v>
      </c>
      <c r="E25" s="56">
        <f>(1+(($B$22-B25)*($N$38/2)))*$E$22</f>
        <v>79.04561112234245</v>
      </c>
      <c r="H25" s="3">
        <v>20</v>
      </c>
      <c r="I25" s="3">
        <f t="shared" si="0"/>
        <v>20</v>
      </c>
      <c r="J25" s="3">
        <f>$E$8*$E$6/100</f>
        <v>4.625</v>
      </c>
      <c r="K25" s="46">
        <f>J25/(1+$E$9)^I25</f>
        <v>1.828231149948127</v>
      </c>
      <c r="L25" s="46">
        <f t="shared" si="1"/>
        <v>1.8651147696686327E-2</v>
      </c>
      <c r="M25" s="76">
        <f t="shared" si="2"/>
        <v>0.37302295393372653</v>
      </c>
      <c r="N25" s="76">
        <f t="shared" si="3"/>
        <v>7.4782644702704122</v>
      </c>
      <c r="P25" s="65" t="s">
        <v>38</v>
      </c>
      <c r="Q25" s="70">
        <f>Q24-M39</f>
        <v>-0.36858810601171221</v>
      </c>
    </row>
    <row r="26" spans="2:17" s="3" customFormat="1" x14ac:dyDescent="0.25">
      <c r="B26" s="59">
        <f>B25+1%</f>
        <v>8.7499999999999994E-2</v>
      </c>
      <c r="C26" s="60">
        <f>(1+(($B$22-B26)*($M$36/2)))*$C$22</f>
        <v>65.358460082730261</v>
      </c>
      <c r="D26" s="60">
        <f>(1+(($B$22-B26)*($M$39/2)))*$D$22</f>
        <v>66.116232689614918</v>
      </c>
      <c r="E26" s="64">
        <f>(1+(($B$22-B26)*($N$38/2)))*$E$22</f>
        <v>72.719998924344054</v>
      </c>
      <c r="H26" s="3">
        <v>21</v>
      </c>
      <c r="I26" s="3">
        <f t="shared" si="0"/>
        <v>21</v>
      </c>
      <c r="J26" s="3">
        <f>$E$8*$E$6/100</f>
        <v>4.625</v>
      </c>
      <c r="K26" s="46">
        <f>J26/(1+$E$9)^I26</f>
        <v>1.7453280667762547</v>
      </c>
      <c r="L26" s="46">
        <f t="shared" si="1"/>
        <v>1.7805391595881934E-2</v>
      </c>
      <c r="M26" s="76">
        <f t="shared" si="2"/>
        <v>0.37391322351352063</v>
      </c>
      <c r="N26" s="76">
        <f t="shared" si="3"/>
        <v>7.8530700881121271</v>
      </c>
    </row>
    <row r="27" spans="2:17" s="3" customFormat="1" x14ac:dyDescent="0.25">
      <c r="H27" s="3">
        <v>22</v>
      </c>
      <c r="I27" s="3">
        <f t="shared" si="0"/>
        <v>22</v>
      </c>
      <c r="J27" s="3">
        <f>$E$8*$E$6/100</f>
        <v>4.625</v>
      </c>
      <c r="K27" s="46">
        <f>J27/(1+$E$9)^I27</f>
        <v>1.6661843119582382</v>
      </c>
      <c r="L27" s="46">
        <f t="shared" si="1"/>
        <v>1.6997987203705902E-2</v>
      </c>
      <c r="M27" s="76">
        <f t="shared" si="2"/>
        <v>0.37395571848152986</v>
      </c>
      <c r="N27" s="76">
        <f t="shared" si="3"/>
        <v>8.2109608831266687</v>
      </c>
    </row>
    <row r="28" spans="2:17" s="3" customFormat="1" x14ac:dyDescent="0.25">
      <c r="H28" s="3">
        <v>23</v>
      </c>
      <c r="I28" s="3">
        <f t="shared" si="0"/>
        <v>23</v>
      </c>
      <c r="J28" s="3">
        <f>$E$8*$E$6/100</f>
        <v>4.625</v>
      </c>
      <c r="K28" s="46">
        <f>J28/(1+$E$9)^I28</f>
        <v>1.5906294147572679</v>
      </c>
      <c r="L28" s="46">
        <f t="shared" si="1"/>
        <v>1.6227195421198951E-2</v>
      </c>
      <c r="M28" s="76">
        <f t="shared" si="2"/>
        <v>0.37322549468757588</v>
      </c>
      <c r="N28" s="76">
        <f t="shared" si="3"/>
        <v>8.5512285179014995</v>
      </c>
    </row>
    <row r="29" spans="2:17" s="3" customFormat="1" x14ac:dyDescent="0.25">
      <c r="H29" s="3">
        <v>24</v>
      </c>
      <c r="I29" s="3">
        <f t="shared" si="0"/>
        <v>24</v>
      </c>
      <c r="J29" s="3">
        <f>$E$8*$E$6/100</f>
        <v>4.625</v>
      </c>
      <c r="K29" s="46">
        <f>J29/(1+$E$9)^I29</f>
        <v>1.5185006346131433</v>
      </c>
      <c r="L29" s="46">
        <f t="shared" si="1"/>
        <v>1.5491356010691119E-2</v>
      </c>
      <c r="M29" s="76">
        <f t="shared" si="2"/>
        <v>0.37179254425658687</v>
      </c>
      <c r="N29" s="76">
        <f t="shared" si="3"/>
        <v>8.8733304118517147</v>
      </c>
    </row>
    <row r="30" spans="2:17" s="3" customFormat="1" x14ac:dyDescent="0.25">
      <c r="H30" s="3">
        <v>25</v>
      </c>
      <c r="I30" s="3">
        <f t="shared" si="0"/>
        <v>25</v>
      </c>
      <c r="J30" s="3">
        <f>$E$8*$E$6/100</f>
        <v>4.625</v>
      </c>
      <c r="K30" s="46">
        <f>J30/(1+$E$9)^I30</f>
        <v>1.449642610609206</v>
      </c>
      <c r="L30" s="46">
        <f t="shared" si="1"/>
        <v>1.4788884019752858E-2</v>
      </c>
      <c r="M30" s="76">
        <f t="shared" si="2"/>
        <v>0.36972210049382143</v>
      </c>
      <c r="N30" s="76">
        <f t="shared" si="3"/>
        <v>9.176873138748789</v>
      </c>
    </row>
    <row r="31" spans="2:17" s="3" customFormat="1" x14ac:dyDescent="0.25">
      <c r="H31" s="3">
        <v>26</v>
      </c>
      <c r="I31" s="3">
        <f t="shared" si="0"/>
        <v>26</v>
      </c>
      <c r="J31" s="3">
        <f>$E$8*$E$6/100</f>
        <v>4.625</v>
      </c>
      <c r="K31" s="46">
        <f>J31/(1+$E$9)^I31</f>
        <v>1.3839070268345639</v>
      </c>
      <c r="L31" s="46">
        <f t="shared" si="1"/>
        <v>1.4118266367305829E-2</v>
      </c>
      <c r="M31" s="76">
        <f t="shared" si="2"/>
        <v>0.36707492554995158</v>
      </c>
      <c r="N31" s="76">
        <f t="shared" si="3"/>
        <v>9.4615971263472005</v>
      </c>
    </row>
    <row r="32" spans="2:17" s="3" customFormat="1" x14ac:dyDescent="0.25">
      <c r="H32" s="3">
        <v>27</v>
      </c>
      <c r="I32" s="3">
        <f t="shared" si="0"/>
        <v>27</v>
      </c>
      <c r="J32" s="3">
        <f>$E$8*$E$6/100</f>
        <v>4.625</v>
      </c>
      <c r="K32" s="46">
        <f>J32/(1+$E$9)^I32</f>
        <v>1.3211522929208248</v>
      </c>
      <c r="L32" s="46">
        <f t="shared" si="1"/>
        <v>1.3478058584540171E-2</v>
      </c>
      <c r="M32" s="76">
        <f t="shared" si="2"/>
        <v>0.36390758178258459</v>
      </c>
      <c r="N32" s="76">
        <f t="shared" si="3"/>
        <v>9.727362567935435</v>
      </c>
    </row>
    <row r="33" spans="2:17" s="3" customFormat="1" x14ac:dyDescent="0.25">
      <c r="H33" s="3">
        <v>28</v>
      </c>
      <c r="I33" s="3">
        <f t="shared" si="0"/>
        <v>28</v>
      </c>
      <c r="J33" s="3">
        <f>$E$8*$E$6/100</f>
        <v>4.625</v>
      </c>
      <c r="K33" s="46">
        <f>J33/(1+$E$9)^I33</f>
        <v>1.2612432390652262</v>
      </c>
      <c r="L33" s="46">
        <f t="shared" si="1"/>
        <v>1.2866881703618297E-2</v>
      </c>
      <c r="M33" s="76">
        <f t="shared" si="2"/>
        <v>0.36027268770131232</v>
      </c>
      <c r="N33" s="76">
        <f t="shared" si="3"/>
        <v>9.9741364614205796</v>
      </c>
    </row>
    <row r="34" spans="2:17" s="3" customFormat="1" x14ac:dyDescent="0.25">
      <c r="H34" s="3">
        <v>29</v>
      </c>
      <c r="I34" s="3">
        <f t="shared" si="0"/>
        <v>29</v>
      </c>
      <c r="J34" s="3">
        <f>$E$8*$E$6/100</f>
        <v>4.625</v>
      </c>
      <c r="K34" s="46">
        <f>J34/(1+$E$9)^I34</f>
        <v>1.2040508248832709</v>
      </c>
      <c r="L34" s="46">
        <f t="shared" si="1"/>
        <v>1.228341928746377E-2</v>
      </c>
      <c r="M34" s="76">
        <f t="shared" si="2"/>
        <v>0.35621915933644932</v>
      </c>
      <c r="N34" s="76">
        <f t="shared" si="3"/>
        <v>10.201980696986615</v>
      </c>
    </row>
    <row r="35" spans="2:17" s="3" customFormat="1" x14ac:dyDescent="0.25">
      <c r="H35" s="3">
        <v>30</v>
      </c>
      <c r="I35" s="3">
        <f t="shared" si="0"/>
        <v>30</v>
      </c>
      <c r="J35" s="3">
        <f>$E$8*$E$6/100+E8</f>
        <v>104.625</v>
      </c>
      <c r="K35" s="46">
        <f>J35/(1+$E$9)^I35</f>
        <v>26.002465082301423</v>
      </c>
      <c r="L35" s="46">
        <f t="shared" si="1"/>
        <v>0.26527051392910206</v>
      </c>
      <c r="M35" s="76">
        <f t="shared" si="2"/>
        <v>7.9581154178730618</v>
      </c>
      <c r="N35" s="76">
        <f t="shared" si="3"/>
        <v>235.51463289170871</v>
      </c>
    </row>
    <row r="36" spans="2:17" s="3" customFormat="1" x14ac:dyDescent="0.25">
      <c r="H36" s="13"/>
      <c r="I36" s="14"/>
      <c r="J36" s="14"/>
      <c r="K36" s="75">
        <f>SUM(K6:K35)</f>
        <v>98.022447716337652</v>
      </c>
      <c r="L36" s="75">
        <f>SUM(L6:L35)</f>
        <v>1</v>
      </c>
      <c r="M36" s="77">
        <f>SUM(M6:M35)</f>
        <v>16.661483361511284</v>
      </c>
      <c r="N36" s="79">
        <f>SUM(N6:N35)</f>
        <v>387.19368952938908</v>
      </c>
    </row>
    <row r="37" spans="2:17" s="3" customFormat="1" x14ac:dyDescent="0.25">
      <c r="K37" s="10" t="s">
        <v>23</v>
      </c>
      <c r="M37" s="78">
        <f>M36/2</f>
        <v>8.3307416807556418</v>
      </c>
      <c r="N37" s="78">
        <f>N36/E7^E7</f>
        <v>387.19368952938908</v>
      </c>
    </row>
    <row r="38" spans="2:17" s="3" customFormat="1" x14ac:dyDescent="0.25">
      <c r="K38" s="10" t="s">
        <v>25</v>
      </c>
      <c r="M38" s="78">
        <f>M37/(1+E9/2)</f>
        <v>8.1374766112387231</v>
      </c>
      <c r="N38" s="76">
        <f>N37/E12</f>
        <v>12.906456317646303</v>
      </c>
    </row>
    <row r="39" spans="2:17" s="3" customFormat="1" x14ac:dyDescent="0.25">
      <c r="K39" s="8" t="s">
        <v>26</v>
      </c>
      <c r="M39" s="78">
        <f>M38*2</f>
        <v>16.274953222477446</v>
      </c>
    </row>
    <row r="40" spans="2:17" s="3" customFormat="1" x14ac:dyDescent="0.25">
      <c r="D40" s="10"/>
      <c r="K40" s="8"/>
    </row>
    <row r="41" spans="2:17" s="3" customFormat="1" x14ac:dyDescent="0.25">
      <c r="D41" s="10"/>
      <c r="K41" s="8"/>
    </row>
    <row r="42" spans="2:17" s="3" customFormat="1" x14ac:dyDescent="0.25">
      <c r="D42" s="10"/>
      <c r="K42" s="8"/>
    </row>
    <row r="43" spans="2:17" s="3" customFormat="1" x14ac:dyDescent="0.25">
      <c r="D43" s="10"/>
      <c r="K43" s="8"/>
    </row>
    <row r="44" spans="2:17" s="3" customFormat="1" ht="19.2" x14ac:dyDescent="0.35">
      <c r="B44" s="53" t="s">
        <v>39</v>
      </c>
      <c r="C44" s="53"/>
      <c r="D44" s="53"/>
      <c r="E44" s="53"/>
      <c r="H44" s="13" t="s">
        <v>4</v>
      </c>
      <c r="I44" s="14" t="s">
        <v>6</v>
      </c>
      <c r="J44" s="14" t="s">
        <v>7</v>
      </c>
      <c r="K44" s="14" t="s">
        <v>8</v>
      </c>
      <c r="L44" s="14" t="s">
        <v>5</v>
      </c>
      <c r="M44" s="14" t="s">
        <v>9</v>
      </c>
      <c r="N44" s="15" t="s">
        <v>10</v>
      </c>
      <c r="P44" s="18" t="s">
        <v>11</v>
      </c>
    </row>
    <row r="45" spans="2:17" s="3" customFormat="1" x14ac:dyDescent="0.25">
      <c r="B45" s="62" t="s">
        <v>0</v>
      </c>
      <c r="C45" s="63"/>
      <c r="D45" s="63"/>
      <c r="E45" s="80"/>
      <c r="H45" s="3" cm="1">
        <f t="array" ref="H45:H54">_xlfn.SEQUENCE(10)</f>
        <v>1</v>
      </c>
      <c r="I45" s="3">
        <f>H45</f>
        <v>1</v>
      </c>
      <c r="J45" s="3">
        <f>$E$48*$E$46/2/100</f>
        <v>2.5</v>
      </c>
      <c r="K45" s="3">
        <f>J45/(1+$E$49/2)^I45</f>
        <v>2.4390243902439028</v>
      </c>
      <c r="L45" s="72">
        <f>K45/$K$55</f>
        <v>2.4390243902439015E-2</v>
      </c>
      <c r="M45" s="3">
        <f>L45*I45</f>
        <v>2.4390243902439015E-2</v>
      </c>
      <c r="N45" s="11">
        <f>I45*(I45+1)*L45*(1+$E$49/2)^(-2)</f>
        <v>4.6429970545987416E-2</v>
      </c>
      <c r="P45" s="8" t="s">
        <v>13</v>
      </c>
      <c r="Q45" s="34">
        <v>5.0000000000000001E-4</v>
      </c>
    </row>
    <row r="46" spans="2:17" s="3" customFormat="1" x14ac:dyDescent="0.25">
      <c r="B46" s="54" t="s">
        <v>36</v>
      </c>
      <c r="C46" s="42"/>
      <c r="D46" s="81"/>
      <c r="E46" s="23">
        <v>5</v>
      </c>
      <c r="H46" s="3">
        <v>2</v>
      </c>
      <c r="I46" s="3">
        <f t="shared" ref="I46:I54" si="5">H46</f>
        <v>2</v>
      </c>
      <c r="J46" s="3">
        <f>$E$48*$E$46/2/100</f>
        <v>2.5</v>
      </c>
      <c r="K46" s="3">
        <f>J46/(1+$E$49/2)^I46</f>
        <v>2.3795359904818563</v>
      </c>
      <c r="L46" s="72">
        <f>K46/$K$55</f>
        <v>2.3795359904818549E-2</v>
      </c>
      <c r="M46" s="3">
        <f t="shared" ref="M46:M54" si="6">L46*I46</f>
        <v>4.7590719809637097E-2</v>
      </c>
      <c r="N46" s="11">
        <f>I46*(I46+1)*L46*(1+$E$49/2)^(-2)</f>
        <v>0.13589259671996318</v>
      </c>
      <c r="P46" s="7" t="s">
        <v>14</v>
      </c>
      <c r="Q46" s="30">
        <f>E49+Q45</f>
        <v>5.0500000000000003E-2</v>
      </c>
    </row>
    <row r="47" spans="2:17" s="3" customFormat="1" ht="14.4" x14ac:dyDescent="0.3">
      <c r="B47" s="54" t="s">
        <v>31</v>
      </c>
      <c r="C47" s="42"/>
      <c r="D47" s="81"/>
      <c r="E47" s="83">
        <v>2</v>
      </c>
      <c r="H47" s="3">
        <v>3</v>
      </c>
      <c r="I47" s="3">
        <f t="shared" si="5"/>
        <v>3</v>
      </c>
      <c r="J47" s="3">
        <f>$E$48*$E$46/2/100</f>
        <v>2.5</v>
      </c>
      <c r="K47" s="3">
        <f>J47/(1+$E$49/2)^I47</f>
        <v>2.3214985272993718</v>
      </c>
      <c r="L47" s="72">
        <f>K47/$K$55</f>
        <v>2.3214985272993705E-2</v>
      </c>
      <c r="M47" s="3">
        <f t="shared" si="6"/>
        <v>6.9644955818981114E-2</v>
      </c>
      <c r="N47" s="11">
        <f>I47*(I47+1)*L47*(1+$E$49/2)^(-2)</f>
        <v>0.26515628628285492</v>
      </c>
      <c r="P47" s="21" t="s">
        <v>15</v>
      </c>
      <c r="Q47" s="25">
        <f>E49-Q45</f>
        <v>4.9500000000000002E-2</v>
      </c>
    </row>
    <row r="48" spans="2:17" s="3" customFormat="1" x14ac:dyDescent="0.25">
      <c r="B48" s="54" t="s">
        <v>3</v>
      </c>
      <c r="C48" s="42"/>
      <c r="D48" s="81"/>
      <c r="E48" s="23">
        <v>100</v>
      </c>
      <c r="H48" s="3">
        <v>4</v>
      </c>
      <c r="I48" s="3">
        <f t="shared" si="5"/>
        <v>4</v>
      </c>
      <c r="J48" s="3">
        <f>$E$48*$E$46/2/100</f>
        <v>2.5</v>
      </c>
      <c r="K48" s="3">
        <f>J48/(1+$E$49/2)^I48</f>
        <v>2.2648766119993877</v>
      </c>
      <c r="L48" s="72">
        <f>K48/$K$55</f>
        <v>2.2648766119993863E-2</v>
      </c>
      <c r="M48" s="3">
        <f t="shared" si="6"/>
        <v>9.0595064479975451E-2</v>
      </c>
      <c r="N48" s="11">
        <f>I48*(I48+1)*L48*(1+$E$49/2)^(-2)</f>
        <v>0.43114843298025202</v>
      </c>
      <c r="P48" s="7" t="s">
        <v>18</v>
      </c>
      <c r="Q48" s="17">
        <f>PRICE(E50,E51,E46/100,Q46,$E$48,2,2)</f>
        <v>99.78148078539806</v>
      </c>
    </row>
    <row r="49" spans="2:17" s="3" customFormat="1" ht="14.4" x14ac:dyDescent="0.3">
      <c r="B49" s="22" t="s">
        <v>2</v>
      </c>
      <c r="C49" s="42"/>
      <c r="D49" s="42"/>
      <c r="E49" s="26">
        <v>0.05</v>
      </c>
      <c r="H49" s="3">
        <v>5</v>
      </c>
      <c r="I49" s="3">
        <f t="shared" si="5"/>
        <v>5</v>
      </c>
      <c r="J49" s="3">
        <f>$E$48*$E$46/2/100</f>
        <v>2.5</v>
      </c>
      <c r="K49" s="3">
        <f>J49/(1+$E$49/2)^I49</f>
        <v>2.209635719023793</v>
      </c>
      <c r="L49" s="72">
        <f>K49/$K$55</f>
        <v>2.2096357190237916E-2</v>
      </c>
      <c r="M49" s="3">
        <f t="shared" si="6"/>
        <v>0.11048178595118958</v>
      </c>
      <c r="N49" s="11">
        <f>I49*(I49+1)*L49*(1+$E$49/2)^(-2)</f>
        <v>0.63094892631256405</v>
      </c>
      <c r="P49" s="21" t="s">
        <v>20</v>
      </c>
      <c r="Q49" s="6">
        <f>PRICE(E50,E51,E46/100,Q47,E48,2,2)</f>
        <v>100.21908452308068</v>
      </c>
    </row>
    <row r="50" spans="2:17" s="3" customFormat="1" x14ac:dyDescent="0.25">
      <c r="B50" s="58" t="s">
        <v>17</v>
      </c>
      <c r="C50" s="42"/>
      <c r="D50" s="42"/>
      <c r="E50" s="43">
        <f>DATE(2025,10,15)</f>
        <v>45945</v>
      </c>
      <c r="H50" s="3">
        <v>6</v>
      </c>
      <c r="I50" s="3">
        <f t="shared" si="5"/>
        <v>6</v>
      </c>
      <c r="J50" s="3">
        <f>$E$48*$E$46/2/100</f>
        <v>2.5</v>
      </c>
      <c r="K50" s="3">
        <f>J50/(1+$E$49/2)^I50</f>
        <v>2.1557421649012616</v>
      </c>
      <c r="L50" s="72">
        <f>K50/$K$55</f>
        <v>2.1557421649012604E-2</v>
      </c>
      <c r="M50" s="3">
        <f t="shared" si="6"/>
        <v>0.12934452989407563</v>
      </c>
      <c r="N50" s="11">
        <f>I50*(I50+1)*L50*(1+$E$49/2)^(-2)</f>
        <v>0.86178389935374611</v>
      </c>
      <c r="P50" s="10" t="s">
        <v>22</v>
      </c>
      <c r="Q50" s="33">
        <f>((Q49+Q48-(2*E48))/(E48*(Q45)^2))</f>
        <v>22.612339149645781</v>
      </c>
    </row>
    <row r="51" spans="2:17" s="3" customFormat="1" x14ac:dyDescent="0.25">
      <c r="B51" s="58" t="s">
        <v>19</v>
      </c>
      <c r="C51" s="42"/>
      <c r="D51" s="42"/>
      <c r="E51" s="43">
        <f>DATE(2030,10,15)</f>
        <v>47771</v>
      </c>
      <c r="H51" s="3">
        <v>7</v>
      </c>
      <c r="I51" s="3">
        <f t="shared" si="5"/>
        <v>7</v>
      </c>
      <c r="J51" s="3">
        <f>$E$48*$E$46/2/100</f>
        <v>2.5</v>
      </c>
      <c r="K51" s="3">
        <f>J51/(1+$E$49/2)^I51</f>
        <v>2.1031630877085479</v>
      </c>
      <c r="L51" s="72">
        <f>K51/$K$55</f>
        <v>2.1031630877085466E-2</v>
      </c>
      <c r="M51" s="3">
        <f t="shared" si="6"/>
        <v>0.14722141613959827</v>
      </c>
      <c r="N51" s="11">
        <f>I51*(I51+1)*L51*(1+$E$49/2)^(-2)</f>
        <v>1.1210197064764176</v>
      </c>
      <c r="P51" s="71" t="s">
        <v>38</v>
      </c>
      <c r="Q51" s="35">
        <f>Q50-N56</f>
        <v>1.6964515207718023E-5</v>
      </c>
    </row>
    <row r="52" spans="2:17" s="3" customFormat="1" x14ac:dyDescent="0.25">
      <c r="B52" s="52" t="s">
        <v>1</v>
      </c>
      <c r="C52" s="5"/>
      <c r="D52" s="5"/>
      <c r="E52" s="6">
        <v>5</v>
      </c>
      <c r="H52" s="3">
        <v>8</v>
      </c>
      <c r="I52" s="3">
        <f t="shared" si="5"/>
        <v>8</v>
      </c>
      <c r="J52" s="3">
        <f>$E$48*$E$46/2/100</f>
        <v>2.5</v>
      </c>
      <c r="K52" s="3">
        <f>J52/(1+$E$49/2)^I52</f>
        <v>2.0518664270327296</v>
      </c>
      <c r="L52" s="72">
        <f>K52/$K$55</f>
        <v>2.0518664270327284E-2</v>
      </c>
      <c r="M52" s="3">
        <f t="shared" si="6"/>
        <v>0.16414931416261827</v>
      </c>
      <c r="N52" s="11">
        <f>I52*(I52+1)*L52*(1+$E$49/2)^(-2)</f>
        <v>1.4061571231063077</v>
      </c>
    </row>
    <row r="53" spans="2:17" s="3" customFormat="1" ht="19.2" x14ac:dyDescent="0.35">
      <c r="D53" s="10"/>
      <c r="H53" s="3">
        <v>9</v>
      </c>
      <c r="I53" s="3">
        <f t="shared" si="5"/>
        <v>9</v>
      </c>
      <c r="J53" s="3">
        <f>$E$48*$E$46/2/100</f>
        <v>2.5</v>
      </c>
      <c r="K53" s="3">
        <f>J53/(1+$E$49/2)^I53</f>
        <v>2.0018209044221758</v>
      </c>
      <c r="L53" s="72">
        <f>K53/$K$55</f>
        <v>2.0018209044221746E-2</v>
      </c>
      <c r="M53" s="3">
        <f t="shared" si="6"/>
        <v>0.18016388139799572</v>
      </c>
      <c r="N53" s="11">
        <f>I53*(I53+1)*L53*(1+$E$49/2)^(-2)</f>
        <v>1.7148257598857417</v>
      </c>
      <c r="P53" s="18" t="s">
        <v>24</v>
      </c>
    </row>
    <row r="54" spans="2:17" s="3" customFormat="1" ht="14.4" x14ac:dyDescent="0.3">
      <c r="H54" s="3">
        <v>10</v>
      </c>
      <c r="I54" s="3">
        <f t="shared" si="5"/>
        <v>10</v>
      </c>
      <c r="J54" s="3">
        <f>$E$48*$E$46/2/100+E48</f>
        <v>102.5</v>
      </c>
      <c r="K54" s="3">
        <f>J54/(1+$E$49/2)^I54</f>
        <v>80.072836176887023</v>
      </c>
      <c r="L54" s="72">
        <f>K54/$K$55</f>
        <v>0.80072836176886975</v>
      </c>
      <c r="M54" s="3">
        <f t="shared" si="6"/>
        <v>8.0072836176886977</v>
      </c>
      <c r="N54" s="11">
        <f>I54*(I54+1)*L54*(1+$E$49/2)^(-2)</f>
        <v>83.83592603885846</v>
      </c>
      <c r="P54" s="8" t="s">
        <v>13</v>
      </c>
      <c r="Q54" s="4">
        <v>5.0000000000000001E-4</v>
      </c>
    </row>
    <row r="55" spans="2:17" s="3" customFormat="1" x14ac:dyDescent="0.25">
      <c r="H55" s="13"/>
      <c r="I55" s="14"/>
      <c r="J55" s="14"/>
      <c r="K55" s="14">
        <f>SUM(K45:K54)</f>
        <v>100.00000000000006</v>
      </c>
      <c r="L55" s="14">
        <f>SUM(L45:L54)</f>
        <v>0.99999999999999989</v>
      </c>
      <c r="M55" s="31">
        <f>SUM(M45:M54)</f>
        <v>8.9708655292452075</v>
      </c>
      <c r="N55" s="32">
        <f>SUM(N45:N54)</f>
        <v>90.449288740522292</v>
      </c>
      <c r="P55" s="7" t="s">
        <v>14</v>
      </c>
      <c r="Q55" s="30">
        <f>$E$49+Q54</f>
        <v>5.0500000000000003E-2</v>
      </c>
    </row>
    <row r="56" spans="2:17" s="3" customFormat="1" x14ac:dyDescent="0.25">
      <c r="I56" s="10" t="s">
        <v>23</v>
      </c>
      <c r="M56" s="10">
        <f>M55/2</f>
        <v>4.4854327646226038</v>
      </c>
      <c r="N56" s="33">
        <f>N55/E47^2</f>
        <v>22.612322185130573</v>
      </c>
      <c r="P56" s="21" t="s">
        <v>15</v>
      </c>
      <c r="Q56" s="28">
        <f>$E$49-Q54</f>
        <v>4.9500000000000002E-2</v>
      </c>
    </row>
    <row r="57" spans="2:17" s="3" customFormat="1" x14ac:dyDescent="0.25">
      <c r="I57" s="10" t="s">
        <v>25</v>
      </c>
      <c r="M57" s="10">
        <f>M55/(1+E49/2)</f>
        <v>8.7520639309709356</v>
      </c>
      <c r="N57" s="95">
        <f>N56/E52</f>
        <v>4.5224644370261142</v>
      </c>
      <c r="P57" s="7" t="s">
        <v>18</v>
      </c>
      <c r="Q57" s="17">
        <f>PRICE(E50,E51,E46/100,Q55,E48,2,2)</f>
        <v>99.78148078539806</v>
      </c>
    </row>
    <row r="58" spans="2:17" s="3" customFormat="1" x14ac:dyDescent="0.25">
      <c r="B58" s="61" t="s">
        <v>32</v>
      </c>
      <c r="C58" s="85"/>
      <c r="D58" s="85"/>
      <c r="E58" s="86"/>
      <c r="I58" s="10" t="s">
        <v>26</v>
      </c>
      <c r="M58" s="10">
        <f>M57/2</f>
        <v>4.3760319654854678</v>
      </c>
      <c r="N58" s="33"/>
      <c r="P58" s="21" t="s">
        <v>20</v>
      </c>
      <c r="Q58" s="6">
        <f>PRICE(E50,E51,E46/100,Q56,E48,2,2)</f>
        <v>100.21908452308068</v>
      </c>
    </row>
    <row r="59" spans="2:17" s="3" customFormat="1" ht="26.4" x14ac:dyDescent="0.25">
      <c r="B59" s="91" t="s">
        <v>2</v>
      </c>
      <c r="C59" s="92" t="s">
        <v>34</v>
      </c>
      <c r="D59" s="93" t="s">
        <v>35</v>
      </c>
      <c r="E59" s="94" t="s">
        <v>37</v>
      </c>
      <c r="P59" s="8" t="s">
        <v>21</v>
      </c>
      <c r="Q59" s="3">
        <f>PRICE(E50,E51,E46/100,E49,E48,2,2)</f>
        <v>100.00000000000006</v>
      </c>
    </row>
    <row r="60" spans="2:17" s="3" customFormat="1" x14ac:dyDescent="0.25">
      <c r="B60" s="61">
        <f>B61-1%</f>
        <v>1.9999999999999997E-2</v>
      </c>
      <c r="C60" s="51">
        <f>(1+(($B$63-B60)*($M$55/2)))*$C$63</f>
        <v>113.45629829386787</v>
      </c>
      <c r="D60" s="51">
        <f>(1+(($B$63-B60)*($M$57/2)))*$D$63</f>
        <v>113.12809589645647</v>
      </c>
      <c r="E60" s="56">
        <f>(1+(($B$63-B60)*($N$57/2)))*$E$63</f>
        <v>106.78369665553923</v>
      </c>
      <c r="P60" s="10" t="s">
        <v>40</v>
      </c>
      <c r="Q60" s="3">
        <f>(Q58-Q57)/(2*Q59*Q54)</f>
        <v>4.3760373768262157</v>
      </c>
    </row>
    <row r="61" spans="2:17" s="3" customFormat="1" x14ac:dyDescent="0.25">
      <c r="B61" s="57">
        <f>B62-1%</f>
        <v>0.03</v>
      </c>
      <c r="C61" s="55">
        <f>(1+(($B$63-B61)*($M$55/2)))*$C$63</f>
        <v>108.97086552924529</v>
      </c>
      <c r="D61" s="55">
        <f>(1+(($B$63-B61)*($M$57/2)))*$D$63</f>
        <v>108.752063930971</v>
      </c>
      <c r="E61" s="56">
        <f>(1+(($B$63-B61)*($N$57/2)))*$E$63</f>
        <v>104.52246443702617</v>
      </c>
      <c r="P61" s="71" t="s">
        <v>38</v>
      </c>
      <c r="Q61" s="2">
        <f>Q60-M58</f>
        <v>5.4113407479405851E-6</v>
      </c>
    </row>
    <row r="62" spans="2:17" s="3" customFormat="1" x14ac:dyDescent="0.25">
      <c r="B62" s="57">
        <f>B63-1%</f>
        <v>0.04</v>
      </c>
      <c r="C62" s="55">
        <f>(1+(($B$63-B62)*($M$55/2)))*$C$63</f>
        <v>104.48543276462267</v>
      </c>
      <c r="D62" s="55">
        <f>(1+(($B$63-B62)*($M$57/2)))*$D$63</f>
        <v>104.37603196548552</v>
      </c>
      <c r="E62" s="56">
        <f>(1+(($B$63-B62)*($N$57/2)))*$E$63</f>
        <v>102.26123221851313</v>
      </c>
      <c r="F62" s="29"/>
    </row>
    <row r="63" spans="2:17" s="3" customFormat="1" x14ac:dyDescent="0.25">
      <c r="B63" s="41">
        <f>E49</f>
        <v>0.05</v>
      </c>
      <c r="C63" s="73">
        <f>K55</f>
        <v>100.00000000000006</v>
      </c>
      <c r="D63" s="73">
        <f>C63</f>
        <v>100.00000000000006</v>
      </c>
      <c r="E63" s="74">
        <f>D63</f>
        <v>100.00000000000006</v>
      </c>
    </row>
    <row r="64" spans="2:17" s="3" customFormat="1" x14ac:dyDescent="0.25">
      <c r="B64" s="57">
        <f>B63+1%</f>
        <v>6.0000000000000005E-2</v>
      </c>
      <c r="C64" s="55">
        <f>(1+(($B$63-B64)*($M$55/2)))*$C$63</f>
        <v>95.514567235377442</v>
      </c>
      <c r="D64" s="55">
        <f>(1+(($B$63-B64)*($M$57/2)))*$D$63</f>
        <v>95.623968034514576</v>
      </c>
      <c r="E64" s="56">
        <f>(1+(($B$63-B64)*($N$57/2)))*$E$63</f>
        <v>97.738767781486999</v>
      </c>
    </row>
    <row r="65" spans="2:22" s="3" customFormat="1" x14ac:dyDescent="0.25">
      <c r="B65" s="57">
        <f>B64+1%</f>
        <v>7.0000000000000007E-2</v>
      </c>
      <c r="C65" s="55">
        <f>(1+(($B$63-B65)*($M$55/2)))*$C$63</f>
        <v>91.02913447075484</v>
      </c>
      <c r="D65" s="55">
        <f>(1+(($B$63-B65)*($M$57/2)))*$D$63</f>
        <v>91.247936069029123</v>
      </c>
      <c r="E65" s="56">
        <f>(1+(($B$63-B65)*($N$57/2)))*$E$63</f>
        <v>95.477535562973941</v>
      </c>
    </row>
    <row r="66" spans="2:22" s="3" customFormat="1" x14ac:dyDescent="0.25">
      <c r="B66" s="57">
        <f>B65+1%</f>
        <v>0.08</v>
      </c>
      <c r="C66" s="55">
        <f>(1+(($B$63-B66)*($M$55/2)))*$C$63</f>
        <v>86.543701706132239</v>
      </c>
      <c r="D66" s="55">
        <f>(1+(($B$63-B66)*($M$57/2)))*$D$63</f>
        <v>86.871904103543642</v>
      </c>
      <c r="E66" s="56">
        <f>(1+(($B$63-B66)*($N$57/2)))*$E$63</f>
        <v>93.216303344460883</v>
      </c>
    </row>
    <row r="67" spans="2:22" s="3" customFormat="1" x14ac:dyDescent="0.25">
      <c r="B67" s="59">
        <f>B66+1%</f>
        <v>0.09</v>
      </c>
      <c r="C67" s="60">
        <f>(1+(($B$63-B67)*($M$55/2)))*$C$63</f>
        <v>82.058268941509624</v>
      </c>
      <c r="D67" s="60">
        <f>(1+(($B$63-B67)*($M$57/2)))*$D$63</f>
        <v>82.495872138058175</v>
      </c>
      <c r="E67" s="56">
        <f>(1+(($B$63-B67)*($N$57/2)))*$E$63</f>
        <v>90.955071125947825</v>
      </c>
    </row>
    <row r="68" spans="2:22" s="3" customFormat="1" x14ac:dyDescent="0.25"/>
    <row r="69" spans="2:22" s="3" customFormat="1" x14ac:dyDescent="0.25">
      <c r="H69" s="38" t="s">
        <v>28</v>
      </c>
      <c r="I69" s="31" t="s">
        <v>19</v>
      </c>
      <c r="J69" s="31" t="s">
        <v>12</v>
      </c>
      <c r="K69" s="31" t="s">
        <v>2</v>
      </c>
      <c r="L69" s="31" t="s">
        <v>27</v>
      </c>
      <c r="M69" s="32" t="s">
        <v>22</v>
      </c>
    </row>
    <row r="70" spans="2:22" s="3" customFormat="1" ht="14.4" x14ac:dyDescent="0.3">
      <c r="H70" s="7" t="s">
        <v>29</v>
      </c>
      <c r="I70" s="16">
        <f>E12</f>
        <v>30</v>
      </c>
      <c r="J70" s="39">
        <f>E6</f>
        <v>4.625</v>
      </c>
      <c r="K70" s="44">
        <f>E9</f>
        <v>4.7500000000000001E-2</v>
      </c>
      <c r="L70" s="82">
        <f>Q24</f>
        <v>15.906365116465734</v>
      </c>
      <c r="M70" s="40">
        <f>Q13</f>
        <v>369.64202542734984</v>
      </c>
    </row>
    <row r="71" spans="2:22" s="3" customFormat="1" ht="14.4" x14ac:dyDescent="0.3">
      <c r="H71" s="21" t="s">
        <v>30</v>
      </c>
      <c r="I71" s="5">
        <f>E52</f>
        <v>5</v>
      </c>
      <c r="J71" s="5">
        <f>E46</f>
        <v>5</v>
      </c>
      <c r="K71" s="1">
        <f>E49</f>
        <v>0.05</v>
      </c>
      <c r="L71" s="24">
        <f>Q60</f>
        <v>4.3760373768262157</v>
      </c>
      <c r="M71" s="84">
        <f>Q50</f>
        <v>22.612339149645781</v>
      </c>
    </row>
    <row r="72" spans="2:22" s="3" customFormat="1" x14ac:dyDescent="0.25"/>
    <row r="73" spans="2:22" s="3" customFormat="1" x14ac:dyDescent="0.25"/>
    <row r="74" spans="2:22" s="3" customFormat="1" x14ac:dyDescent="0.25"/>
    <row r="75" spans="2:22" s="3" customFormat="1" ht="409.6" customHeight="1" x14ac:dyDescent="0.25">
      <c r="H75" s="12" t="s">
        <v>41</v>
      </c>
      <c r="I75" s="12"/>
      <c r="J75" s="12"/>
      <c r="K75" s="12"/>
      <c r="L75" s="12"/>
      <c r="M75" s="12"/>
      <c r="N75" s="12"/>
      <c r="O75" s="12"/>
      <c r="P75" s="12"/>
      <c r="Q75" s="12"/>
      <c r="R75" s="12"/>
      <c r="S75" s="12"/>
      <c r="T75" s="12"/>
      <c r="U75" s="12"/>
      <c r="V75" s="12"/>
    </row>
    <row r="76" spans="2:22" s="3" customFormat="1" x14ac:dyDescent="0.25">
      <c r="H76" s="12"/>
      <c r="I76" s="12"/>
      <c r="J76" s="12"/>
      <c r="K76" s="12"/>
      <c r="L76" s="12"/>
      <c r="M76" s="12"/>
      <c r="N76" s="12"/>
      <c r="O76" s="12"/>
      <c r="P76" s="12"/>
      <c r="Q76" s="12"/>
      <c r="R76" s="12"/>
      <c r="S76" s="12"/>
      <c r="T76" s="12"/>
      <c r="U76" s="12"/>
      <c r="V76" s="12"/>
    </row>
    <row r="77" spans="2:22" s="3" customFormat="1" x14ac:dyDescent="0.25">
      <c r="H77" s="12"/>
      <c r="I77" s="12"/>
      <c r="J77" s="12"/>
      <c r="K77" s="12"/>
      <c r="L77" s="12"/>
      <c r="M77" s="12"/>
      <c r="N77" s="12"/>
      <c r="O77" s="12"/>
      <c r="P77" s="12"/>
      <c r="Q77" s="12"/>
      <c r="R77" s="12"/>
      <c r="S77" s="12"/>
      <c r="T77" s="12"/>
      <c r="U77" s="12"/>
      <c r="V77" s="12"/>
    </row>
    <row r="78" spans="2:22" s="3" customFormat="1" x14ac:dyDescent="0.25">
      <c r="H78" s="12"/>
      <c r="I78" s="12"/>
      <c r="J78" s="12"/>
      <c r="K78" s="12"/>
      <c r="L78" s="12"/>
      <c r="M78" s="12"/>
      <c r="N78" s="12"/>
      <c r="O78" s="12"/>
      <c r="P78" s="12"/>
      <c r="Q78" s="12"/>
      <c r="R78" s="12"/>
      <c r="S78" s="12"/>
      <c r="T78" s="12"/>
      <c r="U78" s="12"/>
      <c r="V78" s="12"/>
    </row>
    <row r="79" spans="2:22" s="3" customFormat="1" x14ac:dyDescent="0.25">
      <c r="H79" s="12"/>
      <c r="I79" s="12"/>
      <c r="J79" s="12"/>
      <c r="K79" s="12"/>
      <c r="L79" s="12"/>
      <c r="M79" s="12"/>
      <c r="N79" s="12"/>
      <c r="O79" s="12"/>
      <c r="P79" s="12"/>
      <c r="Q79" s="12"/>
      <c r="R79" s="12"/>
      <c r="S79" s="12"/>
      <c r="T79" s="12"/>
      <c r="U79" s="12"/>
      <c r="V79" s="12"/>
    </row>
    <row r="80" spans="2:22" s="3" customFormat="1" x14ac:dyDescent="0.25">
      <c r="H80" s="12"/>
      <c r="I80" s="12"/>
      <c r="J80" s="12"/>
      <c r="K80" s="12"/>
      <c r="L80" s="12"/>
      <c r="M80" s="12"/>
      <c r="N80" s="12"/>
      <c r="O80" s="12"/>
      <c r="P80" s="12"/>
      <c r="Q80" s="12"/>
      <c r="R80" s="12"/>
      <c r="S80" s="12"/>
      <c r="T80" s="12"/>
      <c r="U80" s="12"/>
      <c r="V80" s="12"/>
    </row>
    <row r="81" spans="8:22" s="3" customFormat="1" x14ac:dyDescent="0.25">
      <c r="H81" s="12"/>
      <c r="I81" s="12"/>
      <c r="J81" s="12"/>
      <c r="K81" s="12"/>
      <c r="L81" s="12"/>
      <c r="M81" s="12"/>
      <c r="N81" s="12"/>
      <c r="O81" s="12"/>
      <c r="P81" s="12"/>
      <c r="Q81" s="12"/>
      <c r="R81" s="12"/>
      <c r="S81" s="12"/>
      <c r="T81" s="12"/>
      <c r="U81" s="12"/>
      <c r="V81" s="12"/>
    </row>
    <row r="82" spans="8:22" s="3" customFormat="1" x14ac:dyDescent="0.25"/>
  </sheetData>
  <mergeCells count="1">
    <mergeCell ref="H75:V8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Yury</dc:creator>
  <cp:lastModifiedBy>Yury</cp:lastModifiedBy>
  <dcterms:created xsi:type="dcterms:W3CDTF">2024-11-11T05:30:13Z</dcterms:created>
  <dcterms:modified xsi:type="dcterms:W3CDTF">2024-11-11T23:32:17Z</dcterms:modified>
</cp:coreProperties>
</file>