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qwerty\Desktop\Python\JNotebook\start\"/>
    </mc:Choice>
  </mc:AlternateContent>
  <xr:revisionPtr revIDLastSave="0" documentId="8_{B4828FE9-6F69-433C-A016-745C4FED5C61}" xr6:coauthVersionLast="47" xr6:coauthVersionMax="47" xr10:uidLastSave="{00000000-0000-0000-0000-000000000000}"/>
  <bookViews>
    <workbookView xWindow="-108" yWindow="-108" windowWidth="23256" windowHeight="14016" xr2:uid="{C9DAB29B-2FE2-44BE-8A73-3515AECADB00}"/>
  </bookViews>
  <sheets>
    <sheet name="DERIVATIVES" sheetId="1" r:id="rId1"/>
  </sheets>
  <calcPr calcId="191029"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62" i="1" l="1"/>
  <c r="C565" i="1" s="1"/>
  <c r="C553" i="1"/>
  <c r="C547" i="1"/>
  <c r="C546" i="1"/>
  <c r="C543" i="1"/>
  <c r="C545" i="1" s="1"/>
  <c r="C539" i="1"/>
  <c r="C540" i="1" s="1"/>
  <c r="C538" i="1"/>
  <c r="C537" i="1"/>
  <c r="C529" i="1"/>
  <c r="C527" i="1"/>
  <c r="C523" i="1"/>
  <c r="C522" i="1"/>
  <c r="F508" i="1"/>
  <c r="F510" i="1" s="1"/>
  <c r="C508" i="1"/>
  <c r="F504" i="1"/>
  <c r="C504" i="1"/>
  <c r="F496" i="1"/>
  <c r="F493" i="1"/>
  <c r="E493" i="1"/>
  <c r="C493" i="1"/>
  <c r="C495" i="1" s="1"/>
  <c r="F490" i="1"/>
  <c r="F495" i="1" s="1"/>
  <c r="F497" i="1" s="1"/>
  <c r="C481" i="1"/>
  <c r="C480" i="1"/>
  <c r="C478" i="1"/>
  <c r="C469" i="1"/>
  <c r="C467" i="1"/>
  <c r="C458" i="1"/>
  <c r="C466" i="1" s="1"/>
  <c r="E440" i="1"/>
  <c r="D440" i="1"/>
  <c r="C440" i="1"/>
  <c r="B440" i="1"/>
  <c r="E439" i="1"/>
  <c r="D439" i="1"/>
  <c r="C439" i="1"/>
  <c r="B439" i="1"/>
  <c r="D438" i="1"/>
  <c r="C438" i="1"/>
  <c r="B438" i="1"/>
  <c r="F437" i="1"/>
  <c r="E437" i="1"/>
  <c r="D437" i="1"/>
  <c r="C437" i="1"/>
  <c r="B437" i="1"/>
  <c r="C428" i="1"/>
  <c r="F422" i="1"/>
  <c r="C422" i="1"/>
  <c r="F421" i="1"/>
  <c r="C421" i="1"/>
  <c r="C420" i="1"/>
  <c r="C412" i="1"/>
  <c r="C413" i="1" s="1"/>
  <c r="C411" i="1"/>
  <c r="F409" i="1" s="1"/>
  <c r="F410" i="1" s="1"/>
  <c r="E409" i="1"/>
  <c r="C409" i="1"/>
  <c r="F408" i="1"/>
  <c r="E408" i="1"/>
  <c r="I402" i="1"/>
  <c r="F402" i="1"/>
  <c r="F403" i="1" s="1"/>
  <c r="C402" i="1"/>
  <c r="C396" i="1"/>
  <c r="C385" i="1"/>
  <c r="C372" i="1"/>
  <c r="D363" i="1"/>
  <c r="C363" i="1"/>
  <c r="L356" i="1"/>
  <c r="C356" i="1"/>
  <c r="C357" i="1" s="1"/>
  <c r="C358" i="1" s="1"/>
  <c r="F355" i="1"/>
  <c r="F356" i="1" s="1"/>
  <c r="C355" i="1"/>
  <c r="C364" i="1" s="1"/>
  <c r="C373" i="1" s="1"/>
  <c r="C354" i="1"/>
  <c r="F353" i="1"/>
  <c r="F364" i="1" s="1"/>
  <c r="C353" i="1"/>
  <c r="C361" i="1" s="1"/>
  <c r="F350" i="1"/>
  <c r="C347" i="1"/>
  <c r="C337" i="1"/>
  <c r="C338" i="1" s="1"/>
  <c r="C335" i="1"/>
  <c r="C327" i="1"/>
  <c r="C328" i="1" s="1"/>
  <c r="C329" i="1" s="1"/>
  <c r="D317" i="1"/>
  <c r="C313" i="1"/>
  <c r="D313" i="1" s="1"/>
  <c r="C306" i="1"/>
  <c r="C307" i="1" s="1"/>
  <c r="C383" i="1" s="1"/>
  <c r="C386" i="1" s="1"/>
  <c r="C387" i="1" s="1"/>
  <c r="F262" i="1"/>
  <c r="F261" i="1"/>
  <c r="C261" i="1"/>
  <c r="E260" i="1"/>
  <c r="C249" i="1"/>
  <c r="C244" i="1"/>
  <c r="D262" i="1" s="1"/>
  <c r="C242" i="1"/>
  <c r="D260" i="1" s="1"/>
  <c r="E268" i="1" s="1"/>
  <c r="E238" i="1"/>
  <c r="C262" i="1" s="1"/>
  <c r="E237" i="1"/>
  <c r="E236" i="1"/>
  <c r="C243" i="1" s="1"/>
  <c r="C222" i="1"/>
  <c r="C223" i="1" s="1"/>
  <c r="C221" i="1"/>
  <c r="C220" i="1"/>
  <c r="B211" i="1"/>
  <c r="D207" i="1"/>
  <c r="E206" i="1" s="1"/>
  <c r="C210" i="1" s="1"/>
  <c r="C212" i="1" s="1"/>
  <c r="D206" i="1"/>
  <c r="D205" i="1"/>
  <c r="C198" i="1"/>
  <c r="E199" i="1" s="1"/>
  <c r="B198" i="1"/>
  <c r="E196" i="1"/>
  <c r="C193" i="1"/>
  <c r="C196" i="1" s="1"/>
  <c r="C192" i="1"/>
  <c r="C177" i="1"/>
  <c r="C179" i="1" s="1"/>
  <c r="C185" i="1" s="1"/>
  <c r="C171" i="1"/>
  <c r="C170" i="1"/>
  <c r="E169" i="1"/>
  <c r="E171" i="1" s="1"/>
  <c r="C169" i="1"/>
  <c r="L141" i="1"/>
  <c r="K141" i="1"/>
  <c r="J145" i="1" s="1"/>
  <c r="J140" i="1"/>
  <c r="J148" i="1" s="1"/>
  <c r="F139" i="1"/>
  <c r="F140" i="1" s="1"/>
  <c r="J134" i="1"/>
  <c r="N133" i="1"/>
  <c r="J133" i="1"/>
  <c r="J132" i="1"/>
  <c r="F132" i="1"/>
  <c r="F131" i="1"/>
  <c r="N129" i="1"/>
  <c r="N127" i="1"/>
  <c r="N130" i="1" s="1"/>
  <c r="N134" i="1" s="1"/>
  <c r="C117" i="1"/>
  <c r="L116" i="1"/>
  <c r="J116" i="1"/>
  <c r="C116" i="1"/>
  <c r="C115" i="1"/>
  <c r="L114" i="1"/>
  <c r="L115" i="1" s="1"/>
  <c r="J114" i="1"/>
  <c r="L111" i="1"/>
  <c r="L117" i="1" s="1"/>
  <c r="J111" i="1"/>
  <c r="E111" i="1"/>
  <c r="G99" i="1"/>
  <c r="H99" i="1" s="1"/>
  <c r="G98" i="1"/>
  <c r="H98" i="1" s="1"/>
  <c r="C98" i="1"/>
  <c r="I98" i="1" s="1"/>
  <c r="J98" i="1" s="1"/>
  <c r="H97" i="1"/>
  <c r="G97" i="1"/>
  <c r="G96" i="1"/>
  <c r="H96" i="1" s="1"/>
  <c r="F88" i="1"/>
  <c r="F87" i="1"/>
  <c r="F89" i="1" s="1"/>
  <c r="E87" i="1"/>
  <c r="E88" i="1" s="1"/>
  <c r="F84" i="1"/>
  <c r="E84" i="1"/>
  <c r="E89" i="1" s="1"/>
  <c r="E78" i="1"/>
  <c r="E76" i="1"/>
  <c r="G71" i="1"/>
  <c r="G72" i="1" s="1"/>
  <c r="G73" i="1" s="1"/>
  <c r="C70" i="1"/>
  <c r="C71" i="1" s="1"/>
  <c r="C59" i="1"/>
  <c r="F58" i="1"/>
  <c r="G58" i="1" s="1"/>
  <c r="H58" i="1" s="1"/>
  <c r="F57" i="1"/>
  <c r="G57" i="1" s="1"/>
  <c r="H57" i="1" s="1"/>
  <c r="R48" i="1"/>
  <c r="S48" i="1" s="1"/>
  <c r="H48" i="1"/>
  <c r="I48" i="1" s="1"/>
  <c r="S47" i="1"/>
  <c r="R47" i="1"/>
  <c r="H47" i="1"/>
  <c r="I47" i="1" s="1"/>
  <c r="R46" i="1"/>
  <c r="S46" i="1" s="1"/>
  <c r="H46" i="1"/>
  <c r="I46" i="1" s="1"/>
  <c r="S45" i="1"/>
  <c r="R45" i="1"/>
  <c r="H45" i="1"/>
  <c r="I45" i="1" s="1"/>
  <c r="R41" i="1"/>
  <c r="S41" i="1" s="1"/>
  <c r="I41" i="1"/>
  <c r="H41" i="1"/>
  <c r="R40" i="1"/>
  <c r="S40" i="1" s="1"/>
  <c r="H40" i="1"/>
  <c r="I40" i="1" s="1"/>
  <c r="R39" i="1"/>
  <c r="S39" i="1" s="1"/>
  <c r="I39" i="1"/>
  <c r="H39" i="1"/>
  <c r="R38" i="1"/>
  <c r="S38" i="1" s="1"/>
  <c r="S42" i="1" s="1"/>
  <c r="H38" i="1"/>
  <c r="I38" i="1" s="1"/>
  <c r="F33" i="1"/>
  <c r="F31" i="1"/>
  <c r="F35" i="1" s="1"/>
  <c r="I25" i="1"/>
  <c r="J25" i="1" s="1"/>
  <c r="Q22" i="1" s="1"/>
  <c r="Q24" i="1"/>
  <c r="I24" i="1"/>
  <c r="Q23" i="1"/>
  <c r="I23" i="1"/>
  <c r="I22" i="1"/>
  <c r="J22" i="1" s="1"/>
  <c r="J23" i="1" s="1"/>
  <c r="J24" i="1" s="1"/>
  <c r="Q21" i="1"/>
  <c r="I21" i="1"/>
  <c r="J21" i="1" s="1"/>
  <c r="C21" i="1"/>
  <c r="Q20" i="1"/>
  <c r="J20" i="1"/>
  <c r="I20" i="1"/>
  <c r="Q19" i="1"/>
  <c r="K19" i="1"/>
  <c r="K20" i="1" s="1"/>
  <c r="H19" i="1"/>
  <c r="Q18" i="1"/>
  <c r="J11" i="1"/>
  <c r="K11" i="1" s="1"/>
  <c r="Q10" i="1"/>
  <c r="Q11" i="1" s="1"/>
  <c r="Q12" i="1" s="1"/>
  <c r="Q13" i="1" s="1"/>
  <c r="J10" i="1"/>
  <c r="C9" i="1"/>
  <c r="C10" i="1" s="1"/>
  <c r="C255" i="1" l="1"/>
  <c r="G261" i="1" s="1"/>
  <c r="F268" i="1" s="1"/>
  <c r="D261" i="1"/>
  <c r="C250" i="1"/>
  <c r="E261" i="1" s="1"/>
  <c r="F439" i="1"/>
  <c r="N131" i="1"/>
  <c r="I355" i="1"/>
  <c r="C370" i="1"/>
  <c r="I360" i="1" s="1"/>
  <c r="C541" i="1"/>
  <c r="C548" i="1"/>
  <c r="K356" i="1"/>
  <c r="F365" i="1"/>
  <c r="F277" i="1"/>
  <c r="B274" i="1"/>
  <c r="F491" i="1"/>
  <c r="C497" i="1"/>
  <c r="L20" i="1"/>
  <c r="K21" i="1"/>
  <c r="I42" i="1"/>
  <c r="I49" i="1"/>
  <c r="F358" i="1"/>
  <c r="F357" i="1"/>
  <c r="F411" i="1"/>
  <c r="S49" i="1"/>
  <c r="C470" i="1"/>
  <c r="E438" i="1"/>
  <c r="I97" i="1"/>
  <c r="J97" i="1" s="1"/>
  <c r="E428" i="1"/>
  <c r="F438" i="1"/>
  <c r="F440" i="1"/>
  <c r="C460" i="1"/>
  <c r="F509" i="1"/>
  <c r="F56" i="1"/>
  <c r="G56" i="1" s="1"/>
  <c r="H56" i="1" s="1"/>
  <c r="I99" i="1"/>
  <c r="J99" i="1" s="1"/>
  <c r="E170" i="1"/>
  <c r="F362" i="1"/>
  <c r="C429" i="1"/>
  <c r="E429" i="1" s="1"/>
  <c r="C498" i="1"/>
  <c r="C499" i="1" s="1"/>
  <c r="F354" i="1"/>
  <c r="C362" i="1" s="1"/>
  <c r="I96" i="1"/>
  <c r="J96" i="1" s="1"/>
  <c r="C256" i="1"/>
  <c r="G262" i="1" s="1"/>
  <c r="C427" i="1"/>
  <c r="J143" i="1"/>
  <c r="J146" i="1" s="1"/>
  <c r="C251" i="1"/>
  <c r="E262" i="1" s="1"/>
  <c r="C199" i="1"/>
  <c r="C260" i="1"/>
  <c r="J113" i="1"/>
  <c r="J117" i="1" s="1"/>
  <c r="E427" i="1"/>
  <c r="D427" i="1" l="1"/>
  <c r="C426" i="1"/>
  <c r="F370" i="1"/>
  <c r="F372" i="1" s="1"/>
  <c r="I356" i="1"/>
  <c r="J438" i="1"/>
  <c r="H438" i="1"/>
  <c r="I438" i="1" s="1"/>
  <c r="J115" i="1"/>
  <c r="J440" i="1"/>
  <c r="H440" i="1"/>
  <c r="I440" i="1" s="1"/>
  <c r="K22" i="1"/>
  <c r="L21" i="1"/>
  <c r="F366" i="1"/>
  <c r="J356" i="1" s="1"/>
  <c r="F367" i="1"/>
  <c r="J439" i="1"/>
  <c r="H439" i="1"/>
  <c r="I439" i="1" s="1"/>
  <c r="C430" i="1"/>
  <c r="D429" i="1"/>
  <c r="F271" i="1"/>
  <c r="B269" i="1"/>
  <c r="B270" i="1" s="1"/>
  <c r="E274" i="1"/>
  <c r="F274" i="1" s="1"/>
  <c r="F363" i="1"/>
  <c r="C365" i="1"/>
  <c r="C366" i="1" s="1"/>
  <c r="C367" i="1" s="1"/>
  <c r="J355" i="1" s="1"/>
  <c r="C549" i="1"/>
  <c r="C552" i="1" s="1"/>
  <c r="C554" i="1" s="1"/>
  <c r="C555" i="1" s="1"/>
  <c r="K361" i="1" l="1"/>
  <c r="F373" i="1"/>
  <c r="J441" i="1"/>
  <c r="I441" i="1"/>
  <c r="J442" i="1" s="1"/>
  <c r="L22" i="1"/>
  <c r="K23" i="1"/>
  <c r="I361" i="1"/>
  <c r="F371" i="1"/>
  <c r="C371" i="1"/>
  <c r="C374" i="1" s="1"/>
  <c r="C375" i="1" s="1"/>
  <c r="J360" i="1" s="1"/>
  <c r="D430" i="1"/>
  <c r="E430" i="1"/>
  <c r="D426" i="1"/>
  <c r="E426" i="1"/>
  <c r="L23" i="1" l="1"/>
  <c r="K24" i="1"/>
  <c r="F374" i="1"/>
  <c r="F375" i="1"/>
  <c r="L361" i="1"/>
  <c r="K25" i="1" l="1"/>
  <c r="Q26" i="1" s="1"/>
  <c r="L24" i="1"/>
  <c r="L25" i="1" s="1"/>
  <c r="Q25" i="1" s="1"/>
  <c r="Q2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Юрий Щербина</author>
  </authors>
  <commentList>
    <comment ref="C10" authorId="0" shapeId="0" xr:uid="{4D32BAF6-2BED-4DB3-80CA-B64AD0905D75}">
      <text>
        <r>
          <rPr>
            <b/>
            <sz val="9"/>
            <color indexed="81"/>
            <rFont val="Tahoma"/>
            <family val="2"/>
          </rPr>
          <t>Юрий Щербина:</t>
        </r>
        <r>
          <rPr>
            <sz val="9"/>
            <color indexed="81"/>
            <rFont val="Tahoma"/>
            <family val="2"/>
          </rPr>
          <t xml:space="preserve">
(the buyer) must pay the financial intermediary (the seller)
$1,163</t>
        </r>
      </text>
    </comment>
    <comment ref="J10" authorId="0" shapeId="0" xr:uid="{CA73B6B8-0FCB-4CC6-BF1A-86971F5D2548}">
      <text>
        <r>
          <rPr>
            <b/>
            <sz val="9"/>
            <color indexed="81"/>
            <rFont val="Tahoma"/>
            <family val="2"/>
          </rPr>
          <t>Юрий Щербина:</t>
        </r>
        <r>
          <rPr>
            <sz val="9"/>
            <color indexed="81"/>
            <rFont val="Tahoma"/>
            <family val="2"/>
          </rPr>
          <t xml:space="preserve">
It receives a $500 futures margin account deposit from the
clearinghouse.</t>
        </r>
      </text>
    </comment>
    <comment ref="H37" authorId="0" shapeId="0" xr:uid="{AD1CA7CC-B4BF-48BF-A532-66A6E2BA5994}">
      <text>
        <r>
          <rPr>
            <b/>
            <sz val="9"/>
            <color indexed="81"/>
            <rFont val="Tahoma"/>
            <family val="2"/>
          </rPr>
          <t>Юрий Щербина:</t>
        </r>
        <r>
          <rPr>
            <sz val="9"/>
            <color indexed="81"/>
            <rFont val="Tahoma"/>
            <family val="2"/>
          </rPr>
          <t xml:space="preserve">
The call option
value at maturity, cT, may be expressed as follows:
cT = max(0, ST – X).</t>
        </r>
      </text>
    </comment>
    <comment ref="I37" authorId="0" shapeId="0" xr:uid="{EB622477-0AA5-42F4-82C4-48182E5DBD23}">
      <text>
        <r>
          <rPr>
            <b/>
            <sz val="9"/>
            <color indexed="81"/>
            <rFont val="Tahoma"/>
            <family val="2"/>
          </rPr>
          <t>Юрий Щербина:</t>
        </r>
        <r>
          <rPr>
            <sz val="9"/>
            <color indexed="81"/>
            <rFont val="Tahoma"/>
            <family val="2"/>
          </rPr>
          <t xml:space="preserve">
The call option buyer’s profit equals the payoff minus the call premium, c0 (ignoring
the time value of money in this lesson):
Π = max(0, ST – X) – c0.</t>
        </r>
      </text>
    </comment>
    <comment ref="R37" authorId="0" shapeId="0" xr:uid="{64B35697-3DFD-4930-8D07-6E1C6D1AE8D4}">
      <text>
        <r>
          <rPr>
            <b/>
            <sz val="9"/>
            <color indexed="81"/>
            <rFont val="Tahoma"/>
            <family val="2"/>
          </rPr>
          <t>Юрий Щербина:</t>
        </r>
        <r>
          <rPr>
            <sz val="9"/>
            <color indexed="81"/>
            <rFont val="Tahoma"/>
            <family val="2"/>
          </rPr>
          <t xml:space="preserve">
The call option
value at maturity, cT, may be expressed as follows:
cT = max(0, ST – X).</t>
        </r>
      </text>
    </comment>
    <comment ref="S37" authorId="0" shapeId="0" xr:uid="{6A704364-59EC-43FA-A704-0D60E12B649D}">
      <text>
        <r>
          <rPr>
            <b/>
            <sz val="9"/>
            <color indexed="81"/>
            <rFont val="Tahoma"/>
            <family val="2"/>
          </rPr>
          <t>Юрий Щербина:</t>
        </r>
        <r>
          <rPr>
            <sz val="9"/>
            <color indexed="81"/>
            <rFont val="Tahoma"/>
            <family val="2"/>
          </rPr>
          <t xml:space="preserve">
The call option buyer’s profit equals the payoff minus the call premium, c0 (ignoring
the time value of money in this lesson):
Π = max(0, ST – X) – c0.</t>
        </r>
      </text>
    </comment>
    <comment ref="H44" authorId="0" shapeId="0" xr:uid="{404A6264-61D7-4A75-8901-582137982111}">
      <text>
        <r>
          <rPr>
            <b/>
            <sz val="9"/>
            <color indexed="81"/>
            <rFont val="Tahoma"/>
            <family val="2"/>
          </rPr>
          <t>Юрий Щербина:</t>
        </r>
        <r>
          <rPr>
            <sz val="9"/>
            <color indexed="81"/>
            <rFont val="Tahoma"/>
            <family val="2"/>
          </rPr>
          <t xml:space="preserve">
The call option
value at maturity, cT, may be expressed as follows:
cT = max(0, ST – X).</t>
        </r>
      </text>
    </comment>
    <comment ref="I44" authorId="0" shapeId="0" xr:uid="{EDF5AE04-E19C-4F8E-B30E-B94370318B38}">
      <text>
        <r>
          <rPr>
            <b/>
            <sz val="9"/>
            <color indexed="81"/>
            <rFont val="Tahoma"/>
            <family val="2"/>
          </rPr>
          <t>Юрий Щербина:</t>
        </r>
        <r>
          <rPr>
            <sz val="9"/>
            <color indexed="81"/>
            <rFont val="Tahoma"/>
            <family val="2"/>
          </rPr>
          <t xml:space="preserve">
The call option buyer’s profit equals the payoff minus the call premium, c0 (ignoring
the time value of money in this lesson):
Π = max(0, ST – X) – c0.</t>
        </r>
      </text>
    </comment>
    <comment ref="R44" authorId="0" shapeId="0" xr:uid="{3D3C5F64-9B58-4375-A785-34B6DE5FEDAC}">
      <text>
        <r>
          <rPr>
            <b/>
            <sz val="9"/>
            <color indexed="81"/>
            <rFont val="Tahoma"/>
            <family val="2"/>
          </rPr>
          <t>Юрий Щербина:</t>
        </r>
        <r>
          <rPr>
            <sz val="9"/>
            <color indexed="81"/>
            <rFont val="Tahoma"/>
            <family val="2"/>
          </rPr>
          <t xml:space="preserve">
The call option
value at maturity, cT, may be expressed as follows:
cT = max(0, ST – X).</t>
        </r>
      </text>
    </comment>
    <comment ref="S44" authorId="0" shapeId="0" xr:uid="{AF7F6732-785B-435F-ABA0-87C5F7C49FB8}">
      <text>
        <r>
          <rPr>
            <b/>
            <sz val="9"/>
            <color indexed="81"/>
            <rFont val="Tahoma"/>
            <family val="2"/>
          </rPr>
          <t>Юрий Щербина:</t>
        </r>
        <r>
          <rPr>
            <sz val="9"/>
            <color indexed="81"/>
            <rFont val="Tahoma"/>
            <family val="2"/>
          </rPr>
          <t xml:space="preserve">
The call option buyer’s profit equals the payoff minus the call premium, c0 (ignoring
the time value of money in this lesson):
Π = max(0, ST – X) – c0.</t>
        </r>
      </text>
    </comment>
    <comment ref="C71" authorId="0" shapeId="0" xr:uid="{DD8894C0-D1F8-446D-8C54-2FAE8A414D33}">
      <text>
        <r>
          <rPr>
            <b/>
            <sz val="9"/>
            <color indexed="81"/>
            <rFont val="Tahoma"/>
            <family val="2"/>
          </rPr>
          <t>Юрий Щербина:</t>
        </r>
        <r>
          <rPr>
            <sz val="9"/>
            <color indexed="81"/>
            <rFont val="Tahoma"/>
            <family val="2"/>
          </rPr>
          <t xml:space="preserve">
(the buyer) must pay the financial intermediary (the seller)
$1,163</t>
        </r>
      </text>
    </comment>
    <comment ref="C160" authorId="0" shapeId="0" xr:uid="{D73F4087-D581-48CE-9934-32446639D577}">
      <text>
        <r>
          <rPr>
            <b/>
            <sz val="9"/>
            <color indexed="81"/>
            <rFont val="Tahoma"/>
            <family val="2"/>
          </rPr>
          <t>Юрий Щербина:</t>
        </r>
        <r>
          <rPr>
            <sz val="9"/>
            <color indexed="81"/>
            <rFont val="Tahoma"/>
            <family val="2"/>
          </rPr>
          <t xml:space="preserve">
The forward contract is
neither an asset nor a liability to AMY Investments (the buyer) or the financial intermediary (the seller) and therefore has a value of zero to both parties:
Форвардный контракт не является ни активом, ни обязательством для AMY Investments (покупателя) или финансового посредника (продавца) и поэтому его стоимость равна нулю для обеих сторон. Причина этого заключается в том, что на момент заключения контракта (t = 0) форвардная цена устанавливается таким образом, чтобы исключить возможность арбитража. Это означает, что форвардная цена согласована таким образом, что ни одна из сторон не получает мгновенную прибыль или убыток.</t>
        </r>
      </text>
    </comment>
    <comment ref="C171" authorId="0" shapeId="0" xr:uid="{A5187104-4302-4723-A01C-6C615DF346AB}">
      <text>
        <r>
          <rPr>
            <b/>
            <sz val="9"/>
            <color indexed="81"/>
            <rFont val="Tahoma"/>
            <family val="2"/>
          </rPr>
          <t>Юрий Щербина:</t>
        </r>
        <r>
          <rPr>
            <sz val="9"/>
            <color indexed="81"/>
            <rFont val="Tahoma"/>
            <family val="2"/>
          </rPr>
          <t xml:space="preserve">
Since the contract is settled at the time of execution, its value at execution is equal to the settlement amount from the perspective of each party.</t>
        </r>
      </text>
    </comment>
    <comment ref="C198" authorId="0" shapeId="0" xr:uid="{CEFD9C80-1823-4A89-B509-4EC449EBFE12}">
      <text>
        <r>
          <rPr>
            <b/>
            <sz val="9"/>
            <color indexed="81"/>
            <rFont val="Tahoma"/>
            <family val="2"/>
          </rPr>
          <t>Юрий Щербина:</t>
        </r>
        <r>
          <rPr>
            <sz val="9"/>
            <color indexed="81"/>
            <rFont val="Tahoma"/>
            <family val="2"/>
          </rPr>
          <t xml:space="preserve">
The MTM advantage for the VFO on the contract decreased by 2.80 INR (from 12.75 to 9.95). A higher risk-free rate increases the opportunity cost of holding a cash position and reduces the present value of the forward price, thereby decreasing the VFO profit in MTM terms., 
</t>
        </r>
      </text>
    </comment>
    <comment ref="B202" authorId="0" shapeId="0" xr:uid="{08A0A990-BD95-4CE7-852A-4D8BF23BB6D2}">
      <text>
        <r>
          <rPr>
            <b/>
            <sz val="9"/>
            <color indexed="81"/>
            <rFont val="Tahoma"/>
            <family val="2"/>
          </rPr>
          <t>Юрий Щербина:</t>
        </r>
        <r>
          <rPr>
            <sz val="9"/>
            <color indexed="81"/>
            <rFont val="Tahoma"/>
            <family val="2"/>
          </rPr>
          <t xml:space="preserve">
A forward contract at the price F0(T), which accounts for these known costs and benefits, is neither an asset nor a liability for the buyer or the seller at inception: V0(T) = 0.</t>
        </r>
      </text>
    </comment>
    <comment ref="B203" authorId="0" shapeId="0" xr:uid="{FB621561-C447-4094-8B70-C79E41B01F01}">
      <text>
        <r>
          <rPr>
            <b/>
            <sz val="9"/>
            <color indexed="81"/>
            <rFont val="Tahoma"/>
            <family val="2"/>
          </rPr>
          <t>The forward price F0(T) includes the cost of carry, and the value at maturity VT(T) is equal to the difference between the spot price ST at maturity and the initial forward price F0(T).</t>
        </r>
      </text>
    </comment>
    <comment ref="C241" authorId="0" shapeId="0" xr:uid="{516346F8-21CC-4398-822D-A16761EF4FD8}">
      <text>
        <r>
          <rPr>
            <b/>
            <sz val="9"/>
            <color indexed="81"/>
            <rFont val="Tahoma"/>
            <family val="2"/>
          </rPr>
          <t>Юрий Щербина:</t>
        </r>
        <r>
          <rPr>
            <sz val="9"/>
            <color indexed="81"/>
            <rFont val="Tahoma"/>
            <family val="2"/>
          </rPr>
          <t xml:space="preserve">
Determine the Zero Rate if YTM is Known:
Accuracy of Valuation: The zero rate provides a more precise reflection of the value of a cash flow at a specific point in time, as it does not account for intermediate coupon payments.
Discounting Cash Flows: Zero rates are used to discount future cash flows to bring them to their present value.
Derivative Pricing: Accurate knowledge of zero rates is essential for valuing derivatives and other complex financial instruments.
Interest Rate Structure Analysis: Zero rates allow for the analysis and understanding of the interest rate structure across different maturities.в</t>
        </r>
      </text>
    </comment>
    <comment ref="C242" authorId="0" shapeId="0" xr:uid="{47A88DE8-B274-4FE7-B19C-94EEA3929679}">
      <text>
        <r>
          <rPr>
            <b/>
            <sz val="9"/>
            <color indexed="81"/>
            <rFont val="Tahoma"/>
            <family val="2"/>
          </rPr>
          <t>The zero rate represents the yield of an investment with no coupon payments</t>
        </r>
      </text>
    </comment>
    <comment ref="C243" authorId="0" shapeId="0" xr:uid="{CBE2E8EA-2A00-4550-B122-7D118E5A9B71}">
      <text>
        <r>
          <rPr>
            <b/>
            <sz val="9"/>
            <color indexed="81"/>
            <rFont val="Tahoma"/>
            <family val="2"/>
          </rPr>
          <t>The value of the zero rate for the next year, taking into account coupon payments.</t>
        </r>
      </text>
    </comment>
    <comment ref="C244" authorId="0" shapeId="0" xr:uid="{954577F7-2A7B-4881-8B06-57FBCFB7E168}">
      <text>
        <r>
          <rPr>
            <b/>
            <sz val="9"/>
            <color indexed="81"/>
            <rFont val="Tahoma"/>
            <family val="2"/>
          </rPr>
          <t>Юрий Щербина:</t>
        </r>
        <r>
          <rPr>
            <sz val="9"/>
            <color indexed="81"/>
            <rFont val="Tahoma"/>
            <family val="2"/>
          </rPr>
          <t xml:space="preserve">
Нулевая ставка для последнего года, учитывающая купонные выплаты и номинальную стоимость.</t>
        </r>
      </text>
    </comment>
    <comment ref="C249" authorId="0" shapeId="0" xr:uid="{6F6D3872-3FD8-477A-B7DE-F82C75CDCC1F}">
      <text>
        <r>
          <rPr>
            <b/>
            <sz val="9"/>
            <color indexed="81"/>
            <rFont val="Tahoma"/>
            <family val="2"/>
          </rPr>
          <t>Юрий Щербина:</t>
        </r>
        <r>
          <rPr>
            <sz val="9"/>
            <color indexed="81"/>
            <rFont val="Tahoma"/>
            <family val="2"/>
          </rPr>
          <t xml:space="preserve">
 Shows the present value of future cash flows for the first year.</t>
        </r>
      </text>
    </comment>
    <comment ref="C254" authorId="0" shapeId="0" xr:uid="{B783210C-25B1-457D-B6B7-0DB4A6D2143D}">
      <text>
        <r>
          <rPr>
            <b/>
            <sz val="9"/>
            <color indexed="81"/>
            <rFont val="Tahoma"/>
            <family val="2"/>
          </rPr>
          <t>Юрий Щербина:</t>
        </r>
        <r>
          <rPr>
            <sz val="9"/>
            <color indexed="81"/>
            <rFont val="Tahoma"/>
            <family val="2"/>
          </rPr>
          <t xml:space="preserve">
Для каждого года рассчитывается дисконт-фактор, учитывая нулевую ставку и количество периодов.</t>
        </r>
      </text>
    </comment>
    <comment ref="C255" authorId="0" shapeId="0" xr:uid="{EBCBF30E-F70F-44DC-88BB-431F0F6E5F12}">
      <text>
        <r>
          <rPr>
            <b/>
            <sz val="9"/>
            <color indexed="81"/>
            <rFont val="Tahoma"/>
            <family val="2"/>
          </rPr>
          <t xml:space="preserve">
Determines the expected yield for the next period based on current zero rates.</t>
        </r>
        <r>
          <rPr>
            <sz val="9"/>
            <color indexed="81"/>
            <rFont val="Tahoma"/>
            <family val="2"/>
          </rPr>
          <t xml:space="preserve">
</t>
        </r>
      </text>
    </comment>
    <comment ref="D259" authorId="0" shapeId="0" xr:uid="{D01B269B-7260-4C3F-8D08-04F17DFEBB31}">
      <text>
        <r>
          <rPr>
            <b/>
            <sz val="9"/>
            <color indexed="81"/>
            <rFont val="Tahoma"/>
            <family val="2"/>
          </rPr>
          <t>Юрий Щербина:</t>
        </r>
        <r>
          <rPr>
            <sz val="9"/>
            <color indexed="81"/>
            <rFont val="Tahoma"/>
            <family val="2"/>
          </rPr>
          <t xml:space="preserve">
Нулевые ставки используются для дисконтирования будущих денежных потоков без учета купонных выплат.</t>
        </r>
      </text>
    </comment>
    <comment ref="E259" authorId="0" shapeId="0" xr:uid="{7F548F19-8275-4296-A957-86DB76C61EE5}">
      <text>
        <r>
          <rPr>
            <b/>
            <sz val="9"/>
            <color indexed="81"/>
            <rFont val="Tahoma"/>
            <family val="2"/>
          </rPr>
          <t>Юрий Щербина:</t>
        </r>
        <r>
          <rPr>
            <sz val="9"/>
            <color indexed="81"/>
            <rFont val="Tahoma"/>
            <family val="2"/>
          </rPr>
          <t xml:space="preserve">
Дисконт-факторы показывают текущую стоимость будущих денежных потоков, учитывая нулевые ставки и количество периодов.</t>
        </r>
      </text>
    </comment>
    <comment ref="G259" authorId="0" shapeId="0" xr:uid="{E007AF34-4DC5-477B-961E-7604A55035C1}">
      <text>
        <r>
          <rPr>
            <b/>
            <sz val="9"/>
            <color indexed="81"/>
            <rFont val="Tahoma"/>
            <family val="2"/>
          </rPr>
          <t>Юрий Щербина:</t>
        </r>
        <r>
          <rPr>
            <sz val="9"/>
            <color indexed="81"/>
            <rFont val="Tahoma"/>
            <family val="2"/>
          </rPr>
          <t xml:space="preserve">
Implied forward rates (IFRs) используются для оценки ожидаемых доходностей на будущие периоды, исходя из текущих рыночных данных.</t>
        </r>
      </text>
    </comment>
    <comment ref="B303" authorId="0" shapeId="0" xr:uid="{FD6F9711-1077-4D10-A461-C913E52B7985}">
      <text>
        <r>
          <rPr>
            <b/>
            <sz val="9"/>
            <color indexed="81"/>
            <rFont val="Tahoma"/>
            <family val="2"/>
          </rPr>
          <t>Converting Rates to a Common Periodicity:
We have two rates:
The three-month rate has 4 periods per year.
The six-month rate has 2 periods per year.
It is necessary to convert the six-month rate to a quarterly rate so that it can be used in the equation.</t>
        </r>
      </text>
    </comment>
    <comment ref="F350" authorId="0" shapeId="0" xr:uid="{AC1702B3-B3E8-4D9B-BFF4-1579BA64F570}">
      <text>
        <r>
          <rPr>
            <b/>
            <sz val="9"/>
            <color indexed="81"/>
            <rFont val="Tahoma"/>
            <family val="2"/>
          </rPr>
          <t>Юрий Щербина:</t>
        </r>
        <r>
          <rPr>
            <sz val="9"/>
            <color indexed="81"/>
            <rFont val="Tahoma"/>
            <family val="2"/>
          </rPr>
          <t xml:space="preserve">
Фьючерсные контракты оцениваются и урегулируются ежедневно. Это означает, что ежедневно прибыль или убыток по фьючерсному контракту фиксируется и зачисляется на маржинальный счет. Из-за этого каждый день контракт как бы начинается заново, с нулевой текущей стоимостью. Поэтому, при оценке фьючерсного контракта, расчет всегда производится для полного срока контракта, так как ежедневные изменения стоимости уже урегулированы.
При оценке фьючерсного контракта мы всегда используем полный срок контракта 
𝑇
T, так как ежедневные изменения стоимости покрываются маржинальными требованиями и реализуются каждый день.</t>
        </r>
      </text>
    </comment>
    <comment ref="C354" authorId="0" shapeId="0" xr:uid="{7B8ECEF7-EE38-419D-9E56-3FD0430CB384}">
      <text>
        <r>
          <rPr>
            <b/>
            <sz val="9"/>
            <color indexed="81"/>
            <rFont val="Tahoma"/>
            <family val="2"/>
          </rPr>
          <t>Юрий Щербина:</t>
        </r>
        <r>
          <rPr>
            <sz val="9"/>
            <color indexed="81"/>
            <rFont val="Tahoma"/>
            <family val="2"/>
          </rPr>
          <t xml:space="preserve">
Форвардные контракты оцениваются по их текущей стоимости (mark-to-market, MTM) на каждый день. Текущая стоимость форвардного контракта определяется разницей между текущей спотовой ценой и приведенной стоимостью форвардной цены. Так как форвардные контракты не подлежат ежедневному урегулированию, их стоимость меняется с течением времени, поскольку приближается дата истечения</t>
        </r>
      </text>
    </comment>
    <comment ref="B381" authorId="0" shapeId="0" xr:uid="{209A1CB2-D20A-4D39-803B-DCA2BA4C998C}">
      <text>
        <r>
          <rPr>
            <b/>
            <sz val="9"/>
            <color indexed="81"/>
            <rFont val="Tahoma"/>
            <family val="2"/>
          </rPr>
          <t>Юрий Щербина:</t>
        </r>
        <r>
          <rPr>
            <sz val="9"/>
            <color indexed="81"/>
            <rFont val="Tahoma"/>
            <family val="2"/>
          </rPr>
          <t xml:space="preserve">
Forward Rate Agreement (FRA) — это договор на внебиржевых рынках деривативов, в рамках которого контрагенты соглашаются на применение определенной процентной ставки к будущему периоду. Он позволяет зафиксировать процентные ставки на будущие даты для управления финансовыми рисками, связанными с изменениями процентных ставок</t>
        </r>
      </text>
    </comment>
    <comment ref="C386" authorId="0" shapeId="0" xr:uid="{0055FDA3-1972-49FD-9248-21E815FF2F8A}">
      <text>
        <r>
          <rPr>
            <b/>
            <sz val="9"/>
            <color indexed="81"/>
            <rFont val="Tahoma"/>
            <family val="2"/>
          </rPr>
          <t>Юрий Щербина:</t>
        </r>
        <r>
          <rPr>
            <sz val="9"/>
            <color indexed="81"/>
            <rFont val="Tahoma"/>
            <family val="2"/>
          </rPr>
          <t xml:space="preserve">
Это сумма чистого платежа в конце шести месяцев. Однако FRA расчетывается в начале, а не в конце периода начисления процентов, который в нашем примере составляет три месяца.</t>
        </r>
      </text>
    </comment>
    <comment ref="C413" authorId="0" shapeId="0" xr:uid="{D8C8E834-9E1F-406B-B834-1ACD539A2A8D}">
      <text>
        <r>
          <rPr>
            <b/>
            <sz val="9"/>
            <color indexed="81"/>
            <rFont val="Tahoma"/>
            <family val="2"/>
          </rPr>
          <t>Юрий Щербина:</t>
        </r>
        <r>
          <rPr>
            <sz val="9"/>
            <color indexed="81"/>
            <rFont val="Tahoma"/>
            <family val="2"/>
          </rPr>
          <t xml:space="preserve">
BPV (Basis Point Value) в данном контексте означает базисную точку стоимости фьючерсного контракта. Это числовая величина, которая показывает, как изменение в одной базисной точке (один процентный пункт) влияет на стоимость или цену контракта.</t>
        </r>
      </text>
    </comment>
    <comment ref="F422" authorId="0" shapeId="0" xr:uid="{4B2D6701-863D-43EF-8C8E-B3A0167075D6}">
      <text>
        <r>
          <rPr>
            <b/>
            <sz val="9"/>
            <color indexed="81"/>
            <rFont val="Tahoma"/>
            <family val="2"/>
          </rPr>
          <t xml:space="preserve">This is the amount of the net payment at the end of six months. However, the FRA is calculated at the beginning, not at the end of the accrual period, which in our example is three months.
</t>
        </r>
      </text>
    </comment>
    <comment ref="B435" authorId="0" shapeId="0" xr:uid="{0C512A73-FBC2-468C-96AC-F27EB946A51A}">
      <text>
        <r>
          <rPr>
            <b/>
            <sz val="9"/>
            <color indexed="81"/>
            <rFont val="Tahoma"/>
            <family val="2"/>
          </rPr>
          <t>Юрий Щербина:</t>
        </r>
        <r>
          <rPr>
            <sz val="9"/>
            <color indexed="81"/>
            <rFont val="Tahoma"/>
            <family val="2"/>
          </rPr>
          <t xml:space="preserve">
FRA используются для фиксации ставки на будущий период с целью защиты от изменений процентных ставок.
SWAP (IRS представляют собой обмен фиксированными и плавающими платежами. Фиксированная ставка в IRS остается постоянной на протяжении всего срока контракта.)</t>
        </r>
      </text>
    </comment>
    <comment ref="I441" authorId="0" shapeId="0" xr:uid="{34892FBB-FB0D-4778-8311-47E4BD435E2B}">
      <text>
        <r>
          <rPr>
            <b/>
            <sz val="9"/>
            <color indexed="81"/>
            <rFont val="Tahoma"/>
            <family val="2"/>
          </rPr>
          <t>The sum of the present values of expected floating cash flows, expressed through implied forward rates (IFR) and zero rates (zi), equals this number. In this case, this value was obtained using the implied forward rates and zero rates to calculate the three-year swap rate.</t>
        </r>
      </text>
    </comment>
    <comment ref="J441" authorId="0" shapeId="0" xr:uid="{5D588527-28EC-402C-A842-067F19E9246B}">
      <text>
        <r>
          <rPr>
            <b/>
            <sz val="9"/>
            <color indexed="81"/>
            <rFont val="Tahoma"/>
            <family val="2"/>
          </rPr>
          <t>This number represents the sum of the right side of the equation, where the present values of fixed cash flows, expressed through the three-year swap rate (s3) and zero rates (zi) for each period, equal this amount. It is the result of adding up these values.</t>
        </r>
        <r>
          <rPr>
            <sz val="9"/>
            <color indexed="81"/>
            <rFont val="Tahoma"/>
            <family val="2"/>
          </rPr>
          <t xml:space="preserve">
</t>
        </r>
      </text>
    </comment>
    <comment ref="J442" authorId="0" shapeId="0" xr:uid="{36A3F7B7-CA12-4D6F-A641-FC8D6C7CF8C4}">
      <text>
        <r>
          <rPr>
            <b/>
            <sz val="9"/>
            <color indexed="81"/>
            <rFont val="Tahoma"/>
            <family val="2"/>
          </rPr>
          <t>The three-year swap rate of 3.9641% can be interpreted as a multi-period breakeven point at which an investor is indifferent to the following scenarios:
Paying the fixed swap rate and receiving the corresponding forward rates: This means that if an investor enters a swap agreement in which they pay a fixed rate of 3.9641% annually over three years, they will receive floating payments based on the forward rates applicable for the same period.
Receiving the fixed swap rate and paying the corresponding forward rates: Alternatively, the investor could receive a fixed rate of 3.9641% annually over three years while paying floating payments based on the corresponding forward rates.
The essence of this concept is that the three-year swap rate represents the level at which both parties in the transaction consider themselves fairly compensated for their payments in the exchange of fixed and floating interest rates. This allows investors and companies to manage interest rate risk and establish baseline conditions for financial contracts based on current market condition</t>
        </r>
        <r>
          <rPr>
            <sz val="9"/>
            <color indexed="81"/>
            <rFont val="Tahoma"/>
            <family val="2"/>
          </rPr>
          <t>.</t>
        </r>
      </text>
    </comment>
    <comment ref="B460" authorId="0" shapeId="0" xr:uid="{688B0BB7-FDA3-43EB-8B0F-CAC493AABEE4}">
      <text>
        <r>
          <rPr>
            <b/>
            <sz val="9"/>
            <color indexed="81"/>
            <rFont val="Tahoma"/>
            <family val="2"/>
          </rPr>
          <t>Юрий Щербина:</t>
        </r>
        <r>
          <rPr>
            <sz val="9"/>
            <color indexed="81"/>
            <rFont val="Tahoma"/>
            <family val="2"/>
          </rPr>
          <t xml:space="preserve">
Exercise value (внутренняя стоимость) опциона - это часть его стоимости, которая отражает немедленную выгоду от его исполнения в данный момент времени.</t>
        </r>
      </text>
    </comment>
    <comment ref="C469" authorId="0" shapeId="0" xr:uid="{20207DC8-EB3B-4CA0-A8AE-41E1669B87C3}">
      <text>
        <r>
          <rPr>
            <b/>
            <sz val="9"/>
            <color indexed="81"/>
            <rFont val="Tahoma"/>
            <family val="2"/>
          </rPr>
          <t xml:space="preserve">
The current option price is often equal to the option premium. The option premium is the price at which traders buy or sell an option in the market. It includes both the intrinsic value of the option (if any) and its time value.</t>
        </r>
        <r>
          <rPr>
            <sz val="9"/>
            <color indexed="81"/>
            <rFont val="Tahoma"/>
            <family val="2"/>
          </rPr>
          <t>ть.</t>
        </r>
      </text>
    </comment>
    <comment ref="C470" authorId="0" shapeId="0" xr:uid="{7F1F195B-ED4F-439D-B4C8-77206A9CFCDC}">
      <text>
        <r>
          <rPr>
            <b/>
            <sz val="9"/>
            <color indexed="81"/>
            <rFont val="Tahoma"/>
            <family val="2"/>
          </rPr>
          <t>In the market, there is an expectation of future price movements of the underlying asset, which may lead to changes in the overall option price. A higher time value indicates greater expectations of volatility or price fluctuations, making the option more valuable.</t>
        </r>
      </text>
    </comment>
    <comment ref="C480" authorId="0" shapeId="0" xr:uid="{F6890A31-7490-40E9-8B9C-7FD4C10A3544}">
      <text>
        <r>
          <rPr>
            <b/>
            <sz val="9"/>
            <color indexed="81"/>
            <rFont val="Tahoma"/>
            <family val="2"/>
          </rPr>
          <t>In this context, the value of EUR 54.9628097900107 represents the minimum price that the seller (writer) of a call option can expect to receive for the option if, at the time of expiration, the market price of the underlying asset is high enough for the option to have intrinsic value</t>
        </r>
      </text>
    </comment>
    <comment ref="C481" authorId="0" shapeId="0" xr:uid="{CCCB4AE9-EAEF-43D0-9B46-60D001D03CF1}">
      <text>
        <r>
          <rPr>
            <b/>
            <sz val="9"/>
            <color indexed="81"/>
            <rFont val="Tahoma"/>
            <family val="2"/>
          </rPr>
          <t>The amount of 1050 EUR represents the maximum price that a call option buyer is willing to pay for the right to purchase the underlying asset at the strike price 
𝑋
X in the future, if exercising the option proves to be profitable at expiration.</t>
        </r>
      </text>
    </comment>
    <comment ref="C495" authorId="0" shapeId="0" xr:uid="{5254B8FE-0B8D-403A-A5BA-B65B8AF1CEA1}">
      <text>
        <r>
          <rPr>
            <b/>
            <sz val="9"/>
            <color indexed="81"/>
            <rFont val="Tahoma"/>
            <family val="2"/>
          </rPr>
          <t>Юрий Щербина:</t>
        </r>
        <r>
          <rPr>
            <sz val="9"/>
            <color indexed="81"/>
            <rFont val="Tahoma"/>
            <family val="2"/>
          </rPr>
          <t xml:space="preserve">
If an investor purchases a put option on Biomian stock with a strike price of INR 265 for a premium of INR 23.85, this option will be profitable if the price of Biomian stock falls below INR 265 by the option’s expiration</t>
        </r>
      </text>
    </comment>
    <comment ref="B531" authorId="0" shapeId="0" xr:uid="{45C519A4-7729-4640-B579-2EBE55855724}">
      <text>
        <r>
          <rPr>
            <b/>
            <sz val="9"/>
            <color indexed="81"/>
            <rFont val="Tahoma"/>
            <family val="2"/>
          </rPr>
          <t>Юрий Щербина:</t>
        </r>
        <r>
          <rPr>
            <sz val="9"/>
            <color indexed="81"/>
            <rFont val="Tahoma"/>
            <family val="2"/>
          </rPr>
          <t xml:space="preserve">
h- кол-во базового актива (ед)
с0 - стоимость опциона (премия)
S - спот цена базового актива
R -это величина, обозначающая относительную доходность базового актива в случае его понижения (down move или наооборот) за рассматриваемый период времени. Проще говоря, это отношение цены актива после понижения к его исходной цене.</t>
        </r>
      </text>
    </comment>
    <comment ref="B540" authorId="0" shapeId="0" xr:uid="{29346D36-7293-45F1-AA19-1D94FFA8CDC8}">
      <text>
        <r>
          <rPr>
            <b/>
            <sz val="9"/>
            <color indexed="81"/>
            <rFont val="Tahoma"/>
            <family val="2"/>
          </rPr>
          <t>Юрий Щербина:</t>
        </r>
        <r>
          <rPr>
            <sz val="9"/>
            <color indexed="81"/>
            <rFont val="Tahoma"/>
            <family val="2"/>
          </rPr>
          <t xml:space="preserve">
Since we are creating two portfolios at time t=0 with identical payoffs upon option expiration at t=1, we need to solve the equation for 
ℎ
h such that  h V1(u)=V1(d), то есть hS1(u) - c1(u) = hS1(d)-c1(d)
h= c1(u) - c1(d) / S1(u) - S1(d)</t>
        </r>
      </text>
    </comment>
    <comment ref="C548" authorId="0" shapeId="0" xr:uid="{E5E6FA80-FCB9-490A-B15B-9A0FFE4F5A86}">
      <text>
        <r>
          <rPr>
            <b/>
            <sz val="9"/>
            <color indexed="81"/>
            <rFont val="Tahoma"/>
            <family val="2"/>
          </rPr>
          <t>Юрий Щербина:</t>
        </r>
        <r>
          <rPr>
            <sz val="9"/>
            <color indexed="81"/>
            <rFont val="Tahoma"/>
            <family val="2"/>
          </rPr>
          <t xml:space="preserve">
Для каждого проданного колл-опциона мы покупаем 0.2 единицы базового актива (или для каждой единицы базового актива мы должны продать 5 колл-опционов, чтобы уравнять стоимость портфелей в момент t=1</t>
        </r>
      </text>
    </comment>
    <comment ref="B558" authorId="0" shapeId="0" xr:uid="{D29E7B39-8F9A-4BBC-8877-903EB854D2CA}">
      <text>
        <r>
          <rPr>
            <b/>
            <sz val="9"/>
            <color indexed="81"/>
            <rFont val="Tahoma"/>
            <family val="2"/>
          </rPr>
          <t>Юрий Щербина:</t>
        </r>
        <r>
          <rPr>
            <sz val="9"/>
            <color indexed="81"/>
            <rFont val="Tahoma"/>
            <family val="2"/>
          </rPr>
          <t xml:space="preserve">
риск-нейтральные вероятности определяются исключительно величинами доходности при повышении и понижении цены (Ru) и (Rd), представляющими волатильность базового актива, и безрисковой ставкой, используемой для расчета приведенной стоимости будущих денежных потоков. Эта оценка производных инструментов без арбитража, отдельно от мнений инвесторов о риске, называется риск-нейтральным ценообразованием.
Использование риск-нейтрального ценообразования выходит далеко за рамки простой однопериодной биномиальной модели и может применяться к любой модели, использующей будущие изменения цены базового актива, как мы увидим позже в программе</t>
        </r>
      </text>
    </comment>
  </commentList>
</comments>
</file>

<file path=xl/sharedStrings.xml><?xml version="1.0" encoding="utf-8"?>
<sst xmlns="http://schemas.openxmlformats.org/spreadsheetml/2006/main" count="629" uniqueCount="417">
  <si>
    <t>Forward Gold Purchase (OTC)</t>
  </si>
  <si>
    <t>Gold Futures Contract (ETD)</t>
  </si>
  <si>
    <t>Gold Futures Contract (ETD) + maintence margin</t>
  </si>
  <si>
    <t>via Londom Metal Exchange</t>
  </si>
  <si>
    <t>Volume</t>
  </si>
  <si>
    <t>once</t>
  </si>
  <si>
    <t>once = 1 contract</t>
  </si>
  <si>
    <t>Fo(T)</t>
  </si>
  <si>
    <t>per ounce</t>
  </si>
  <si>
    <t>Scenario1</t>
  </si>
  <si>
    <t>Scenario</t>
  </si>
  <si>
    <t>Today spot price</t>
  </si>
  <si>
    <t>Today So (spot)</t>
  </si>
  <si>
    <t>maintence margin</t>
  </si>
  <si>
    <t>per 100 once</t>
  </si>
  <si>
    <t>Maturity price</t>
  </si>
  <si>
    <t>fo(T) futures opem</t>
  </si>
  <si>
    <t>initial margin</t>
  </si>
  <si>
    <t>Initial margin</t>
  </si>
  <si>
    <t>per contract</t>
  </si>
  <si>
    <t>The payoff</t>
  </si>
  <si>
    <t>fo(T) futures close</t>
  </si>
  <si>
    <t>Loss</t>
  </si>
  <si>
    <t>MTM gain (loss)</t>
  </si>
  <si>
    <t>feature margin</t>
  </si>
  <si>
    <t>Balance Margin acc. Ending</t>
  </si>
  <si>
    <t>Margin acccount = maintance margin</t>
  </si>
  <si>
    <t>Final Settlement of a Gold Futures Contract</t>
  </si>
  <si>
    <t>Procam’s Futures Margin Account</t>
  </si>
  <si>
    <t>Procam’s Results from the Futures Contract</t>
  </si>
  <si>
    <t>Gold Contract</t>
  </si>
  <si>
    <t>ounces</t>
  </si>
  <si>
    <t>Day</t>
  </si>
  <si>
    <t>Future price</t>
  </si>
  <si>
    <t>Day Loss (gain)</t>
  </si>
  <si>
    <t>Total Gain (Loss)</t>
  </si>
  <si>
    <t>Margin Balance</t>
  </si>
  <si>
    <t>Margin Call</t>
  </si>
  <si>
    <t># of Contracts</t>
  </si>
  <si>
    <t>Initial featute price fo(T)</t>
  </si>
  <si>
    <t>per ounces</t>
  </si>
  <si>
    <t>Initial Position Value</t>
  </si>
  <si>
    <t>Maintence Margin</t>
  </si>
  <si>
    <t>Final Futures Price Ft(T)</t>
  </si>
  <si>
    <t>Final Position Value</t>
  </si>
  <si>
    <t>Sum of Margin Call</t>
  </si>
  <si>
    <t>Beginning less Ending Margin Balance</t>
  </si>
  <si>
    <t>total Payments to Margin Account</t>
  </si>
  <si>
    <t>Fyleton Investments Swap</t>
  </si>
  <si>
    <t xml:space="preserve">Portfolio </t>
  </si>
  <si>
    <t>The financial intermediary owes Fyleton a fixed cash flow payment of</t>
  </si>
  <si>
    <t>Fixed rate</t>
  </si>
  <si>
    <t>semi</t>
  </si>
  <si>
    <t>MRR</t>
  </si>
  <si>
    <t>6 month</t>
  </si>
  <si>
    <t>Fyleton owes the financial intermediary a floating cash flow payment</t>
  </si>
  <si>
    <t>The fixed and floating payments are netted against one another, and the net result is that the financial intermediary pays Fyleton</t>
  </si>
  <si>
    <t>buyer's perspective Call Option</t>
  </si>
  <si>
    <t>Call Option Purchase</t>
  </si>
  <si>
    <t>SIXV Spot Price
(ST)</t>
  </si>
  <si>
    <t>Exercise
Price (X)</t>
  </si>
  <si>
    <t>Payoff
max(0, ST – X)</t>
  </si>
  <si>
    <t>Profit
max(0, ST – X) – c0</t>
  </si>
  <si>
    <t>Put Option Purchase</t>
  </si>
  <si>
    <t>Payoff
max(0, X-ST)</t>
  </si>
  <si>
    <t>Profit
max(0, X-ST ) – Po</t>
  </si>
  <si>
    <t>Contract size</t>
  </si>
  <si>
    <t>T</t>
  </si>
  <si>
    <t>Exercise price</t>
  </si>
  <si>
    <t>St</t>
  </si>
  <si>
    <t>Spot price</t>
  </si>
  <si>
    <t>Co</t>
  </si>
  <si>
    <t>Option Premium Call</t>
  </si>
  <si>
    <t>per unit</t>
  </si>
  <si>
    <t>Po</t>
  </si>
  <si>
    <t>Option Premium Put</t>
  </si>
  <si>
    <t>seller's perspective Call Option</t>
  </si>
  <si>
    <t>Profit
max(0, ST – X) + c0</t>
  </si>
  <si>
    <t>Profit
max(0, X-ST ) + Po</t>
  </si>
  <si>
    <t>Foreign Exchange Risk Transfer of an Export Contract (Forward Contract)</t>
  </si>
  <si>
    <t>Montau AG produce a laser for Korean Inc.</t>
  </si>
  <si>
    <t>Exchange rate changes</t>
  </si>
  <si>
    <t>Price Contract</t>
  </si>
  <si>
    <t>Gain (loss) default</t>
  </si>
  <si>
    <t>KRW/UER</t>
  </si>
  <si>
    <t>for 1 KRW</t>
  </si>
  <si>
    <t>Forward in 75 days</t>
  </si>
  <si>
    <t>Price contract in KRW</t>
  </si>
  <si>
    <t>KRW</t>
  </si>
  <si>
    <t>Price contract in EUR</t>
  </si>
  <si>
    <t>EUR</t>
  </si>
  <si>
    <t>Purchase of Spot Gold versus a Gold Futures Contract</t>
  </si>
  <si>
    <t>expired in 3 months</t>
  </si>
  <si>
    <t>1. Procam borrows the USD4,950 initial margin from a financial intermediary at 5% for three months</t>
  </si>
  <si>
    <t>Opportunity (interest) cost of the initial margin:</t>
  </si>
  <si>
    <t>2. Procam borrows USD177,000 (USD1,770 × 100 ounces) for the spot gold purchase from a financial intermediary at 5% for three months.</t>
  </si>
  <si>
    <t>Opportunity (interest) cost of the cash gold purchase price:</t>
  </si>
  <si>
    <t>Implicit Leverage of Spot versus Futures Purchases</t>
  </si>
  <si>
    <t>Spot</t>
  </si>
  <si>
    <t>Futures 3 m</t>
  </si>
  <si>
    <t>1 contract =100 ounce</t>
  </si>
  <si>
    <t>Intial margin</t>
  </si>
  <si>
    <t># moths latter</t>
  </si>
  <si>
    <t>Changes price</t>
  </si>
  <si>
    <t>If we borrow money, so change</t>
  </si>
  <si>
    <t>Foreign Exchange Risk and Earnings Volatility</t>
  </si>
  <si>
    <t>KRW/EUR</t>
  </si>
  <si>
    <t>for 1 EUR</t>
  </si>
  <si>
    <t>pot KRW/EUR
(sT)</t>
  </si>
  <si>
    <t>Unhedged
EUR
Proceeds</t>
  </si>
  <si>
    <t>Unhedged
Profit
Margin</t>
  </si>
  <si>
    <t>Hedged EUR
Proceeds</t>
  </si>
  <si>
    <t>Hedged Profit
Margin</t>
  </si>
  <si>
    <t>in 75 days</t>
  </si>
  <si>
    <t>Estimate price</t>
  </si>
  <si>
    <t>Spot vs. Discounted Known Future Price of Gold</t>
  </si>
  <si>
    <t>Replication of a Forward Commitment</t>
  </si>
  <si>
    <t>Procam</t>
  </si>
  <si>
    <t>At t=0</t>
  </si>
  <si>
    <t>Spot gold</t>
  </si>
  <si>
    <t>Forward gold</t>
  </si>
  <si>
    <t>Borrow for buy 100 ounce</t>
  </si>
  <si>
    <t>Sell 100 ounce</t>
  </si>
  <si>
    <t>Price</t>
  </si>
  <si>
    <t>rate</t>
  </si>
  <si>
    <t>At t=T</t>
  </si>
  <si>
    <t>n</t>
  </si>
  <si>
    <t>Repay loan</t>
  </si>
  <si>
    <t>At t=T in 3 months</t>
  </si>
  <si>
    <t>If price</t>
  </si>
  <si>
    <t>Delivers 100 ounce</t>
  </si>
  <si>
    <t>Profit</t>
  </si>
  <si>
    <t>Procam’s riskless profit at time T</t>
  </si>
  <si>
    <t>Forward vs. Spot Price</t>
  </si>
  <si>
    <t>Hightest Equity Forward without Dividend</t>
  </si>
  <si>
    <t>Hightest Equity Forward with Dividend</t>
  </si>
  <si>
    <t>Procam’s Gold Forward Contract with Storage Costs</t>
  </si>
  <si>
    <t>Delivery  sahres in 6 m</t>
  </si>
  <si>
    <t>Forward price</t>
  </si>
  <si>
    <t>Spot price S</t>
  </si>
  <si>
    <t>Free risk rate price</t>
  </si>
  <si>
    <t>Dividends</t>
  </si>
  <si>
    <t>Dividends quartaly</t>
  </si>
  <si>
    <t>risk free rate</t>
  </si>
  <si>
    <t>n 3m and 6m</t>
  </si>
  <si>
    <t>Spor price</t>
  </si>
  <si>
    <t>n 6m</t>
  </si>
  <si>
    <t>check</t>
  </si>
  <si>
    <t>Forwards price F(T)</t>
  </si>
  <si>
    <t>Storage costs and insurance</t>
  </si>
  <si>
    <t>PV of divid</t>
  </si>
  <si>
    <t>Pvo(C)</t>
  </si>
  <si>
    <t>Stock Index Futures with Dividend Yield</t>
  </si>
  <si>
    <t>Spot NIFTY 50</t>
  </si>
  <si>
    <t>AUD/USD Foreign Exchange Forward Replication</t>
  </si>
  <si>
    <t>dividend yield</t>
  </si>
  <si>
    <t>Time t=0</t>
  </si>
  <si>
    <t>free risk rate</t>
  </si>
  <si>
    <t>1. Borrow USD</t>
  </si>
  <si>
    <t>n 3 months</t>
  </si>
  <si>
    <t>2. Free risk rate USD</t>
  </si>
  <si>
    <t>3.Purchase AUD for 1.3335</t>
  </si>
  <si>
    <t>4. Lend AUD 1333.5 for risk free rate</t>
  </si>
  <si>
    <t>Time t=T</t>
  </si>
  <si>
    <t>4. Received AUD loan proceeds</t>
  </si>
  <si>
    <t>5. Exchange AUD to USD for repay USD</t>
  </si>
  <si>
    <t>6. Repay USD loan</t>
  </si>
  <si>
    <t>F(T)d/f</t>
  </si>
  <si>
    <t>или</t>
  </si>
  <si>
    <t>Pricing versus Valuation of Forward Contracts</t>
  </si>
  <si>
    <t>Pricing and Valuation of Forward Contracts at Initiation</t>
  </si>
  <si>
    <t>t=0</t>
  </si>
  <si>
    <t>So</t>
  </si>
  <si>
    <t>Fo(T0)</t>
  </si>
  <si>
    <t>Vo(T)</t>
  </si>
  <si>
    <t>Pricing and Valuation of Forward Contracts at Maturity</t>
  </si>
  <si>
    <t>Inception</t>
  </si>
  <si>
    <r>
      <t xml:space="preserve">Fo(T) short </t>
    </r>
    <r>
      <rPr>
        <b/>
        <sz val="10"/>
        <color rgb="FF000000"/>
        <rFont val="Arial"/>
        <family val="2"/>
      </rPr>
      <t>Family office</t>
    </r>
  </si>
  <si>
    <t xml:space="preserve">Vo(T) for both </t>
  </si>
  <si>
    <t>Maturity case 1</t>
  </si>
  <si>
    <t>Maturity case 2</t>
  </si>
  <si>
    <t xml:space="preserve">Fo(T) </t>
  </si>
  <si>
    <t>Buyer (long forward position)</t>
  </si>
  <si>
    <r>
      <t>Selller</t>
    </r>
    <r>
      <rPr>
        <b/>
        <sz val="10"/>
        <color rgb="FF000000"/>
        <rFont val="Arial"/>
        <family val="2"/>
      </rPr>
      <t xml:space="preserve"> (Family office short position)</t>
    </r>
  </si>
  <si>
    <t>Pricing and Valuation of Forward Contracts during the Life of the Contract</t>
  </si>
  <si>
    <t>1. Calculate the risk-free rate implied by the spot and forward prices.</t>
  </si>
  <si>
    <t>risk-free rate implied</t>
  </si>
  <si>
    <t>2. Calculate the forward contract MTM from VFO’s perspective if
Biomian’s share price rises instantaneously to INR325 at contract
inception (t = 0).</t>
  </si>
  <si>
    <t>Vt(T) =</t>
  </si>
  <si>
    <t>MTM loss</t>
  </si>
  <si>
    <t>changed</t>
  </si>
  <si>
    <t>t</t>
  </si>
  <si>
    <r>
      <t xml:space="preserve">Calculate the forward contract MTM from VFO’s perspective </t>
    </r>
    <r>
      <rPr>
        <b/>
        <sz val="10"/>
        <color rgb="FF000000"/>
        <rFont val="Arial"/>
        <family val="2"/>
      </rPr>
      <t>in three 
month</t>
    </r>
    <r>
      <rPr>
        <sz val="10"/>
        <color rgb="FF000000"/>
        <rFont val="Arial"/>
        <family val="2"/>
      </rPr>
      <t>s (t = 0.25) if Biomian’s spot price (St) falls to INR285 per share.</t>
    </r>
  </si>
  <si>
    <t>Vt(T)</t>
  </si>
  <si>
    <t>MTM gain</t>
  </si>
  <si>
    <r>
      <t xml:space="preserve">Show the forward contract MTM from VFO’s perspective in Question
(1) if the risk-free rate doubles from </t>
    </r>
    <r>
      <rPr>
        <b/>
        <sz val="10"/>
        <color rgb="FF000000"/>
        <rFont val="Arial"/>
        <family val="2"/>
      </rPr>
      <t>4% to 8%,</t>
    </r>
    <r>
      <rPr>
        <sz val="10"/>
        <color rgb="FF000000"/>
        <rFont val="Arial"/>
        <family val="2"/>
      </rPr>
      <t xml:space="preserve"> and interpret the
results.</t>
    </r>
  </si>
  <si>
    <t>V0(T) = 0.</t>
  </si>
  <si>
    <t>F0(T)</t>
  </si>
  <si>
    <t>per share</t>
  </si>
  <si>
    <t>Dividends quartely</t>
  </si>
  <si>
    <t>t2</t>
  </si>
  <si>
    <t>Risk free rate</t>
  </si>
  <si>
    <t>First, solve for the present value of the dividend per share, PVt(I), given that
the second dividend will be paid in two months:</t>
  </si>
  <si>
    <t>PVt(I)</t>
  </si>
  <si>
    <t>Rook Point Investors LLC FX Forward MTM</t>
  </si>
  <si>
    <t>Spot rate for 1 EUR</t>
  </si>
  <si>
    <t>usd</t>
  </si>
  <si>
    <t>Forwaed rate for 1 EUR</t>
  </si>
  <si>
    <t>free risk rate USD</t>
  </si>
  <si>
    <t>free risk rate EUR</t>
  </si>
  <si>
    <t>Assume rUsd</t>
  </si>
  <si>
    <t>diff (rf-rd)</t>
  </si>
  <si>
    <t>PRICING AND VALUATION OF INTEREST RATE FORWARD CONTRACTS</t>
  </si>
  <si>
    <r>
      <t>Отношения между текущими и форвардными процентными ставками</t>
    </r>
    <r>
      <rPr>
        <sz val="10"/>
        <color rgb="FF000000"/>
        <rFont val="Arial"/>
        <family val="2"/>
      </rPr>
      <t>: Эти отношения являются основой для ценообразования производных финансовых инструментов, связанных с процентными ставками.</t>
    </r>
  </si>
  <si>
    <r>
      <t>Основа для ценообразования</t>
    </r>
    <r>
      <rPr>
        <sz val="10"/>
        <color rgb="FF000000"/>
        <rFont val="Arial"/>
        <family val="2"/>
      </rPr>
      <t>: Обычно используется правительственный эталонный процент или рыночная ориентировочная ставка.</t>
    </r>
  </si>
  <si>
    <r>
      <t>Особенности фиксированного дохода</t>
    </r>
    <r>
      <rPr>
        <sz val="10"/>
        <color rgb="FF000000"/>
        <rFont val="Arial"/>
        <family val="2"/>
      </rPr>
      <t>: Большинство инструментов фиксированного дохода имеют купонные выплаты до погашения.</t>
    </r>
  </si>
  <si>
    <r>
      <t>Оценка производных финансовых инструментов</t>
    </r>
    <r>
      <rPr>
        <sz val="10"/>
        <color rgb="FF000000"/>
        <rFont val="Arial"/>
        <family val="2"/>
      </rPr>
      <t>: Для производных, связанных с процентными ставками, ценообразование и оценка базируются на цене и доходности отдельных денежных потоков в будущем.</t>
    </r>
  </si>
  <si>
    <r>
      <t>Преобразование денежных потоков</t>
    </r>
    <r>
      <rPr>
        <sz val="10"/>
        <color rgb="FF000000"/>
        <rFont val="Arial"/>
        <family val="2"/>
      </rPr>
      <t>: Преобразование этих потоков из одной формы в другую представляет собой первый шаг в процессе, как показано в следующем примере</t>
    </r>
  </si>
  <si>
    <t>Сalculation and application of implied forward rates (IFR) from YTM and zero rates</t>
  </si>
  <si>
    <t>Determine  YTM</t>
  </si>
  <si>
    <t>Year to Maturity</t>
  </si>
  <si>
    <t>Annual Coupon</t>
  </si>
  <si>
    <t>PV(per 100 FV)</t>
  </si>
  <si>
    <t>YTM</t>
  </si>
  <si>
    <t>Determine Zero Rates:</t>
  </si>
  <si>
    <t>Zero-rate</t>
  </si>
  <si>
    <t>Determine Discount Factors</t>
  </si>
  <si>
    <t>Discount Factors</t>
  </si>
  <si>
    <t>Implied Forward Rate</t>
  </si>
  <si>
    <t>IFR</t>
  </si>
  <si>
    <t>IFR 1,1</t>
  </si>
  <si>
    <t>IFR 2,1</t>
  </si>
  <si>
    <t>Zero Rate (%)</t>
  </si>
  <si>
    <t>Discount Factor (DFi)</t>
  </si>
  <si>
    <t>Forward Rate (FR)</t>
  </si>
  <si>
    <t>Implied Forward Rate (IFR)</t>
  </si>
  <si>
    <t>Implied Forward Rate (IFR1,1)</t>
  </si>
  <si>
    <t>Invest USD100 for one year today at the zero rate (z1) of 2.396% and reinvest the proceeds of USD102.40 at the one-year rate in one year’s time, or the “1y1y” implied forward rate (IFR1,1).</t>
  </si>
  <si>
    <t>1st year by z1</t>
  </si>
  <si>
    <t>2nd year reinvest by IFR1,1</t>
  </si>
  <si>
    <t>IFR1.1</t>
  </si>
  <si>
    <t>1 strategy</t>
  </si>
  <si>
    <t>Check</t>
  </si>
  <si>
    <t>Invest for 2y by 2z year</t>
  </si>
  <si>
    <t>2 strategy</t>
  </si>
  <si>
    <t>IFR2.1</t>
  </si>
  <si>
    <t>1st year by z2</t>
  </si>
  <si>
    <t>2nd year reinvest by IFR2,1</t>
  </si>
  <si>
    <t>Invest for 3y by 3z year</t>
  </si>
  <si>
    <t>short-term market reference rates (MRR)</t>
  </si>
  <si>
    <t>MRR 3m</t>
  </si>
  <si>
    <t>MRR 6m</t>
  </si>
  <si>
    <r>
      <t>MRR 6m to APR4</t>
    </r>
    <r>
      <rPr>
        <b/>
        <sz val="10"/>
        <color theme="1"/>
        <rFont val="Arial"/>
        <family val="2"/>
      </rPr>
      <t xml:space="preserve"> (Z 6m)</t>
    </r>
  </si>
  <si>
    <t>IFRR 3m, 3m</t>
  </si>
  <si>
    <t>Our result can be confirmed by showing that CNY100,000,000 invested at:</t>
  </si>
  <si>
    <t>1. 1.25% for three months and reinvested at 2.24299% for the following three months</t>
  </si>
  <si>
    <t>1st 3m  by MRR 3m</t>
  </si>
  <si>
    <t>Next 3m reinvest by IFR 3m,3m</t>
  </si>
  <si>
    <t>2. 1.75% for six months</t>
  </si>
  <si>
    <t>Invest 6m by MRR 6m</t>
  </si>
  <si>
    <t>Gold Futures Contract (no additional costs)</t>
  </si>
  <si>
    <t>Contract 1=100 ounce</t>
  </si>
  <si>
    <t>Price per 1 ounce</t>
  </si>
  <si>
    <t xml:space="preserve">risk free rate </t>
  </si>
  <si>
    <t>T settlement 91 days</t>
  </si>
  <si>
    <t>fo(T)</t>
  </si>
  <si>
    <t>Contract price</t>
  </si>
  <si>
    <t>Gold Futures Contract with Storage Costs</t>
  </si>
  <si>
    <t>Storage costs per 1 ounce</t>
  </si>
  <si>
    <t>1. Solve the PV for storage costs</t>
  </si>
  <si>
    <t>2. Substitute storage costs  for fo(T)</t>
  </si>
  <si>
    <t>Procam Forward versus Futures Pricing and Valuation</t>
  </si>
  <si>
    <t>Forward Contract inception</t>
  </si>
  <si>
    <t>Futures Contract</t>
  </si>
  <si>
    <t>T settlement  91 days</t>
  </si>
  <si>
    <t>risk fre rate</t>
  </si>
  <si>
    <t>Spot price 1 st day</t>
  </si>
  <si>
    <t>Maintance margin</t>
  </si>
  <si>
    <t>V=</t>
  </si>
  <si>
    <t>T settlement 90 days always</t>
  </si>
  <si>
    <t>Forward Contract  Over time</t>
  </si>
  <si>
    <t>Futures Contract day 1</t>
  </si>
  <si>
    <t>if f1(T) fall $5</t>
  </si>
  <si>
    <t>Beginning of Day 2 Trading</t>
  </si>
  <si>
    <t>T settlement 71 elapsed of 91 days</t>
  </si>
  <si>
    <t>Spot price 1st d</t>
  </si>
  <si>
    <t>Contract Type</t>
  </si>
  <si>
    <t>Contract Price</t>
  </si>
  <si>
    <t>Contract MTM</t>
  </si>
  <si>
    <t>Realized MTM</t>
  </si>
  <si>
    <t>Margin Deposit</t>
  </si>
  <si>
    <t>MTM price fall $5</t>
  </si>
  <si>
    <t>Forward Contract</t>
  </si>
  <si>
    <t>if spt price fallen $50</t>
  </si>
  <si>
    <t>Margin account</t>
  </si>
  <si>
    <t>V(T)</t>
  </si>
  <si>
    <t>MTM</t>
  </si>
  <si>
    <t>Beginning of Day 3 Trading</t>
  </si>
  <si>
    <t>Forward Contract  day 2</t>
  </si>
  <si>
    <t>Futures Contract day 2</t>
  </si>
  <si>
    <t>Spot price 2-d</t>
  </si>
  <si>
    <t>f2 remaiming 1st day</t>
  </si>
  <si>
    <t>T settlement  90 days</t>
  </si>
  <si>
    <t>Spot price 2ndt day</t>
  </si>
  <si>
    <t>if spt price remaining</t>
  </si>
  <si>
    <t>Forward Contract  day 3</t>
  </si>
  <si>
    <t>Futures Contract day 3</t>
  </si>
  <si>
    <t>if f3(T) fall $4</t>
  </si>
  <si>
    <t>Spot price 3rd day</t>
  </si>
  <si>
    <t>T settlement  89 days</t>
  </si>
  <si>
    <t>CNY Forward Rate Agreement</t>
  </si>
  <si>
    <t>Notional Principal:</t>
  </si>
  <si>
    <t>IFR 3m 3m</t>
  </si>
  <si>
    <t>MRR b-a</t>
  </si>
  <si>
    <t>T-t 90 days</t>
  </si>
  <si>
    <t>Net Peymnet</t>
  </si>
  <si>
    <t>Cash Settlement (PV):</t>
  </si>
  <si>
    <t>INTEREST RATE FUTURES</t>
  </si>
  <si>
    <t>A</t>
  </si>
  <si>
    <t>B</t>
  </si>
  <si>
    <t>MRR 3m, 3m</t>
  </si>
  <si>
    <t>futures contract basis point value (BPV)</t>
  </si>
  <si>
    <t>notional</t>
  </si>
  <si>
    <t xml:space="preserve">MRR </t>
  </si>
  <si>
    <t>t/T for one quarter</t>
  </si>
  <si>
    <t>BPV</t>
  </si>
  <si>
    <t>Change MRR of 0.01%</t>
  </si>
  <si>
    <t>Interest Rate Futures</t>
  </si>
  <si>
    <t>cumulative gain</t>
  </si>
  <si>
    <t>MRR 1.1</t>
  </si>
  <si>
    <t>fo(t) open</t>
  </si>
  <si>
    <t>Diff</t>
  </si>
  <si>
    <t>fo(t) close</t>
  </si>
  <si>
    <t>t/T</t>
  </si>
  <si>
    <t>Interest Rate Forwards versus Futures</t>
  </si>
  <si>
    <t>MRR3m,3m</t>
  </si>
  <si>
    <t>Short FRA Cash Settlement (PV)</t>
  </si>
  <si>
    <t>Long Futures Settlement</t>
  </si>
  <si>
    <t>Swaps as a Combination of Forwards</t>
  </si>
  <si>
    <t>float CF</t>
  </si>
  <si>
    <t>Fix CF</t>
  </si>
  <si>
    <t>IFR 0.1</t>
  </si>
  <si>
    <t>IFR 1.1</t>
  </si>
  <si>
    <t>IFR 2.1</t>
  </si>
  <si>
    <t>par swap rate.</t>
  </si>
  <si>
    <t>Put Option Exercise Value</t>
  </si>
  <si>
    <t>X (exercise price)</t>
  </si>
  <si>
    <t>t/T 6month</t>
  </si>
  <si>
    <t>Exercise value</t>
  </si>
  <si>
    <t>Put Option Time Value</t>
  </si>
  <si>
    <t>Current option price (Premium)</t>
  </si>
  <si>
    <t>Time value of the option</t>
  </si>
  <si>
    <t>Call Option Upper and Lower Bounds</t>
  </si>
  <si>
    <t>X exercise price</t>
  </si>
  <si>
    <t>So t=0</t>
  </si>
  <si>
    <t>t/T 6 month</t>
  </si>
  <si>
    <t>S1</t>
  </si>
  <si>
    <r>
      <rPr>
        <sz val="10"/>
        <color rgb="FF000000"/>
        <rFont val="Arial"/>
        <family val="2"/>
      </rPr>
      <t>As the option buyer</t>
    </r>
    <r>
      <rPr>
        <b/>
        <sz val="10"/>
        <color rgb="FF000000"/>
        <rFont val="Arial"/>
        <family val="2"/>
      </rPr>
      <t xml:space="preserve"> c t,Lower bound</t>
    </r>
  </si>
  <si>
    <r>
      <rPr>
        <sz val="10"/>
        <color rgb="FF000000"/>
        <rFont val="Arial"/>
        <family val="2"/>
      </rPr>
      <t>As the option buyer</t>
    </r>
    <r>
      <rPr>
        <b/>
        <sz val="10"/>
        <color rgb="FF000000"/>
        <rFont val="Arial"/>
        <family val="2"/>
      </rPr>
      <t xml:space="preserve"> c t,Upper bound</t>
    </r>
  </si>
  <si>
    <t>Put–Call Parity</t>
  </si>
  <si>
    <t>Put–Call Parity Arbitrage Opportunity</t>
  </si>
  <si>
    <t>X (buy put)</t>
  </si>
  <si>
    <t>po</t>
  </si>
  <si>
    <t>Co (premium)</t>
  </si>
  <si>
    <t>po current</t>
  </si>
  <si>
    <t>t/T 6 months</t>
  </si>
  <si>
    <t>p parity=</t>
  </si>
  <si>
    <t>c parity=</t>
  </si>
  <si>
    <t>arbitrage</t>
  </si>
  <si>
    <t>Covered Call Strategy</t>
  </si>
  <si>
    <t>Put–Call Forward Parity</t>
  </si>
  <si>
    <t>X (sell call)</t>
  </si>
  <si>
    <t>X</t>
  </si>
  <si>
    <t>co</t>
  </si>
  <si>
    <t>Fo</t>
  </si>
  <si>
    <t>PRICING A EUROPEAN CALL OPTION</t>
  </si>
  <si>
    <t>t/t</t>
  </si>
  <si>
    <t>S1(d)</t>
  </si>
  <si>
    <t>S1(u)</t>
  </si>
  <si>
    <t>R(u)</t>
  </si>
  <si>
    <t>INPUTS</t>
  </si>
  <si>
    <t>R(d)</t>
  </si>
  <si>
    <t>t=1</t>
  </si>
  <si>
    <t>c1(u) or c1(d)</t>
  </si>
  <si>
    <t>Up move to S1(u) Call option ITM</t>
  </si>
  <si>
    <t>c1(u)=Max(0, S1(u)-X)</t>
  </si>
  <si>
    <t>Down move to S1(d) Call option OTM</t>
  </si>
  <si>
    <t>c1(d)=Max(0,S1(d)-X)</t>
  </si>
  <si>
    <t>determine c0</t>
  </si>
  <si>
    <t>V0=hSo -Co  --начальгая сстоимость портфеля</t>
  </si>
  <si>
    <t>V1(u)=hS1(u) - c1(u) = h*R(u)*So - max(O, S1(u)-X)- стоимость после года (up)</t>
  </si>
  <si>
    <t>V1(d)=hS1(d) - c1(d) = h*R(d)*So - max(O, S1(d)-X) - стомость после года (down)</t>
  </si>
  <si>
    <t>Up move from So to S1(u) and R1(u)</t>
  </si>
  <si>
    <t>price change from 80 to 110</t>
  </si>
  <si>
    <t>R1(u)</t>
  </si>
  <si>
    <t>Change rate %</t>
  </si>
  <si>
    <t>c1(u)</t>
  </si>
  <si>
    <t>h</t>
  </si>
  <si>
    <t>V1(u)=110 x h - 10</t>
  </si>
  <si>
    <t>Up down from So to S1(d) and R1(d)</t>
  </si>
  <si>
    <t>price change from 80 to 60</t>
  </si>
  <si>
    <t>OUTPUTS</t>
  </si>
  <si>
    <t>R1(d)</t>
  </si>
  <si>
    <t>c1(d)</t>
  </si>
  <si>
    <t>V1(d)=60 x h - 0</t>
  </si>
  <si>
    <t>V1</t>
  </si>
  <si>
    <t>co = h*So - V1*(1+r)^-1</t>
  </si>
  <si>
    <t xml:space="preserve">Vo </t>
  </si>
  <si>
    <t>Final result</t>
  </si>
  <si>
    <t>RISK NEUTRALITY -π</t>
  </si>
  <si>
    <t>riisk free rate</t>
  </si>
  <si>
    <t>π=</t>
  </si>
  <si>
    <t xml:space="preserve">
Objective: Determining interest rates applicable to single cash flows at specific future dates.
Purpose: Zero rates are used to discount future cash flows without accounting for coupon payments, which helps in valuing zero-coupon bonds and other financial instruments</t>
  </si>
  <si>
    <t>bjective: Determining the single yield an investor will receive by holding a bond until maturity.
Purpose: YTM allows for the comparison of yields across different bonds and helps assess their relative value in the market.</t>
  </si>
  <si>
    <t xml:space="preserve">Objective: Discount factors (DF) use zero rates to determine the present value of future cash flows.
Purpose: They show the current value of a single unit of cash to be received in the future.
</t>
  </si>
  <si>
    <t>Objective: Forward rates indicate the expected yield for a specific future period based on current zero rates.
Purpose: IFRs are used to determine the rate at which an investor will achieve the same return, whether investing for a shorter period with reinvestment or committing for the entire term upfront.</t>
  </si>
  <si>
    <t xml:space="preserve">
First Strategy: Invest for one year and then reinvest for the second year at the implied forward rate (IFR1,1).
Second Strategy: Invest for two years without the need for reinvestment.
Rates Used:
First Strategy: Uses the one-year zero rate (z1) and the one-year implied forward rate (IFR1,1) for the second year.
Second Strategy: Uses the two-year zero rate (z2) for the entire period.
Yield Generation Process:
First Strategy: The yield for the first year is fixed at z1, followed by reinvestment for the second year at the rate IFR1,1.
Second Strategy: The yield is fixed for the entire two-year period at the rate z2.
Flexibility and Risk:
First Strategy: Offers greater flexibility, as the investment decision can be reassessed after the first year. However, this comes with the risk of unpredictable changes in the rate for the second year (IFR1,1).
Second Strategy: Provides less flexibility but offers more predictable returns, as the rate is fixed for two years.
Objective:
First Strategy: Utilizes the current one-year rate and anticipates the future rate for the second year.
Second Strategy: Locks in the rate for the entire two-year period, eliminating the need to speculate on future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</si>
</sst>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quot;$&quot;#,##0"/>
    <numFmt numFmtId="165" formatCode="&quot;$&quot;#,##0.00"/>
    <numFmt numFmtId="166" formatCode="0.0%"/>
    <numFmt numFmtId="167" formatCode="&quot;T - &quot;0"/>
    <numFmt numFmtId="168" formatCode="_(* #,##0_);_(* \(#,##0\);_(* &quot;-&quot;??_);_(@_)"/>
    <numFmt numFmtId="169" formatCode="_(* #,##0.0_);_(* \(#,##0.0\);_(* &quot;-&quot;??_);_(@_)"/>
    <numFmt numFmtId="170" formatCode="_(* #,##0.0000_);_(* \(#,##0.0000\);_(* &quot;-&quot;??_);_(@_)"/>
    <numFmt numFmtId="171" formatCode="_(* #,##0.000_);_(* \(#,##0.000\);_(* &quot;-&quot;??_);_(@_)"/>
    <numFmt numFmtId="172" formatCode="0.0000%"/>
    <numFmt numFmtId="173" formatCode="&quot;DF &quot;General\ &quot;year&quot;"/>
    <numFmt numFmtId="174" formatCode="_(* #,##0.000000_);_(* \(#,##0.000000\);_(* &quot;-&quot;??_);_(@_)"/>
    <numFmt numFmtId="175" formatCode="0.00000%"/>
    <numFmt numFmtId="176" formatCode="0.000%"/>
    <numFmt numFmtId="177" formatCode="_(* #,##0.00000_);_(* \(#,##0.00000\);_(* &quot;-&quot;??_);_(@_)"/>
  </numFmts>
  <fonts count="16" x14ac:knownFonts="1">
    <font>
      <sz val="10"/>
      <color rgb="FF000000"/>
      <name val="Arial"/>
      <family val="2"/>
    </font>
    <font>
      <sz val="10"/>
      <color rgb="FF000000"/>
      <name val="Arial"/>
      <family val="2"/>
    </font>
    <font>
      <b/>
      <sz val="20"/>
      <color rgb="FF000000"/>
      <name val="Arial"/>
      <family val="2"/>
    </font>
    <font>
      <b/>
      <sz val="10"/>
      <color rgb="FF000000"/>
      <name val="Arial"/>
      <family val="2"/>
    </font>
    <font>
      <b/>
      <sz val="10"/>
      <color rgb="FFFF0000"/>
      <name val="Arial"/>
      <family val="2"/>
    </font>
    <font>
      <sz val="10"/>
      <color rgb="FFFF0000"/>
      <name val="Arial"/>
      <family val="2"/>
    </font>
    <font>
      <b/>
      <sz val="15"/>
      <color rgb="FF000000"/>
      <name val="Arial"/>
      <family val="2"/>
    </font>
    <font>
      <b/>
      <sz val="14"/>
      <color rgb="FF000000"/>
      <name val="Arial"/>
      <family val="2"/>
    </font>
    <font>
      <b/>
      <sz val="20"/>
      <color theme="1"/>
      <name val="Arial"/>
      <family val="2"/>
    </font>
    <font>
      <sz val="10"/>
      <color theme="1"/>
      <name val="Arial"/>
      <family val="2"/>
    </font>
    <font>
      <b/>
      <sz val="10"/>
      <color theme="1"/>
      <name val="Arial"/>
      <family val="2"/>
    </font>
    <font>
      <sz val="8"/>
      <color theme="1"/>
      <name val="Arial"/>
      <family val="2"/>
    </font>
    <font>
      <b/>
      <sz val="15"/>
      <color theme="1"/>
      <name val="Arial"/>
      <family val="2"/>
    </font>
    <font>
      <sz val="20"/>
      <color rgb="FF000000"/>
      <name val="Arial"/>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1"/>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0"/>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1"/>
  </cellStyleXfs>
  <cellXfs count="281">
    <xf numFmtId="0" fontId="0" fillId="0" borderId="0" xfId="0"/>
    <xf numFmtId="0" fontId="2" fillId="0" borderId="0" xfId="0" applyFont="1"/>
    <xf numFmtId="0" fontId="1" fillId="0" borderId="0" xfId="0" applyFont="1"/>
    <xf numFmtId="165" fontId="1" fillId="0" borderId="1" xfId="3" applyNumberFormat="1"/>
    <xf numFmtId="0" fontId="1" fillId="0" borderId="2" xfId="0" applyFont="1" applyBorder="1"/>
    <xf numFmtId="0" fontId="0" fillId="0" borderId="3" xfId="0" applyBorder="1"/>
    <xf numFmtId="0" fontId="1" fillId="0" borderId="4" xfId="0" applyFont="1" applyBorder="1"/>
    <xf numFmtId="165" fontId="1" fillId="0" borderId="5" xfId="3" applyNumberFormat="1" applyBorder="1"/>
    <xf numFmtId="0" fontId="1" fillId="0" borderId="6" xfId="0" applyFont="1" applyBorder="1"/>
    <xf numFmtId="165" fontId="1" fillId="0" borderId="7" xfId="3" applyNumberFormat="1" applyBorder="1"/>
    <xf numFmtId="0" fontId="1" fillId="0" borderId="8" xfId="0" applyFont="1" applyBorder="1"/>
    <xf numFmtId="165" fontId="1" fillId="0" borderId="9" xfId="3" applyNumberFormat="1" applyBorder="1"/>
    <xf numFmtId="165" fontId="0" fillId="0" borderId="0" xfId="0" applyNumberFormat="1"/>
    <xf numFmtId="0" fontId="3" fillId="0" borderId="6" xfId="0" applyFont="1" applyBorder="1"/>
    <xf numFmtId="165" fontId="3" fillId="0" borderId="7" xfId="0" applyNumberFormat="1" applyFont="1" applyBorder="1"/>
    <xf numFmtId="165" fontId="3" fillId="0" borderId="5" xfId="3" applyNumberFormat="1" applyFont="1" applyBorder="1"/>
    <xf numFmtId="165" fontId="0" fillId="0" borderId="9" xfId="0" applyNumberFormat="1" applyBorder="1"/>
    <xf numFmtId="166" fontId="0" fillId="0" borderId="0" xfId="2" applyNumberFormat="1" applyFont="1"/>
    <xf numFmtId="0" fontId="3" fillId="0" borderId="8" xfId="0" applyFont="1" applyBorder="1"/>
    <xf numFmtId="165" fontId="1" fillId="0" borderId="3" xfId="3" applyNumberFormat="1" applyBorder="1"/>
    <xf numFmtId="165" fontId="1" fillId="0" borderId="0" xfId="3" applyNumberFormat="1" applyBorder="1"/>
    <xf numFmtId="0" fontId="3" fillId="0" borderId="0" xfId="0" applyFont="1"/>
    <xf numFmtId="167" fontId="0" fillId="0" borderId="0" xfId="0" applyNumberFormat="1"/>
    <xf numFmtId="168" fontId="0" fillId="0" borderId="0" xfId="0" applyNumberFormat="1"/>
    <xf numFmtId="168" fontId="0" fillId="0" borderId="0" xfId="1" applyNumberFormat="1" applyFont="1"/>
    <xf numFmtId="10" fontId="0" fillId="0" borderId="0" xfId="2" applyNumberFormat="1" applyFont="1"/>
    <xf numFmtId="168" fontId="0" fillId="0" borderId="0" xfId="1" applyNumberFormat="1" applyFont="1" applyBorder="1"/>
    <xf numFmtId="169" fontId="0" fillId="0" borderId="0" xfId="0" applyNumberFormat="1"/>
    <xf numFmtId="167" fontId="0" fillId="0" borderId="2" xfId="0" applyNumberFormat="1" applyBorder="1"/>
    <xf numFmtId="168" fontId="0" fillId="0" borderId="10" xfId="0" applyNumberFormat="1" applyBorder="1"/>
    <xf numFmtId="168" fontId="0" fillId="0" borderId="3" xfId="0" applyNumberFormat="1" applyBorder="1"/>
    <xf numFmtId="43" fontId="0" fillId="0" borderId="0" xfId="0" applyNumberFormat="1"/>
    <xf numFmtId="43" fontId="3" fillId="0" borderId="0" xfId="0" applyNumberFormat="1" applyFont="1"/>
    <xf numFmtId="0" fontId="1" fillId="0" borderId="2" xfId="0" applyFont="1" applyBorder="1" applyAlignment="1">
      <alignment vertical="top" wrapText="1"/>
    </xf>
    <xf numFmtId="0" fontId="1" fillId="0" borderId="10" xfId="0" applyFont="1" applyBorder="1" applyAlignment="1">
      <alignment vertical="top" wrapText="1"/>
    </xf>
    <xf numFmtId="0" fontId="1" fillId="0" borderId="3" xfId="0" applyFont="1" applyBorder="1" applyAlignment="1">
      <alignment vertical="top" wrapText="1"/>
    </xf>
    <xf numFmtId="164" fontId="0" fillId="0" borderId="0" xfId="0" applyNumberFormat="1"/>
    <xf numFmtId="164" fontId="1" fillId="0" borderId="0" xfId="3" applyBorder="1"/>
    <xf numFmtId="0" fontId="0" fillId="0" borderId="2" xfId="0" applyBorder="1"/>
    <xf numFmtId="0" fontId="0" fillId="0" borderId="10" xfId="0" applyBorder="1"/>
    <xf numFmtId="165" fontId="0" fillId="0" borderId="3" xfId="0" applyNumberFormat="1" applyBorder="1"/>
    <xf numFmtId="0" fontId="0" fillId="2" borderId="0" xfId="0" applyFill="1"/>
    <xf numFmtId="43" fontId="0" fillId="0" borderId="0" xfId="1" applyFont="1"/>
    <xf numFmtId="0" fontId="0" fillId="0" borderId="5" xfId="0" applyBorder="1"/>
    <xf numFmtId="165" fontId="3" fillId="0" borderId="7" xfId="3" applyNumberFormat="1" applyFont="1" applyBorder="1"/>
    <xf numFmtId="0" fontId="1" fillId="0" borderId="11" xfId="0" applyFont="1" applyBorder="1" applyAlignment="1">
      <alignment horizontal="center" vertical="center"/>
    </xf>
    <xf numFmtId="0" fontId="1" fillId="0" borderId="11" xfId="0" applyFont="1" applyBorder="1" applyAlignment="1">
      <alignment horizontal="center"/>
    </xf>
    <xf numFmtId="168" fontId="0" fillId="0" borderId="12" xfId="1" applyNumberFormat="1" applyFont="1" applyBorder="1" applyAlignment="1">
      <alignment horizontal="center"/>
    </xf>
    <xf numFmtId="168" fontId="0" fillId="0" borderId="5" xfId="1" applyNumberFormat="1" applyFont="1" applyBorder="1"/>
    <xf numFmtId="168" fontId="0" fillId="0" borderId="13" xfId="1" applyNumberFormat="1" applyFont="1" applyBorder="1"/>
    <xf numFmtId="168" fontId="0" fillId="0" borderId="9" xfId="1" applyNumberFormat="1" applyFont="1" applyBorder="1"/>
    <xf numFmtId="0" fontId="1" fillId="0" borderId="14" xfId="0" applyFont="1" applyBorder="1"/>
    <xf numFmtId="0" fontId="0" fillId="0" borderId="14" xfId="0" applyBorder="1"/>
    <xf numFmtId="165" fontId="0" fillId="0" borderId="14" xfId="0" applyNumberFormat="1" applyBorder="1"/>
    <xf numFmtId="168" fontId="0" fillId="0" borderId="4" xfId="1" applyNumberFormat="1" applyFont="1" applyBorder="1"/>
    <xf numFmtId="168" fontId="0" fillId="0" borderId="8" xfId="1" applyNumberFormat="1" applyFont="1" applyBorder="1"/>
    <xf numFmtId="10" fontId="3" fillId="0" borderId="0" xfId="2" applyNumberFormat="1" applyFont="1"/>
    <xf numFmtId="0" fontId="1" fillId="0" borderId="4" xfId="0" applyFont="1" applyBorder="1" applyAlignment="1">
      <alignment vertical="top" wrapText="1"/>
    </xf>
    <xf numFmtId="43" fontId="1" fillId="0" borderId="15" xfId="0" applyNumberFormat="1" applyFont="1" applyBorder="1" applyAlignment="1">
      <alignment wrapText="1"/>
    </xf>
    <xf numFmtId="0" fontId="1" fillId="0" borderId="15" xfId="0" applyFont="1" applyBorder="1" applyAlignment="1">
      <alignment wrapText="1"/>
    </xf>
    <xf numFmtId="0" fontId="1" fillId="0" borderId="5" xfId="0" applyFont="1" applyBorder="1" applyAlignment="1">
      <alignment wrapText="1"/>
    </xf>
    <xf numFmtId="0" fontId="0" fillId="0" borderId="4" xfId="0" applyBorder="1"/>
    <xf numFmtId="43" fontId="0" fillId="0" borderId="15" xfId="0" applyNumberFormat="1" applyBorder="1"/>
    <xf numFmtId="9" fontId="0" fillId="0" borderId="15" xfId="2" applyFont="1" applyBorder="1"/>
    <xf numFmtId="43" fontId="0" fillId="0" borderId="15" xfId="2" applyNumberFormat="1" applyFont="1" applyBorder="1"/>
    <xf numFmtId="9" fontId="0" fillId="0" borderId="5" xfId="2" applyFont="1" applyBorder="1"/>
    <xf numFmtId="0" fontId="0" fillId="0" borderId="6" xfId="0" applyBorder="1"/>
    <xf numFmtId="9" fontId="0" fillId="0" borderId="0" xfId="2" applyFont="1" applyBorder="1"/>
    <xf numFmtId="43" fontId="0" fillId="0" borderId="0" xfId="2" applyNumberFormat="1" applyFont="1" applyBorder="1"/>
    <xf numFmtId="9" fontId="0" fillId="0" borderId="7" xfId="2" applyFont="1" applyBorder="1"/>
    <xf numFmtId="168" fontId="0" fillId="0" borderId="16" xfId="1" applyNumberFormat="1" applyFont="1" applyBorder="1"/>
    <xf numFmtId="0" fontId="0" fillId="0" borderId="8" xfId="0" applyBorder="1"/>
    <xf numFmtId="43" fontId="0" fillId="0" borderId="14" xfId="0" applyNumberFormat="1" applyBorder="1"/>
    <xf numFmtId="9" fontId="0" fillId="0" borderId="14" xfId="2" applyFont="1" applyBorder="1"/>
    <xf numFmtId="43" fontId="0" fillId="0" borderId="14" xfId="2" applyNumberFormat="1" applyFont="1" applyBorder="1"/>
    <xf numFmtId="9" fontId="0" fillId="0" borderId="9" xfId="2" applyFont="1" applyBorder="1"/>
    <xf numFmtId="9" fontId="0" fillId="0" borderId="0" xfId="2" applyFont="1"/>
    <xf numFmtId="0" fontId="1" fillId="0" borderId="3" xfId="0" applyFont="1" applyBorder="1"/>
    <xf numFmtId="0" fontId="0" fillId="0" borderId="7" xfId="0" applyBorder="1"/>
    <xf numFmtId="0" fontId="0" fillId="0" borderId="9" xfId="0" applyBorder="1"/>
    <xf numFmtId="168" fontId="0" fillId="0" borderId="7" xfId="0" applyNumberFormat="1" applyBorder="1"/>
    <xf numFmtId="168" fontId="0" fillId="0" borderId="7" xfId="1" applyNumberFormat="1" applyFont="1" applyBorder="1"/>
    <xf numFmtId="43" fontId="0" fillId="0" borderId="9" xfId="0" applyNumberFormat="1" applyBorder="1"/>
    <xf numFmtId="168" fontId="0" fillId="0" borderId="9" xfId="0" applyNumberFormat="1" applyBorder="1"/>
    <xf numFmtId="0" fontId="0" fillId="0" borderId="15" xfId="0" applyBorder="1"/>
    <xf numFmtId="43" fontId="0" fillId="0" borderId="5" xfId="0" applyNumberFormat="1" applyBorder="1"/>
    <xf numFmtId="9" fontId="1" fillId="0" borderId="6" xfId="2" applyFont="1" applyBorder="1"/>
    <xf numFmtId="0" fontId="4" fillId="0" borderId="0" xfId="0" applyFont="1"/>
    <xf numFmtId="43" fontId="5" fillId="0" borderId="0" xfId="0" applyNumberFormat="1" applyFont="1"/>
    <xf numFmtId="170" fontId="0" fillId="0" borderId="0" xfId="1" applyNumberFormat="1" applyFont="1"/>
    <xf numFmtId="10" fontId="0" fillId="0" borderId="7" xfId="2" applyNumberFormat="1" applyFont="1" applyBorder="1"/>
    <xf numFmtId="10" fontId="0" fillId="0" borderId="9" xfId="2" applyNumberFormat="1" applyFont="1" applyBorder="1"/>
    <xf numFmtId="10" fontId="0" fillId="0" borderId="0" xfId="0" applyNumberFormat="1"/>
    <xf numFmtId="0" fontId="3" fillId="0" borderId="0" xfId="0" applyFont="1" applyAlignment="1">
      <alignment wrapText="1"/>
    </xf>
    <xf numFmtId="0" fontId="1" fillId="0" borderId="0" xfId="0" applyFont="1" applyAlignment="1">
      <alignment wrapText="1"/>
    </xf>
    <xf numFmtId="0" fontId="3" fillId="0" borderId="4" xfId="0" applyFont="1" applyBorder="1"/>
    <xf numFmtId="171" fontId="0" fillId="0" borderId="0" xfId="1" applyNumberFormat="1" applyFont="1"/>
    <xf numFmtId="0" fontId="6" fillId="0" borderId="0" xfId="0" applyFont="1"/>
    <xf numFmtId="0" fontId="7" fillId="0" borderId="0" xfId="0" applyFont="1"/>
    <xf numFmtId="0" fontId="3" fillId="0" borderId="4" xfId="0" applyFont="1" applyBorder="1" applyAlignment="1">
      <alignment horizontal="center" vertical="center"/>
    </xf>
    <xf numFmtId="0" fontId="3" fillId="0" borderId="15" xfId="0" applyFont="1" applyBorder="1" applyAlignment="1">
      <alignment horizontal="center" vertical="center"/>
    </xf>
    <xf numFmtId="0" fontId="3" fillId="0" borderId="5" xfId="0" applyFont="1" applyBorder="1" applyAlignment="1">
      <alignment horizontal="center" vertical="center"/>
    </xf>
    <xf numFmtId="172" fontId="1" fillId="3" borderId="15" xfId="2" applyNumberFormat="1" applyFont="1" applyFill="1" applyBorder="1" applyAlignment="1">
      <alignment horizontal="left" vertical="top" wrapText="1"/>
    </xf>
    <xf numFmtId="172" fontId="1" fillId="3" borderId="5" xfId="2" applyNumberFormat="1" applyFont="1" applyFill="1" applyBorder="1" applyAlignment="1">
      <alignment horizontal="left" vertical="top" wrapText="1"/>
    </xf>
    <xf numFmtId="0" fontId="0" fillId="0" borderId="4" xfId="0" applyBorder="1" applyAlignment="1">
      <alignment horizontal="left"/>
    </xf>
    <xf numFmtId="43" fontId="0" fillId="0" borderId="15" xfId="1" applyFont="1" applyBorder="1"/>
    <xf numFmtId="171" fontId="0" fillId="0" borderId="15" xfId="1" applyNumberFormat="1" applyFont="1" applyBorder="1"/>
    <xf numFmtId="172" fontId="0" fillId="0" borderId="5" xfId="2" applyNumberFormat="1" applyFont="1" applyBorder="1"/>
    <xf numFmtId="172" fontId="1" fillId="3" borderId="6" xfId="2" applyNumberFormat="1" applyFont="1" applyFill="1" applyBorder="1" applyAlignment="1">
      <alignment horizontal="left" vertical="top" wrapText="1"/>
    </xf>
    <xf numFmtId="172" fontId="1" fillId="3" borderId="0" xfId="2" applyNumberFormat="1" applyFont="1" applyFill="1" applyBorder="1" applyAlignment="1">
      <alignment horizontal="left" vertical="top" wrapText="1"/>
    </xf>
    <xf numFmtId="172" fontId="1" fillId="3" borderId="7" xfId="2" applyNumberFormat="1" applyFont="1" applyFill="1" applyBorder="1" applyAlignment="1">
      <alignment horizontal="left" vertical="top" wrapText="1"/>
    </xf>
    <xf numFmtId="0" fontId="0" fillId="0" borderId="6" xfId="0" applyBorder="1" applyAlignment="1">
      <alignment horizontal="left"/>
    </xf>
    <xf numFmtId="43" fontId="0" fillId="0" borderId="0" xfId="1" applyFont="1" applyBorder="1"/>
    <xf numFmtId="171" fontId="0" fillId="0" borderId="0" xfId="1" applyNumberFormat="1" applyFont="1" applyBorder="1"/>
    <xf numFmtId="172" fontId="0" fillId="0" borderId="7" xfId="2" applyNumberFormat="1" applyFont="1" applyBorder="1"/>
    <xf numFmtId="0" fontId="0" fillId="0" borderId="8" xfId="0" applyBorder="1" applyAlignment="1">
      <alignment horizontal="left"/>
    </xf>
    <xf numFmtId="43" fontId="0" fillId="0" borderId="14" xfId="1" applyFont="1" applyBorder="1"/>
    <xf numFmtId="171" fontId="0" fillId="0" borderId="14" xfId="1" applyNumberFormat="1" applyFont="1" applyBorder="1"/>
    <xf numFmtId="172" fontId="0" fillId="0" borderId="9" xfId="2" applyNumberFormat="1" applyFont="1" applyBorder="1"/>
    <xf numFmtId="172" fontId="1" fillId="3" borderId="8" xfId="2" applyNumberFormat="1" applyFont="1" applyFill="1" applyBorder="1" applyAlignment="1">
      <alignment horizontal="left" vertical="top" wrapText="1"/>
    </xf>
    <xf numFmtId="172" fontId="1" fillId="3" borderId="14" xfId="2" applyNumberFormat="1" applyFont="1" applyFill="1" applyBorder="1" applyAlignment="1">
      <alignment horizontal="left" vertical="top" wrapText="1"/>
    </xf>
    <xf numFmtId="172" fontId="1" fillId="3" borderId="9" xfId="2" applyNumberFormat="1" applyFont="1" applyFill="1" applyBorder="1" applyAlignment="1">
      <alignment horizontal="left" vertical="top" wrapText="1"/>
    </xf>
    <xf numFmtId="0" fontId="3" fillId="0" borderId="5" xfId="0" applyFont="1" applyBorder="1"/>
    <xf numFmtId="0" fontId="0" fillId="3" borderId="15" xfId="0" applyFill="1" applyBorder="1" applyAlignment="1">
      <alignment horizontal="left" vertical="top"/>
    </xf>
    <xf numFmtId="0" fontId="0" fillId="3" borderId="5" xfId="0" applyFill="1" applyBorder="1" applyAlignment="1">
      <alignment horizontal="left" vertical="top"/>
    </xf>
    <xf numFmtId="172" fontId="3" fillId="0" borderId="5" xfId="2" applyNumberFormat="1" applyFont="1" applyBorder="1"/>
    <xf numFmtId="0" fontId="0" fillId="3" borderId="6" xfId="0" applyFill="1" applyBorder="1" applyAlignment="1">
      <alignment horizontal="left" vertical="top"/>
    </xf>
    <xf numFmtId="0" fontId="0" fillId="3" borderId="0" xfId="0" applyFill="1" applyAlignment="1">
      <alignment horizontal="left" vertical="top"/>
    </xf>
    <xf numFmtId="0" fontId="0" fillId="3" borderId="7" xfId="0" applyFill="1" applyBorder="1" applyAlignment="1">
      <alignment horizontal="left" vertical="top"/>
    </xf>
    <xf numFmtId="172" fontId="3" fillId="0" borderId="7" xfId="2" applyNumberFormat="1" applyFont="1" applyBorder="1"/>
    <xf numFmtId="172" fontId="3" fillId="0" borderId="9" xfId="2" applyNumberFormat="1" applyFont="1" applyBorder="1"/>
    <xf numFmtId="0" fontId="0" fillId="3" borderId="8" xfId="0" applyFill="1" applyBorder="1" applyAlignment="1">
      <alignment horizontal="left" vertical="top"/>
    </xf>
    <xf numFmtId="0" fontId="0" fillId="3" borderId="14" xfId="0" applyFill="1" applyBorder="1" applyAlignment="1">
      <alignment horizontal="left" vertical="top"/>
    </xf>
    <xf numFmtId="0" fontId="0" fillId="3" borderId="9" xfId="0" applyFill="1" applyBorder="1" applyAlignment="1">
      <alignment horizontal="left" vertical="top"/>
    </xf>
    <xf numFmtId="0" fontId="3" fillId="0" borderId="2" xfId="0" applyFont="1" applyBorder="1" applyAlignment="1">
      <alignment horizontal="center" vertical="center"/>
    </xf>
    <xf numFmtId="0" fontId="3" fillId="0" borderId="3" xfId="0" applyFont="1" applyBorder="1"/>
    <xf numFmtId="173" fontId="0" fillId="0" borderId="4" xfId="0" applyNumberFormat="1" applyBorder="1" applyAlignment="1">
      <alignment horizontal="left"/>
    </xf>
    <xf numFmtId="174" fontId="3" fillId="0" borderId="5" xfId="1" applyNumberFormat="1" applyFont="1" applyBorder="1"/>
    <xf numFmtId="173" fontId="0" fillId="0" borderId="6" xfId="0" applyNumberFormat="1" applyBorder="1" applyAlignment="1">
      <alignment horizontal="left"/>
    </xf>
    <xf numFmtId="174" fontId="3" fillId="0" borderId="7" xfId="1" applyNumberFormat="1" applyFont="1" applyBorder="1"/>
    <xf numFmtId="173" fontId="0" fillId="0" borderId="8" xfId="0" applyNumberFormat="1" applyBorder="1" applyAlignment="1">
      <alignment horizontal="left"/>
    </xf>
    <xf numFmtId="174" fontId="3" fillId="0" borderId="9" xfId="1" applyNumberFormat="1" applyFont="1" applyBorder="1"/>
    <xf numFmtId="0" fontId="5" fillId="0" borderId="0" xfId="0" applyFont="1"/>
    <xf numFmtId="0" fontId="3" fillId="0" borderId="15" xfId="0" applyFont="1" applyBorder="1"/>
    <xf numFmtId="0" fontId="1" fillId="3" borderId="1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0" borderId="4" xfId="0" applyFont="1" applyBorder="1" applyAlignment="1">
      <alignment horizontal="left"/>
    </xf>
    <xf numFmtId="175" fontId="3" fillId="0" borderId="15" xfId="2" applyNumberFormat="1" applyFont="1" applyBorder="1"/>
    <xf numFmtId="0" fontId="1" fillId="3" borderId="6" xfId="0" applyFont="1" applyFill="1" applyBorder="1" applyAlignment="1">
      <alignment horizontal="left" vertical="top" wrapText="1"/>
    </xf>
    <xf numFmtId="0" fontId="1" fillId="3" borderId="0" xfId="0" applyFont="1" applyFill="1" applyAlignment="1">
      <alignment horizontal="left" vertical="top" wrapText="1"/>
    </xf>
    <xf numFmtId="0" fontId="1" fillId="3" borderId="7" xfId="0" applyFont="1" applyFill="1" applyBorder="1" applyAlignment="1">
      <alignment horizontal="left" vertical="top" wrapText="1"/>
    </xf>
    <xf numFmtId="0" fontId="1" fillId="0" borderId="8" xfId="0" applyFont="1" applyBorder="1" applyAlignment="1">
      <alignment horizontal="left"/>
    </xf>
    <xf numFmtId="175" fontId="3" fillId="0" borderId="14" xfId="2" applyNumberFormat="1" applyFont="1" applyBorder="1"/>
    <xf numFmtId="0" fontId="1" fillId="3" borderId="8" xfId="0" applyFont="1" applyFill="1" applyBorder="1" applyAlignment="1">
      <alignment horizontal="left" vertical="top" wrapText="1"/>
    </xf>
    <xf numFmtId="0" fontId="1" fillId="3" borderId="14" xfId="0" applyFont="1" applyFill="1" applyBorder="1" applyAlignment="1">
      <alignment horizontal="left" vertical="top" wrapText="1"/>
    </xf>
    <xf numFmtId="0" fontId="1" fillId="3" borderId="9" xfId="0" applyFont="1" applyFill="1" applyBorder="1" applyAlignment="1">
      <alignment horizontal="left" vertical="top" wrapText="1"/>
    </xf>
    <xf numFmtId="0" fontId="0" fillId="0" borderId="0" xfId="0" applyAlignment="1">
      <alignment horizontal="left"/>
    </xf>
    <xf numFmtId="0" fontId="3" fillId="0" borderId="10" xfId="0" applyFont="1" applyBorder="1" applyAlignment="1">
      <alignment horizontal="center" vertical="center"/>
    </xf>
    <xf numFmtId="0" fontId="3" fillId="0" borderId="10" xfId="0" applyFont="1" applyBorder="1"/>
    <xf numFmtId="172" fontId="0" fillId="0" borderId="15" xfId="0" applyNumberFormat="1" applyBorder="1"/>
    <xf numFmtId="172" fontId="0" fillId="0" borderId="15" xfId="1" applyNumberFormat="1" applyFont="1" applyBorder="1"/>
    <xf numFmtId="174" fontId="0" fillId="0" borderId="15" xfId="0" applyNumberFormat="1" applyBorder="1"/>
    <xf numFmtId="172" fontId="0" fillId="0" borderId="0" xfId="0" applyNumberFormat="1"/>
    <xf numFmtId="172" fontId="0" fillId="0" borderId="0" xfId="1" applyNumberFormat="1" applyFont="1" applyBorder="1"/>
    <xf numFmtId="174" fontId="0" fillId="0" borderId="0" xfId="0" applyNumberFormat="1"/>
    <xf numFmtId="172" fontId="0" fillId="0" borderId="14" xfId="0" applyNumberFormat="1" applyBorder="1"/>
    <xf numFmtId="172" fontId="0" fillId="0" borderId="14" xfId="1" applyNumberFormat="1" applyFont="1" applyBorder="1"/>
    <xf numFmtId="174" fontId="0" fillId="0" borderId="14" xfId="0" applyNumberFormat="1" applyBorder="1"/>
    <xf numFmtId="0" fontId="8" fillId="0" borderId="0" xfId="0" applyFont="1"/>
    <xf numFmtId="0" fontId="9" fillId="0" borderId="0" xfId="0" applyFont="1"/>
    <xf numFmtId="0" fontId="10" fillId="0" borderId="0" xfId="0" applyFont="1"/>
    <xf numFmtId="43" fontId="9" fillId="0" borderId="0" xfId="0" applyNumberFormat="1" applyFont="1"/>
    <xf numFmtId="43" fontId="9" fillId="0" borderId="0" xfId="1" applyFont="1" applyBorder="1"/>
    <xf numFmtId="0" fontId="10" fillId="0" borderId="11" xfId="0" applyFont="1" applyBorder="1"/>
    <xf numFmtId="43" fontId="10" fillId="0" borderId="11" xfId="0" applyNumberFormat="1" applyFont="1" applyBorder="1"/>
    <xf numFmtId="43" fontId="10" fillId="0" borderId="11" xfId="1" applyFont="1" applyBorder="1"/>
    <xf numFmtId="0" fontId="11" fillId="0" borderId="0" xfId="0" applyFont="1" applyAlignment="1">
      <alignment vertical="top" wrapText="1"/>
    </xf>
    <xf numFmtId="0" fontId="11" fillId="0" borderId="11" xfId="0" applyFont="1" applyBorder="1" applyAlignment="1">
      <alignment vertical="top" wrapText="1"/>
    </xf>
    <xf numFmtId="0" fontId="10" fillId="0" borderId="8" xfId="0" applyFont="1" applyBorder="1"/>
    <xf numFmtId="43" fontId="9" fillId="0" borderId="14" xfId="0" applyNumberFormat="1" applyFont="1" applyBorder="1"/>
    <xf numFmtId="43" fontId="9" fillId="0" borderId="9" xfId="1" applyFont="1" applyBorder="1"/>
    <xf numFmtId="176" fontId="9" fillId="0" borderId="0" xfId="2" applyNumberFormat="1" applyFont="1" applyBorder="1"/>
    <xf numFmtId="0" fontId="10" fillId="0" borderId="2" xfId="0" applyFont="1" applyBorder="1"/>
    <xf numFmtId="0" fontId="9" fillId="0" borderId="11" xfId="0" applyFont="1" applyBorder="1"/>
    <xf numFmtId="176" fontId="10" fillId="0" borderId="0" xfId="2" applyNumberFormat="1" applyFont="1" applyBorder="1"/>
    <xf numFmtId="0" fontId="11" fillId="3" borderId="4" xfId="0" applyFont="1" applyFill="1" applyBorder="1" applyAlignment="1">
      <alignment horizontal="left" vertical="top" wrapText="1"/>
    </xf>
    <xf numFmtId="0" fontId="11" fillId="3" borderId="15" xfId="0" applyFont="1" applyFill="1" applyBorder="1" applyAlignment="1">
      <alignment horizontal="left" vertical="top" wrapText="1"/>
    </xf>
    <xf numFmtId="0" fontId="11" fillId="3" borderId="5" xfId="0" applyFont="1" applyFill="1" applyBorder="1" applyAlignment="1">
      <alignment horizontal="left" vertical="top" wrapText="1"/>
    </xf>
    <xf numFmtId="0" fontId="11" fillId="3" borderId="6" xfId="0" applyFont="1" applyFill="1" applyBorder="1" applyAlignment="1">
      <alignment horizontal="left" vertical="top" wrapText="1"/>
    </xf>
    <xf numFmtId="0" fontId="11" fillId="3" borderId="0" xfId="0" applyFont="1" applyFill="1" applyAlignment="1">
      <alignment horizontal="left" vertical="top" wrapText="1"/>
    </xf>
    <xf numFmtId="0" fontId="11" fillId="3" borderId="7" xfId="0" applyFont="1" applyFill="1" applyBorder="1" applyAlignment="1">
      <alignment horizontal="left" vertical="top" wrapText="1"/>
    </xf>
    <xf numFmtId="0" fontId="11" fillId="3" borderId="8" xfId="0" applyFont="1" applyFill="1" applyBorder="1" applyAlignment="1">
      <alignment horizontal="left" vertical="top" wrapText="1"/>
    </xf>
    <xf numFmtId="0" fontId="11" fillId="3" borderId="14" xfId="0" applyFont="1" applyFill="1" applyBorder="1" applyAlignment="1">
      <alignment horizontal="left" vertical="top" wrapText="1"/>
    </xf>
    <xf numFmtId="0" fontId="11" fillId="3" borderId="9" xfId="0" applyFont="1" applyFill="1" applyBorder="1" applyAlignment="1">
      <alignment horizontal="left" vertical="top" wrapText="1"/>
    </xf>
    <xf numFmtId="0" fontId="12" fillId="0" borderId="0" xfId="0" applyFont="1" applyAlignment="1">
      <alignment vertical="top"/>
    </xf>
    <xf numFmtId="10" fontId="9" fillId="0" borderId="0" xfId="2" applyNumberFormat="1" applyFont="1" applyBorder="1"/>
    <xf numFmtId="49" fontId="9" fillId="0" borderId="0" xfId="0" applyNumberFormat="1" applyFont="1"/>
    <xf numFmtId="172" fontId="9" fillId="0" borderId="0" xfId="2" applyNumberFormat="1" applyFont="1" applyBorder="1"/>
    <xf numFmtId="49" fontId="10" fillId="0" borderId="0" xfId="0" applyNumberFormat="1" applyFont="1"/>
    <xf numFmtId="171" fontId="9" fillId="0" borderId="9" xfId="1" applyNumberFormat="1" applyFont="1" applyBorder="1"/>
    <xf numFmtId="43" fontId="0" fillId="0" borderId="7" xfId="0" applyNumberFormat="1" applyBorder="1"/>
    <xf numFmtId="165" fontId="0" fillId="0" borderId="7" xfId="0" applyNumberFormat="1" applyBorder="1"/>
    <xf numFmtId="0" fontId="0" fillId="0" borderId="9" xfId="1" applyNumberFormat="1" applyFont="1" applyBorder="1"/>
    <xf numFmtId="43" fontId="0" fillId="0" borderId="5" xfId="2" applyNumberFormat="1" applyFont="1" applyBorder="1"/>
    <xf numFmtId="174" fontId="0" fillId="0" borderId="0" xfId="1" applyNumberFormat="1" applyFont="1"/>
    <xf numFmtId="171" fontId="0" fillId="0" borderId="7" xfId="1" applyNumberFormat="1" applyFont="1" applyBorder="1"/>
    <xf numFmtId="0" fontId="1" fillId="0" borderId="10" xfId="0" applyFont="1" applyBorder="1"/>
    <xf numFmtId="0" fontId="1" fillId="0" borderId="10" xfId="0" applyFont="1" applyBorder="1" applyAlignment="1">
      <alignment wrapText="1"/>
    </xf>
    <xf numFmtId="168" fontId="0" fillId="0" borderId="15" xfId="0" applyNumberFormat="1" applyBorder="1"/>
    <xf numFmtId="165" fontId="0" fillId="0" borderId="7" xfId="2" applyNumberFormat="1" applyFont="1" applyBorder="1"/>
    <xf numFmtId="43" fontId="3" fillId="0" borderId="7" xfId="1" applyFont="1" applyBorder="1"/>
    <xf numFmtId="43" fontId="3" fillId="0" borderId="9" xfId="1" applyFont="1" applyBorder="1"/>
    <xf numFmtId="168" fontId="0" fillId="0" borderId="14" xfId="1" applyNumberFormat="1" applyFont="1" applyBorder="1"/>
    <xf numFmtId="43" fontId="0" fillId="0" borderId="7" xfId="2" applyNumberFormat="1" applyFont="1" applyBorder="1"/>
    <xf numFmtId="0" fontId="1" fillId="5" borderId="6" xfId="0" applyFont="1" applyFill="1" applyBorder="1"/>
    <xf numFmtId="177" fontId="0" fillId="0" borderId="7" xfId="1" applyNumberFormat="1" applyFont="1" applyBorder="1"/>
    <xf numFmtId="43" fontId="0" fillId="0" borderId="7" xfId="1" applyFont="1" applyBorder="1"/>
    <xf numFmtId="43" fontId="0" fillId="0" borderId="9" xfId="1" applyFont="1" applyBorder="1"/>
    <xf numFmtId="172" fontId="0" fillId="0" borderId="7" xfId="0" applyNumberFormat="1" applyBorder="1"/>
    <xf numFmtId="43" fontId="0" fillId="2" borderId="0" xfId="0" applyNumberFormat="1" applyFill="1"/>
    <xf numFmtId="10" fontId="0" fillId="0" borderId="5" xfId="2" applyNumberFormat="1" applyFont="1" applyBorder="1"/>
    <xf numFmtId="43" fontId="0" fillId="0" borderId="3" xfId="1" applyFont="1" applyBorder="1"/>
    <xf numFmtId="0" fontId="1" fillId="0" borderId="11" xfId="0" applyFont="1" applyBorder="1"/>
    <xf numFmtId="0" fontId="1" fillId="0" borderId="11" xfId="0" applyFont="1" applyBorder="1" applyAlignment="1">
      <alignment wrapText="1"/>
    </xf>
    <xf numFmtId="0" fontId="0" fillId="0" borderId="11" xfId="0" applyBorder="1"/>
    <xf numFmtId="0" fontId="1" fillId="0" borderId="2" xfId="0" applyFont="1" applyBorder="1" applyAlignment="1">
      <alignment horizontal="center"/>
    </xf>
    <xf numFmtId="0" fontId="1" fillId="0" borderId="3" xfId="0" applyFont="1" applyBorder="1" applyAlignment="1">
      <alignment horizontal="center"/>
    </xf>
    <xf numFmtId="176" fontId="0" fillId="0" borderId="15" xfId="2" applyNumberFormat="1" applyFont="1" applyBorder="1"/>
    <xf numFmtId="176" fontId="0" fillId="0" borderId="5" xfId="2" applyNumberFormat="1" applyFont="1" applyBorder="1"/>
    <xf numFmtId="0" fontId="0" fillId="0" borderId="12" xfId="0" applyBorder="1"/>
    <xf numFmtId="174" fontId="0" fillId="0" borderId="12" xfId="1" applyNumberFormat="1" applyFont="1" applyBorder="1"/>
    <xf numFmtId="176" fontId="0" fillId="0" borderId="0" xfId="2" applyNumberFormat="1" applyFont="1" applyBorder="1"/>
    <xf numFmtId="176" fontId="0" fillId="0" borderId="7" xfId="2" applyNumberFormat="1" applyFont="1" applyBorder="1"/>
    <xf numFmtId="0" fontId="0" fillId="0" borderId="17" xfId="0" applyBorder="1"/>
    <xf numFmtId="174" fontId="0" fillId="0" borderId="17" xfId="1" applyNumberFormat="1" applyFont="1" applyBorder="1"/>
    <xf numFmtId="176" fontId="0" fillId="0" borderId="14" xfId="2" applyNumberFormat="1" applyFont="1" applyBorder="1"/>
    <xf numFmtId="176" fontId="0" fillId="0" borderId="9" xfId="2" applyNumberFormat="1" applyFont="1" applyBorder="1"/>
    <xf numFmtId="0" fontId="0" fillId="0" borderId="13" xfId="0" applyBorder="1"/>
    <xf numFmtId="174" fontId="0" fillId="0" borderId="13" xfId="1" applyNumberFormat="1" applyFont="1" applyBorder="1"/>
    <xf numFmtId="172" fontId="0" fillId="0" borderId="0" xfId="2" applyNumberFormat="1" applyFont="1"/>
    <xf numFmtId="0" fontId="0" fillId="0" borderId="0" xfId="0" applyAlignment="1">
      <alignment horizontal="right" vertical="center"/>
    </xf>
    <xf numFmtId="0" fontId="1" fillId="4" borderId="4" xfId="0" applyFont="1" applyFill="1" applyBorder="1"/>
    <xf numFmtId="0" fontId="0" fillId="4" borderId="5" xfId="0" applyFill="1" applyBorder="1"/>
    <xf numFmtId="0" fontId="0" fillId="4" borderId="0" xfId="0" applyFill="1"/>
    <xf numFmtId="0" fontId="1" fillId="4" borderId="6" xfId="0" applyFont="1" applyFill="1" applyBorder="1"/>
    <xf numFmtId="0" fontId="0" fillId="4" borderId="7" xfId="0" applyFill="1" applyBorder="1"/>
    <xf numFmtId="171" fontId="0" fillId="4" borderId="7" xfId="1" applyNumberFormat="1" applyFont="1" applyFill="1" applyBorder="1"/>
    <xf numFmtId="0" fontId="13" fillId="4" borderId="0" xfId="0" applyFont="1" applyFill="1"/>
    <xf numFmtId="0" fontId="1" fillId="4" borderId="8" xfId="0" applyFont="1" applyFill="1" applyBorder="1"/>
    <xf numFmtId="0" fontId="0" fillId="4" borderId="9" xfId="0" applyFill="1" applyBorder="1"/>
    <xf numFmtId="0" fontId="1" fillId="4" borderId="5" xfId="0" applyFont="1" applyFill="1" applyBorder="1"/>
    <xf numFmtId="0" fontId="1" fillId="4" borderId="9" xfId="0" applyFont="1" applyFill="1" applyBorder="1"/>
    <xf numFmtId="0" fontId="3" fillId="4" borderId="4" xfId="0" applyFont="1" applyFill="1" applyBorder="1"/>
    <xf numFmtId="0" fontId="1" fillId="6" borderId="4" xfId="0" applyFont="1" applyFill="1" applyBorder="1"/>
    <xf numFmtId="0" fontId="0" fillId="6" borderId="5" xfId="0" applyFill="1" applyBorder="1"/>
    <xf numFmtId="0" fontId="0" fillId="6" borderId="0" xfId="0" applyFill="1"/>
    <xf numFmtId="0" fontId="1" fillId="6" borderId="6" xfId="0" applyFont="1" applyFill="1" applyBorder="1"/>
    <xf numFmtId="0" fontId="0" fillId="6" borderId="7" xfId="0" applyFill="1" applyBorder="1"/>
    <xf numFmtId="0" fontId="1" fillId="6" borderId="8" xfId="0" applyFont="1" applyFill="1" applyBorder="1"/>
    <xf numFmtId="0" fontId="0" fillId="6" borderId="9" xfId="0" applyFill="1" applyBorder="1"/>
    <xf numFmtId="0" fontId="3" fillId="6" borderId="2" xfId="0" applyFont="1" applyFill="1" applyBorder="1"/>
    <xf numFmtId="0" fontId="1" fillId="6" borderId="3" xfId="0" applyFont="1" applyFill="1" applyBorder="1"/>
    <xf numFmtId="0" fontId="3" fillId="6" borderId="6" xfId="0" applyFont="1" applyFill="1" applyBorder="1"/>
    <xf numFmtId="166" fontId="0" fillId="6" borderId="7" xfId="2" applyNumberFormat="1" applyFont="1" applyFill="1" applyBorder="1"/>
    <xf numFmtId="0" fontId="3" fillId="6" borderId="7" xfId="0" applyFont="1" applyFill="1" applyBorder="1"/>
    <xf numFmtId="0" fontId="3" fillId="6" borderId="16" xfId="0" applyFont="1" applyFill="1" applyBorder="1"/>
    <xf numFmtId="0" fontId="3" fillId="6" borderId="8" xfId="0" applyFont="1" applyFill="1" applyBorder="1"/>
    <xf numFmtId="0" fontId="1" fillId="6" borderId="9" xfId="0" applyFont="1" applyFill="1" applyBorder="1"/>
    <xf numFmtId="0" fontId="2" fillId="6" borderId="0" xfId="0" applyFont="1" applyFill="1"/>
    <xf numFmtId="9" fontId="0" fillId="6" borderId="7" xfId="2" applyFont="1" applyFill="1" applyBorder="1"/>
    <xf numFmtId="0" fontId="0" fillId="6" borderId="16" xfId="0" applyFill="1" applyBorder="1"/>
    <xf numFmtId="9" fontId="0" fillId="6" borderId="5" xfId="2" applyFont="1" applyFill="1" applyBorder="1"/>
    <xf numFmtId="165" fontId="1" fillId="6" borderId="3" xfId="3" applyNumberFormat="1" applyFill="1" applyBorder="1"/>
    <xf numFmtId="0" fontId="3" fillId="7" borderId="2" xfId="0" applyFont="1" applyFill="1" applyBorder="1"/>
    <xf numFmtId="165" fontId="0" fillId="7" borderId="3" xfId="0" applyNumberFormat="1" applyFill="1" applyBorder="1"/>
    <xf numFmtId="0" fontId="2" fillId="7" borderId="0" xfId="0" applyFont="1" applyFill="1"/>
    <xf numFmtId="0" fontId="3" fillId="0" borderId="2" xfId="0" applyFont="1" applyBorder="1"/>
    <xf numFmtId="171" fontId="3" fillId="0" borderId="0" xfId="1" applyNumberFormat="1" applyFont="1"/>
    <xf numFmtId="0" fontId="9" fillId="8" borderId="0" xfId="0" applyFont="1" applyFill="1" applyBorder="1" applyAlignment="1">
      <alignment wrapText="1"/>
    </xf>
    <xf numFmtId="0" fontId="3" fillId="3" borderId="4" xfId="0" applyFont="1" applyFill="1" applyBorder="1" applyAlignment="1">
      <alignment horizontal="left" vertical="top" wrapText="1"/>
    </xf>
    <xf numFmtId="172" fontId="3" fillId="3" borderId="4" xfId="2" applyNumberFormat="1" applyFont="1" applyFill="1" applyBorder="1" applyAlignment="1">
      <alignment horizontal="left" vertical="top" wrapText="1"/>
    </xf>
  </cellXfs>
  <cellStyles count="4">
    <cellStyle name="Comma" xfId="1" builtinId="3"/>
    <cellStyle name="Normal" xfId="0" builtinId="0"/>
    <cellStyle name="Percent" xfId="2" builtinId="5"/>
    <cellStyle name="Style 4" xfId="3" xr:uid="{BBD944C4-B330-4DE6-A555-96E436D37D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125</xdr:row>
      <xdr:rowOff>0</xdr:rowOff>
    </xdr:from>
    <xdr:to>
      <xdr:col>2</xdr:col>
      <xdr:colOff>1237848</xdr:colOff>
      <xdr:row>127</xdr:row>
      <xdr:rowOff>9483</xdr:rowOff>
    </xdr:to>
    <xdr:pic>
      <xdr:nvPicPr>
        <xdr:cNvPr id="2" name="Picture 1">
          <a:extLst>
            <a:ext uri="{FF2B5EF4-FFF2-40B4-BE49-F238E27FC236}">
              <a16:creationId xmlns:a16="http://schemas.microsoft.com/office/drawing/2014/main" id="{70081FE2-A0B5-416D-A481-3E13DECD51D2}"/>
            </a:ext>
          </a:extLst>
        </xdr:cNvPr>
        <xdr:cNvPicPr>
          <a:picLocks noChangeAspect="1"/>
        </xdr:cNvPicPr>
      </xdr:nvPicPr>
      <xdr:blipFill>
        <a:blip xmlns:r="http://schemas.openxmlformats.org/officeDocument/2006/relationships" r:embed="rId1"/>
        <a:stretch>
          <a:fillRect/>
        </a:stretch>
      </xdr:blipFill>
      <xdr:spPr>
        <a:xfrm>
          <a:off x="609600" y="23279100"/>
          <a:ext cx="3272388" cy="344763"/>
        </a:xfrm>
        <a:prstGeom prst="rect">
          <a:avLst/>
        </a:prstGeom>
      </xdr:spPr>
    </xdr:pic>
    <xdr:clientData/>
  </xdr:twoCellAnchor>
  <xdr:twoCellAnchor editAs="oneCell">
    <xdr:from>
      <xdr:col>1</xdr:col>
      <xdr:colOff>104775</xdr:colOff>
      <xdr:row>126</xdr:row>
      <xdr:rowOff>104775</xdr:rowOff>
    </xdr:from>
    <xdr:to>
      <xdr:col>1</xdr:col>
      <xdr:colOff>1704775</xdr:colOff>
      <xdr:row>128</xdr:row>
      <xdr:rowOff>85687</xdr:rowOff>
    </xdr:to>
    <xdr:pic>
      <xdr:nvPicPr>
        <xdr:cNvPr id="3" name="Picture 2">
          <a:extLst>
            <a:ext uri="{FF2B5EF4-FFF2-40B4-BE49-F238E27FC236}">
              <a16:creationId xmlns:a16="http://schemas.microsoft.com/office/drawing/2014/main" id="{C17D56E7-85F2-4635-885B-AD38C3AC0014}"/>
            </a:ext>
          </a:extLst>
        </xdr:cNvPr>
        <xdr:cNvPicPr>
          <a:picLocks noChangeAspect="1"/>
        </xdr:cNvPicPr>
      </xdr:nvPicPr>
      <xdr:blipFill>
        <a:blip xmlns:r="http://schemas.openxmlformats.org/officeDocument/2006/relationships" r:embed="rId2"/>
        <a:stretch>
          <a:fillRect/>
        </a:stretch>
      </xdr:blipFill>
      <xdr:spPr>
        <a:xfrm>
          <a:off x="714375" y="23551515"/>
          <a:ext cx="1600000" cy="316192"/>
        </a:xfrm>
        <a:prstGeom prst="rect">
          <a:avLst/>
        </a:prstGeom>
      </xdr:spPr>
    </xdr:pic>
    <xdr:clientData/>
  </xdr:twoCellAnchor>
  <xdr:twoCellAnchor editAs="oneCell">
    <xdr:from>
      <xdr:col>1</xdr:col>
      <xdr:colOff>1905000</xdr:colOff>
      <xdr:row>160</xdr:row>
      <xdr:rowOff>104775</xdr:rowOff>
    </xdr:from>
    <xdr:to>
      <xdr:col>2</xdr:col>
      <xdr:colOff>1589638</xdr:colOff>
      <xdr:row>161</xdr:row>
      <xdr:rowOff>257136</xdr:rowOff>
    </xdr:to>
    <xdr:pic>
      <xdr:nvPicPr>
        <xdr:cNvPr id="4" name="Picture 3">
          <a:extLst>
            <a:ext uri="{FF2B5EF4-FFF2-40B4-BE49-F238E27FC236}">
              <a16:creationId xmlns:a16="http://schemas.microsoft.com/office/drawing/2014/main" id="{1B7AB7AD-CB97-479D-A8F0-B578FEAD03E8}"/>
            </a:ext>
          </a:extLst>
        </xdr:cNvPr>
        <xdr:cNvPicPr>
          <a:picLocks noChangeAspect="1"/>
        </xdr:cNvPicPr>
      </xdr:nvPicPr>
      <xdr:blipFill>
        <a:blip xmlns:r="http://schemas.openxmlformats.org/officeDocument/2006/relationships" r:embed="rId3"/>
        <a:stretch>
          <a:fillRect/>
        </a:stretch>
      </xdr:blipFill>
      <xdr:spPr>
        <a:xfrm>
          <a:off x="2514600" y="29548455"/>
          <a:ext cx="1719178" cy="320001"/>
        </a:xfrm>
        <a:prstGeom prst="rect">
          <a:avLst/>
        </a:prstGeom>
      </xdr:spPr>
    </xdr:pic>
    <xdr:clientData/>
  </xdr:twoCellAnchor>
  <xdr:twoCellAnchor editAs="oneCell">
    <xdr:from>
      <xdr:col>3</xdr:col>
      <xdr:colOff>28575</xdr:colOff>
      <xdr:row>160</xdr:row>
      <xdr:rowOff>152400</xdr:rowOff>
    </xdr:from>
    <xdr:to>
      <xdr:col>3</xdr:col>
      <xdr:colOff>1619051</xdr:colOff>
      <xdr:row>161</xdr:row>
      <xdr:rowOff>276189</xdr:rowOff>
    </xdr:to>
    <xdr:pic>
      <xdr:nvPicPr>
        <xdr:cNvPr id="5" name="Picture 4">
          <a:extLst>
            <a:ext uri="{FF2B5EF4-FFF2-40B4-BE49-F238E27FC236}">
              <a16:creationId xmlns:a16="http://schemas.microsoft.com/office/drawing/2014/main" id="{7370576B-3991-47A4-9581-5F6297828D02}"/>
            </a:ext>
          </a:extLst>
        </xdr:cNvPr>
        <xdr:cNvPicPr>
          <a:picLocks noChangeAspect="1"/>
        </xdr:cNvPicPr>
      </xdr:nvPicPr>
      <xdr:blipFill>
        <a:blip xmlns:r="http://schemas.openxmlformats.org/officeDocument/2006/relationships" r:embed="rId4"/>
        <a:stretch>
          <a:fillRect/>
        </a:stretch>
      </xdr:blipFill>
      <xdr:spPr>
        <a:xfrm>
          <a:off x="5347335" y="29596080"/>
          <a:ext cx="1590476" cy="291429"/>
        </a:xfrm>
        <a:prstGeom prst="rect">
          <a:avLst/>
        </a:prstGeom>
      </xdr:spPr>
    </xdr:pic>
    <xdr:clientData/>
  </xdr:twoCellAnchor>
  <xdr:twoCellAnchor editAs="oneCell">
    <xdr:from>
      <xdr:col>0</xdr:col>
      <xdr:colOff>514350</xdr:colOff>
      <xdr:row>179</xdr:row>
      <xdr:rowOff>57150</xdr:rowOff>
    </xdr:from>
    <xdr:to>
      <xdr:col>2</xdr:col>
      <xdr:colOff>180693</xdr:colOff>
      <xdr:row>181</xdr:row>
      <xdr:rowOff>152348</xdr:rowOff>
    </xdr:to>
    <xdr:pic>
      <xdr:nvPicPr>
        <xdr:cNvPr id="6" name="Picture 5">
          <a:extLst>
            <a:ext uri="{FF2B5EF4-FFF2-40B4-BE49-F238E27FC236}">
              <a16:creationId xmlns:a16="http://schemas.microsoft.com/office/drawing/2014/main" id="{72FD304D-DFED-4925-BB46-5D1D218C77AD}"/>
            </a:ext>
          </a:extLst>
        </xdr:cNvPr>
        <xdr:cNvPicPr>
          <a:picLocks noChangeAspect="1"/>
        </xdr:cNvPicPr>
      </xdr:nvPicPr>
      <xdr:blipFill>
        <a:blip xmlns:r="http://schemas.openxmlformats.org/officeDocument/2006/relationships" r:embed="rId5"/>
        <a:stretch>
          <a:fillRect/>
        </a:stretch>
      </xdr:blipFill>
      <xdr:spPr>
        <a:xfrm>
          <a:off x="514350" y="33188910"/>
          <a:ext cx="2310483" cy="430478"/>
        </a:xfrm>
        <a:prstGeom prst="rect">
          <a:avLst/>
        </a:prstGeom>
      </xdr:spPr>
    </xdr:pic>
    <xdr:clientData/>
  </xdr:twoCellAnchor>
  <xdr:twoCellAnchor editAs="oneCell">
    <xdr:from>
      <xdr:col>2</xdr:col>
      <xdr:colOff>476250</xdr:colOff>
      <xdr:row>179</xdr:row>
      <xdr:rowOff>66675</xdr:rowOff>
    </xdr:from>
    <xdr:to>
      <xdr:col>3</xdr:col>
      <xdr:colOff>217539</xdr:colOff>
      <xdr:row>181</xdr:row>
      <xdr:rowOff>85682</xdr:rowOff>
    </xdr:to>
    <xdr:pic>
      <xdr:nvPicPr>
        <xdr:cNvPr id="7" name="Picture 6">
          <a:extLst>
            <a:ext uri="{FF2B5EF4-FFF2-40B4-BE49-F238E27FC236}">
              <a16:creationId xmlns:a16="http://schemas.microsoft.com/office/drawing/2014/main" id="{7AA9F1B7-F82B-4161-B5C2-303F86BDF129}"/>
            </a:ext>
          </a:extLst>
        </xdr:cNvPr>
        <xdr:cNvPicPr>
          <a:picLocks noChangeAspect="1"/>
        </xdr:cNvPicPr>
      </xdr:nvPicPr>
      <xdr:blipFill>
        <a:blip xmlns:r="http://schemas.openxmlformats.org/officeDocument/2006/relationships" r:embed="rId6"/>
        <a:stretch>
          <a:fillRect/>
        </a:stretch>
      </xdr:blipFill>
      <xdr:spPr>
        <a:xfrm>
          <a:off x="3120390" y="33198435"/>
          <a:ext cx="2415909" cy="354287"/>
        </a:xfrm>
        <a:prstGeom prst="rect">
          <a:avLst/>
        </a:prstGeom>
      </xdr:spPr>
    </xdr:pic>
    <xdr:clientData/>
  </xdr:twoCellAnchor>
  <xdr:twoCellAnchor editAs="oneCell">
    <xdr:from>
      <xdr:col>1</xdr:col>
      <xdr:colOff>1990725</xdr:colOff>
      <xdr:row>200</xdr:row>
      <xdr:rowOff>95250</xdr:rowOff>
    </xdr:from>
    <xdr:to>
      <xdr:col>3</xdr:col>
      <xdr:colOff>655575</xdr:colOff>
      <xdr:row>200</xdr:row>
      <xdr:rowOff>419060</xdr:rowOff>
    </xdr:to>
    <xdr:pic>
      <xdr:nvPicPr>
        <xdr:cNvPr id="8" name="Picture 7">
          <a:extLst>
            <a:ext uri="{FF2B5EF4-FFF2-40B4-BE49-F238E27FC236}">
              <a16:creationId xmlns:a16="http://schemas.microsoft.com/office/drawing/2014/main" id="{B9553995-3D97-4EA3-926C-F8CAE2CA5925}"/>
            </a:ext>
          </a:extLst>
        </xdr:cNvPr>
        <xdr:cNvPicPr>
          <a:picLocks noChangeAspect="1"/>
        </xdr:cNvPicPr>
      </xdr:nvPicPr>
      <xdr:blipFill>
        <a:blip xmlns:r="http://schemas.openxmlformats.org/officeDocument/2006/relationships" r:embed="rId7"/>
        <a:stretch>
          <a:fillRect/>
        </a:stretch>
      </xdr:blipFill>
      <xdr:spPr>
        <a:xfrm>
          <a:off x="2600325" y="37082730"/>
          <a:ext cx="3374010" cy="323810"/>
        </a:xfrm>
        <a:prstGeom prst="rect">
          <a:avLst/>
        </a:prstGeom>
      </xdr:spPr>
    </xdr:pic>
    <xdr:clientData/>
  </xdr:twoCellAnchor>
  <xdr:twoCellAnchor editAs="oneCell">
    <xdr:from>
      <xdr:col>2</xdr:col>
      <xdr:colOff>133350</xdr:colOff>
      <xdr:row>199</xdr:row>
      <xdr:rowOff>38100</xdr:rowOff>
    </xdr:from>
    <xdr:to>
      <xdr:col>2</xdr:col>
      <xdr:colOff>1627759</xdr:colOff>
      <xdr:row>200</xdr:row>
      <xdr:rowOff>123794</xdr:rowOff>
    </xdr:to>
    <xdr:pic>
      <xdr:nvPicPr>
        <xdr:cNvPr id="9" name="Picture 8">
          <a:extLst>
            <a:ext uri="{FF2B5EF4-FFF2-40B4-BE49-F238E27FC236}">
              <a16:creationId xmlns:a16="http://schemas.microsoft.com/office/drawing/2014/main" id="{501F0458-BCDE-4769-8988-54B73F2CC8B4}"/>
            </a:ext>
          </a:extLst>
        </xdr:cNvPr>
        <xdr:cNvPicPr>
          <a:picLocks noChangeAspect="1"/>
        </xdr:cNvPicPr>
      </xdr:nvPicPr>
      <xdr:blipFill>
        <a:blip xmlns:r="http://schemas.openxmlformats.org/officeDocument/2006/relationships" r:embed="rId8"/>
        <a:stretch>
          <a:fillRect/>
        </a:stretch>
      </xdr:blipFill>
      <xdr:spPr>
        <a:xfrm>
          <a:off x="2777490" y="36857940"/>
          <a:ext cx="1494409" cy="253334"/>
        </a:xfrm>
        <a:prstGeom prst="rect">
          <a:avLst/>
        </a:prstGeom>
      </xdr:spPr>
    </xdr:pic>
    <xdr:clientData/>
  </xdr:twoCellAnchor>
  <xdr:twoCellAnchor editAs="oneCell">
    <xdr:from>
      <xdr:col>3</xdr:col>
      <xdr:colOff>1362075</xdr:colOff>
      <xdr:row>201</xdr:row>
      <xdr:rowOff>19050</xdr:rowOff>
    </xdr:from>
    <xdr:to>
      <xdr:col>5</xdr:col>
      <xdr:colOff>414488</xdr:colOff>
      <xdr:row>204</xdr:row>
      <xdr:rowOff>28513</xdr:rowOff>
    </xdr:to>
    <xdr:pic>
      <xdr:nvPicPr>
        <xdr:cNvPr id="10" name="Picture 9">
          <a:extLst>
            <a:ext uri="{FF2B5EF4-FFF2-40B4-BE49-F238E27FC236}">
              <a16:creationId xmlns:a16="http://schemas.microsoft.com/office/drawing/2014/main" id="{74CDF732-7422-4F71-AE2E-B74B87D55B3A}"/>
            </a:ext>
          </a:extLst>
        </xdr:cNvPr>
        <xdr:cNvPicPr>
          <a:picLocks noChangeAspect="1"/>
        </xdr:cNvPicPr>
      </xdr:nvPicPr>
      <xdr:blipFill>
        <a:blip xmlns:r="http://schemas.openxmlformats.org/officeDocument/2006/relationships" r:embed="rId9"/>
        <a:stretch>
          <a:fillRect/>
        </a:stretch>
      </xdr:blipFill>
      <xdr:spPr>
        <a:xfrm>
          <a:off x="6680835" y="37509450"/>
          <a:ext cx="3906353" cy="512383"/>
        </a:xfrm>
        <a:prstGeom prst="rect">
          <a:avLst/>
        </a:prstGeom>
      </xdr:spPr>
    </xdr:pic>
    <xdr:clientData/>
  </xdr:twoCellAnchor>
  <xdr:twoCellAnchor editAs="oneCell">
    <xdr:from>
      <xdr:col>3</xdr:col>
      <xdr:colOff>342900</xdr:colOff>
      <xdr:row>218</xdr:row>
      <xdr:rowOff>28575</xdr:rowOff>
    </xdr:from>
    <xdr:to>
      <xdr:col>4</xdr:col>
      <xdr:colOff>1190270</xdr:colOff>
      <xdr:row>220</xdr:row>
      <xdr:rowOff>57106</xdr:rowOff>
    </xdr:to>
    <xdr:pic>
      <xdr:nvPicPr>
        <xdr:cNvPr id="11" name="Picture 10">
          <a:extLst>
            <a:ext uri="{FF2B5EF4-FFF2-40B4-BE49-F238E27FC236}">
              <a16:creationId xmlns:a16="http://schemas.microsoft.com/office/drawing/2014/main" id="{69ED1D7D-BCD5-457C-AF9E-0D0A396A8CF0}"/>
            </a:ext>
          </a:extLst>
        </xdr:cNvPr>
        <xdr:cNvPicPr>
          <a:picLocks noChangeAspect="1"/>
        </xdr:cNvPicPr>
      </xdr:nvPicPr>
      <xdr:blipFill>
        <a:blip xmlns:r="http://schemas.openxmlformats.org/officeDocument/2006/relationships" r:embed="rId10"/>
        <a:stretch>
          <a:fillRect/>
        </a:stretch>
      </xdr:blipFill>
      <xdr:spPr>
        <a:xfrm>
          <a:off x="5661660" y="40445055"/>
          <a:ext cx="2897150" cy="363811"/>
        </a:xfrm>
        <a:prstGeom prst="rect">
          <a:avLst/>
        </a:prstGeom>
      </xdr:spPr>
    </xdr:pic>
    <xdr:clientData/>
  </xdr:twoCellAnchor>
  <xdr:twoCellAnchor editAs="oneCell">
    <xdr:from>
      <xdr:col>3</xdr:col>
      <xdr:colOff>200025</xdr:colOff>
      <xdr:row>323</xdr:row>
      <xdr:rowOff>0</xdr:rowOff>
    </xdr:from>
    <xdr:to>
      <xdr:col>3</xdr:col>
      <xdr:colOff>1828596</xdr:colOff>
      <xdr:row>325</xdr:row>
      <xdr:rowOff>85674</xdr:rowOff>
    </xdr:to>
    <xdr:pic>
      <xdr:nvPicPr>
        <xdr:cNvPr id="12" name="Picture 11">
          <a:extLst>
            <a:ext uri="{FF2B5EF4-FFF2-40B4-BE49-F238E27FC236}">
              <a16:creationId xmlns:a16="http://schemas.microsoft.com/office/drawing/2014/main" id="{45DC534B-9BC1-4C52-9D6D-EE707EA2D092}"/>
            </a:ext>
          </a:extLst>
        </xdr:cNvPr>
        <xdr:cNvPicPr>
          <a:picLocks noChangeAspect="1"/>
        </xdr:cNvPicPr>
      </xdr:nvPicPr>
      <xdr:blipFill>
        <a:blip xmlns:r="http://schemas.openxmlformats.org/officeDocument/2006/relationships" r:embed="rId11"/>
        <a:stretch>
          <a:fillRect/>
        </a:stretch>
      </xdr:blipFill>
      <xdr:spPr>
        <a:xfrm>
          <a:off x="5518785" y="58407300"/>
          <a:ext cx="1628571" cy="420954"/>
        </a:xfrm>
        <a:prstGeom prst="rect">
          <a:avLst/>
        </a:prstGeom>
      </xdr:spPr>
    </xdr:pic>
    <xdr:clientData/>
  </xdr:twoCellAnchor>
  <xdr:twoCellAnchor editAs="oneCell">
    <xdr:from>
      <xdr:col>3</xdr:col>
      <xdr:colOff>323850</xdr:colOff>
      <xdr:row>327</xdr:row>
      <xdr:rowOff>104775</xdr:rowOff>
    </xdr:from>
    <xdr:to>
      <xdr:col>4</xdr:col>
      <xdr:colOff>695030</xdr:colOff>
      <xdr:row>330</xdr:row>
      <xdr:rowOff>76143</xdr:rowOff>
    </xdr:to>
    <xdr:pic>
      <xdr:nvPicPr>
        <xdr:cNvPr id="13" name="Picture 12">
          <a:extLst>
            <a:ext uri="{FF2B5EF4-FFF2-40B4-BE49-F238E27FC236}">
              <a16:creationId xmlns:a16="http://schemas.microsoft.com/office/drawing/2014/main" id="{BE6A9A98-294C-42B3-8E49-E460D7CE182F}"/>
            </a:ext>
          </a:extLst>
        </xdr:cNvPr>
        <xdr:cNvPicPr>
          <a:picLocks noChangeAspect="1"/>
        </xdr:cNvPicPr>
      </xdr:nvPicPr>
      <xdr:blipFill>
        <a:blip xmlns:r="http://schemas.openxmlformats.org/officeDocument/2006/relationships" r:embed="rId12"/>
        <a:stretch>
          <a:fillRect/>
        </a:stretch>
      </xdr:blipFill>
      <xdr:spPr>
        <a:xfrm>
          <a:off x="5642610" y="59182635"/>
          <a:ext cx="2420960" cy="474288"/>
        </a:xfrm>
        <a:prstGeom prst="rect">
          <a:avLst/>
        </a:prstGeom>
      </xdr:spPr>
    </xdr:pic>
    <xdr:clientData/>
  </xdr:twoCellAnchor>
  <xdr:twoCellAnchor editAs="oneCell">
    <xdr:from>
      <xdr:col>3</xdr:col>
      <xdr:colOff>333375</xdr:colOff>
      <xdr:row>331</xdr:row>
      <xdr:rowOff>38100</xdr:rowOff>
    </xdr:from>
    <xdr:to>
      <xdr:col>4</xdr:col>
      <xdr:colOff>1285507</xdr:colOff>
      <xdr:row>333</xdr:row>
      <xdr:rowOff>104726</xdr:rowOff>
    </xdr:to>
    <xdr:pic>
      <xdr:nvPicPr>
        <xdr:cNvPr id="14" name="Picture 13">
          <a:extLst>
            <a:ext uri="{FF2B5EF4-FFF2-40B4-BE49-F238E27FC236}">
              <a16:creationId xmlns:a16="http://schemas.microsoft.com/office/drawing/2014/main" id="{08EA85CC-2F82-4976-A9A2-8CCD719B9ED4}"/>
            </a:ext>
          </a:extLst>
        </xdr:cNvPr>
        <xdr:cNvPicPr>
          <a:picLocks noChangeAspect="1"/>
        </xdr:cNvPicPr>
      </xdr:nvPicPr>
      <xdr:blipFill>
        <a:blip xmlns:r="http://schemas.openxmlformats.org/officeDocument/2006/relationships" r:embed="rId13"/>
        <a:stretch>
          <a:fillRect/>
        </a:stretch>
      </xdr:blipFill>
      <xdr:spPr>
        <a:xfrm>
          <a:off x="5652135" y="59786520"/>
          <a:ext cx="3001912" cy="401907"/>
        </a:xfrm>
        <a:prstGeom prst="rect">
          <a:avLst/>
        </a:prstGeom>
      </xdr:spPr>
    </xdr:pic>
    <xdr:clientData/>
  </xdr:twoCellAnchor>
  <xdr:twoCellAnchor editAs="oneCell">
    <xdr:from>
      <xdr:col>15</xdr:col>
      <xdr:colOff>800660</xdr:colOff>
      <xdr:row>252</xdr:row>
      <xdr:rowOff>56030</xdr:rowOff>
    </xdr:from>
    <xdr:to>
      <xdr:col>20</xdr:col>
      <xdr:colOff>69564</xdr:colOff>
      <xdr:row>255</xdr:row>
      <xdr:rowOff>13392</xdr:rowOff>
    </xdr:to>
    <xdr:pic>
      <xdr:nvPicPr>
        <xdr:cNvPr id="18" name="Picture 17">
          <a:extLst>
            <a:ext uri="{FF2B5EF4-FFF2-40B4-BE49-F238E27FC236}">
              <a16:creationId xmlns:a16="http://schemas.microsoft.com/office/drawing/2014/main" id="{D0F4E851-4EA2-40EA-862E-7C6BD85DD0AF}"/>
            </a:ext>
          </a:extLst>
        </xdr:cNvPr>
        <xdr:cNvPicPr>
          <a:picLocks noChangeAspect="1"/>
        </xdr:cNvPicPr>
      </xdr:nvPicPr>
      <xdr:blipFill>
        <a:blip xmlns:r="http://schemas.openxmlformats.org/officeDocument/2006/relationships" r:embed="rId14"/>
        <a:stretch>
          <a:fillRect/>
        </a:stretch>
      </xdr:blipFill>
      <xdr:spPr>
        <a:xfrm>
          <a:off x="22692920" y="46355150"/>
          <a:ext cx="3863764" cy="452663"/>
        </a:xfrm>
        <a:prstGeom prst="rect">
          <a:avLst/>
        </a:prstGeom>
      </xdr:spPr>
    </xdr:pic>
    <xdr:clientData/>
  </xdr:twoCellAnchor>
  <xdr:twoCellAnchor>
    <xdr:from>
      <xdr:col>9</xdr:col>
      <xdr:colOff>238125</xdr:colOff>
      <xdr:row>234</xdr:row>
      <xdr:rowOff>0</xdr:rowOff>
    </xdr:from>
    <xdr:to>
      <xdr:col>10</xdr:col>
      <xdr:colOff>11206</xdr:colOff>
      <xdr:row>240</xdr:row>
      <xdr:rowOff>95250</xdr:rowOff>
    </xdr:to>
    <xdr:sp macro="" textlink="">
      <xdr:nvSpPr>
        <xdr:cNvPr id="19" name="Arrow: Curved Left 18">
          <a:extLst>
            <a:ext uri="{FF2B5EF4-FFF2-40B4-BE49-F238E27FC236}">
              <a16:creationId xmlns:a16="http://schemas.microsoft.com/office/drawing/2014/main" id="{EEC9EF32-5443-4904-B138-01E280E43454}"/>
            </a:ext>
          </a:extLst>
        </xdr:cNvPr>
        <xdr:cNvSpPr/>
      </xdr:nvSpPr>
      <xdr:spPr>
        <a:xfrm>
          <a:off x="16308705" y="43304460"/>
          <a:ext cx="870361" cy="1085850"/>
        </a:xfrm>
        <a:prstGeom prst="curvedLeftArrow">
          <a:avLst>
            <a:gd name="adj1" fmla="val 25000"/>
            <a:gd name="adj2" fmla="val 32769"/>
            <a:gd name="adj3" fmla="val 25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257175</xdr:colOff>
      <xdr:row>242</xdr:row>
      <xdr:rowOff>38099</xdr:rowOff>
    </xdr:from>
    <xdr:to>
      <xdr:col>10</xdr:col>
      <xdr:colOff>0</xdr:colOff>
      <xdr:row>248</xdr:row>
      <xdr:rowOff>47624</xdr:rowOff>
    </xdr:to>
    <xdr:sp macro="" textlink="">
      <xdr:nvSpPr>
        <xdr:cNvPr id="20" name="Arrow: Curved Left 19">
          <a:extLst>
            <a:ext uri="{FF2B5EF4-FFF2-40B4-BE49-F238E27FC236}">
              <a16:creationId xmlns:a16="http://schemas.microsoft.com/office/drawing/2014/main" id="{70838819-B11A-46D2-8794-1B67814C3AE6}"/>
            </a:ext>
          </a:extLst>
        </xdr:cNvPr>
        <xdr:cNvSpPr/>
      </xdr:nvSpPr>
      <xdr:spPr>
        <a:xfrm>
          <a:off x="16327755" y="44668439"/>
          <a:ext cx="840105" cy="1007745"/>
        </a:xfrm>
        <a:prstGeom prst="curvedLeftArrow">
          <a:avLst>
            <a:gd name="adj1" fmla="val 25000"/>
            <a:gd name="adj2" fmla="val 32769"/>
            <a:gd name="adj3" fmla="val 25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263190</xdr:colOff>
      <xdr:row>249</xdr:row>
      <xdr:rowOff>47845</xdr:rowOff>
    </xdr:from>
    <xdr:to>
      <xdr:col>9</xdr:col>
      <xdr:colOff>980492</xdr:colOff>
      <xdr:row>256</xdr:row>
      <xdr:rowOff>40288</xdr:rowOff>
    </xdr:to>
    <xdr:sp macro="" textlink="">
      <xdr:nvSpPr>
        <xdr:cNvPr id="21" name="Arrow: Curved Left 20">
          <a:extLst>
            <a:ext uri="{FF2B5EF4-FFF2-40B4-BE49-F238E27FC236}">
              <a16:creationId xmlns:a16="http://schemas.microsoft.com/office/drawing/2014/main" id="{B0EFBF53-4191-49EF-857C-6AF1CEDB74EA}"/>
            </a:ext>
          </a:extLst>
        </xdr:cNvPr>
        <xdr:cNvSpPr/>
      </xdr:nvSpPr>
      <xdr:spPr>
        <a:xfrm rot="276807">
          <a:off x="16333770" y="45844045"/>
          <a:ext cx="717302" cy="1158303"/>
        </a:xfrm>
        <a:prstGeom prst="curvedLeftArrow">
          <a:avLst>
            <a:gd name="adj1" fmla="val 25000"/>
            <a:gd name="adj2" fmla="val 32769"/>
            <a:gd name="adj3" fmla="val 25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6</xdr:col>
      <xdr:colOff>323850</xdr:colOff>
      <xdr:row>266</xdr:row>
      <xdr:rowOff>38100</xdr:rowOff>
    </xdr:from>
    <xdr:to>
      <xdr:col>12</xdr:col>
      <xdr:colOff>246812</xdr:colOff>
      <xdr:row>269</xdr:row>
      <xdr:rowOff>95182</xdr:rowOff>
    </xdr:to>
    <xdr:pic>
      <xdr:nvPicPr>
        <xdr:cNvPr id="22" name="Picture 21">
          <a:extLst>
            <a:ext uri="{FF2B5EF4-FFF2-40B4-BE49-F238E27FC236}">
              <a16:creationId xmlns:a16="http://schemas.microsoft.com/office/drawing/2014/main" id="{84EC03FF-1DA9-419D-8961-9A20F85FC24C}"/>
            </a:ext>
          </a:extLst>
        </xdr:cNvPr>
        <xdr:cNvPicPr>
          <a:picLocks noChangeAspect="1"/>
        </xdr:cNvPicPr>
      </xdr:nvPicPr>
      <xdr:blipFill>
        <a:blip xmlns:r="http://schemas.openxmlformats.org/officeDocument/2006/relationships" r:embed="rId15"/>
        <a:stretch>
          <a:fillRect/>
        </a:stretch>
      </xdr:blipFill>
      <xdr:spPr>
        <a:xfrm>
          <a:off x="12508230" y="48828960"/>
          <a:ext cx="6910502" cy="552382"/>
        </a:xfrm>
        <a:prstGeom prst="rect">
          <a:avLst/>
        </a:prstGeom>
      </xdr:spPr>
    </xdr:pic>
    <xdr:clientData/>
  </xdr:twoCellAnchor>
  <xdr:twoCellAnchor editAs="oneCell">
    <xdr:from>
      <xdr:col>1</xdr:col>
      <xdr:colOff>95250</xdr:colOff>
      <xdr:row>298</xdr:row>
      <xdr:rowOff>85725</xdr:rowOff>
    </xdr:from>
    <xdr:to>
      <xdr:col>4</xdr:col>
      <xdr:colOff>232730</xdr:colOff>
      <xdr:row>301</xdr:row>
      <xdr:rowOff>142807</xdr:rowOff>
    </xdr:to>
    <xdr:pic>
      <xdr:nvPicPr>
        <xdr:cNvPr id="23" name="Picture 22">
          <a:extLst>
            <a:ext uri="{FF2B5EF4-FFF2-40B4-BE49-F238E27FC236}">
              <a16:creationId xmlns:a16="http://schemas.microsoft.com/office/drawing/2014/main" id="{3527C4F7-FC4C-4F40-A3DE-359D1292BA24}"/>
            </a:ext>
          </a:extLst>
        </xdr:cNvPr>
        <xdr:cNvPicPr>
          <a:picLocks noChangeAspect="1"/>
        </xdr:cNvPicPr>
      </xdr:nvPicPr>
      <xdr:blipFill>
        <a:blip xmlns:r="http://schemas.openxmlformats.org/officeDocument/2006/relationships" r:embed="rId15"/>
        <a:stretch>
          <a:fillRect/>
        </a:stretch>
      </xdr:blipFill>
      <xdr:spPr>
        <a:xfrm>
          <a:off x="704850" y="54225825"/>
          <a:ext cx="6896420" cy="560002"/>
        </a:xfrm>
        <a:prstGeom prst="rect">
          <a:avLst/>
        </a:prstGeom>
      </xdr:spPr>
    </xdr:pic>
    <xdr:clientData/>
  </xdr:twoCellAnchor>
  <xdr:twoCellAnchor editAs="oneCell">
    <xdr:from>
      <xdr:col>3</xdr:col>
      <xdr:colOff>1209675</xdr:colOff>
      <xdr:row>302</xdr:row>
      <xdr:rowOff>123825</xdr:rowOff>
    </xdr:from>
    <xdr:to>
      <xdr:col>4</xdr:col>
      <xdr:colOff>1796589</xdr:colOff>
      <xdr:row>305</xdr:row>
      <xdr:rowOff>114230</xdr:rowOff>
    </xdr:to>
    <xdr:pic>
      <xdr:nvPicPr>
        <xdr:cNvPr id="24" name="Picture 23">
          <a:extLst>
            <a:ext uri="{FF2B5EF4-FFF2-40B4-BE49-F238E27FC236}">
              <a16:creationId xmlns:a16="http://schemas.microsoft.com/office/drawing/2014/main" id="{D6A96D6A-C458-440F-A7A1-D9F383A19E08}"/>
            </a:ext>
          </a:extLst>
        </xdr:cNvPr>
        <xdr:cNvPicPr>
          <a:picLocks noChangeAspect="1"/>
        </xdr:cNvPicPr>
      </xdr:nvPicPr>
      <xdr:blipFill>
        <a:blip xmlns:r="http://schemas.openxmlformats.org/officeDocument/2006/relationships" r:embed="rId16"/>
        <a:stretch>
          <a:fillRect/>
        </a:stretch>
      </xdr:blipFill>
      <xdr:spPr>
        <a:xfrm>
          <a:off x="6528435" y="54934485"/>
          <a:ext cx="2636694" cy="569525"/>
        </a:xfrm>
        <a:prstGeom prst="rect">
          <a:avLst/>
        </a:prstGeom>
      </xdr:spPr>
    </xdr:pic>
    <xdr:clientData/>
  </xdr:twoCellAnchor>
  <xdr:twoCellAnchor editAs="oneCell">
    <xdr:from>
      <xdr:col>3</xdr:col>
      <xdr:colOff>1343025</xdr:colOff>
      <xdr:row>305</xdr:row>
      <xdr:rowOff>85725</xdr:rowOff>
    </xdr:from>
    <xdr:to>
      <xdr:col>5</xdr:col>
      <xdr:colOff>204961</xdr:colOff>
      <xdr:row>308</xdr:row>
      <xdr:rowOff>47569</xdr:rowOff>
    </xdr:to>
    <xdr:pic>
      <xdr:nvPicPr>
        <xdr:cNvPr id="25" name="Picture 24">
          <a:extLst>
            <a:ext uri="{FF2B5EF4-FFF2-40B4-BE49-F238E27FC236}">
              <a16:creationId xmlns:a16="http://schemas.microsoft.com/office/drawing/2014/main" id="{48353A47-6244-4167-8DFF-6CD039DDB095}"/>
            </a:ext>
          </a:extLst>
        </xdr:cNvPr>
        <xdr:cNvPicPr>
          <a:picLocks noChangeAspect="1"/>
        </xdr:cNvPicPr>
      </xdr:nvPicPr>
      <xdr:blipFill>
        <a:blip xmlns:r="http://schemas.openxmlformats.org/officeDocument/2006/relationships" r:embed="rId17"/>
        <a:stretch>
          <a:fillRect/>
        </a:stretch>
      </xdr:blipFill>
      <xdr:spPr>
        <a:xfrm>
          <a:off x="6661785" y="55475505"/>
          <a:ext cx="3715876" cy="464764"/>
        </a:xfrm>
        <a:prstGeom prst="rect">
          <a:avLst/>
        </a:prstGeom>
      </xdr:spPr>
    </xdr:pic>
    <xdr:clientData/>
  </xdr:twoCellAnchor>
  <xdr:twoCellAnchor editAs="oneCell">
    <xdr:from>
      <xdr:col>3</xdr:col>
      <xdr:colOff>695739</xdr:colOff>
      <xdr:row>380</xdr:row>
      <xdr:rowOff>24849</xdr:rowOff>
    </xdr:from>
    <xdr:to>
      <xdr:col>5</xdr:col>
      <xdr:colOff>1325792</xdr:colOff>
      <xdr:row>380</xdr:row>
      <xdr:rowOff>301039</xdr:rowOff>
    </xdr:to>
    <xdr:pic>
      <xdr:nvPicPr>
        <xdr:cNvPr id="26" name="Picture 25">
          <a:extLst>
            <a:ext uri="{FF2B5EF4-FFF2-40B4-BE49-F238E27FC236}">
              <a16:creationId xmlns:a16="http://schemas.microsoft.com/office/drawing/2014/main" id="{07E504B5-4EFB-419C-A9A9-92A4C021D8A2}"/>
            </a:ext>
          </a:extLst>
        </xdr:cNvPr>
        <xdr:cNvPicPr>
          <a:picLocks noChangeAspect="1"/>
        </xdr:cNvPicPr>
      </xdr:nvPicPr>
      <xdr:blipFill>
        <a:blip xmlns:r="http://schemas.openxmlformats.org/officeDocument/2006/relationships" r:embed="rId18"/>
        <a:stretch>
          <a:fillRect/>
        </a:stretch>
      </xdr:blipFill>
      <xdr:spPr>
        <a:xfrm>
          <a:off x="6014499" y="68132409"/>
          <a:ext cx="5483993" cy="276190"/>
        </a:xfrm>
        <a:prstGeom prst="rect">
          <a:avLst/>
        </a:prstGeom>
      </xdr:spPr>
    </xdr:pic>
    <xdr:clientData/>
  </xdr:twoCellAnchor>
  <xdr:twoCellAnchor editAs="oneCell">
    <xdr:from>
      <xdr:col>3</xdr:col>
      <xdr:colOff>265044</xdr:colOff>
      <xdr:row>389</xdr:row>
      <xdr:rowOff>157369</xdr:rowOff>
    </xdr:from>
    <xdr:to>
      <xdr:col>4</xdr:col>
      <xdr:colOff>1162932</xdr:colOff>
      <xdr:row>391</xdr:row>
      <xdr:rowOff>50889</xdr:rowOff>
    </xdr:to>
    <xdr:pic>
      <xdr:nvPicPr>
        <xdr:cNvPr id="27" name="Picture 26">
          <a:extLst>
            <a:ext uri="{FF2B5EF4-FFF2-40B4-BE49-F238E27FC236}">
              <a16:creationId xmlns:a16="http://schemas.microsoft.com/office/drawing/2014/main" id="{F9BA0954-AF51-40BA-AF16-77C18CF695AE}"/>
            </a:ext>
          </a:extLst>
        </xdr:cNvPr>
        <xdr:cNvPicPr>
          <a:picLocks noChangeAspect="1"/>
        </xdr:cNvPicPr>
      </xdr:nvPicPr>
      <xdr:blipFill>
        <a:blip xmlns:r="http://schemas.openxmlformats.org/officeDocument/2006/relationships" r:embed="rId19"/>
        <a:stretch>
          <a:fillRect/>
        </a:stretch>
      </xdr:blipFill>
      <xdr:spPr>
        <a:xfrm>
          <a:off x="5583804" y="69918469"/>
          <a:ext cx="2947668" cy="373580"/>
        </a:xfrm>
        <a:prstGeom prst="rect">
          <a:avLst/>
        </a:prstGeom>
      </xdr:spPr>
    </xdr:pic>
    <xdr:clientData/>
  </xdr:twoCellAnchor>
  <xdr:twoCellAnchor editAs="oneCell">
    <xdr:from>
      <xdr:col>3</xdr:col>
      <xdr:colOff>173935</xdr:colOff>
      <xdr:row>391</xdr:row>
      <xdr:rowOff>132522</xdr:rowOff>
    </xdr:from>
    <xdr:to>
      <xdr:col>5</xdr:col>
      <xdr:colOff>327798</xdr:colOff>
      <xdr:row>393</xdr:row>
      <xdr:rowOff>115503</xdr:rowOff>
    </xdr:to>
    <xdr:pic>
      <xdr:nvPicPr>
        <xdr:cNvPr id="28" name="Picture 27">
          <a:extLst>
            <a:ext uri="{FF2B5EF4-FFF2-40B4-BE49-F238E27FC236}">
              <a16:creationId xmlns:a16="http://schemas.microsoft.com/office/drawing/2014/main" id="{FAA108D5-7AD9-4C2A-B1C0-ADB74A3D4343}"/>
            </a:ext>
          </a:extLst>
        </xdr:cNvPr>
        <xdr:cNvPicPr>
          <a:picLocks noChangeAspect="1"/>
        </xdr:cNvPicPr>
      </xdr:nvPicPr>
      <xdr:blipFill>
        <a:blip xmlns:r="http://schemas.openxmlformats.org/officeDocument/2006/relationships" r:embed="rId20"/>
        <a:stretch>
          <a:fillRect/>
        </a:stretch>
      </xdr:blipFill>
      <xdr:spPr>
        <a:xfrm>
          <a:off x="5492695" y="70373682"/>
          <a:ext cx="5007803" cy="318261"/>
        </a:xfrm>
        <a:prstGeom prst="rect">
          <a:avLst/>
        </a:prstGeom>
      </xdr:spPr>
    </xdr:pic>
    <xdr:clientData/>
  </xdr:twoCellAnchor>
  <xdr:twoCellAnchor editAs="oneCell">
    <xdr:from>
      <xdr:col>3</xdr:col>
      <xdr:colOff>1888435</xdr:colOff>
      <xdr:row>413</xdr:row>
      <xdr:rowOff>8284</xdr:rowOff>
    </xdr:from>
    <xdr:to>
      <xdr:col>6</xdr:col>
      <xdr:colOff>563792</xdr:colOff>
      <xdr:row>414</xdr:row>
      <xdr:rowOff>118821</xdr:rowOff>
    </xdr:to>
    <xdr:pic>
      <xdr:nvPicPr>
        <xdr:cNvPr id="29" name="Picture 28">
          <a:extLst>
            <a:ext uri="{FF2B5EF4-FFF2-40B4-BE49-F238E27FC236}">
              <a16:creationId xmlns:a16="http://schemas.microsoft.com/office/drawing/2014/main" id="{8AC657C7-6872-423C-90F3-61CDB825684A}"/>
            </a:ext>
          </a:extLst>
        </xdr:cNvPr>
        <xdr:cNvPicPr>
          <a:picLocks noChangeAspect="1"/>
        </xdr:cNvPicPr>
      </xdr:nvPicPr>
      <xdr:blipFill>
        <a:blip xmlns:r="http://schemas.openxmlformats.org/officeDocument/2006/relationships" r:embed="rId18"/>
        <a:stretch>
          <a:fillRect/>
        </a:stretch>
      </xdr:blipFill>
      <xdr:spPr>
        <a:xfrm>
          <a:off x="7207195" y="74013724"/>
          <a:ext cx="5540977" cy="278178"/>
        </a:xfrm>
        <a:prstGeom prst="rect">
          <a:avLst/>
        </a:prstGeom>
      </xdr:spPr>
    </xdr:pic>
    <xdr:clientData/>
  </xdr:twoCellAnchor>
  <xdr:twoCellAnchor editAs="oneCell">
    <xdr:from>
      <xdr:col>3</xdr:col>
      <xdr:colOff>1871870</xdr:colOff>
      <xdr:row>415</xdr:row>
      <xdr:rowOff>0</xdr:rowOff>
    </xdr:from>
    <xdr:to>
      <xdr:col>6</xdr:col>
      <xdr:colOff>71037</xdr:colOff>
      <xdr:row>416</xdr:row>
      <xdr:rowOff>1866</xdr:rowOff>
    </xdr:to>
    <xdr:pic>
      <xdr:nvPicPr>
        <xdr:cNvPr id="30" name="Picture 29">
          <a:extLst>
            <a:ext uri="{FF2B5EF4-FFF2-40B4-BE49-F238E27FC236}">
              <a16:creationId xmlns:a16="http://schemas.microsoft.com/office/drawing/2014/main" id="{E563B368-B5DF-4E3B-8E73-2EEA0EBEDBF9}"/>
            </a:ext>
          </a:extLst>
        </xdr:cNvPr>
        <xdr:cNvPicPr>
          <a:picLocks noChangeAspect="1"/>
        </xdr:cNvPicPr>
      </xdr:nvPicPr>
      <xdr:blipFill>
        <a:blip xmlns:r="http://schemas.openxmlformats.org/officeDocument/2006/relationships" r:embed="rId20"/>
        <a:stretch>
          <a:fillRect/>
        </a:stretch>
      </xdr:blipFill>
      <xdr:spPr>
        <a:xfrm>
          <a:off x="7190630" y="74340720"/>
          <a:ext cx="5064787" cy="314286"/>
        </a:xfrm>
        <a:prstGeom prst="rect">
          <a:avLst/>
        </a:prstGeom>
      </xdr:spPr>
    </xdr:pic>
    <xdr:clientData/>
  </xdr:twoCellAnchor>
  <xdr:twoCellAnchor editAs="oneCell">
    <xdr:from>
      <xdr:col>3</xdr:col>
      <xdr:colOff>240195</xdr:colOff>
      <xdr:row>451</xdr:row>
      <xdr:rowOff>132522</xdr:rowOff>
    </xdr:from>
    <xdr:to>
      <xdr:col>5</xdr:col>
      <xdr:colOff>1325217</xdr:colOff>
      <xdr:row>455</xdr:row>
      <xdr:rowOff>134659</xdr:rowOff>
    </xdr:to>
    <xdr:pic>
      <xdr:nvPicPr>
        <xdr:cNvPr id="31" name="Picture 30">
          <a:extLst>
            <a:ext uri="{FF2B5EF4-FFF2-40B4-BE49-F238E27FC236}">
              <a16:creationId xmlns:a16="http://schemas.microsoft.com/office/drawing/2014/main" id="{7C821B6E-CE14-41C3-BF80-D08A10232E1C}"/>
            </a:ext>
          </a:extLst>
        </xdr:cNvPr>
        <xdr:cNvPicPr>
          <a:picLocks noChangeAspect="1"/>
        </xdr:cNvPicPr>
      </xdr:nvPicPr>
      <xdr:blipFill>
        <a:blip xmlns:r="http://schemas.openxmlformats.org/officeDocument/2006/relationships" r:embed="rId21"/>
        <a:stretch>
          <a:fillRect/>
        </a:stretch>
      </xdr:blipFill>
      <xdr:spPr>
        <a:xfrm>
          <a:off x="5558955" y="80797842"/>
          <a:ext cx="5938962" cy="817477"/>
        </a:xfrm>
        <a:prstGeom prst="rect">
          <a:avLst/>
        </a:prstGeom>
      </xdr:spPr>
    </xdr:pic>
    <xdr:clientData/>
  </xdr:twoCellAnchor>
  <xdr:twoCellAnchor editAs="oneCell">
    <xdr:from>
      <xdr:col>3</xdr:col>
      <xdr:colOff>563218</xdr:colOff>
      <xdr:row>461</xdr:row>
      <xdr:rowOff>16566</xdr:rowOff>
    </xdr:from>
    <xdr:to>
      <xdr:col>4</xdr:col>
      <xdr:colOff>2443370</xdr:colOff>
      <xdr:row>466</xdr:row>
      <xdr:rowOff>112363</xdr:rowOff>
    </xdr:to>
    <xdr:pic>
      <xdr:nvPicPr>
        <xdr:cNvPr id="32" name="Picture 31">
          <a:extLst>
            <a:ext uri="{FF2B5EF4-FFF2-40B4-BE49-F238E27FC236}">
              <a16:creationId xmlns:a16="http://schemas.microsoft.com/office/drawing/2014/main" id="{9CFFB07F-E67F-4188-8DA1-5A90A5EE8663}"/>
            </a:ext>
          </a:extLst>
        </xdr:cNvPr>
        <xdr:cNvPicPr>
          <a:picLocks noChangeAspect="1"/>
        </xdr:cNvPicPr>
      </xdr:nvPicPr>
      <xdr:blipFill>
        <a:blip xmlns:r="http://schemas.openxmlformats.org/officeDocument/2006/relationships" r:embed="rId22"/>
        <a:stretch>
          <a:fillRect/>
        </a:stretch>
      </xdr:blipFill>
      <xdr:spPr>
        <a:xfrm>
          <a:off x="5881978" y="82503066"/>
          <a:ext cx="3929932" cy="1078777"/>
        </a:xfrm>
        <a:prstGeom prst="rect">
          <a:avLst/>
        </a:prstGeom>
      </xdr:spPr>
    </xdr:pic>
    <xdr:clientData/>
  </xdr:twoCellAnchor>
  <xdr:twoCellAnchor editAs="oneCell">
    <xdr:from>
      <xdr:col>3</xdr:col>
      <xdr:colOff>472108</xdr:colOff>
      <xdr:row>467</xdr:row>
      <xdr:rowOff>8283</xdr:rowOff>
    </xdr:from>
    <xdr:to>
      <xdr:col>5</xdr:col>
      <xdr:colOff>91031</xdr:colOff>
      <xdr:row>470</xdr:row>
      <xdr:rowOff>66261</xdr:rowOff>
    </xdr:to>
    <xdr:pic>
      <xdr:nvPicPr>
        <xdr:cNvPr id="33" name="Picture 32">
          <a:extLst>
            <a:ext uri="{FF2B5EF4-FFF2-40B4-BE49-F238E27FC236}">
              <a16:creationId xmlns:a16="http://schemas.microsoft.com/office/drawing/2014/main" id="{C821CB3F-DCD1-4081-9AA5-84196F7014AB}"/>
            </a:ext>
          </a:extLst>
        </xdr:cNvPr>
        <xdr:cNvPicPr>
          <a:picLocks noChangeAspect="1"/>
        </xdr:cNvPicPr>
      </xdr:nvPicPr>
      <xdr:blipFill>
        <a:blip xmlns:r="http://schemas.openxmlformats.org/officeDocument/2006/relationships" r:embed="rId23"/>
        <a:stretch>
          <a:fillRect/>
        </a:stretch>
      </xdr:blipFill>
      <xdr:spPr>
        <a:xfrm>
          <a:off x="5790868" y="83645403"/>
          <a:ext cx="4472863" cy="560898"/>
        </a:xfrm>
        <a:prstGeom prst="rect">
          <a:avLst/>
        </a:prstGeom>
      </xdr:spPr>
    </xdr:pic>
    <xdr:clientData/>
  </xdr:twoCellAnchor>
  <xdr:twoCellAnchor editAs="oneCell">
    <xdr:from>
      <xdr:col>3</xdr:col>
      <xdr:colOff>513523</xdr:colOff>
      <xdr:row>474</xdr:row>
      <xdr:rowOff>8282</xdr:rowOff>
    </xdr:from>
    <xdr:to>
      <xdr:col>4</xdr:col>
      <xdr:colOff>2203175</xdr:colOff>
      <xdr:row>478</xdr:row>
      <xdr:rowOff>105561</xdr:rowOff>
    </xdr:to>
    <xdr:pic>
      <xdr:nvPicPr>
        <xdr:cNvPr id="34" name="Picture 33">
          <a:extLst>
            <a:ext uri="{FF2B5EF4-FFF2-40B4-BE49-F238E27FC236}">
              <a16:creationId xmlns:a16="http://schemas.microsoft.com/office/drawing/2014/main" id="{9FCE97FD-EA3F-4A60-A576-82E1EC2E1709}"/>
            </a:ext>
          </a:extLst>
        </xdr:cNvPr>
        <xdr:cNvPicPr>
          <a:picLocks noChangeAspect="1"/>
        </xdr:cNvPicPr>
      </xdr:nvPicPr>
      <xdr:blipFill>
        <a:blip xmlns:r="http://schemas.openxmlformats.org/officeDocument/2006/relationships" r:embed="rId24"/>
        <a:stretch>
          <a:fillRect/>
        </a:stretch>
      </xdr:blipFill>
      <xdr:spPr>
        <a:xfrm>
          <a:off x="5832283" y="84963662"/>
          <a:ext cx="3739432" cy="767839"/>
        </a:xfrm>
        <a:prstGeom prst="rect">
          <a:avLst/>
        </a:prstGeom>
      </xdr:spPr>
    </xdr:pic>
    <xdr:clientData/>
  </xdr:twoCellAnchor>
  <xdr:twoCellAnchor editAs="oneCell">
    <xdr:from>
      <xdr:col>3</xdr:col>
      <xdr:colOff>488674</xdr:colOff>
      <xdr:row>478</xdr:row>
      <xdr:rowOff>157370</xdr:rowOff>
    </xdr:from>
    <xdr:to>
      <xdr:col>4</xdr:col>
      <xdr:colOff>2095501</xdr:colOff>
      <xdr:row>482</xdr:row>
      <xdr:rowOff>3099</xdr:rowOff>
    </xdr:to>
    <xdr:pic>
      <xdr:nvPicPr>
        <xdr:cNvPr id="35" name="Picture 34">
          <a:extLst>
            <a:ext uri="{FF2B5EF4-FFF2-40B4-BE49-F238E27FC236}">
              <a16:creationId xmlns:a16="http://schemas.microsoft.com/office/drawing/2014/main" id="{AA3A731A-2C6E-445E-B6D9-C1AE9E2661B9}"/>
            </a:ext>
          </a:extLst>
        </xdr:cNvPr>
        <xdr:cNvPicPr>
          <a:picLocks noChangeAspect="1"/>
        </xdr:cNvPicPr>
      </xdr:nvPicPr>
      <xdr:blipFill>
        <a:blip xmlns:r="http://schemas.openxmlformats.org/officeDocument/2006/relationships" r:embed="rId25"/>
        <a:stretch>
          <a:fillRect/>
        </a:stretch>
      </xdr:blipFill>
      <xdr:spPr>
        <a:xfrm>
          <a:off x="5807434" y="85783310"/>
          <a:ext cx="3656607" cy="851569"/>
        </a:xfrm>
        <a:prstGeom prst="rect">
          <a:avLst/>
        </a:prstGeom>
      </xdr:spPr>
    </xdr:pic>
    <xdr:clientData/>
  </xdr:twoCellAnchor>
  <xdr:twoCellAnchor editAs="oneCell">
    <xdr:from>
      <xdr:col>2</xdr:col>
      <xdr:colOff>231913</xdr:colOff>
      <xdr:row>486</xdr:row>
      <xdr:rowOff>157368</xdr:rowOff>
    </xdr:from>
    <xdr:to>
      <xdr:col>2</xdr:col>
      <xdr:colOff>2441437</xdr:colOff>
      <xdr:row>488</xdr:row>
      <xdr:rowOff>12794</xdr:rowOff>
    </xdr:to>
    <xdr:pic>
      <xdr:nvPicPr>
        <xdr:cNvPr id="36" name="Picture 35">
          <a:extLst>
            <a:ext uri="{FF2B5EF4-FFF2-40B4-BE49-F238E27FC236}">
              <a16:creationId xmlns:a16="http://schemas.microsoft.com/office/drawing/2014/main" id="{CA4449C3-002F-4869-878A-3BDAC675B621}"/>
            </a:ext>
          </a:extLst>
        </xdr:cNvPr>
        <xdr:cNvPicPr>
          <a:picLocks noChangeAspect="1"/>
        </xdr:cNvPicPr>
      </xdr:nvPicPr>
      <xdr:blipFill>
        <a:blip xmlns:r="http://schemas.openxmlformats.org/officeDocument/2006/relationships" r:embed="rId26"/>
        <a:stretch>
          <a:fillRect/>
        </a:stretch>
      </xdr:blipFill>
      <xdr:spPr>
        <a:xfrm>
          <a:off x="2876053" y="87459708"/>
          <a:ext cx="2209524" cy="335485"/>
        </a:xfrm>
        <a:prstGeom prst="rect">
          <a:avLst/>
        </a:prstGeom>
      </xdr:spPr>
    </xdr:pic>
    <xdr:clientData/>
  </xdr:twoCellAnchor>
  <xdr:twoCellAnchor editAs="oneCell">
    <xdr:from>
      <xdr:col>6</xdr:col>
      <xdr:colOff>604630</xdr:colOff>
      <xdr:row>503</xdr:row>
      <xdr:rowOff>74543</xdr:rowOff>
    </xdr:from>
    <xdr:to>
      <xdr:col>8</xdr:col>
      <xdr:colOff>823320</xdr:colOff>
      <xdr:row>505</xdr:row>
      <xdr:rowOff>133714</xdr:rowOff>
    </xdr:to>
    <xdr:pic>
      <xdr:nvPicPr>
        <xdr:cNvPr id="37" name="Picture 36">
          <a:extLst>
            <a:ext uri="{FF2B5EF4-FFF2-40B4-BE49-F238E27FC236}">
              <a16:creationId xmlns:a16="http://schemas.microsoft.com/office/drawing/2014/main" id="{056EFEC2-9416-42C7-880C-E021B0B10A6B}"/>
            </a:ext>
          </a:extLst>
        </xdr:cNvPr>
        <xdr:cNvPicPr>
          <a:picLocks noChangeAspect="1"/>
        </xdr:cNvPicPr>
      </xdr:nvPicPr>
      <xdr:blipFill>
        <a:blip xmlns:r="http://schemas.openxmlformats.org/officeDocument/2006/relationships" r:embed="rId27"/>
        <a:stretch>
          <a:fillRect/>
        </a:stretch>
      </xdr:blipFill>
      <xdr:spPr>
        <a:xfrm>
          <a:off x="12789010" y="90516323"/>
          <a:ext cx="3152390" cy="394451"/>
        </a:xfrm>
        <a:prstGeom prst="rect">
          <a:avLst/>
        </a:prstGeom>
      </xdr:spPr>
    </xdr:pic>
    <xdr:clientData/>
  </xdr:twoCellAnchor>
  <xdr:twoCellAnchor editAs="oneCell">
    <xdr:from>
      <xdr:col>6</xdr:col>
      <xdr:colOff>687456</xdr:colOff>
      <xdr:row>506</xdr:row>
      <xdr:rowOff>41412</xdr:rowOff>
    </xdr:from>
    <xdr:to>
      <xdr:col>8</xdr:col>
      <xdr:colOff>315670</xdr:colOff>
      <xdr:row>508</xdr:row>
      <xdr:rowOff>72013</xdr:rowOff>
    </xdr:to>
    <xdr:pic>
      <xdr:nvPicPr>
        <xdr:cNvPr id="38" name="Picture 37">
          <a:extLst>
            <a:ext uri="{FF2B5EF4-FFF2-40B4-BE49-F238E27FC236}">
              <a16:creationId xmlns:a16="http://schemas.microsoft.com/office/drawing/2014/main" id="{11CD6179-FCFC-419C-BFB4-B5B93D3AFECF}"/>
            </a:ext>
          </a:extLst>
        </xdr:cNvPr>
        <xdr:cNvPicPr>
          <a:picLocks noChangeAspect="1"/>
        </xdr:cNvPicPr>
      </xdr:nvPicPr>
      <xdr:blipFill>
        <a:blip xmlns:r="http://schemas.openxmlformats.org/officeDocument/2006/relationships" r:embed="rId28"/>
        <a:stretch>
          <a:fillRect/>
        </a:stretch>
      </xdr:blipFill>
      <xdr:spPr>
        <a:xfrm>
          <a:off x="12871836" y="90986112"/>
          <a:ext cx="2561914" cy="365881"/>
        </a:xfrm>
        <a:prstGeom prst="rect">
          <a:avLst/>
        </a:prstGeom>
      </xdr:spPr>
    </xdr:pic>
    <xdr:clientData/>
  </xdr:twoCellAnchor>
  <xdr:twoCellAnchor editAs="oneCell">
    <xdr:from>
      <xdr:col>4</xdr:col>
      <xdr:colOff>604142</xdr:colOff>
      <xdr:row>526</xdr:row>
      <xdr:rowOff>25822</xdr:rowOff>
    </xdr:from>
    <xdr:to>
      <xdr:col>7</xdr:col>
      <xdr:colOff>394645</xdr:colOff>
      <xdr:row>533</xdr:row>
      <xdr:rowOff>20321</xdr:rowOff>
    </xdr:to>
    <xdr:pic>
      <xdr:nvPicPr>
        <xdr:cNvPr id="39" name="Picture 38">
          <a:extLst>
            <a:ext uri="{FF2B5EF4-FFF2-40B4-BE49-F238E27FC236}">
              <a16:creationId xmlns:a16="http://schemas.microsoft.com/office/drawing/2014/main" id="{CAD534E4-4158-4128-9D16-82FA424B7003}"/>
            </a:ext>
          </a:extLst>
        </xdr:cNvPr>
        <xdr:cNvPicPr>
          <a:picLocks noChangeAspect="1"/>
        </xdr:cNvPicPr>
      </xdr:nvPicPr>
      <xdr:blipFill>
        <a:blip xmlns:r="http://schemas.openxmlformats.org/officeDocument/2006/relationships" r:embed="rId29"/>
        <a:stretch>
          <a:fillRect/>
        </a:stretch>
      </xdr:blipFill>
      <xdr:spPr>
        <a:xfrm>
          <a:off x="7972682" y="94612882"/>
          <a:ext cx="6397043" cy="1167979"/>
        </a:xfrm>
        <a:prstGeom prst="rect">
          <a:avLst/>
        </a:prstGeom>
      </xdr:spPr>
    </xdr:pic>
    <xdr:clientData/>
  </xdr:twoCellAnchor>
  <xdr:twoCellAnchor editAs="oneCell">
    <xdr:from>
      <xdr:col>4</xdr:col>
      <xdr:colOff>641659</xdr:colOff>
      <xdr:row>534</xdr:row>
      <xdr:rowOff>36053</xdr:rowOff>
    </xdr:from>
    <xdr:to>
      <xdr:col>4</xdr:col>
      <xdr:colOff>1851183</xdr:colOff>
      <xdr:row>537</xdr:row>
      <xdr:rowOff>148620</xdr:rowOff>
    </xdr:to>
    <xdr:pic>
      <xdr:nvPicPr>
        <xdr:cNvPr id="40" name="Picture 39">
          <a:extLst>
            <a:ext uri="{FF2B5EF4-FFF2-40B4-BE49-F238E27FC236}">
              <a16:creationId xmlns:a16="http://schemas.microsoft.com/office/drawing/2014/main" id="{07171358-4DA5-4482-8C2A-DE60AEF9BA52}"/>
            </a:ext>
          </a:extLst>
        </xdr:cNvPr>
        <xdr:cNvPicPr>
          <a:picLocks noChangeAspect="1"/>
        </xdr:cNvPicPr>
      </xdr:nvPicPr>
      <xdr:blipFill>
        <a:blip xmlns:r="http://schemas.openxmlformats.org/officeDocument/2006/relationships" r:embed="rId30"/>
        <a:stretch>
          <a:fillRect/>
        </a:stretch>
      </xdr:blipFill>
      <xdr:spPr>
        <a:xfrm>
          <a:off x="8010199" y="95964233"/>
          <a:ext cx="1209524" cy="615487"/>
        </a:xfrm>
        <a:prstGeom prst="rect">
          <a:avLst/>
        </a:prstGeom>
      </xdr:spPr>
    </xdr:pic>
    <xdr:clientData/>
  </xdr:twoCellAnchor>
  <xdr:twoCellAnchor editAs="oneCell">
    <xdr:from>
      <xdr:col>4</xdr:col>
      <xdr:colOff>523265</xdr:colOff>
      <xdr:row>537</xdr:row>
      <xdr:rowOff>38002</xdr:rowOff>
    </xdr:from>
    <xdr:to>
      <xdr:col>4</xdr:col>
      <xdr:colOff>2454649</xdr:colOff>
      <xdr:row>539</xdr:row>
      <xdr:rowOff>97174</xdr:rowOff>
    </xdr:to>
    <xdr:pic>
      <xdr:nvPicPr>
        <xdr:cNvPr id="41" name="Picture 40">
          <a:extLst>
            <a:ext uri="{FF2B5EF4-FFF2-40B4-BE49-F238E27FC236}">
              <a16:creationId xmlns:a16="http://schemas.microsoft.com/office/drawing/2014/main" id="{FDAC20FC-D2DA-48A0-B728-A451DC43C9DC}"/>
            </a:ext>
          </a:extLst>
        </xdr:cNvPr>
        <xdr:cNvPicPr>
          <a:picLocks noChangeAspect="1"/>
        </xdr:cNvPicPr>
      </xdr:nvPicPr>
      <xdr:blipFill>
        <a:blip xmlns:r="http://schemas.openxmlformats.org/officeDocument/2006/relationships" r:embed="rId31"/>
        <a:stretch>
          <a:fillRect/>
        </a:stretch>
      </xdr:blipFill>
      <xdr:spPr>
        <a:xfrm>
          <a:off x="7891805" y="96469102"/>
          <a:ext cx="1931384" cy="394452"/>
        </a:xfrm>
        <a:prstGeom prst="rect">
          <a:avLst/>
        </a:prstGeom>
      </xdr:spPr>
    </xdr:pic>
    <xdr:clientData/>
  </xdr:twoCellAnchor>
  <xdr:twoCellAnchor editAs="oneCell">
    <xdr:from>
      <xdr:col>4</xdr:col>
      <xdr:colOff>576860</xdr:colOff>
      <xdr:row>541</xdr:row>
      <xdr:rowOff>285503</xdr:rowOff>
    </xdr:from>
    <xdr:to>
      <xdr:col>4</xdr:col>
      <xdr:colOff>2660625</xdr:colOff>
      <xdr:row>543</xdr:row>
      <xdr:rowOff>98714</xdr:rowOff>
    </xdr:to>
    <xdr:pic>
      <xdr:nvPicPr>
        <xdr:cNvPr id="42" name="Picture 41">
          <a:extLst>
            <a:ext uri="{FF2B5EF4-FFF2-40B4-BE49-F238E27FC236}">
              <a16:creationId xmlns:a16="http://schemas.microsoft.com/office/drawing/2014/main" id="{2FF72810-CBE7-42CD-A9F7-4E3ADCAA71C6}"/>
            </a:ext>
          </a:extLst>
        </xdr:cNvPr>
        <xdr:cNvPicPr>
          <a:picLocks noChangeAspect="1"/>
        </xdr:cNvPicPr>
      </xdr:nvPicPr>
      <xdr:blipFill>
        <a:blip xmlns:r="http://schemas.openxmlformats.org/officeDocument/2006/relationships" r:embed="rId32"/>
        <a:stretch>
          <a:fillRect/>
        </a:stretch>
      </xdr:blipFill>
      <xdr:spPr>
        <a:xfrm>
          <a:off x="7945400" y="97402403"/>
          <a:ext cx="2083765" cy="293272"/>
        </a:xfrm>
        <a:prstGeom prst="rect">
          <a:avLst/>
        </a:prstGeom>
      </xdr:spPr>
    </xdr:pic>
    <xdr:clientData/>
  </xdr:twoCellAnchor>
  <xdr:twoCellAnchor editAs="oneCell">
    <xdr:from>
      <xdr:col>4</xdr:col>
      <xdr:colOff>552985</xdr:colOff>
      <xdr:row>539</xdr:row>
      <xdr:rowOff>154932</xdr:rowOff>
    </xdr:from>
    <xdr:to>
      <xdr:col>4</xdr:col>
      <xdr:colOff>2093893</xdr:colOff>
      <xdr:row>541</xdr:row>
      <xdr:rowOff>163876</xdr:rowOff>
    </xdr:to>
    <xdr:pic>
      <xdr:nvPicPr>
        <xdr:cNvPr id="43" name="Picture 42">
          <a:extLst>
            <a:ext uri="{FF2B5EF4-FFF2-40B4-BE49-F238E27FC236}">
              <a16:creationId xmlns:a16="http://schemas.microsoft.com/office/drawing/2014/main" id="{66A663B6-2839-4499-83E3-85A63C37300F}"/>
            </a:ext>
          </a:extLst>
        </xdr:cNvPr>
        <xdr:cNvPicPr>
          <a:picLocks noChangeAspect="1"/>
        </xdr:cNvPicPr>
      </xdr:nvPicPr>
      <xdr:blipFill>
        <a:blip xmlns:r="http://schemas.openxmlformats.org/officeDocument/2006/relationships" r:embed="rId33"/>
        <a:stretch>
          <a:fillRect/>
        </a:stretch>
      </xdr:blipFill>
      <xdr:spPr>
        <a:xfrm>
          <a:off x="7921525" y="96921312"/>
          <a:ext cx="1540908" cy="359463"/>
        </a:xfrm>
        <a:prstGeom prst="rect">
          <a:avLst/>
        </a:prstGeom>
      </xdr:spPr>
    </xdr:pic>
    <xdr:clientData/>
  </xdr:twoCellAnchor>
  <xdr:twoCellAnchor editAs="oneCell">
    <xdr:from>
      <xdr:col>4</xdr:col>
      <xdr:colOff>885264</xdr:colOff>
      <xdr:row>556</xdr:row>
      <xdr:rowOff>112059</xdr:rowOff>
    </xdr:from>
    <xdr:to>
      <xdr:col>7</xdr:col>
      <xdr:colOff>930961</xdr:colOff>
      <xdr:row>559</xdr:row>
      <xdr:rowOff>90689</xdr:rowOff>
    </xdr:to>
    <xdr:pic>
      <xdr:nvPicPr>
        <xdr:cNvPr id="44" name="Picture 43">
          <a:extLst>
            <a:ext uri="{FF2B5EF4-FFF2-40B4-BE49-F238E27FC236}">
              <a16:creationId xmlns:a16="http://schemas.microsoft.com/office/drawing/2014/main" id="{C13E7897-0D38-43DF-A15A-F313FB070B4F}"/>
            </a:ext>
          </a:extLst>
        </xdr:cNvPr>
        <xdr:cNvPicPr>
          <a:picLocks noChangeAspect="1"/>
        </xdr:cNvPicPr>
      </xdr:nvPicPr>
      <xdr:blipFill>
        <a:blip xmlns:r="http://schemas.openxmlformats.org/officeDocument/2006/relationships" r:embed="rId34"/>
        <a:stretch>
          <a:fillRect/>
        </a:stretch>
      </xdr:blipFill>
      <xdr:spPr>
        <a:xfrm>
          <a:off x="8253804" y="100048359"/>
          <a:ext cx="6652237" cy="626330"/>
        </a:xfrm>
        <a:prstGeom prst="rect">
          <a:avLst/>
        </a:prstGeom>
      </xdr:spPr>
    </xdr:pic>
    <xdr:clientData/>
  </xdr:twoCellAnchor>
  <xdr:twoCellAnchor editAs="oneCell">
    <xdr:from>
      <xdr:col>4</xdr:col>
      <xdr:colOff>1053353</xdr:colOff>
      <xdr:row>559</xdr:row>
      <xdr:rowOff>78441</xdr:rowOff>
    </xdr:from>
    <xdr:to>
      <xdr:col>7</xdr:col>
      <xdr:colOff>841907</xdr:colOff>
      <xdr:row>562</xdr:row>
      <xdr:rowOff>93507</xdr:rowOff>
    </xdr:to>
    <xdr:pic>
      <xdr:nvPicPr>
        <xdr:cNvPr id="45" name="Picture 44">
          <a:extLst>
            <a:ext uri="{FF2B5EF4-FFF2-40B4-BE49-F238E27FC236}">
              <a16:creationId xmlns:a16="http://schemas.microsoft.com/office/drawing/2014/main" id="{6DC33BD6-D456-493F-BA2F-3C4BAEA9887A}"/>
            </a:ext>
          </a:extLst>
        </xdr:cNvPr>
        <xdr:cNvPicPr>
          <a:picLocks noChangeAspect="1"/>
        </xdr:cNvPicPr>
      </xdr:nvPicPr>
      <xdr:blipFill>
        <a:blip xmlns:r="http://schemas.openxmlformats.org/officeDocument/2006/relationships" r:embed="rId35"/>
        <a:stretch>
          <a:fillRect/>
        </a:stretch>
      </xdr:blipFill>
      <xdr:spPr>
        <a:xfrm>
          <a:off x="8421893" y="100662441"/>
          <a:ext cx="6395094" cy="5179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8528F-0E6C-4167-8B45-F17852946D49}">
  <dimension ref="A2:U565"/>
  <sheetViews>
    <sheetView showGridLines="0" tabSelected="1" zoomScale="55" zoomScaleNormal="55" workbookViewId="0">
      <selection activeCell="B282" sqref="B282:H298"/>
    </sheetView>
  </sheetViews>
  <sheetFormatPr defaultRowHeight="13.2" x14ac:dyDescent="0.25"/>
  <cols>
    <col min="2" max="2" width="29.6640625" customWidth="1"/>
    <col min="3" max="3" width="39" customWidth="1"/>
    <col min="4" max="4" width="29.88671875" customWidth="1"/>
    <col min="5" max="5" width="40.88671875" customWidth="1"/>
    <col min="6" max="6" width="29.33203125" customWidth="1"/>
    <col min="7" max="7" width="26.109375" customWidth="1"/>
    <col min="8" max="8" width="16.6640625" customWidth="1"/>
    <col min="9" max="9" width="13.88671875" customWidth="1"/>
    <col min="10" max="10" width="16" customWidth="1"/>
    <col min="11" max="11" width="16.88671875" customWidth="1"/>
    <col min="12" max="12" width="12.33203125" bestFit="1" customWidth="1"/>
    <col min="13" max="13" width="21.88671875" customWidth="1"/>
    <col min="16" max="16" width="26.88671875" customWidth="1"/>
    <col min="17" max="17" width="13.44140625" bestFit="1" customWidth="1"/>
    <col min="21" max="21" width="11" customWidth="1"/>
  </cols>
  <sheetData>
    <row r="2" spans="2:18" ht="24.6" x14ac:dyDescent="0.4">
      <c r="B2" s="1" t="s">
        <v>0</v>
      </c>
      <c r="I2" s="1" t="s">
        <v>1</v>
      </c>
      <c r="P2" s="1" t="s">
        <v>2</v>
      </c>
    </row>
    <row r="3" spans="2:18" x14ac:dyDescent="0.25">
      <c r="I3" s="2" t="s">
        <v>3</v>
      </c>
      <c r="P3" s="2" t="s">
        <v>3</v>
      </c>
    </row>
    <row r="4" spans="2:18" x14ac:dyDescent="0.25">
      <c r="B4" s="2" t="s">
        <v>4</v>
      </c>
      <c r="C4">
        <v>100</v>
      </c>
      <c r="D4" s="2" t="s">
        <v>5</v>
      </c>
      <c r="I4" s="2" t="s">
        <v>4</v>
      </c>
      <c r="J4">
        <v>100</v>
      </c>
      <c r="K4" s="2" t="s">
        <v>6</v>
      </c>
      <c r="P4" s="2" t="s">
        <v>4</v>
      </c>
      <c r="Q4">
        <v>100</v>
      </c>
      <c r="R4" s="2" t="s">
        <v>6</v>
      </c>
    </row>
    <row r="5" spans="2:18" x14ac:dyDescent="0.25">
      <c r="B5" s="2" t="s">
        <v>7</v>
      </c>
      <c r="C5" s="3">
        <v>1792.13</v>
      </c>
      <c r="D5" s="2" t="s">
        <v>8</v>
      </c>
      <c r="I5" s="4" t="s">
        <v>9</v>
      </c>
      <c r="J5" s="5"/>
      <c r="P5" s="4" t="s">
        <v>10</v>
      </c>
      <c r="Q5" s="5"/>
    </row>
    <row r="6" spans="2:18" x14ac:dyDescent="0.25">
      <c r="B6" s="2" t="s">
        <v>11</v>
      </c>
      <c r="C6" s="3">
        <v>1770</v>
      </c>
      <c r="I6" s="6" t="s">
        <v>12</v>
      </c>
      <c r="J6" s="7">
        <v>1770</v>
      </c>
      <c r="K6" s="2" t="s">
        <v>8</v>
      </c>
      <c r="P6" s="6" t="s">
        <v>13</v>
      </c>
      <c r="Q6" s="7">
        <v>4500</v>
      </c>
      <c r="R6" t="s">
        <v>14</v>
      </c>
    </row>
    <row r="7" spans="2:18" x14ac:dyDescent="0.25">
      <c r="B7" s="2" t="s">
        <v>15</v>
      </c>
      <c r="C7" s="3">
        <v>1780.5</v>
      </c>
      <c r="I7" s="8" t="s">
        <v>16</v>
      </c>
      <c r="J7" s="9">
        <v>1792.13</v>
      </c>
      <c r="K7" s="2" t="s">
        <v>8</v>
      </c>
      <c r="P7" s="8" t="s">
        <v>17</v>
      </c>
      <c r="Q7" s="7">
        <v>4950</v>
      </c>
    </row>
    <row r="8" spans="2:18" x14ac:dyDescent="0.25">
      <c r="I8" s="10" t="s">
        <v>18</v>
      </c>
      <c r="J8" s="11">
        <v>4950</v>
      </c>
      <c r="K8" s="2" t="s">
        <v>19</v>
      </c>
      <c r="P8" s="8" t="s">
        <v>16</v>
      </c>
      <c r="Q8" s="7">
        <v>1792.13</v>
      </c>
    </row>
    <row r="9" spans="2:18" x14ac:dyDescent="0.25">
      <c r="B9" s="2" t="s">
        <v>20</v>
      </c>
      <c r="C9" s="12">
        <f>C7-C5</f>
        <v>-11.630000000000109</v>
      </c>
      <c r="I9" s="6" t="s">
        <v>21</v>
      </c>
      <c r="J9" s="7">
        <v>1797.13</v>
      </c>
      <c r="P9" s="8" t="s">
        <v>21</v>
      </c>
      <c r="Q9" s="7">
        <v>1797.13</v>
      </c>
    </row>
    <row r="10" spans="2:18" x14ac:dyDescent="0.25">
      <c r="B10" s="2" t="s">
        <v>22</v>
      </c>
      <c r="C10" s="12">
        <f>C9*C4</f>
        <v>-1163.0000000000109</v>
      </c>
      <c r="I10" s="13" t="s">
        <v>23</v>
      </c>
      <c r="J10" s="14">
        <f>(J9-J7)*J4</f>
        <v>500</v>
      </c>
      <c r="P10" s="13" t="s">
        <v>23</v>
      </c>
      <c r="Q10" s="15">
        <f>(Q9-Q8)*Q4</f>
        <v>500</v>
      </c>
    </row>
    <row r="11" spans="2:18" x14ac:dyDescent="0.25">
      <c r="I11" s="10" t="s">
        <v>24</v>
      </c>
      <c r="J11" s="16">
        <f>J8+J10</f>
        <v>5450</v>
      </c>
      <c r="K11" s="17">
        <f>J11/J8-1</f>
        <v>0.10101010101010099</v>
      </c>
      <c r="P11" s="18" t="s">
        <v>25</v>
      </c>
      <c r="Q11" s="19">
        <f>Q7-Q10</f>
        <v>4450</v>
      </c>
    </row>
    <row r="12" spans="2:18" x14ac:dyDescent="0.25">
      <c r="I12" s="2"/>
      <c r="J12" s="20"/>
      <c r="P12" s="8" t="s">
        <v>26</v>
      </c>
      <c r="Q12" s="9">
        <f>Q11-Q6</f>
        <v>-50</v>
      </c>
    </row>
    <row r="13" spans="2:18" x14ac:dyDescent="0.25">
      <c r="Q13" s="21" t="str">
        <f>IF(Q12&lt;0,"margin call","ok")</f>
        <v>margin call</v>
      </c>
    </row>
    <row r="15" spans="2:18" ht="24.6" x14ac:dyDescent="0.4">
      <c r="B15" s="1" t="s">
        <v>27</v>
      </c>
    </row>
    <row r="17" spans="2:17" x14ac:dyDescent="0.25">
      <c r="B17" s="21" t="s">
        <v>28</v>
      </c>
      <c r="P17" s="2" t="s">
        <v>29</v>
      </c>
    </row>
    <row r="18" spans="2:17" x14ac:dyDescent="0.25">
      <c r="B18" s="2" t="s">
        <v>30</v>
      </c>
      <c r="C18">
        <v>100</v>
      </c>
      <c r="D18" s="2" t="s">
        <v>31</v>
      </c>
      <c r="G18" s="2" t="s">
        <v>32</v>
      </c>
      <c r="H18" s="2" t="s">
        <v>33</v>
      </c>
      <c r="I18" s="2" t="s">
        <v>34</v>
      </c>
      <c r="J18" s="2" t="s">
        <v>35</v>
      </c>
      <c r="K18" s="2" t="s">
        <v>36</v>
      </c>
      <c r="L18" s="2" t="s">
        <v>37</v>
      </c>
      <c r="P18" t="s">
        <v>30</v>
      </c>
      <c r="Q18">
        <f>C18</f>
        <v>100</v>
      </c>
    </row>
    <row r="19" spans="2:17" x14ac:dyDescent="0.25">
      <c r="B19" s="2" t="s">
        <v>38</v>
      </c>
      <c r="C19">
        <v>1</v>
      </c>
      <c r="G19" s="22">
        <v>6</v>
      </c>
      <c r="H19" s="23">
        <f>$C$20</f>
        <v>1792.13</v>
      </c>
      <c r="K19" s="23">
        <f>C22</f>
        <v>4950</v>
      </c>
      <c r="L19" s="23"/>
      <c r="P19" t="s">
        <v>38</v>
      </c>
      <c r="Q19">
        <f t="shared" ref="Q19:Q20" si="0">C19</f>
        <v>1</v>
      </c>
    </row>
    <row r="20" spans="2:17" x14ac:dyDescent="0.25">
      <c r="B20" s="2" t="s">
        <v>39</v>
      </c>
      <c r="C20" s="24">
        <v>1792.13</v>
      </c>
      <c r="D20" s="2" t="s">
        <v>40</v>
      </c>
      <c r="F20" s="25"/>
      <c r="G20" s="22">
        <v>5</v>
      </c>
      <c r="H20" s="23">
        <v>1797.13</v>
      </c>
      <c r="I20" s="23">
        <f>(H20-H19)*$C$18</f>
        <v>500</v>
      </c>
      <c r="J20" s="23">
        <f>I20</f>
        <v>500</v>
      </c>
      <c r="K20" s="23">
        <f>IF(K19&gt;=$C$22,K19+I20,IF(K19&lt;$C$23,$C$22+I20,K19+I20))</f>
        <v>5450</v>
      </c>
      <c r="L20" s="23">
        <f>IF(K20&lt;$C$23,K20-$C$22,0)</f>
        <v>0</v>
      </c>
      <c r="P20" t="s">
        <v>39</v>
      </c>
      <c r="Q20">
        <f t="shared" si="0"/>
        <v>1792.13</v>
      </c>
    </row>
    <row r="21" spans="2:17" x14ac:dyDescent="0.25">
      <c r="B21" s="2" t="s">
        <v>41</v>
      </c>
      <c r="C21" s="26">
        <f>C18*C20</f>
        <v>179213</v>
      </c>
      <c r="G21" s="22">
        <v>4</v>
      </c>
      <c r="H21" s="23">
        <v>1786.25</v>
      </c>
      <c r="I21" s="23">
        <f t="shared" ref="I21:I25" si="1">(H21-H20)*$C$18</f>
        <v>-1088.0000000000109</v>
      </c>
      <c r="J21" s="23">
        <f>I21+J20</f>
        <v>-588.00000000001091</v>
      </c>
      <c r="K21" s="23">
        <f t="shared" ref="K21:K25" si="2">IF(K20&gt;=$C$22,K20+I21,IF(K20&lt;$C$23,$C$22+I21,K20+I21))</f>
        <v>4361.9999999999891</v>
      </c>
      <c r="L21" s="23">
        <f t="shared" ref="L21:L24" si="3">IF(K21&lt;$C$23,K21-$C$22,0)</f>
        <v>-588.00000000001091</v>
      </c>
      <c r="M21" s="23"/>
      <c r="N21" s="23"/>
      <c r="P21" s="2" t="s">
        <v>41</v>
      </c>
      <c r="Q21" s="24">
        <f>Q20*Q18</f>
        <v>179213</v>
      </c>
    </row>
    <row r="22" spans="2:17" x14ac:dyDescent="0.25">
      <c r="B22" s="2" t="s">
        <v>18</v>
      </c>
      <c r="C22" s="24">
        <v>4950</v>
      </c>
      <c r="G22" s="22">
        <v>3</v>
      </c>
      <c r="H22" s="23">
        <v>1782.19</v>
      </c>
      <c r="I22" s="23">
        <f t="shared" si="1"/>
        <v>-405.99999999999454</v>
      </c>
      <c r="J22" s="23">
        <f t="shared" ref="J22:J25" si="4">I22+J21</f>
        <v>-994.00000000000546</v>
      </c>
      <c r="K22" s="23">
        <f t="shared" si="2"/>
        <v>4544.0000000000055</v>
      </c>
      <c r="L22" s="23">
        <f t="shared" si="3"/>
        <v>0</v>
      </c>
      <c r="P22" t="s">
        <v>35</v>
      </c>
      <c r="Q22" s="23">
        <f>J25</f>
        <v>-1163.0000000000109</v>
      </c>
    </row>
    <row r="23" spans="2:17" x14ac:dyDescent="0.25">
      <c r="B23" s="2" t="s">
        <v>42</v>
      </c>
      <c r="C23" s="24">
        <v>4500</v>
      </c>
      <c r="G23" s="22">
        <v>2</v>
      </c>
      <c r="H23" s="23">
        <v>1777.45</v>
      </c>
      <c r="I23" s="23">
        <f t="shared" si="1"/>
        <v>-474.00000000000091</v>
      </c>
      <c r="J23" s="23">
        <f t="shared" si="4"/>
        <v>-1468.0000000000064</v>
      </c>
      <c r="K23" s="23">
        <f t="shared" si="2"/>
        <v>4070.0000000000045</v>
      </c>
      <c r="L23" s="23">
        <f t="shared" si="3"/>
        <v>-879.99999999999545</v>
      </c>
      <c r="M23" s="23"/>
      <c r="P23" s="2" t="s">
        <v>43</v>
      </c>
      <c r="Q23" s="27">
        <f>H25</f>
        <v>1780.5</v>
      </c>
    </row>
    <row r="24" spans="2:17" x14ac:dyDescent="0.25">
      <c r="G24" s="22">
        <v>1</v>
      </c>
      <c r="H24" s="23">
        <v>1779.5</v>
      </c>
      <c r="I24" s="23">
        <f t="shared" si="1"/>
        <v>204.99999999999545</v>
      </c>
      <c r="J24" s="23">
        <f t="shared" si="4"/>
        <v>-1263.0000000000109</v>
      </c>
      <c r="K24" s="23">
        <f t="shared" si="2"/>
        <v>5154.9999999999955</v>
      </c>
      <c r="L24" s="23">
        <f t="shared" si="3"/>
        <v>0</v>
      </c>
      <c r="P24" s="2" t="s">
        <v>44</v>
      </c>
      <c r="Q24" s="24">
        <f>Q18*Q23</f>
        <v>178050</v>
      </c>
    </row>
    <row r="25" spans="2:17" x14ac:dyDescent="0.25">
      <c r="G25" s="28">
        <v>0</v>
      </c>
      <c r="H25" s="29">
        <v>1780.5</v>
      </c>
      <c r="I25" s="29">
        <f t="shared" si="1"/>
        <v>100</v>
      </c>
      <c r="J25" s="29">
        <f t="shared" si="4"/>
        <v>-1163.0000000000109</v>
      </c>
      <c r="K25" s="29">
        <f t="shared" si="2"/>
        <v>5254.9999999999955</v>
      </c>
      <c r="L25" s="30">
        <f>SUM(L20:L24)</f>
        <v>-1468.0000000000064</v>
      </c>
      <c r="M25" s="23"/>
      <c r="P25" s="2" t="s">
        <v>45</v>
      </c>
      <c r="Q25">
        <f>(L25)*-1</f>
        <v>1468.0000000000064</v>
      </c>
    </row>
    <row r="26" spans="2:17" x14ac:dyDescent="0.25">
      <c r="P26" s="2" t="s">
        <v>46</v>
      </c>
      <c r="Q26">
        <f>(K25-K19)*-1</f>
        <v>-304.99999999999545</v>
      </c>
    </row>
    <row r="27" spans="2:17" x14ac:dyDescent="0.25">
      <c r="P27" s="2" t="s">
        <v>47</v>
      </c>
      <c r="Q27">
        <f>Q25+Q26</f>
        <v>1163.0000000000109</v>
      </c>
    </row>
    <row r="29" spans="2:17" ht="24.6" x14ac:dyDescent="0.4">
      <c r="B29" s="1" t="s">
        <v>48</v>
      </c>
    </row>
    <row r="30" spans="2:17" x14ac:dyDescent="0.25">
      <c r="B30" t="s">
        <v>49</v>
      </c>
      <c r="C30" s="24">
        <v>200000000</v>
      </c>
      <c r="F30" t="s">
        <v>50</v>
      </c>
    </row>
    <row r="31" spans="2:17" x14ac:dyDescent="0.25">
      <c r="B31" t="s">
        <v>51</v>
      </c>
      <c r="C31" s="25">
        <v>2.5000000000000001E-2</v>
      </c>
      <c r="D31" t="s">
        <v>52</v>
      </c>
      <c r="F31" s="31">
        <f>C30*C31/2</f>
        <v>2500000</v>
      </c>
    </row>
    <row r="32" spans="2:17" x14ac:dyDescent="0.25">
      <c r="B32" t="s">
        <v>53</v>
      </c>
      <c r="C32" s="25">
        <v>1.95E-2</v>
      </c>
      <c r="D32" t="s">
        <v>54</v>
      </c>
      <c r="F32" t="s">
        <v>55</v>
      </c>
    </row>
    <row r="33" spans="1:21" x14ac:dyDescent="0.25">
      <c r="F33" s="31">
        <f>C30*C32/2</f>
        <v>1950000</v>
      </c>
    </row>
    <row r="34" spans="1:21" x14ac:dyDescent="0.25">
      <c r="F34" t="s">
        <v>56</v>
      </c>
    </row>
    <row r="35" spans="1:21" x14ac:dyDescent="0.25">
      <c r="F35" s="32">
        <f>F31-F33</f>
        <v>550000</v>
      </c>
    </row>
    <row r="36" spans="1:21" x14ac:dyDescent="0.25">
      <c r="F36" s="2" t="s">
        <v>57</v>
      </c>
      <c r="P36" s="2" t="s">
        <v>57</v>
      </c>
    </row>
    <row r="37" spans="1:21" ht="39.6" x14ac:dyDescent="0.4">
      <c r="B37" s="1" t="s">
        <v>58</v>
      </c>
      <c r="F37" s="33" t="s">
        <v>59</v>
      </c>
      <c r="G37" s="34" t="s">
        <v>60</v>
      </c>
      <c r="H37" s="34" t="s">
        <v>61</v>
      </c>
      <c r="I37" s="35" t="s">
        <v>62</v>
      </c>
      <c r="L37" s="1" t="s">
        <v>63</v>
      </c>
      <c r="P37" s="33" t="s">
        <v>59</v>
      </c>
      <c r="Q37" s="34" t="s">
        <v>60</v>
      </c>
      <c r="R37" s="34" t="s">
        <v>64</v>
      </c>
      <c r="S37" s="35" t="s">
        <v>65</v>
      </c>
    </row>
    <row r="38" spans="1:21" x14ac:dyDescent="0.25">
      <c r="B38" s="2" t="s">
        <v>66</v>
      </c>
      <c r="C38">
        <v>100</v>
      </c>
      <c r="F38">
        <v>1280</v>
      </c>
      <c r="G38">
        <v>1240</v>
      </c>
      <c r="H38">
        <f>IF(F38-G38&lt;=0,0,F38-G38)</f>
        <v>40</v>
      </c>
      <c r="I38" s="12">
        <f>H38-$C$41</f>
        <v>15.149999999999999</v>
      </c>
      <c r="J38" s="12"/>
      <c r="M38" s="2" t="s">
        <v>66</v>
      </c>
      <c r="N38">
        <v>100</v>
      </c>
      <c r="P38">
        <v>1250</v>
      </c>
      <c r="Q38" s="36">
        <v>1300</v>
      </c>
      <c r="R38">
        <f>IF(Q38-P38&lt;0,0,Q38-P38)</f>
        <v>50</v>
      </c>
      <c r="S38" s="12">
        <f>R38-$N$41</f>
        <v>25.15</v>
      </c>
      <c r="U38" s="12"/>
    </row>
    <row r="39" spans="1:21" x14ac:dyDescent="0.25">
      <c r="A39" s="2" t="s">
        <v>67</v>
      </c>
      <c r="B39" s="2" t="s">
        <v>68</v>
      </c>
      <c r="C39" s="37">
        <v>1240</v>
      </c>
      <c r="F39">
        <v>1260</v>
      </c>
      <c r="G39">
        <v>1240</v>
      </c>
      <c r="H39">
        <f t="shared" ref="H39:H41" si="5">IF(F39-G39&lt;=0,0,F39-G39)</f>
        <v>20</v>
      </c>
      <c r="I39" s="12">
        <f t="shared" ref="I39:I41" si="6">H39-$C$41</f>
        <v>-4.8500000000000014</v>
      </c>
      <c r="J39" s="12"/>
      <c r="L39" s="2" t="s">
        <v>67</v>
      </c>
      <c r="M39" s="2" t="s">
        <v>68</v>
      </c>
      <c r="N39" s="37">
        <v>1300</v>
      </c>
      <c r="P39">
        <v>1350</v>
      </c>
      <c r="Q39" s="36">
        <v>1300</v>
      </c>
      <c r="R39">
        <f t="shared" ref="R39:R41" si="7">IF(Q39-P39&lt;0,0,Q39-P39)</f>
        <v>0</v>
      </c>
      <c r="S39" s="12">
        <f t="shared" ref="S39:S41" si="8">R39-$N$41</f>
        <v>-24.85</v>
      </c>
      <c r="U39" s="12"/>
    </row>
    <row r="40" spans="1:21" x14ac:dyDescent="0.25">
      <c r="A40" s="2" t="s">
        <v>69</v>
      </c>
      <c r="B40" s="2" t="s">
        <v>70</v>
      </c>
      <c r="C40" s="37">
        <v>1180.95</v>
      </c>
      <c r="F40">
        <v>1240</v>
      </c>
      <c r="G40">
        <v>1240</v>
      </c>
      <c r="H40">
        <f t="shared" si="5"/>
        <v>0</v>
      </c>
      <c r="I40" s="12">
        <f t="shared" si="6"/>
        <v>-24.85</v>
      </c>
      <c r="J40" s="12"/>
      <c r="L40" s="2" t="s">
        <v>69</v>
      </c>
      <c r="M40" s="2" t="s">
        <v>70</v>
      </c>
      <c r="N40" s="37">
        <v>1100</v>
      </c>
      <c r="P40">
        <v>1300</v>
      </c>
      <c r="Q40" s="36">
        <v>1300</v>
      </c>
      <c r="R40">
        <f t="shared" si="7"/>
        <v>0</v>
      </c>
      <c r="S40" s="12">
        <f t="shared" si="8"/>
        <v>-24.85</v>
      </c>
      <c r="U40" s="12"/>
    </row>
    <row r="41" spans="1:21" x14ac:dyDescent="0.25">
      <c r="A41" s="2" t="s">
        <v>71</v>
      </c>
      <c r="B41" s="2" t="s">
        <v>72</v>
      </c>
      <c r="C41" s="20">
        <v>24.85</v>
      </c>
      <c r="D41" s="2" t="s">
        <v>73</v>
      </c>
      <c r="F41">
        <v>1220</v>
      </c>
      <c r="G41">
        <v>1240</v>
      </c>
      <c r="H41">
        <f t="shared" si="5"/>
        <v>0</v>
      </c>
      <c r="I41" s="12">
        <f t="shared" si="6"/>
        <v>-24.85</v>
      </c>
      <c r="J41" s="12"/>
      <c r="L41" s="2" t="s">
        <v>74</v>
      </c>
      <c r="M41" s="2" t="s">
        <v>75</v>
      </c>
      <c r="N41" s="20">
        <v>24.85</v>
      </c>
      <c r="O41" s="2" t="s">
        <v>73</v>
      </c>
      <c r="P41">
        <v>1220</v>
      </c>
      <c r="Q41" s="36">
        <v>1300</v>
      </c>
      <c r="R41">
        <f t="shared" si="7"/>
        <v>80</v>
      </c>
      <c r="S41" s="12">
        <f t="shared" si="8"/>
        <v>55.15</v>
      </c>
      <c r="U41" s="12"/>
    </row>
    <row r="42" spans="1:21" x14ac:dyDescent="0.25">
      <c r="F42" s="38"/>
      <c r="G42" s="39"/>
      <c r="H42" s="39"/>
      <c r="I42" s="40">
        <f>SUM(I38:I41)</f>
        <v>-39.400000000000006</v>
      </c>
      <c r="S42" s="12">
        <f>SUM(S38:S41)</f>
        <v>30.599999999999994</v>
      </c>
    </row>
    <row r="43" spans="1:21" x14ac:dyDescent="0.25">
      <c r="F43" s="2" t="s">
        <v>76</v>
      </c>
      <c r="P43" s="2" t="s">
        <v>57</v>
      </c>
    </row>
    <row r="44" spans="1:21" ht="39.6" x14ac:dyDescent="0.25">
      <c r="F44" s="33" t="s">
        <v>59</v>
      </c>
      <c r="G44" s="34" t="s">
        <v>60</v>
      </c>
      <c r="H44" s="34" t="s">
        <v>61</v>
      </c>
      <c r="I44" s="35" t="s">
        <v>77</v>
      </c>
      <c r="P44" s="33" t="s">
        <v>59</v>
      </c>
      <c r="Q44" s="34" t="s">
        <v>60</v>
      </c>
      <c r="R44" s="34" t="s">
        <v>64</v>
      </c>
      <c r="S44" s="35" t="s">
        <v>78</v>
      </c>
    </row>
    <row r="45" spans="1:21" x14ac:dyDescent="0.25">
      <c r="F45">
        <v>1280</v>
      </c>
      <c r="G45">
        <v>1240</v>
      </c>
      <c r="H45">
        <f>-IF(F45-G45&lt;=0,0,F45-G45)</f>
        <v>-40</v>
      </c>
      <c r="I45" s="12">
        <f>H45+$C$41</f>
        <v>-15.149999999999999</v>
      </c>
      <c r="J45" s="12"/>
      <c r="P45">
        <v>1250</v>
      </c>
      <c r="Q45" s="36">
        <v>1300</v>
      </c>
      <c r="R45">
        <f>-IF(Q45-P45&lt;0,0,Q45-P45)</f>
        <v>-50</v>
      </c>
      <c r="S45" s="12">
        <f>R45+$N$41</f>
        <v>-25.15</v>
      </c>
    </row>
    <row r="46" spans="1:21" x14ac:dyDescent="0.25">
      <c r="F46">
        <v>1260</v>
      </c>
      <c r="G46">
        <v>1240</v>
      </c>
      <c r="H46">
        <f t="shared" ref="H46:H48" si="9">-IF(F46-G46&lt;=0,0,F46-G46)</f>
        <v>-20</v>
      </c>
      <c r="I46" s="12">
        <f t="shared" ref="I46:I48" si="10">H46+$C$41</f>
        <v>4.8500000000000014</v>
      </c>
      <c r="J46" s="12"/>
      <c r="P46">
        <v>1350</v>
      </c>
      <c r="Q46" s="36">
        <v>1300</v>
      </c>
      <c r="R46">
        <f t="shared" ref="R46:R48" si="11">-IF(Q46-P46&lt;0,0,Q46-P46)</f>
        <v>0</v>
      </c>
      <c r="S46" s="12">
        <f t="shared" ref="S46:S48" si="12">R46+$N$41</f>
        <v>24.85</v>
      </c>
    </row>
    <row r="47" spans="1:21" x14ac:dyDescent="0.25">
      <c r="F47">
        <v>1240</v>
      </c>
      <c r="G47">
        <v>1240</v>
      </c>
      <c r="H47">
        <f t="shared" si="9"/>
        <v>0</v>
      </c>
      <c r="I47" s="12">
        <f t="shared" si="10"/>
        <v>24.85</v>
      </c>
      <c r="J47" s="12"/>
      <c r="P47">
        <v>1300</v>
      </c>
      <c r="Q47" s="36">
        <v>1300</v>
      </c>
      <c r="R47">
        <f t="shared" si="11"/>
        <v>0</v>
      </c>
      <c r="S47" s="12">
        <f t="shared" si="12"/>
        <v>24.85</v>
      </c>
    </row>
    <row r="48" spans="1:21" x14ac:dyDescent="0.25">
      <c r="F48">
        <v>1220</v>
      </c>
      <c r="G48">
        <v>1240</v>
      </c>
      <c r="H48">
        <f t="shared" si="9"/>
        <v>0</v>
      </c>
      <c r="I48" s="12">
        <f t="shared" si="10"/>
        <v>24.85</v>
      </c>
      <c r="J48" s="12"/>
      <c r="P48">
        <v>1220</v>
      </c>
      <c r="Q48" s="36">
        <v>1300</v>
      </c>
      <c r="R48">
        <f t="shared" si="11"/>
        <v>-80</v>
      </c>
      <c r="S48" s="12">
        <f t="shared" si="12"/>
        <v>-55.15</v>
      </c>
    </row>
    <row r="49" spans="2:19" x14ac:dyDescent="0.25">
      <c r="F49" s="38"/>
      <c r="G49" s="39"/>
      <c r="H49" s="39"/>
      <c r="I49" s="40">
        <f>SUM(I45:I48)</f>
        <v>39.400000000000006</v>
      </c>
      <c r="S49" s="12">
        <f>SUM(S45:S48)</f>
        <v>-30.599999999999994</v>
      </c>
    </row>
    <row r="52" spans="2:19" s="41" customFormat="1" x14ac:dyDescent="0.25"/>
    <row r="54" spans="2:19" ht="24.6" x14ac:dyDescent="0.4">
      <c r="B54" s="1" t="s">
        <v>79</v>
      </c>
    </row>
    <row r="55" spans="2:19" x14ac:dyDescent="0.25">
      <c r="B55" s="2" t="s">
        <v>80</v>
      </c>
      <c r="F55" s="2" t="s">
        <v>81</v>
      </c>
      <c r="G55" s="2" t="s">
        <v>82</v>
      </c>
      <c r="H55" s="2" t="s">
        <v>83</v>
      </c>
    </row>
    <row r="56" spans="2:19" x14ac:dyDescent="0.25">
      <c r="B56" s="2" t="s">
        <v>84</v>
      </c>
      <c r="C56">
        <v>6.7000000000000002E-4</v>
      </c>
      <c r="D56" s="2" t="s">
        <v>85</v>
      </c>
      <c r="F56">
        <f>F57*(1+5%)</f>
        <v>7.0350000000000002E-4</v>
      </c>
      <c r="G56" s="31">
        <f>$C$58*F56</f>
        <v>457275</v>
      </c>
      <c r="H56" s="31">
        <f>G56-$C$59</f>
        <v>21775</v>
      </c>
    </row>
    <row r="57" spans="2:19" x14ac:dyDescent="0.25">
      <c r="B57" s="21" t="s">
        <v>86</v>
      </c>
      <c r="F57">
        <f>C56</f>
        <v>6.7000000000000002E-4</v>
      </c>
      <c r="G57" s="31">
        <f>$C$58*F57</f>
        <v>435500</v>
      </c>
      <c r="H57" s="31">
        <f>G57-$C$59</f>
        <v>0</v>
      </c>
    </row>
    <row r="58" spans="2:19" x14ac:dyDescent="0.25">
      <c r="B58" s="2" t="s">
        <v>87</v>
      </c>
      <c r="C58" s="42">
        <v>650000000</v>
      </c>
      <c r="D58" s="2" t="s">
        <v>88</v>
      </c>
      <c r="F58">
        <f>F57*(1-5%)</f>
        <v>6.3650000000000002E-4</v>
      </c>
      <c r="G58" s="31">
        <f>$C$58*F58</f>
        <v>413725</v>
      </c>
      <c r="H58" s="31">
        <f>G58-$C$59</f>
        <v>-21775</v>
      </c>
    </row>
    <row r="59" spans="2:19" x14ac:dyDescent="0.25">
      <c r="B59" s="2" t="s">
        <v>89</v>
      </c>
      <c r="C59" s="31">
        <f>C58*C56</f>
        <v>435500</v>
      </c>
      <c r="D59" s="2" t="s">
        <v>90</v>
      </c>
    </row>
    <row r="61" spans="2:19" s="41" customFormat="1" x14ac:dyDescent="0.25"/>
    <row r="63" spans="2:19" ht="24.6" x14ac:dyDescent="0.4">
      <c r="B63" s="1" t="s">
        <v>91</v>
      </c>
    </row>
    <row r="65" spans="2:8" x14ac:dyDescent="0.25">
      <c r="B65" s="2" t="s">
        <v>4</v>
      </c>
      <c r="C65">
        <v>100</v>
      </c>
      <c r="F65" s="2" t="s">
        <v>4</v>
      </c>
      <c r="G65">
        <v>100</v>
      </c>
      <c r="H65" s="2" t="s">
        <v>6</v>
      </c>
    </row>
    <row r="66" spans="2:8" x14ac:dyDescent="0.25">
      <c r="B66" s="2" t="s">
        <v>7</v>
      </c>
      <c r="C66" s="3">
        <v>1792.13</v>
      </c>
      <c r="F66" s="6" t="s">
        <v>10</v>
      </c>
      <c r="G66" s="43"/>
    </row>
    <row r="67" spans="2:8" x14ac:dyDescent="0.25">
      <c r="B67" s="2" t="s">
        <v>11</v>
      </c>
      <c r="C67" s="3">
        <v>1770</v>
      </c>
      <c r="F67" s="6" t="s">
        <v>13</v>
      </c>
      <c r="G67" s="7">
        <v>4500</v>
      </c>
      <c r="H67" t="s">
        <v>14</v>
      </c>
    </row>
    <row r="68" spans="2:8" x14ac:dyDescent="0.25">
      <c r="B68" s="2" t="s">
        <v>15</v>
      </c>
      <c r="C68" s="3">
        <v>1780.5</v>
      </c>
      <c r="F68" s="8" t="s">
        <v>17</v>
      </c>
      <c r="G68" s="9">
        <v>4950</v>
      </c>
    </row>
    <row r="69" spans="2:8" x14ac:dyDescent="0.25">
      <c r="F69" s="8" t="s">
        <v>16</v>
      </c>
      <c r="G69" s="9">
        <v>1792.13</v>
      </c>
      <c r="H69" s="2" t="s">
        <v>92</v>
      </c>
    </row>
    <row r="70" spans="2:8" x14ac:dyDescent="0.25">
      <c r="B70" s="2" t="s">
        <v>20</v>
      </c>
      <c r="C70" s="12">
        <f>C68-C66</f>
        <v>-11.630000000000109</v>
      </c>
      <c r="F70" s="8" t="s">
        <v>21</v>
      </c>
      <c r="G70" s="9">
        <v>1797.13</v>
      </c>
    </row>
    <row r="71" spans="2:8" x14ac:dyDescent="0.25">
      <c r="B71" s="2" t="s">
        <v>22</v>
      </c>
      <c r="C71" s="12">
        <f>C70*C65</f>
        <v>-1163.0000000000109</v>
      </c>
      <c r="F71" s="13" t="s">
        <v>23</v>
      </c>
      <c r="G71" s="44">
        <f>(G70-G69)*G65</f>
        <v>500</v>
      </c>
    </row>
    <row r="72" spans="2:8" x14ac:dyDescent="0.25">
      <c r="F72" s="13" t="s">
        <v>25</v>
      </c>
      <c r="G72" s="9">
        <f>G68-G71</f>
        <v>4450</v>
      </c>
    </row>
    <row r="73" spans="2:8" x14ac:dyDescent="0.25">
      <c r="F73" s="10" t="s">
        <v>26</v>
      </c>
      <c r="G73" s="11">
        <f>G72-G67</f>
        <v>-50</v>
      </c>
    </row>
    <row r="74" spans="2:8" x14ac:dyDescent="0.25">
      <c r="G74" s="21"/>
    </row>
    <row r="75" spans="2:8" x14ac:dyDescent="0.25">
      <c r="B75" s="2" t="s">
        <v>93</v>
      </c>
    </row>
    <row r="76" spans="2:8" x14ac:dyDescent="0.25">
      <c r="B76" s="2" t="s">
        <v>94</v>
      </c>
      <c r="E76" s="12">
        <f>(G68*0.05)/4</f>
        <v>61.875</v>
      </c>
    </row>
    <row r="77" spans="2:8" x14ac:dyDescent="0.25">
      <c r="B77" s="2" t="s">
        <v>95</v>
      </c>
    </row>
    <row r="78" spans="2:8" x14ac:dyDescent="0.25">
      <c r="B78" s="2" t="s">
        <v>96</v>
      </c>
      <c r="E78" s="12">
        <f>((C67*C65)*0.05)/4</f>
        <v>2212.5</v>
      </c>
    </row>
    <row r="80" spans="2:8" ht="24.6" x14ac:dyDescent="0.4">
      <c r="B80" s="1" t="s">
        <v>97</v>
      </c>
    </row>
    <row r="82" spans="2:10" x14ac:dyDescent="0.25">
      <c r="E82" s="45" t="s">
        <v>98</v>
      </c>
      <c r="F82" s="46" t="s">
        <v>99</v>
      </c>
    </row>
    <row r="83" spans="2:10" x14ac:dyDescent="0.25">
      <c r="D83" s="2" t="s">
        <v>8</v>
      </c>
      <c r="E83" s="47">
        <v>1770</v>
      </c>
      <c r="F83" s="48">
        <v>1792.13</v>
      </c>
    </row>
    <row r="84" spans="2:10" x14ac:dyDescent="0.25">
      <c r="C84" s="2" t="s">
        <v>100</v>
      </c>
      <c r="D84">
        <v>100</v>
      </c>
      <c r="E84" s="49">
        <f>E83*$D$84</f>
        <v>177000</v>
      </c>
      <c r="F84" s="50">
        <f>F83*$D$84</f>
        <v>179213</v>
      </c>
    </row>
    <row r="85" spans="2:10" x14ac:dyDescent="0.25">
      <c r="C85" s="51" t="s">
        <v>101</v>
      </c>
      <c r="D85" s="52"/>
      <c r="E85" s="52">
        <v>0</v>
      </c>
      <c r="F85" s="53">
        <v>4950</v>
      </c>
      <c r="G85" s="52"/>
      <c r="H85" s="52"/>
    </row>
    <row r="86" spans="2:10" x14ac:dyDescent="0.25">
      <c r="C86" s="2" t="s">
        <v>102</v>
      </c>
      <c r="D86" s="2" t="s">
        <v>8</v>
      </c>
      <c r="E86" s="54">
        <v>1780.5</v>
      </c>
      <c r="F86" s="48">
        <v>1780.5</v>
      </c>
    </row>
    <row r="87" spans="2:10" s="52" customFormat="1" x14ac:dyDescent="0.25">
      <c r="D87" s="52">
        <v>100</v>
      </c>
      <c r="E87" s="55">
        <f>E86*$D$87</f>
        <v>178050</v>
      </c>
      <c r="F87" s="50">
        <f>F86*$D$87</f>
        <v>178050</v>
      </c>
    </row>
    <row r="88" spans="2:10" x14ac:dyDescent="0.25">
      <c r="C88" s="2" t="s">
        <v>103</v>
      </c>
      <c r="E88" s="56">
        <f>E87/E84-1</f>
        <v>5.9322033898305815E-3</v>
      </c>
      <c r="F88" s="56">
        <f>F87/F84-1</f>
        <v>-6.4894845798016965E-3</v>
      </c>
    </row>
    <row r="89" spans="2:10" x14ac:dyDescent="0.25">
      <c r="C89" s="2" t="s">
        <v>104</v>
      </c>
      <c r="E89" s="17">
        <f>(E87-E84)/E78</f>
        <v>0.47457627118644069</v>
      </c>
      <c r="F89">
        <f>(F87-F84)/E76</f>
        <v>-18.795959595959594</v>
      </c>
    </row>
    <row r="91" spans="2:10" s="41" customFormat="1" x14ac:dyDescent="0.25"/>
    <row r="93" spans="2:10" ht="24.6" x14ac:dyDescent="0.4">
      <c r="B93" s="1" t="s">
        <v>105</v>
      </c>
    </row>
    <row r="94" spans="2:10" x14ac:dyDescent="0.25">
      <c r="B94" s="2" t="s">
        <v>80</v>
      </c>
      <c r="F94" s="2"/>
      <c r="G94" s="2"/>
      <c r="H94" s="2"/>
    </row>
    <row r="95" spans="2:10" ht="39.6" x14ac:dyDescent="0.25">
      <c r="B95" s="2" t="s">
        <v>106</v>
      </c>
      <c r="C95">
        <v>1350</v>
      </c>
      <c r="D95" s="2" t="s">
        <v>107</v>
      </c>
      <c r="F95" s="57" t="s">
        <v>108</v>
      </c>
      <c r="G95" s="58" t="s">
        <v>109</v>
      </c>
      <c r="H95" s="58" t="s">
        <v>110</v>
      </c>
      <c r="I95" s="59" t="s">
        <v>111</v>
      </c>
      <c r="J95" s="60" t="s">
        <v>112</v>
      </c>
    </row>
    <row r="96" spans="2:10" x14ac:dyDescent="0.25">
      <c r="B96" s="21" t="s">
        <v>86</v>
      </c>
      <c r="F96" s="61">
        <v>1525</v>
      </c>
      <c r="G96" s="62">
        <f>$C$97/F96</f>
        <v>426229.50819672132</v>
      </c>
      <c r="H96" s="63">
        <f>-($C$99/G96-1)</f>
        <v>-8.8461538461537259E-3</v>
      </c>
      <c r="I96" s="64">
        <f>$C$98</f>
        <v>481481.48148148146</v>
      </c>
      <c r="J96" s="65">
        <f>-($C$99/I96-1)</f>
        <v>0.1069230769230769</v>
      </c>
    </row>
    <row r="97" spans="2:12" x14ac:dyDescent="0.25">
      <c r="B97" s="2" t="s">
        <v>87</v>
      </c>
      <c r="C97" s="42">
        <v>650000000</v>
      </c>
      <c r="D97" s="2" t="s">
        <v>88</v>
      </c>
      <c r="F97" s="66">
        <v>1400</v>
      </c>
      <c r="G97" s="31">
        <f t="shared" ref="G97:G99" si="13">$C$97/F97</f>
        <v>464285.71428571426</v>
      </c>
      <c r="H97" s="67">
        <f t="shared" ref="H97:H99" si="14">-($C$99/G97-1)</f>
        <v>7.3846153846153784E-2</v>
      </c>
      <c r="I97" s="68">
        <f t="shared" ref="I97:I99" si="15">$C$98</f>
        <v>481481.48148148146</v>
      </c>
      <c r="J97" s="69">
        <f t="shared" ref="J97:J99" si="16">-($C$99/I97-1)</f>
        <v>0.1069230769230769</v>
      </c>
    </row>
    <row r="98" spans="2:12" ht="13.8" thickBot="1" x14ac:dyDescent="0.3">
      <c r="B98" s="2" t="s">
        <v>89</v>
      </c>
      <c r="C98" s="31">
        <f>C97/C95</f>
        <v>481481.48148148146</v>
      </c>
      <c r="D98" s="2" t="s">
        <v>113</v>
      </c>
      <c r="F98" s="66">
        <v>1280</v>
      </c>
      <c r="G98" s="31">
        <f t="shared" si="13"/>
        <v>507812.5</v>
      </c>
      <c r="H98" s="67">
        <f t="shared" si="14"/>
        <v>0.15323076923076928</v>
      </c>
      <c r="I98" s="68">
        <f t="shared" si="15"/>
        <v>481481.48148148146</v>
      </c>
      <c r="J98" s="69">
        <f t="shared" si="16"/>
        <v>0.1069230769230769</v>
      </c>
    </row>
    <row r="99" spans="2:12" ht="13.8" thickBot="1" x14ac:dyDescent="0.3">
      <c r="B99" s="2" t="s">
        <v>114</v>
      </c>
      <c r="C99" s="70">
        <v>430000</v>
      </c>
      <c r="F99" s="71">
        <v>1225</v>
      </c>
      <c r="G99" s="72">
        <f t="shared" si="13"/>
        <v>530612.24489795917</v>
      </c>
      <c r="H99" s="73">
        <f t="shared" si="14"/>
        <v>0.18961538461538463</v>
      </c>
      <c r="I99" s="74">
        <f t="shared" si="15"/>
        <v>481481.48148148146</v>
      </c>
      <c r="J99" s="75">
        <f t="shared" si="16"/>
        <v>0.1069230769230769</v>
      </c>
    </row>
    <row r="100" spans="2:12" x14ac:dyDescent="0.25">
      <c r="F100" s="17"/>
    </row>
    <row r="101" spans="2:12" x14ac:dyDescent="0.25">
      <c r="H101" s="76"/>
    </row>
    <row r="102" spans="2:12" x14ac:dyDescent="0.25">
      <c r="H102" s="76"/>
    </row>
    <row r="103" spans="2:12" s="41" customFormat="1" x14ac:dyDescent="0.25"/>
    <row r="104" spans="2:12" x14ac:dyDescent="0.25">
      <c r="H104" s="76"/>
    </row>
    <row r="106" spans="2:12" ht="24.6" x14ac:dyDescent="0.4">
      <c r="B106" s="1" t="s">
        <v>115</v>
      </c>
      <c r="I106" s="1" t="s">
        <v>116</v>
      </c>
    </row>
    <row r="108" spans="2:12" x14ac:dyDescent="0.25">
      <c r="B108" s="2" t="s">
        <v>117</v>
      </c>
      <c r="I108" s="2" t="s">
        <v>117</v>
      </c>
    </row>
    <row r="109" spans="2:12" x14ac:dyDescent="0.25">
      <c r="B109" s="2" t="s">
        <v>118</v>
      </c>
      <c r="I109" s="2" t="s">
        <v>118</v>
      </c>
    </row>
    <row r="110" spans="2:12" x14ac:dyDescent="0.25">
      <c r="B110" s="4" t="s">
        <v>119</v>
      </c>
      <c r="C110" s="77"/>
      <c r="D110" s="4" t="s">
        <v>120</v>
      </c>
      <c r="E110" s="77"/>
      <c r="I110" s="4" t="s">
        <v>119</v>
      </c>
      <c r="J110" s="77"/>
      <c r="K110" s="4" t="s">
        <v>120</v>
      </c>
      <c r="L110" s="77"/>
    </row>
    <row r="111" spans="2:12" x14ac:dyDescent="0.25">
      <c r="B111" s="6" t="s">
        <v>121</v>
      </c>
      <c r="C111" s="48">
        <v>177000</v>
      </c>
      <c r="D111" s="6" t="s">
        <v>122</v>
      </c>
      <c r="E111" s="48">
        <f>1792.13*100</f>
        <v>179213</v>
      </c>
      <c r="I111" s="2" t="s">
        <v>123</v>
      </c>
      <c r="J111" s="27">
        <f>C115*(1+C112)^(-C113/12)</f>
        <v>178327.97048489514</v>
      </c>
      <c r="K111" s="2" t="s">
        <v>123</v>
      </c>
      <c r="L111" s="24">
        <f>1792.13*100</f>
        <v>179213</v>
      </c>
    </row>
    <row r="112" spans="2:12" x14ac:dyDescent="0.25">
      <c r="B112" s="8" t="s">
        <v>124</v>
      </c>
      <c r="C112" s="69">
        <v>0.02</v>
      </c>
      <c r="D112" s="8"/>
      <c r="E112" s="78"/>
      <c r="I112" s="4" t="s">
        <v>125</v>
      </c>
      <c r="J112" s="39"/>
      <c r="K112" s="39"/>
      <c r="L112" s="5"/>
    </row>
    <row r="113" spans="2:14" x14ac:dyDescent="0.25">
      <c r="B113" s="10" t="s">
        <v>126</v>
      </c>
      <c r="C113" s="79">
        <v>3</v>
      </c>
      <c r="D113" s="71"/>
      <c r="E113" s="79"/>
      <c r="I113" s="4" t="s">
        <v>127</v>
      </c>
      <c r="J113" s="30">
        <f>J111*(1+C112)^(C113/12)</f>
        <v>179212.99999999997</v>
      </c>
      <c r="K113" s="38"/>
      <c r="L113" s="5"/>
    </row>
    <row r="114" spans="2:14" x14ac:dyDescent="0.25">
      <c r="B114" s="4" t="s">
        <v>128</v>
      </c>
      <c r="C114" s="5"/>
      <c r="I114" s="8" t="s">
        <v>129</v>
      </c>
      <c r="J114" s="80">
        <f>L114</f>
        <v>190000</v>
      </c>
      <c r="K114" s="8" t="s">
        <v>129</v>
      </c>
      <c r="L114" s="81">
        <f>1900*100</f>
        <v>190000</v>
      </c>
    </row>
    <row r="115" spans="2:14" x14ac:dyDescent="0.25">
      <c r="B115" s="8" t="s">
        <v>130</v>
      </c>
      <c r="C115" s="81">
        <f>1792.13*100</f>
        <v>179213</v>
      </c>
      <c r="I115" s="8" t="s">
        <v>131</v>
      </c>
      <c r="J115" s="80">
        <f>J114-J113</f>
        <v>10787.000000000029</v>
      </c>
      <c r="K115" s="8" t="s">
        <v>131</v>
      </c>
      <c r="L115" s="80">
        <f>L114-L111</f>
        <v>10787</v>
      </c>
    </row>
    <row r="116" spans="2:14" x14ac:dyDescent="0.25">
      <c r="B116" s="10" t="s">
        <v>127</v>
      </c>
      <c r="C116" s="82">
        <f>C111*(1+C112)^(C113/12)</f>
        <v>177878.43888845708</v>
      </c>
      <c r="I116" s="8" t="s">
        <v>129</v>
      </c>
      <c r="J116" s="80">
        <f>L116</f>
        <v>170000</v>
      </c>
      <c r="K116" s="8" t="s">
        <v>129</v>
      </c>
      <c r="L116" s="81">
        <f>1700*100</f>
        <v>170000</v>
      </c>
    </row>
    <row r="117" spans="2:14" x14ac:dyDescent="0.25">
      <c r="B117" s="21" t="s">
        <v>132</v>
      </c>
      <c r="C117" s="31">
        <f>C115-C116</f>
        <v>1334.5611115429201</v>
      </c>
      <c r="I117" s="10" t="s">
        <v>131</v>
      </c>
      <c r="J117" s="83">
        <f>J116-J113</f>
        <v>-9212.9999999999709</v>
      </c>
      <c r="K117" s="10" t="s">
        <v>131</v>
      </c>
      <c r="L117" s="83">
        <f>L116-L111</f>
        <v>-9213</v>
      </c>
    </row>
    <row r="123" spans="2:14" s="41" customFormat="1" x14ac:dyDescent="0.25"/>
    <row r="125" spans="2:14" ht="24.6" x14ac:dyDescent="0.4">
      <c r="B125" s="1" t="s">
        <v>133</v>
      </c>
    </row>
    <row r="126" spans="2:14" x14ac:dyDescent="0.25">
      <c r="D126" s="21" t="s">
        <v>134</v>
      </c>
      <c r="H126" s="21" t="s">
        <v>135</v>
      </c>
      <c r="L126" s="21" t="s">
        <v>136</v>
      </c>
    </row>
    <row r="127" spans="2:14" x14ac:dyDescent="0.25">
      <c r="D127" s="6" t="s">
        <v>137</v>
      </c>
      <c r="E127" s="84"/>
      <c r="F127" s="43">
        <v>1000</v>
      </c>
      <c r="H127" s="6" t="s">
        <v>137</v>
      </c>
      <c r="I127" s="84"/>
      <c r="J127" s="43">
        <v>1000</v>
      </c>
      <c r="L127" s="6" t="s">
        <v>138</v>
      </c>
      <c r="M127" s="84"/>
      <c r="N127" s="85">
        <f>L111/100</f>
        <v>1792.13</v>
      </c>
    </row>
    <row r="128" spans="2:14" x14ac:dyDescent="0.25">
      <c r="D128" s="8" t="s">
        <v>139</v>
      </c>
      <c r="F128" s="78">
        <v>50</v>
      </c>
      <c r="H128" s="8" t="s">
        <v>139</v>
      </c>
      <c r="J128" s="78">
        <v>50</v>
      </c>
      <c r="L128" s="86" t="s">
        <v>140</v>
      </c>
      <c r="N128" s="69">
        <v>0.02</v>
      </c>
    </row>
    <row r="129" spans="4:15" x14ac:dyDescent="0.25">
      <c r="D129" s="8" t="s">
        <v>141</v>
      </c>
      <c r="F129" s="78">
        <v>0</v>
      </c>
      <c r="H129" s="13" t="s">
        <v>142</v>
      </c>
      <c r="J129" s="78">
        <v>0.3</v>
      </c>
      <c r="L129" s="10" t="s">
        <v>126</v>
      </c>
      <c r="M129" s="52"/>
      <c r="N129" s="79">
        <f>3/12</f>
        <v>0.25</v>
      </c>
    </row>
    <row r="130" spans="4:15" x14ac:dyDescent="0.25">
      <c r="D130" s="8" t="s">
        <v>143</v>
      </c>
      <c r="F130" s="69">
        <v>0.05</v>
      </c>
      <c r="H130" s="8" t="s">
        <v>144</v>
      </c>
      <c r="I130">
        <v>3</v>
      </c>
      <c r="J130" s="78">
        <v>6</v>
      </c>
      <c r="L130" s="2" t="s">
        <v>145</v>
      </c>
      <c r="N130" s="31">
        <f>N127/(1+N128)^N129</f>
        <v>1783.2797048489517</v>
      </c>
    </row>
    <row r="131" spans="4:15" x14ac:dyDescent="0.25">
      <c r="D131" s="10" t="s">
        <v>146</v>
      </c>
      <c r="E131" s="52">
        <v>6</v>
      </c>
      <c r="F131" s="79">
        <f>E131/12</f>
        <v>0.5</v>
      </c>
      <c r="H131" s="8" t="s">
        <v>143</v>
      </c>
      <c r="J131" s="69">
        <v>0.05</v>
      </c>
      <c r="L131" s="87" t="s">
        <v>147</v>
      </c>
      <c r="N131" s="88">
        <f>J111/100-N130</f>
        <v>0</v>
      </c>
    </row>
    <row r="132" spans="4:15" x14ac:dyDescent="0.25">
      <c r="D132" s="2" t="s">
        <v>148</v>
      </c>
      <c r="F132" s="42">
        <f>F128*(1+F130)^F131</f>
        <v>51.234753829797995</v>
      </c>
      <c r="H132" s="10" t="s">
        <v>146</v>
      </c>
      <c r="I132" s="52">
        <v>6</v>
      </c>
      <c r="J132" s="79">
        <f>I132/12</f>
        <v>0.5</v>
      </c>
      <c r="L132" s="4" t="s">
        <v>149</v>
      </c>
      <c r="M132" s="39"/>
      <c r="N132" s="5">
        <v>2</v>
      </c>
      <c r="O132" s="2" t="s">
        <v>8</v>
      </c>
    </row>
    <row r="133" spans="4:15" x14ac:dyDescent="0.25">
      <c r="H133" s="8" t="s">
        <v>150</v>
      </c>
      <c r="J133" s="89">
        <f>(J129*(1+J131)^(-I130/12))+(J129*(1+J131)^-(J130/12))</f>
        <v>0.58913298611148213</v>
      </c>
      <c r="L133" s="2" t="s">
        <v>151</v>
      </c>
      <c r="N133">
        <f>N132/(1+N128)^N129</f>
        <v>1.9901231549596865</v>
      </c>
    </row>
    <row r="134" spans="4:15" x14ac:dyDescent="0.25">
      <c r="H134" s="2" t="s">
        <v>148</v>
      </c>
      <c r="J134" s="31">
        <f>(J128-J133)*(1+J131)^(J130/12)</f>
        <v>50.631072159469284</v>
      </c>
      <c r="L134" s="2" t="s">
        <v>7</v>
      </c>
      <c r="N134" s="31">
        <f>(N130+N133)*(1+N128)^N129</f>
        <v>1794.1300000000003</v>
      </c>
    </row>
    <row r="135" spans="4:15" x14ac:dyDescent="0.25">
      <c r="D135" s="21" t="s">
        <v>152</v>
      </c>
    </row>
    <row r="136" spans="4:15" x14ac:dyDescent="0.25">
      <c r="D136" s="6" t="s">
        <v>153</v>
      </c>
      <c r="E136" s="84"/>
      <c r="F136" s="43">
        <v>15200</v>
      </c>
      <c r="H136" s="21" t="s">
        <v>154</v>
      </c>
    </row>
    <row r="137" spans="4:15" x14ac:dyDescent="0.25">
      <c r="D137" s="8" t="s">
        <v>155</v>
      </c>
      <c r="F137" s="69">
        <v>2.1999999999999999E-2</v>
      </c>
      <c r="H137" s="2" t="s">
        <v>156</v>
      </c>
    </row>
    <row r="138" spans="4:15" x14ac:dyDescent="0.25">
      <c r="D138" s="8" t="s">
        <v>157</v>
      </c>
      <c r="E138" s="2"/>
      <c r="F138" s="69">
        <v>0.04</v>
      </c>
      <c r="H138" s="6" t="s">
        <v>158</v>
      </c>
      <c r="I138" s="84"/>
      <c r="J138" s="43">
        <v>1000</v>
      </c>
    </row>
    <row r="139" spans="4:15" x14ac:dyDescent="0.25">
      <c r="D139" s="10" t="s">
        <v>159</v>
      </c>
      <c r="E139" s="52"/>
      <c r="F139" s="79">
        <f>3/12</f>
        <v>0.25</v>
      </c>
      <c r="H139" s="8" t="s">
        <v>160</v>
      </c>
      <c r="J139" s="90">
        <v>2E-3</v>
      </c>
    </row>
    <row r="140" spans="4:15" x14ac:dyDescent="0.25">
      <c r="D140" s="2" t="s">
        <v>148</v>
      </c>
      <c r="F140" s="42">
        <f>F136*EXP(1)^((F138-F137)*F139)</f>
        <v>15268.554131109939</v>
      </c>
      <c r="H140" s="8" t="s">
        <v>161</v>
      </c>
      <c r="J140" s="78">
        <f>J138*1.3335</f>
        <v>1333.5</v>
      </c>
    </row>
    <row r="141" spans="4:15" x14ac:dyDescent="0.25">
      <c r="H141" s="10" t="s">
        <v>162</v>
      </c>
      <c r="I141" s="52"/>
      <c r="J141" s="91">
        <v>5.0000000000000001E-4</v>
      </c>
      <c r="K141">
        <f>6/12</f>
        <v>0.5</v>
      </c>
      <c r="L141" s="92">
        <f>J139-J141</f>
        <v>1.5E-3</v>
      </c>
    </row>
    <row r="142" spans="4:15" x14ac:dyDescent="0.25">
      <c r="H142" s="2" t="s">
        <v>163</v>
      </c>
    </row>
    <row r="143" spans="4:15" x14ac:dyDescent="0.25">
      <c r="H143" s="6" t="s">
        <v>164</v>
      </c>
      <c r="I143" s="84"/>
      <c r="J143" s="48">
        <f>J140*EXP(1)^(J141*K141)</f>
        <v>1333.833416675348</v>
      </c>
    </row>
    <row r="144" spans="4:15" x14ac:dyDescent="0.25">
      <c r="H144" s="8" t="s">
        <v>165</v>
      </c>
      <c r="J144" s="78"/>
    </row>
    <row r="145" spans="2:10" x14ac:dyDescent="0.25">
      <c r="H145" s="10" t="s">
        <v>166</v>
      </c>
      <c r="I145" s="52"/>
      <c r="J145" s="50">
        <f>J138*EXP(1)^(J139*K141)</f>
        <v>1001.0005001667084</v>
      </c>
    </row>
    <row r="146" spans="2:10" x14ac:dyDescent="0.25">
      <c r="H146" s="2" t="s">
        <v>167</v>
      </c>
      <c r="J146">
        <f>J143/J145</f>
        <v>1.3325002499531309</v>
      </c>
    </row>
    <row r="147" spans="2:10" x14ac:dyDescent="0.25">
      <c r="H147" s="2" t="s">
        <v>168</v>
      </c>
    </row>
    <row r="148" spans="2:10" x14ac:dyDescent="0.25">
      <c r="H148" s="2" t="s">
        <v>167</v>
      </c>
      <c r="J148">
        <f>J140*EXP(1)^(-(L141)*K141)</f>
        <v>1332.5002499531308</v>
      </c>
    </row>
    <row r="151" spans="2:10" s="41" customFormat="1" x14ac:dyDescent="0.25"/>
    <row r="153" spans="2:10" ht="24.6" x14ac:dyDescent="0.4">
      <c r="B153" s="1" t="s">
        <v>169</v>
      </c>
    </row>
    <row r="156" spans="2:10" ht="25.5" customHeight="1" x14ac:dyDescent="0.25">
      <c r="B156" s="93" t="s">
        <v>170</v>
      </c>
      <c r="C156" s="94"/>
    </row>
    <row r="157" spans="2:10" x14ac:dyDescent="0.25">
      <c r="B157" s="2" t="s">
        <v>171</v>
      </c>
    </row>
    <row r="158" spans="2:10" x14ac:dyDescent="0.25">
      <c r="B158" s="6" t="s">
        <v>172</v>
      </c>
      <c r="C158" s="43">
        <v>29.7</v>
      </c>
    </row>
    <row r="159" spans="2:10" x14ac:dyDescent="0.25">
      <c r="B159" s="10" t="s">
        <v>173</v>
      </c>
      <c r="C159" s="79">
        <v>30</v>
      </c>
    </row>
    <row r="160" spans="2:10" x14ac:dyDescent="0.25">
      <c r="B160" s="2" t="s">
        <v>174</v>
      </c>
      <c r="C160">
        <v>0</v>
      </c>
    </row>
    <row r="162" spans="2:5" ht="26.4" x14ac:dyDescent="0.25">
      <c r="B162" s="93" t="s">
        <v>175</v>
      </c>
      <c r="C162" s="2"/>
    </row>
    <row r="163" spans="2:5" x14ac:dyDescent="0.25">
      <c r="B163" s="93" t="s">
        <v>176</v>
      </c>
      <c r="C163" s="2"/>
    </row>
    <row r="164" spans="2:5" x14ac:dyDescent="0.25">
      <c r="B164" s="6" t="s">
        <v>177</v>
      </c>
      <c r="C164" s="43">
        <v>300.83999999999997</v>
      </c>
    </row>
    <row r="165" spans="2:5" x14ac:dyDescent="0.25">
      <c r="B165" s="10" t="s">
        <v>178</v>
      </c>
      <c r="C165" s="79">
        <v>0</v>
      </c>
    </row>
    <row r="166" spans="2:5" x14ac:dyDescent="0.25">
      <c r="B166" s="2"/>
    </row>
    <row r="167" spans="2:5" x14ac:dyDescent="0.25">
      <c r="B167" s="95" t="s">
        <v>179</v>
      </c>
      <c r="C167" s="43"/>
      <c r="D167" s="95" t="s">
        <v>180</v>
      </c>
      <c r="E167" s="43"/>
    </row>
    <row r="168" spans="2:5" x14ac:dyDescent="0.25">
      <c r="B168" s="6" t="s">
        <v>69</v>
      </c>
      <c r="C168" s="43">
        <v>287</v>
      </c>
      <c r="D168" s="6" t="s">
        <v>69</v>
      </c>
      <c r="E168" s="43">
        <v>312</v>
      </c>
    </row>
    <row r="169" spans="2:5" x14ac:dyDescent="0.25">
      <c r="B169" s="10" t="s">
        <v>181</v>
      </c>
      <c r="C169" s="79">
        <f>C164</f>
        <v>300.83999999999997</v>
      </c>
      <c r="D169" s="10" t="s">
        <v>181</v>
      </c>
      <c r="E169" s="79">
        <f>C164</f>
        <v>300.83999999999997</v>
      </c>
    </row>
    <row r="170" spans="2:5" x14ac:dyDescent="0.25">
      <c r="B170" s="13" t="s">
        <v>182</v>
      </c>
      <c r="C170" s="78">
        <f>C168-C169</f>
        <v>-13.839999999999975</v>
      </c>
      <c r="D170" s="13" t="s">
        <v>182</v>
      </c>
      <c r="E170" s="78">
        <f>E168-E169</f>
        <v>11.160000000000025</v>
      </c>
    </row>
    <row r="171" spans="2:5" x14ac:dyDescent="0.25">
      <c r="B171" s="10" t="s">
        <v>183</v>
      </c>
      <c r="C171" s="79">
        <f>C169-C168</f>
        <v>13.839999999999975</v>
      </c>
      <c r="D171" s="10" t="s">
        <v>183</v>
      </c>
      <c r="E171" s="79">
        <f>E169-E168</f>
        <v>-11.160000000000025</v>
      </c>
    </row>
    <row r="173" spans="2:5" ht="39.6" x14ac:dyDescent="0.25">
      <c r="B173" s="93" t="s">
        <v>184</v>
      </c>
    </row>
    <row r="174" spans="2:5" x14ac:dyDescent="0.25">
      <c r="B174" s="93" t="s">
        <v>176</v>
      </c>
      <c r="C174" s="2"/>
    </row>
    <row r="175" spans="2:5" x14ac:dyDescent="0.25">
      <c r="B175" s="6" t="s">
        <v>181</v>
      </c>
      <c r="C175" s="43">
        <v>300.83999999999997</v>
      </c>
    </row>
    <row r="176" spans="2:5" x14ac:dyDescent="0.25">
      <c r="B176" s="10" t="s">
        <v>172</v>
      </c>
      <c r="C176" s="79">
        <v>295</v>
      </c>
    </row>
    <row r="177" spans="2:4" x14ac:dyDescent="0.25">
      <c r="B177" s="2" t="s">
        <v>67</v>
      </c>
      <c r="C177">
        <f>6/12</f>
        <v>0.5</v>
      </c>
    </row>
    <row r="178" spans="2:4" x14ac:dyDescent="0.25">
      <c r="B178" t="s">
        <v>185</v>
      </c>
    </row>
    <row r="179" spans="2:4" x14ac:dyDescent="0.25">
      <c r="B179" s="21" t="s">
        <v>186</v>
      </c>
      <c r="C179" s="76">
        <f>((C175/C176)^(1/C177))-1</f>
        <v>3.9985126113185832E-2</v>
      </c>
    </row>
    <row r="183" spans="2:4" x14ac:dyDescent="0.25">
      <c r="B183" s="2" t="s">
        <v>187</v>
      </c>
    </row>
    <row r="184" spans="2:4" x14ac:dyDescent="0.25">
      <c r="B184" s="2" t="s">
        <v>69</v>
      </c>
      <c r="C184">
        <v>325</v>
      </c>
    </row>
    <row r="185" spans="2:4" x14ac:dyDescent="0.25">
      <c r="B185" s="2" t="s">
        <v>188</v>
      </c>
      <c r="C185">
        <f>(C175*(1+C179)^-(1-C177))-C184</f>
        <v>-30</v>
      </c>
      <c r="D185" s="21" t="s">
        <v>189</v>
      </c>
    </row>
    <row r="188" spans="2:4" ht="39.6" x14ac:dyDescent="0.25">
      <c r="B188" s="93" t="s">
        <v>184</v>
      </c>
    </row>
    <row r="189" spans="2:4" x14ac:dyDescent="0.25">
      <c r="B189" s="93" t="s">
        <v>176</v>
      </c>
      <c r="C189" s="2"/>
    </row>
    <row r="190" spans="2:4" x14ac:dyDescent="0.25">
      <c r="B190" s="6" t="s">
        <v>181</v>
      </c>
      <c r="C190" s="43">
        <v>300.83999999999997</v>
      </c>
    </row>
    <row r="191" spans="2:4" x14ac:dyDescent="0.25">
      <c r="B191" s="13" t="s">
        <v>69</v>
      </c>
      <c r="C191" s="78">
        <v>285</v>
      </c>
      <c r="D191" s="2" t="s">
        <v>190</v>
      </c>
    </row>
    <row r="192" spans="2:4" x14ac:dyDescent="0.25">
      <c r="B192" s="8" t="s">
        <v>67</v>
      </c>
      <c r="C192" s="78">
        <f>6/12</f>
        <v>0.5</v>
      </c>
    </row>
    <row r="193" spans="2:5" x14ac:dyDescent="0.25">
      <c r="B193" s="8" t="s">
        <v>191</v>
      </c>
      <c r="C193" s="78">
        <f>3/12</f>
        <v>0.25</v>
      </c>
    </row>
    <row r="194" spans="2:5" x14ac:dyDescent="0.25">
      <c r="B194" s="18" t="s">
        <v>186</v>
      </c>
      <c r="C194" s="75">
        <v>3.9985126113185832E-2</v>
      </c>
    </row>
    <row r="195" spans="2:5" x14ac:dyDescent="0.25">
      <c r="B195" s="2" t="s">
        <v>192</v>
      </c>
    </row>
    <row r="196" spans="2:5" x14ac:dyDescent="0.25">
      <c r="B196" s="21" t="s">
        <v>193</v>
      </c>
      <c r="C196" s="42">
        <f>C190*(1+C194)^-(C193)-C191</f>
        <v>12.905689774465316</v>
      </c>
      <c r="D196" s="21" t="s">
        <v>194</v>
      </c>
      <c r="E196">
        <f>C190*(1+C194)^-(C193)</f>
        <v>297.90568977446532</v>
      </c>
    </row>
    <row r="197" spans="2:5" x14ac:dyDescent="0.25">
      <c r="B197" s="2" t="s">
        <v>195</v>
      </c>
    </row>
    <row r="198" spans="2:5" x14ac:dyDescent="0.25">
      <c r="B198" s="21" t="str">
        <f>B194</f>
        <v>risk-free rate implied</v>
      </c>
      <c r="C198" s="76">
        <f>C194*2</f>
        <v>7.9970252226371663E-2</v>
      </c>
    </row>
    <row r="199" spans="2:5" x14ac:dyDescent="0.25">
      <c r="B199" s="21" t="s">
        <v>193</v>
      </c>
      <c r="C199" s="42">
        <f>(C190/(1+C198)^C193)-C191</f>
        <v>10.10912046577829</v>
      </c>
      <c r="D199" s="21" t="s">
        <v>194</v>
      </c>
      <c r="E199" s="2">
        <f>(C190/(1+C198)^C193)</f>
        <v>295.10912046577829</v>
      </c>
    </row>
    <row r="201" spans="2:5" ht="39.6" x14ac:dyDescent="0.25">
      <c r="B201" s="93" t="s">
        <v>184</v>
      </c>
    </row>
    <row r="202" spans="2:5" x14ac:dyDescent="0.25">
      <c r="B202" s="2" t="s">
        <v>196</v>
      </c>
    </row>
    <row r="203" spans="2:5" x14ac:dyDescent="0.25">
      <c r="B203" s="6" t="s">
        <v>197</v>
      </c>
      <c r="C203" s="43">
        <v>50.631100000000004</v>
      </c>
      <c r="D203" s="2" t="s">
        <v>198</v>
      </c>
    </row>
    <row r="204" spans="2:5" x14ac:dyDescent="0.25">
      <c r="B204" s="8" t="s">
        <v>199</v>
      </c>
      <c r="C204" s="78">
        <v>0.3</v>
      </c>
    </row>
    <row r="205" spans="2:5" x14ac:dyDescent="0.25">
      <c r="B205" s="8" t="s">
        <v>191</v>
      </c>
      <c r="C205" s="78">
        <v>3</v>
      </c>
      <c r="D205">
        <f>C205/12</f>
        <v>0.25</v>
      </c>
    </row>
    <row r="206" spans="2:5" x14ac:dyDescent="0.25">
      <c r="B206" s="8" t="s">
        <v>200</v>
      </c>
      <c r="C206" s="78">
        <v>4</v>
      </c>
      <c r="D206">
        <f t="shared" ref="D206:D207" si="17">C206/12</f>
        <v>0.33333333333333331</v>
      </c>
      <c r="E206">
        <f>D207-D206</f>
        <v>0.16666666666666669</v>
      </c>
    </row>
    <row r="207" spans="2:5" x14ac:dyDescent="0.25">
      <c r="B207" s="8" t="s">
        <v>67</v>
      </c>
      <c r="C207" s="78">
        <v>6</v>
      </c>
      <c r="D207">
        <f t="shared" si="17"/>
        <v>0.5</v>
      </c>
    </row>
    <row r="208" spans="2:5" x14ac:dyDescent="0.25">
      <c r="B208" s="10" t="s">
        <v>201</v>
      </c>
      <c r="C208" s="75">
        <v>0.05</v>
      </c>
    </row>
    <row r="209" spans="2:4" x14ac:dyDescent="0.25">
      <c r="B209" s="21" t="s">
        <v>202</v>
      </c>
    </row>
    <row r="210" spans="2:4" x14ac:dyDescent="0.25">
      <c r="B210" s="2" t="s">
        <v>203</v>
      </c>
      <c r="C210" s="89">
        <f>C204/(1+C208)^(E206)</f>
        <v>0.29757038362807164</v>
      </c>
    </row>
    <row r="211" spans="2:4" x14ac:dyDescent="0.25">
      <c r="B211" t="str">
        <f>B202</f>
        <v>V0(T) = 0.</v>
      </c>
    </row>
    <row r="212" spans="2:4" x14ac:dyDescent="0.25">
      <c r="B212" s="2" t="s">
        <v>69</v>
      </c>
      <c r="C212" s="96">
        <f>C210+C203/((1+C208)^E206)</f>
        <v>50.518623218665603</v>
      </c>
    </row>
    <row r="214" spans="2:4" ht="19.2" x14ac:dyDescent="0.35">
      <c r="B214" s="97" t="s">
        <v>204</v>
      </c>
    </row>
    <row r="216" spans="2:4" x14ac:dyDescent="0.25">
      <c r="B216" s="6" t="s">
        <v>205</v>
      </c>
      <c r="C216" s="43">
        <v>1.1919999999999999</v>
      </c>
      <c r="D216" s="2" t="s">
        <v>206</v>
      </c>
    </row>
    <row r="217" spans="2:4" x14ac:dyDescent="0.25">
      <c r="B217" s="6" t="s">
        <v>207</v>
      </c>
      <c r="C217">
        <v>1.2010000000000001</v>
      </c>
    </row>
    <row r="218" spans="2:4" x14ac:dyDescent="0.25">
      <c r="B218" s="8" t="s">
        <v>208</v>
      </c>
      <c r="C218" s="90">
        <v>5.0000000000000001E-3</v>
      </c>
    </row>
    <row r="219" spans="2:4" x14ac:dyDescent="0.25">
      <c r="B219" s="10" t="s">
        <v>209</v>
      </c>
      <c r="C219" s="91">
        <v>-2.5000000000000001E-3</v>
      </c>
    </row>
    <row r="220" spans="2:4" x14ac:dyDescent="0.25">
      <c r="B220" s="2" t="s">
        <v>210</v>
      </c>
      <c r="C220" s="92">
        <f>C218+0.25%</f>
        <v>7.4999999999999997E-3</v>
      </c>
    </row>
    <row r="221" spans="2:4" x14ac:dyDescent="0.25">
      <c r="B221" s="2" t="s">
        <v>211</v>
      </c>
      <c r="C221" s="92">
        <f>C220-C219</f>
        <v>0.01</v>
      </c>
    </row>
    <row r="222" spans="2:4" x14ac:dyDescent="0.25">
      <c r="B222" s="2" t="s">
        <v>193</v>
      </c>
      <c r="C222">
        <f>C216-C217*EXP(1)^-(C220-C219)</f>
        <v>2.9501496672490468E-3</v>
      </c>
    </row>
    <row r="223" spans="2:4" x14ac:dyDescent="0.25">
      <c r="C223">
        <f>C222*1000000</f>
        <v>2950.1496672490466</v>
      </c>
    </row>
    <row r="225" spans="2:15" s="41" customFormat="1" x14ac:dyDescent="0.25"/>
    <row r="226" spans="2:15" ht="24.6" x14ac:dyDescent="0.4">
      <c r="B226" s="1" t="s">
        <v>212</v>
      </c>
    </row>
    <row r="227" spans="2:15" x14ac:dyDescent="0.25">
      <c r="B227" s="21" t="s">
        <v>213</v>
      </c>
    </row>
    <row r="228" spans="2:15" x14ac:dyDescent="0.25">
      <c r="B228" s="21" t="s">
        <v>214</v>
      </c>
    </row>
    <row r="229" spans="2:15" x14ac:dyDescent="0.25">
      <c r="B229" s="21" t="s">
        <v>215</v>
      </c>
    </row>
    <row r="230" spans="2:15" x14ac:dyDescent="0.25">
      <c r="B230" s="21" t="s">
        <v>216</v>
      </c>
    </row>
    <row r="231" spans="2:15" x14ac:dyDescent="0.25">
      <c r="B231" s="21" t="s">
        <v>217</v>
      </c>
    </row>
    <row r="233" spans="2:15" ht="17.399999999999999" x14ac:dyDescent="0.3">
      <c r="B233" s="98" t="s">
        <v>218</v>
      </c>
    </row>
    <row r="234" spans="2:15" x14ac:dyDescent="0.25">
      <c r="B234" s="21" t="s">
        <v>219</v>
      </c>
    </row>
    <row r="235" spans="2:15" ht="12.75" customHeight="1" x14ac:dyDescent="0.25">
      <c r="B235" s="99" t="s">
        <v>220</v>
      </c>
      <c r="C235" s="100" t="s">
        <v>221</v>
      </c>
      <c r="D235" s="100" t="s">
        <v>222</v>
      </c>
      <c r="E235" s="101" t="s">
        <v>223</v>
      </c>
      <c r="F235" s="280" t="s">
        <v>413</v>
      </c>
      <c r="G235" s="102"/>
      <c r="H235" s="102"/>
      <c r="I235" s="103"/>
      <c r="K235" s="278"/>
      <c r="L235" s="278"/>
      <c r="M235" s="278"/>
      <c r="N235" s="278"/>
      <c r="O235" s="278"/>
    </row>
    <row r="236" spans="2:15" ht="12.75" customHeight="1" x14ac:dyDescent="0.25">
      <c r="B236" s="104">
        <v>1</v>
      </c>
      <c r="C236" s="105">
        <v>1.5</v>
      </c>
      <c r="D236" s="106">
        <v>99.125</v>
      </c>
      <c r="E236" s="107">
        <f>RATE(B236,C236,-D236,100,0)</f>
        <v>2.3959646910466606E-2</v>
      </c>
      <c r="F236" s="108"/>
      <c r="G236" s="109"/>
      <c r="H236" s="109"/>
      <c r="I236" s="110"/>
      <c r="K236" s="278"/>
      <c r="L236" s="278"/>
      <c r="M236" s="278"/>
      <c r="N236" s="278"/>
      <c r="O236" s="278"/>
    </row>
    <row r="237" spans="2:15" x14ac:dyDescent="0.25">
      <c r="B237" s="111">
        <v>2</v>
      </c>
      <c r="C237" s="112">
        <v>2.5</v>
      </c>
      <c r="D237" s="113">
        <v>98.275000000000006</v>
      </c>
      <c r="E237" s="114">
        <f t="shared" ref="E237:E238" si="18">RATE(B237,C237,-D237,100,0)</f>
        <v>3.4068218297552154E-2</v>
      </c>
      <c r="F237" s="108"/>
      <c r="G237" s="109"/>
      <c r="H237" s="109"/>
      <c r="I237" s="110"/>
      <c r="K237" s="278"/>
      <c r="L237" s="278"/>
      <c r="M237" s="278"/>
      <c r="N237" s="278"/>
      <c r="O237" s="278"/>
    </row>
    <row r="238" spans="2:15" x14ac:dyDescent="0.25">
      <c r="B238" s="115">
        <v>3</v>
      </c>
      <c r="C238" s="116">
        <v>3.25</v>
      </c>
      <c r="D238" s="117">
        <v>98</v>
      </c>
      <c r="E238" s="118">
        <f t="shared" si="18"/>
        <v>3.9702907398727477E-2</v>
      </c>
      <c r="F238" s="119"/>
      <c r="G238" s="120"/>
      <c r="H238" s="120"/>
      <c r="I238" s="121"/>
      <c r="K238" s="278"/>
      <c r="L238" s="278"/>
      <c r="M238" s="278"/>
      <c r="N238" s="278"/>
      <c r="O238" s="278"/>
    </row>
    <row r="239" spans="2:15" x14ac:dyDescent="0.25">
      <c r="C239" s="42"/>
      <c r="K239" s="278"/>
      <c r="L239" s="278"/>
      <c r="M239" s="278"/>
      <c r="N239" s="278"/>
      <c r="O239" s="278"/>
    </row>
    <row r="240" spans="2:15" x14ac:dyDescent="0.25">
      <c r="B240" s="21" t="s">
        <v>224</v>
      </c>
      <c r="C240" s="42"/>
      <c r="K240" s="278"/>
      <c r="L240" s="278"/>
      <c r="M240" s="278"/>
      <c r="N240" s="278"/>
      <c r="O240" s="278"/>
    </row>
    <row r="241" spans="2:15" x14ac:dyDescent="0.25">
      <c r="B241" s="99" t="s">
        <v>220</v>
      </c>
      <c r="C241" s="122" t="s">
        <v>225</v>
      </c>
      <c r="D241" s="279" t="s">
        <v>412</v>
      </c>
      <c r="E241" s="123"/>
      <c r="F241" s="123"/>
      <c r="G241" s="123"/>
      <c r="H241" s="123"/>
      <c r="I241" s="124"/>
      <c r="K241" s="278"/>
      <c r="L241" s="278"/>
      <c r="M241" s="278"/>
      <c r="N241" s="278"/>
      <c r="O241" s="278"/>
    </row>
    <row r="242" spans="2:15" x14ac:dyDescent="0.25">
      <c r="B242" s="104">
        <v>1</v>
      </c>
      <c r="C242" s="125">
        <f>((100+C236)/D236)^(1/B242)-1</f>
        <v>2.3959646910466592E-2</v>
      </c>
      <c r="D242" s="126"/>
      <c r="E242" s="127"/>
      <c r="F242" s="127"/>
      <c r="G242" s="127"/>
      <c r="H242" s="127"/>
      <c r="I242" s="128"/>
      <c r="K242" s="278"/>
      <c r="L242" s="278"/>
      <c r="M242" s="278"/>
      <c r="N242" s="278"/>
      <c r="O242" s="278"/>
    </row>
    <row r="243" spans="2:15" x14ac:dyDescent="0.25">
      <c r="B243" s="111">
        <v>2</v>
      </c>
      <c r="C243" s="129">
        <f>((100+C237)/(D237-(C237/(1+E236)^(B242))))^(1/B243)-1</f>
        <v>3.4196975807985863E-2</v>
      </c>
      <c r="D243" s="126"/>
      <c r="E243" s="127"/>
      <c r="F243" s="127"/>
      <c r="G243" s="127"/>
      <c r="H243" s="127"/>
      <c r="I243" s="128"/>
      <c r="K243" s="278"/>
      <c r="L243" s="278"/>
      <c r="M243" s="278"/>
      <c r="N243" s="278"/>
      <c r="O243" s="278"/>
    </row>
    <row r="244" spans="2:15" x14ac:dyDescent="0.25">
      <c r="B244" s="115">
        <v>3</v>
      </c>
      <c r="C244" s="130">
        <f>((100+C238)/(D238-(C238/(1+E236)^B242)-(C238/(1+E237)^B243)))^(1/B244)-1</f>
        <v>4.0008335817832696E-2</v>
      </c>
      <c r="D244" s="131"/>
      <c r="E244" s="132"/>
      <c r="F244" s="132"/>
      <c r="G244" s="132"/>
      <c r="H244" s="132"/>
      <c r="I244" s="133"/>
      <c r="K244" s="278"/>
      <c r="L244" s="278"/>
      <c r="M244" s="278"/>
      <c r="N244" s="278"/>
      <c r="O244" s="278"/>
    </row>
    <row r="245" spans="2:15" x14ac:dyDescent="0.25">
      <c r="B245" s="88"/>
      <c r="C245" s="31"/>
      <c r="D245" s="112"/>
      <c r="K245" s="278"/>
      <c r="L245" s="278"/>
      <c r="M245" s="278"/>
      <c r="N245" s="278"/>
      <c r="O245" s="278"/>
    </row>
    <row r="246" spans="2:15" x14ac:dyDescent="0.25">
      <c r="C246" s="31"/>
      <c r="D246" s="112"/>
      <c r="K246" s="278"/>
      <c r="L246" s="278"/>
      <c r="M246" s="278"/>
      <c r="N246" s="278"/>
      <c r="O246" s="278"/>
    </row>
    <row r="247" spans="2:15" x14ac:dyDescent="0.25">
      <c r="B247" s="21" t="s">
        <v>226</v>
      </c>
      <c r="C247" s="31"/>
      <c r="D247" s="112"/>
      <c r="K247" s="278"/>
      <c r="L247" s="278"/>
      <c r="M247" s="278"/>
      <c r="N247" s="278"/>
      <c r="O247" s="278"/>
    </row>
    <row r="248" spans="2:15" ht="12.75" customHeight="1" x14ac:dyDescent="0.25">
      <c r="B248" s="134" t="s">
        <v>220</v>
      </c>
      <c r="C248" s="135" t="s">
        <v>227</v>
      </c>
      <c r="D248" s="279" t="s">
        <v>414</v>
      </c>
      <c r="E248" s="123"/>
      <c r="F248" s="123"/>
      <c r="G248" s="123"/>
      <c r="H248" s="123"/>
      <c r="I248" s="124"/>
      <c r="K248" s="278"/>
      <c r="L248" s="278"/>
      <c r="M248" s="278"/>
      <c r="N248" s="278"/>
      <c r="O248" s="278"/>
    </row>
    <row r="249" spans="2:15" x14ac:dyDescent="0.25">
      <c r="B249" s="136">
        <v>1</v>
      </c>
      <c r="C249" s="137">
        <f>(1/(1+C242)^B249)</f>
        <v>0.97660098522167482</v>
      </c>
      <c r="D249" s="126"/>
      <c r="E249" s="127"/>
      <c r="F249" s="127"/>
      <c r="G249" s="127"/>
      <c r="H249" s="127"/>
      <c r="I249" s="128"/>
      <c r="K249" s="278"/>
      <c r="L249" s="278"/>
      <c r="M249" s="278"/>
      <c r="N249" s="278"/>
      <c r="O249" s="278"/>
    </row>
    <row r="250" spans="2:15" x14ac:dyDescent="0.25">
      <c r="B250" s="138">
        <v>2</v>
      </c>
      <c r="C250" s="139">
        <f t="shared" ref="C250:C251" si="19">(1/(1+C243)^B250)</f>
        <v>0.93496095157995929</v>
      </c>
      <c r="D250" s="126"/>
      <c r="E250" s="127"/>
      <c r="F250" s="127"/>
      <c r="G250" s="127"/>
      <c r="H250" s="127"/>
      <c r="I250" s="128"/>
      <c r="K250" s="278"/>
      <c r="L250" s="278"/>
      <c r="M250" s="278"/>
      <c r="N250" s="278"/>
      <c r="O250" s="278"/>
    </row>
    <row r="251" spans="2:15" x14ac:dyDescent="0.25">
      <c r="B251" s="140">
        <v>3</v>
      </c>
      <c r="C251" s="141">
        <f t="shared" si="19"/>
        <v>0.88897498253752705</v>
      </c>
      <c r="D251" s="131"/>
      <c r="E251" s="132"/>
      <c r="F251" s="132"/>
      <c r="G251" s="132"/>
      <c r="H251" s="132"/>
      <c r="I251" s="133"/>
      <c r="K251" s="278"/>
      <c r="L251" s="278"/>
      <c r="M251" s="278"/>
      <c r="N251" s="278"/>
      <c r="O251" s="278"/>
    </row>
    <row r="252" spans="2:15" x14ac:dyDescent="0.25">
      <c r="B252" s="142"/>
      <c r="C252" s="31"/>
      <c r="D252" s="112"/>
      <c r="K252" s="278"/>
      <c r="L252" s="278"/>
      <c r="M252" s="278"/>
      <c r="N252" s="278"/>
      <c r="O252" s="278"/>
    </row>
    <row r="253" spans="2:15" x14ac:dyDescent="0.25">
      <c r="B253" s="21" t="s">
        <v>228</v>
      </c>
      <c r="C253" s="31"/>
      <c r="D253" s="112"/>
      <c r="K253" s="278"/>
      <c r="L253" s="278"/>
      <c r="M253" s="278"/>
      <c r="N253" s="278"/>
      <c r="O253" s="278"/>
    </row>
    <row r="254" spans="2:15" ht="12.75" customHeight="1" x14ac:dyDescent="0.25">
      <c r="B254" s="99" t="s">
        <v>220</v>
      </c>
      <c r="C254" s="143" t="s">
        <v>229</v>
      </c>
      <c r="D254" s="279" t="s">
        <v>415</v>
      </c>
      <c r="E254" s="144"/>
      <c r="F254" s="144"/>
      <c r="G254" s="144"/>
      <c r="H254" s="144"/>
      <c r="I254" s="145"/>
      <c r="K254" s="278"/>
      <c r="L254" s="278"/>
      <c r="M254" s="278"/>
      <c r="N254" s="278"/>
      <c r="O254" s="278"/>
    </row>
    <row r="255" spans="2:15" x14ac:dyDescent="0.25">
      <c r="B255" s="146" t="s">
        <v>230</v>
      </c>
      <c r="C255" s="147">
        <f>((100*(1+C243)^B243)/(100*(1+C242)^B242))-1</f>
        <v>4.4536655323786034E-2</v>
      </c>
      <c r="D255" s="148"/>
      <c r="E255" s="149"/>
      <c r="F255" s="149"/>
      <c r="G255" s="149"/>
      <c r="H255" s="149"/>
      <c r="I255" s="150"/>
      <c r="K255" s="278"/>
      <c r="L255" s="278"/>
      <c r="M255" s="278"/>
      <c r="N255" s="278"/>
      <c r="O255" s="278"/>
    </row>
    <row r="256" spans="2:15" x14ac:dyDescent="0.25">
      <c r="B256" s="151" t="s">
        <v>231</v>
      </c>
      <c r="C256" s="152">
        <f>((100*(1+C244)^B244)/(100*(1+C243)^B243))-1</f>
        <v>5.1729204922244421E-2</v>
      </c>
      <c r="D256" s="148"/>
      <c r="E256" s="149"/>
      <c r="F256" s="149"/>
      <c r="G256" s="149"/>
      <c r="H256" s="149"/>
      <c r="I256" s="150"/>
      <c r="K256" s="278"/>
      <c r="L256" s="278"/>
      <c r="M256" s="278"/>
      <c r="N256" s="278"/>
      <c r="O256" s="278"/>
    </row>
    <row r="257" spans="1:15" x14ac:dyDescent="0.25">
      <c r="B257" s="142"/>
      <c r="C257" s="31"/>
      <c r="D257" s="153"/>
      <c r="E257" s="154"/>
      <c r="F257" s="154"/>
      <c r="G257" s="154"/>
      <c r="H257" s="154"/>
      <c r="I257" s="155"/>
      <c r="K257" s="278"/>
      <c r="L257" s="278"/>
      <c r="M257" s="278"/>
      <c r="N257" s="278"/>
      <c r="O257" s="278"/>
    </row>
    <row r="258" spans="1:15" x14ac:dyDescent="0.25">
      <c r="B258" s="142"/>
      <c r="C258" s="31"/>
      <c r="D258" s="156"/>
      <c r="E258" s="67"/>
      <c r="F258" s="67"/>
    </row>
    <row r="259" spans="1:15" x14ac:dyDescent="0.25">
      <c r="B259" s="134" t="s">
        <v>220</v>
      </c>
      <c r="C259" s="157" t="s">
        <v>223</v>
      </c>
      <c r="D259" s="158" t="s">
        <v>232</v>
      </c>
      <c r="E259" s="158" t="s">
        <v>233</v>
      </c>
      <c r="F259" s="158" t="s">
        <v>234</v>
      </c>
      <c r="G259" s="135" t="s">
        <v>235</v>
      </c>
    </row>
    <row r="260" spans="1:15" x14ac:dyDescent="0.25">
      <c r="B260" s="104">
        <v>1</v>
      </c>
      <c r="C260" s="159">
        <f>E236</f>
        <v>2.3959646910466606E-2</v>
      </c>
      <c r="D260" s="160">
        <f>C242</f>
        <v>2.3959646910466592E-2</v>
      </c>
      <c r="E260" s="161">
        <f>C249</f>
        <v>0.97660098522167482</v>
      </c>
      <c r="F260" s="84"/>
      <c r="G260" s="43"/>
    </row>
    <row r="261" spans="1:15" x14ac:dyDescent="0.25">
      <c r="B261" s="111">
        <v>2</v>
      </c>
      <c r="C261" s="162">
        <f t="shared" ref="C261:C262" si="20">E237</f>
        <v>3.4068218297552154E-2</v>
      </c>
      <c r="D261" s="163">
        <f t="shared" ref="D261:D262" si="21">C243</f>
        <v>3.4196975807985863E-2</v>
      </c>
      <c r="E261" s="164">
        <f t="shared" ref="E261:E262" si="22">C250</f>
        <v>0.93496095157995929</v>
      </c>
      <c r="F261" t="str">
        <f>B255</f>
        <v>IFR 1,1</v>
      </c>
      <c r="G261" s="114">
        <f>C255</f>
        <v>4.4536655323786034E-2</v>
      </c>
    </row>
    <row r="262" spans="1:15" x14ac:dyDescent="0.25">
      <c r="B262" s="115">
        <v>3</v>
      </c>
      <c r="C262" s="165">
        <f t="shared" si="20"/>
        <v>3.9702907398727477E-2</v>
      </c>
      <c r="D262" s="166">
        <f t="shared" si="21"/>
        <v>4.0008335817832696E-2</v>
      </c>
      <c r="E262" s="167">
        <f t="shared" si="22"/>
        <v>0.88897498253752705</v>
      </c>
      <c r="F262" s="52" t="str">
        <f>B256</f>
        <v>IFR 2,1</v>
      </c>
      <c r="G262" s="118">
        <f>C256</f>
        <v>5.1729204922244421E-2</v>
      </c>
    </row>
    <row r="263" spans="1:15" x14ac:dyDescent="0.25">
      <c r="B263" s="142"/>
      <c r="C263" s="31"/>
      <c r="D263" s="112"/>
    </row>
    <row r="264" spans="1:15" ht="24.6" x14ac:dyDescent="0.4">
      <c r="B264" s="168" t="s">
        <v>236</v>
      </c>
      <c r="C264" s="31"/>
      <c r="D264" s="112"/>
    </row>
    <row r="265" spans="1:15" s="169" customFormat="1" x14ac:dyDescent="0.25">
      <c r="B265" s="170" t="s">
        <v>237</v>
      </c>
      <c r="C265" s="171"/>
      <c r="D265" s="172"/>
    </row>
    <row r="266" spans="1:15" s="169" customFormat="1" x14ac:dyDescent="0.25">
      <c r="B266" s="170"/>
      <c r="C266" s="171"/>
      <c r="D266" s="172"/>
    </row>
    <row r="267" spans="1:15" s="169" customFormat="1" ht="12.75" customHeight="1" x14ac:dyDescent="0.25">
      <c r="D267" s="173"/>
      <c r="E267" s="174" t="s">
        <v>238</v>
      </c>
      <c r="F267" s="175" t="s">
        <v>239</v>
      </c>
      <c r="G267" s="176"/>
      <c r="H267" s="176"/>
      <c r="I267" s="176"/>
      <c r="J267" s="176"/>
      <c r="K267" s="176"/>
      <c r="L267" s="176"/>
      <c r="M267" s="176"/>
    </row>
    <row r="268" spans="1:15" s="169" customFormat="1" x14ac:dyDescent="0.25">
      <c r="B268" s="177" t="s">
        <v>240</v>
      </c>
      <c r="D268" s="178" t="s">
        <v>241</v>
      </c>
      <c r="E268" s="179">
        <f>100*(1+D260)^B260</f>
        <v>102.39596469104666</v>
      </c>
      <c r="F268" s="180">
        <f>E268*(1+G261)^(B261-B260)</f>
        <v>106.95633847703837</v>
      </c>
      <c r="G268" s="176"/>
      <c r="H268" s="176"/>
      <c r="I268" s="176"/>
      <c r="J268" s="176"/>
      <c r="K268" s="176"/>
      <c r="L268" s="176"/>
      <c r="M268" s="176"/>
    </row>
    <row r="269" spans="1:15" s="169" customFormat="1" x14ac:dyDescent="0.25">
      <c r="B269" s="181">
        <f>(100*(1+D261)^B261)/(100*(1+D260)^B260)-1</f>
        <v>4.4536655323786034E-2</v>
      </c>
      <c r="D269" s="170"/>
      <c r="E269" s="171"/>
      <c r="F269" s="172"/>
      <c r="H269" s="176"/>
      <c r="I269" s="176"/>
      <c r="J269" s="176"/>
      <c r="K269" s="176"/>
      <c r="L269" s="176"/>
      <c r="M269" s="176"/>
    </row>
    <row r="270" spans="1:15" s="169" customFormat="1" x14ac:dyDescent="0.25">
      <c r="A270" s="142" t="s">
        <v>242</v>
      </c>
      <c r="B270" s="172">
        <f>B269-G261</f>
        <v>0</v>
      </c>
      <c r="D270" s="182"/>
      <c r="E270" s="183"/>
      <c r="F270" s="174" t="s">
        <v>243</v>
      </c>
      <c r="G270" s="176"/>
      <c r="H270" s="176"/>
      <c r="I270" s="176"/>
      <c r="J270" s="176"/>
      <c r="K270" s="176"/>
      <c r="L270" s="176"/>
      <c r="M270" s="176"/>
    </row>
    <row r="271" spans="1:15" s="169" customFormat="1" x14ac:dyDescent="0.25">
      <c r="D271" s="178" t="s">
        <v>244</v>
      </c>
      <c r="E271" s="179"/>
      <c r="F271" s="180">
        <f>100*(1+D261)^B261</f>
        <v>106.95633847703836</v>
      </c>
      <c r="G271" s="176"/>
      <c r="H271" s="176"/>
      <c r="I271" s="176"/>
      <c r="J271" s="176"/>
      <c r="K271" s="176"/>
      <c r="L271" s="176"/>
      <c r="M271" s="176"/>
    </row>
    <row r="272" spans="1:15" s="169" customFormat="1" x14ac:dyDescent="0.25">
      <c r="B272" s="170"/>
      <c r="C272" s="171"/>
      <c r="D272" s="172"/>
      <c r="E272" s="176"/>
      <c r="F272" s="176"/>
      <c r="G272" s="176"/>
      <c r="H272" s="176"/>
      <c r="I272" s="176"/>
      <c r="J272" s="176"/>
      <c r="K272" s="176"/>
      <c r="L272" s="176"/>
      <c r="M272" s="176"/>
    </row>
    <row r="273" spans="1:13" s="169" customFormat="1" x14ac:dyDescent="0.25">
      <c r="B273" s="177" t="s">
        <v>245</v>
      </c>
      <c r="C273" s="171"/>
      <c r="D273" s="173"/>
      <c r="E273" s="174" t="s">
        <v>246</v>
      </c>
      <c r="F273" s="175" t="s">
        <v>247</v>
      </c>
      <c r="G273" s="176"/>
      <c r="H273" s="176"/>
      <c r="I273" s="176"/>
      <c r="J273" s="176"/>
      <c r="K273" s="176"/>
      <c r="L273" s="176"/>
      <c r="M273" s="176"/>
    </row>
    <row r="274" spans="1:13" s="169" customFormat="1" x14ac:dyDescent="0.25">
      <c r="B274" s="184">
        <f>((1+D262)^B262)/((1+D261)^B261)^(1/(B262-B261))-1</f>
        <v>5.1729204922244199E-2</v>
      </c>
      <c r="C274" s="171"/>
      <c r="D274" s="178" t="s">
        <v>241</v>
      </c>
      <c r="E274" s="179">
        <f>100*(1+D261)^B261</f>
        <v>106.95633847703836</v>
      </c>
      <c r="F274" s="180">
        <f>E274*(1+G262)^(B262-B261)</f>
        <v>112.48910482785001</v>
      </c>
      <c r="G274" s="176"/>
      <c r="H274" s="176"/>
      <c r="I274" s="176"/>
      <c r="J274" s="176"/>
      <c r="K274" s="176"/>
      <c r="L274" s="176"/>
      <c r="M274" s="176"/>
    </row>
    <row r="275" spans="1:13" s="169" customFormat="1" x14ac:dyDescent="0.25">
      <c r="A275" s="142" t="s">
        <v>242</v>
      </c>
      <c r="B275" s="170"/>
      <c r="C275" s="171"/>
      <c r="D275" s="170"/>
      <c r="E275" s="171"/>
      <c r="F275" s="172"/>
      <c r="G275" s="176"/>
      <c r="H275" s="176"/>
      <c r="I275" s="176"/>
      <c r="J275" s="176"/>
      <c r="K275" s="176"/>
      <c r="L275" s="176"/>
      <c r="M275" s="176"/>
    </row>
    <row r="276" spans="1:13" s="169" customFormat="1" x14ac:dyDescent="0.25">
      <c r="B276" s="170"/>
      <c r="C276" s="171"/>
      <c r="D276" s="182"/>
      <c r="E276" s="183"/>
      <c r="F276" s="174" t="s">
        <v>248</v>
      </c>
      <c r="G276" s="176"/>
      <c r="H276" s="176"/>
      <c r="I276" s="176"/>
      <c r="J276" s="176"/>
      <c r="K276" s="176"/>
      <c r="L276" s="176"/>
      <c r="M276" s="176"/>
    </row>
    <row r="277" spans="1:13" s="169" customFormat="1" x14ac:dyDescent="0.25">
      <c r="B277" s="170"/>
      <c r="C277" s="171"/>
      <c r="D277" s="178" t="s">
        <v>244</v>
      </c>
      <c r="E277" s="179"/>
      <c r="F277" s="180">
        <f>100*(1+D262)^B262</f>
        <v>112.48910482785</v>
      </c>
      <c r="G277" s="176"/>
      <c r="H277" s="176"/>
      <c r="I277" s="176"/>
      <c r="J277" s="176"/>
      <c r="K277" s="176"/>
      <c r="L277" s="176"/>
      <c r="M277" s="176"/>
    </row>
    <row r="278" spans="1:13" s="169" customFormat="1" x14ac:dyDescent="0.25">
      <c r="B278" s="170"/>
      <c r="C278" s="171"/>
      <c r="D278" s="172"/>
      <c r="E278" s="176"/>
      <c r="F278" s="176"/>
      <c r="G278" s="176"/>
      <c r="H278" s="176"/>
      <c r="I278" s="176"/>
      <c r="J278" s="176"/>
      <c r="K278" s="176"/>
      <c r="L278" s="176"/>
      <c r="M278" s="176"/>
    </row>
    <row r="279" spans="1:13" s="169" customFormat="1" x14ac:dyDescent="0.25">
      <c r="B279" s="170"/>
      <c r="C279" s="171"/>
      <c r="D279" s="172"/>
      <c r="E279" s="176"/>
      <c r="F279" s="176"/>
      <c r="G279" s="176"/>
      <c r="H279" s="176"/>
      <c r="I279" s="176"/>
      <c r="J279" s="176"/>
      <c r="K279" s="176"/>
      <c r="L279" s="176"/>
      <c r="M279" s="176"/>
    </row>
    <row r="280" spans="1:13" s="169" customFormat="1" x14ac:dyDescent="0.25">
      <c r="B280" s="170"/>
      <c r="C280" s="171"/>
      <c r="D280" s="172"/>
      <c r="E280" s="176"/>
      <c r="F280" s="176"/>
      <c r="G280" s="176"/>
      <c r="H280" s="176"/>
      <c r="I280" s="176"/>
      <c r="J280" s="176"/>
      <c r="K280" s="176"/>
      <c r="L280" s="176"/>
      <c r="M280" s="176"/>
    </row>
    <row r="281" spans="1:13" s="169" customFormat="1" x14ac:dyDescent="0.25">
      <c r="B281" s="170"/>
      <c r="C281" s="171"/>
      <c r="D281" s="172"/>
      <c r="E281" s="176"/>
      <c r="F281" s="176"/>
      <c r="G281" s="176"/>
      <c r="H281" s="176"/>
      <c r="I281" s="176"/>
      <c r="J281" s="176"/>
      <c r="K281" s="176"/>
      <c r="L281" s="176"/>
      <c r="M281" s="176"/>
    </row>
    <row r="282" spans="1:13" s="169" customFormat="1" ht="12.75" customHeight="1" x14ac:dyDescent="0.25">
      <c r="B282" s="185" t="s">
        <v>416</v>
      </c>
      <c r="C282" s="186"/>
      <c r="D282" s="186"/>
      <c r="E282" s="186"/>
      <c r="F282" s="186"/>
      <c r="G282" s="186"/>
      <c r="H282" s="187"/>
      <c r="I282" s="176"/>
      <c r="J282" s="176"/>
      <c r="K282" s="176"/>
      <c r="L282" s="176"/>
      <c r="M282" s="176"/>
    </row>
    <row r="283" spans="1:13" s="169" customFormat="1" x14ac:dyDescent="0.25">
      <c r="B283" s="188"/>
      <c r="C283" s="189"/>
      <c r="D283" s="189"/>
      <c r="E283" s="189"/>
      <c r="F283" s="189"/>
      <c r="G283" s="189"/>
      <c r="H283" s="190"/>
      <c r="I283" s="176"/>
      <c r="J283" s="176"/>
      <c r="K283" s="176"/>
      <c r="L283" s="176"/>
      <c r="M283" s="176"/>
    </row>
    <row r="284" spans="1:13" s="169" customFormat="1" x14ac:dyDescent="0.25">
      <c r="B284" s="188"/>
      <c r="C284" s="189"/>
      <c r="D284" s="189"/>
      <c r="E284" s="189"/>
      <c r="F284" s="189"/>
      <c r="G284" s="189"/>
      <c r="H284" s="190"/>
      <c r="I284" s="176"/>
      <c r="J284" s="176"/>
      <c r="K284" s="176"/>
      <c r="L284" s="176"/>
      <c r="M284" s="176"/>
    </row>
    <row r="285" spans="1:13" s="169" customFormat="1" x14ac:dyDescent="0.25">
      <c r="B285" s="188"/>
      <c r="C285" s="189"/>
      <c r="D285" s="189"/>
      <c r="E285" s="189"/>
      <c r="F285" s="189"/>
      <c r="G285" s="189"/>
      <c r="H285" s="190"/>
      <c r="I285" s="176"/>
      <c r="J285" s="176"/>
      <c r="K285" s="176"/>
      <c r="L285" s="176"/>
      <c r="M285" s="176"/>
    </row>
    <row r="286" spans="1:13" s="169" customFormat="1" x14ac:dyDescent="0.25">
      <c r="B286" s="188"/>
      <c r="C286" s="189"/>
      <c r="D286" s="189"/>
      <c r="E286" s="189"/>
      <c r="F286" s="189"/>
      <c r="G286" s="189"/>
      <c r="H286" s="190"/>
      <c r="I286" s="176"/>
      <c r="J286" s="176"/>
      <c r="K286" s="176"/>
      <c r="L286" s="176"/>
      <c r="M286" s="176"/>
    </row>
    <row r="287" spans="1:13" s="169" customFormat="1" x14ac:dyDescent="0.25">
      <c r="B287" s="188"/>
      <c r="C287" s="189"/>
      <c r="D287" s="189"/>
      <c r="E287" s="189"/>
      <c r="F287" s="189"/>
      <c r="G287" s="189"/>
      <c r="H287" s="190"/>
      <c r="I287" s="176"/>
      <c r="J287" s="176"/>
      <c r="K287" s="176"/>
      <c r="L287" s="176"/>
      <c r="M287" s="176"/>
    </row>
    <row r="288" spans="1:13" s="169" customFormat="1" x14ac:dyDescent="0.25">
      <c r="B288" s="188"/>
      <c r="C288" s="189"/>
      <c r="D288" s="189"/>
      <c r="E288" s="189"/>
      <c r="F288" s="189"/>
      <c r="G288" s="189"/>
      <c r="H288" s="190"/>
      <c r="I288" s="176"/>
      <c r="J288" s="176"/>
      <c r="K288" s="176"/>
      <c r="L288" s="176"/>
      <c r="M288" s="176"/>
    </row>
    <row r="289" spans="2:13" s="169" customFormat="1" x14ac:dyDescent="0.25">
      <c r="B289" s="188"/>
      <c r="C289" s="189"/>
      <c r="D289" s="189"/>
      <c r="E289" s="189"/>
      <c r="F289" s="189"/>
      <c r="G289" s="189"/>
      <c r="H289" s="190"/>
      <c r="I289" s="176"/>
      <c r="J289" s="176"/>
      <c r="K289" s="176"/>
      <c r="L289" s="176"/>
      <c r="M289" s="176"/>
    </row>
    <row r="290" spans="2:13" s="169" customFormat="1" x14ac:dyDescent="0.25">
      <c r="B290" s="188"/>
      <c r="C290" s="189"/>
      <c r="D290" s="189"/>
      <c r="E290" s="189"/>
      <c r="F290" s="189"/>
      <c r="G290" s="189"/>
      <c r="H290" s="190"/>
      <c r="I290" s="176"/>
      <c r="J290" s="176"/>
      <c r="K290" s="176"/>
      <c r="L290" s="176"/>
      <c r="M290" s="176"/>
    </row>
    <row r="291" spans="2:13" s="169" customFormat="1" x14ac:dyDescent="0.25">
      <c r="B291" s="188"/>
      <c r="C291" s="189"/>
      <c r="D291" s="189"/>
      <c r="E291" s="189"/>
      <c r="F291" s="189"/>
      <c r="G291" s="189"/>
      <c r="H291" s="190"/>
      <c r="I291" s="176"/>
      <c r="J291" s="176"/>
      <c r="K291" s="176"/>
      <c r="L291" s="176"/>
      <c r="M291" s="176"/>
    </row>
    <row r="292" spans="2:13" s="169" customFormat="1" x14ac:dyDescent="0.25">
      <c r="B292" s="188"/>
      <c r="C292" s="189"/>
      <c r="D292" s="189"/>
      <c r="E292" s="189"/>
      <c r="F292" s="189"/>
      <c r="G292" s="189"/>
      <c r="H292" s="190"/>
      <c r="I292" s="176"/>
      <c r="J292" s="176"/>
      <c r="K292" s="176"/>
      <c r="L292" s="176"/>
      <c r="M292" s="176"/>
    </row>
    <row r="293" spans="2:13" s="169" customFormat="1" x14ac:dyDescent="0.25">
      <c r="B293" s="188"/>
      <c r="C293" s="189"/>
      <c r="D293" s="189"/>
      <c r="E293" s="189"/>
      <c r="F293" s="189"/>
      <c r="G293" s="189"/>
      <c r="H293" s="190"/>
      <c r="I293" s="176"/>
      <c r="J293" s="176"/>
      <c r="K293" s="176"/>
      <c r="L293" s="176"/>
      <c r="M293" s="176"/>
    </row>
    <row r="294" spans="2:13" s="169" customFormat="1" x14ac:dyDescent="0.25">
      <c r="B294" s="188"/>
      <c r="C294" s="189"/>
      <c r="D294" s="189"/>
      <c r="E294" s="189"/>
      <c r="F294" s="189"/>
      <c r="G294" s="189"/>
      <c r="H294" s="190"/>
      <c r="I294" s="176"/>
      <c r="J294" s="176"/>
      <c r="K294" s="176"/>
      <c r="L294" s="176"/>
      <c r="M294" s="176"/>
    </row>
    <row r="295" spans="2:13" s="169" customFormat="1" x14ac:dyDescent="0.25">
      <c r="B295" s="188"/>
      <c r="C295" s="189"/>
      <c r="D295" s="189"/>
      <c r="E295" s="189"/>
      <c r="F295" s="189"/>
      <c r="G295" s="189"/>
      <c r="H295" s="190"/>
      <c r="I295" s="176"/>
      <c r="J295" s="176"/>
      <c r="K295" s="176"/>
      <c r="L295" s="176"/>
      <c r="M295" s="176"/>
    </row>
    <row r="296" spans="2:13" s="169" customFormat="1" x14ac:dyDescent="0.25">
      <c r="B296" s="188"/>
      <c r="C296" s="189"/>
      <c r="D296" s="189"/>
      <c r="E296" s="189"/>
      <c r="F296" s="189"/>
      <c r="G296" s="189"/>
      <c r="H296" s="190"/>
      <c r="I296" s="176"/>
      <c r="J296" s="176"/>
      <c r="K296" s="176"/>
      <c r="L296" s="176"/>
      <c r="M296" s="176"/>
    </row>
    <row r="297" spans="2:13" s="169" customFormat="1" x14ac:dyDescent="0.25">
      <c r="B297" s="188"/>
      <c r="C297" s="189"/>
      <c r="D297" s="189"/>
      <c r="E297" s="189"/>
      <c r="F297" s="189"/>
      <c r="G297" s="189"/>
      <c r="H297" s="190"/>
      <c r="I297" s="176"/>
      <c r="J297" s="176"/>
      <c r="K297" s="176"/>
      <c r="L297" s="176"/>
      <c r="M297" s="176"/>
    </row>
    <row r="298" spans="2:13" s="169" customFormat="1" x14ac:dyDescent="0.25">
      <c r="B298" s="191"/>
      <c r="C298" s="192"/>
      <c r="D298" s="192"/>
      <c r="E298" s="192"/>
      <c r="F298" s="192"/>
      <c r="G298" s="192"/>
      <c r="H298" s="193"/>
      <c r="I298" s="176"/>
      <c r="J298" s="176"/>
      <c r="K298" s="176"/>
      <c r="L298" s="176"/>
      <c r="M298" s="176"/>
    </row>
    <row r="299" spans="2:13" s="169" customFormat="1" x14ac:dyDescent="0.25">
      <c r="B299" s="176"/>
      <c r="C299" s="176"/>
      <c r="D299" s="176"/>
      <c r="E299" s="176"/>
      <c r="F299" s="176"/>
      <c r="G299" s="176"/>
      <c r="H299" s="176"/>
      <c r="I299" s="176"/>
      <c r="J299" s="176"/>
      <c r="K299" s="176"/>
      <c r="L299" s="176"/>
      <c r="M299" s="176"/>
    </row>
    <row r="300" spans="2:13" s="169" customFormat="1" x14ac:dyDescent="0.25">
      <c r="B300" s="176"/>
      <c r="C300" s="176"/>
      <c r="D300" s="176"/>
      <c r="E300" s="176"/>
      <c r="F300" s="176"/>
      <c r="G300" s="176"/>
      <c r="H300" s="176"/>
      <c r="I300" s="176"/>
      <c r="J300" s="176"/>
      <c r="K300" s="176"/>
      <c r="L300" s="176"/>
      <c r="M300" s="176"/>
    </row>
    <row r="301" spans="2:13" s="169" customFormat="1" x14ac:dyDescent="0.25">
      <c r="B301" s="176"/>
      <c r="C301" s="176"/>
      <c r="D301" s="176"/>
      <c r="E301" s="176"/>
      <c r="F301" s="176"/>
      <c r="G301" s="176"/>
      <c r="H301" s="176"/>
      <c r="I301" s="176"/>
      <c r="J301" s="176"/>
      <c r="K301" s="176"/>
      <c r="L301" s="176"/>
      <c r="M301" s="176"/>
    </row>
    <row r="302" spans="2:13" s="169" customFormat="1" x14ac:dyDescent="0.25">
      <c r="B302" s="176"/>
      <c r="C302" s="176"/>
      <c r="D302" s="176"/>
      <c r="E302" s="176"/>
      <c r="F302" s="176"/>
      <c r="G302" s="176"/>
      <c r="H302" s="176"/>
      <c r="I302" s="176"/>
      <c r="J302" s="176"/>
      <c r="K302" s="176"/>
      <c r="L302" s="176"/>
      <c r="M302" s="176"/>
    </row>
    <row r="303" spans="2:13" s="169" customFormat="1" ht="19.2" x14ac:dyDescent="0.25">
      <c r="B303" s="194" t="s">
        <v>249</v>
      </c>
      <c r="C303" s="176"/>
      <c r="D303" s="176"/>
      <c r="E303" s="176"/>
      <c r="F303" s="176"/>
      <c r="G303" s="176"/>
      <c r="H303" s="176"/>
      <c r="I303" s="176"/>
      <c r="J303" s="176"/>
      <c r="K303" s="176"/>
      <c r="L303" s="176"/>
      <c r="M303" s="176"/>
    </row>
    <row r="304" spans="2:13" s="169" customFormat="1" x14ac:dyDescent="0.25">
      <c r="B304" s="170" t="s">
        <v>250</v>
      </c>
      <c r="C304" s="195">
        <v>1.2500000000000001E-2</v>
      </c>
      <c r="D304" s="172"/>
      <c r="E304" s="176"/>
      <c r="F304" s="176"/>
      <c r="G304" s="176"/>
      <c r="H304" s="176"/>
      <c r="I304" s="176"/>
      <c r="J304" s="176"/>
      <c r="K304" s="176"/>
      <c r="L304" s="176"/>
      <c r="M304" s="176"/>
    </row>
    <row r="305" spans="2:13" s="169" customFormat="1" x14ac:dyDescent="0.25">
      <c r="B305" s="170" t="s">
        <v>251</v>
      </c>
      <c r="C305" s="195">
        <v>1.7500000000000002E-2</v>
      </c>
      <c r="D305" s="172"/>
      <c r="E305" s="176"/>
      <c r="F305" s="176"/>
      <c r="G305" s="176"/>
      <c r="H305" s="176"/>
      <c r="I305" s="176"/>
      <c r="J305" s="176"/>
      <c r="K305" s="176"/>
      <c r="L305" s="176"/>
      <c r="M305" s="176"/>
    </row>
    <row r="306" spans="2:13" s="169" customFormat="1" x14ac:dyDescent="0.25">
      <c r="B306" s="196" t="s">
        <v>252</v>
      </c>
      <c r="C306" s="197">
        <f>(((1+C305/2)^2)^(1/4)-1)*4</f>
        <v>1.7461885320133597E-2</v>
      </c>
      <c r="D306" s="172"/>
      <c r="E306" s="176"/>
      <c r="F306" s="176"/>
      <c r="G306" s="176"/>
      <c r="H306" s="176"/>
      <c r="I306" s="176"/>
      <c r="J306" s="176"/>
      <c r="K306" s="176"/>
      <c r="L306" s="176"/>
      <c r="M306" s="176"/>
    </row>
    <row r="307" spans="2:13" s="169" customFormat="1" x14ac:dyDescent="0.25">
      <c r="B307" s="198" t="s">
        <v>253</v>
      </c>
      <c r="C307" s="197">
        <f>(((1+C306/4)^2)/(1+C304/4)-1)*4</f>
        <v>2.2429906542056344E-2</v>
      </c>
      <c r="D307" s="172"/>
      <c r="E307" s="176"/>
      <c r="F307" s="176"/>
      <c r="G307" s="176"/>
      <c r="H307" s="176"/>
      <c r="I307" s="176"/>
      <c r="J307" s="176"/>
      <c r="K307" s="176"/>
      <c r="L307" s="176"/>
      <c r="M307" s="176"/>
    </row>
    <row r="308" spans="2:13" s="169" customFormat="1" x14ac:dyDescent="0.25">
      <c r="B308" s="170"/>
      <c r="C308" s="171"/>
      <c r="D308" s="172"/>
      <c r="E308" s="176"/>
      <c r="F308" s="176"/>
      <c r="G308" s="176"/>
      <c r="H308" s="176"/>
      <c r="I308" s="176"/>
      <c r="J308" s="176"/>
      <c r="K308" s="176"/>
      <c r="L308" s="176"/>
      <c r="M308" s="176"/>
    </row>
    <row r="309" spans="2:13" s="169" customFormat="1" x14ac:dyDescent="0.25">
      <c r="C309" s="171"/>
      <c r="D309" s="172"/>
    </row>
    <row r="310" spans="2:13" x14ac:dyDescent="0.25">
      <c r="B310" s="21" t="s">
        <v>254</v>
      </c>
    </row>
    <row r="311" spans="2:13" x14ac:dyDescent="0.25">
      <c r="B311" s="2" t="s">
        <v>255</v>
      </c>
    </row>
    <row r="312" spans="2:13" x14ac:dyDescent="0.25">
      <c r="B312" s="173"/>
      <c r="C312" s="174" t="s">
        <v>256</v>
      </c>
      <c r="D312" s="175" t="s">
        <v>257</v>
      </c>
    </row>
    <row r="313" spans="2:13" x14ac:dyDescent="0.25">
      <c r="B313" s="178" t="s">
        <v>241</v>
      </c>
      <c r="C313" s="179">
        <f>100*(1+C304/4)</f>
        <v>100.3125</v>
      </c>
      <c r="D313" s="199">
        <f>C313*(1+C307/4)</f>
        <v>100.875</v>
      </c>
    </row>
    <row r="315" spans="2:13" x14ac:dyDescent="0.25">
      <c r="B315" t="s">
        <v>258</v>
      </c>
    </row>
    <row r="316" spans="2:13" x14ac:dyDescent="0.25">
      <c r="B316" s="173"/>
      <c r="C316" s="174"/>
      <c r="D316" s="175" t="s">
        <v>259</v>
      </c>
    </row>
    <row r="317" spans="2:13" x14ac:dyDescent="0.25">
      <c r="B317" s="178" t="s">
        <v>241</v>
      </c>
      <c r="C317" s="179"/>
      <c r="D317" s="199">
        <f>100*(1+C305/2)</f>
        <v>100.875</v>
      </c>
    </row>
    <row r="321" spans="2:3" s="41" customFormat="1" x14ac:dyDescent="0.25"/>
    <row r="323" spans="2:3" x14ac:dyDescent="0.25">
      <c r="B323" s="21" t="s">
        <v>260</v>
      </c>
    </row>
    <row r="324" spans="2:3" x14ac:dyDescent="0.25">
      <c r="B324" s="6" t="s">
        <v>261</v>
      </c>
      <c r="C324" s="43">
        <v>100</v>
      </c>
    </row>
    <row r="325" spans="2:3" x14ac:dyDescent="0.25">
      <c r="B325" s="8" t="s">
        <v>262</v>
      </c>
      <c r="C325" s="78">
        <v>1770</v>
      </c>
    </row>
    <row r="326" spans="2:3" x14ac:dyDescent="0.25">
      <c r="B326" s="8" t="s">
        <v>263</v>
      </c>
      <c r="C326" s="69">
        <v>0.02</v>
      </c>
    </row>
    <row r="327" spans="2:3" x14ac:dyDescent="0.25">
      <c r="B327" s="10" t="s">
        <v>264</v>
      </c>
      <c r="C327" s="79">
        <f>91/365</f>
        <v>0.24931506849315069</v>
      </c>
    </row>
    <row r="328" spans="2:3" x14ac:dyDescent="0.25">
      <c r="B328" s="2" t="s">
        <v>265</v>
      </c>
      <c r="C328" s="42">
        <f>C325*(1+C326)^C327</f>
        <v>1778.760262606892</v>
      </c>
    </row>
    <row r="329" spans="2:3" x14ac:dyDescent="0.25">
      <c r="B329" s="2" t="s">
        <v>266</v>
      </c>
      <c r="C329" s="24">
        <f>C328*C324</f>
        <v>177876.02626068919</v>
      </c>
    </row>
    <row r="331" spans="2:3" x14ac:dyDescent="0.25">
      <c r="B331" s="21" t="s">
        <v>267</v>
      </c>
    </row>
    <row r="332" spans="2:3" x14ac:dyDescent="0.25">
      <c r="B332" s="6" t="s">
        <v>261</v>
      </c>
      <c r="C332" s="43">
        <v>100</v>
      </c>
    </row>
    <row r="333" spans="2:3" x14ac:dyDescent="0.25">
      <c r="B333" s="8" t="s">
        <v>262</v>
      </c>
      <c r="C333" s="78">
        <v>1770</v>
      </c>
    </row>
    <row r="334" spans="2:3" x14ac:dyDescent="0.25">
      <c r="B334" s="8" t="s">
        <v>263</v>
      </c>
      <c r="C334" s="69">
        <v>0.02</v>
      </c>
    </row>
    <row r="335" spans="2:3" x14ac:dyDescent="0.25">
      <c r="B335" s="8" t="s">
        <v>264</v>
      </c>
      <c r="C335" s="78">
        <f>91/365</f>
        <v>0.24931506849315069</v>
      </c>
    </row>
    <row r="336" spans="2:3" x14ac:dyDescent="0.25">
      <c r="B336" s="10" t="s">
        <v>268</v>
      </c>
      <c r="C336" s="79">
        <v>2</v>
      </c>
    </row>
    <row r="337" spans="2:6" x14ac:dyDescent="0.25">
      <c r="B337" s="2" t="s">
        <v>269</v>
      </c>
      <c r="C337" s="42">
        <f>C336/(1+C334)^C335</f>
        <v>1.9901501480654249</v>
      </c>
    </row>
    <row r="338" spans="2:6" x14ac:dyDescent="0.25">
      <c r="B338" s="2" t="s">
        <v>270</v>
      </c>
      <c r="C338" s="31">
        <f>(C333+C337)*(1+C334)^C335</f>
        <v>1780.7602626068917</v>
      </c>
    </row>
    <row r="340" spans="2:6" s="41" customFormat="1" x14ac:dyDescent="0.25"/>
    <row r="342" spans="2:6" ht="24.6" x14ac:dyDescent="0.4">
      <c r="B342" s="1" t="s">
        <v>271</v>
      </c>
    </row>
    <row r="344" spans="2:6" x14ac:dyDescent="0.25">
      <c r="B344" s="21" t="s">
        <v>272</v>
      </c>
      <c r="E344" s="21" t="s">
        <v>273</v>
      </c>
    </row>
    <row r="345" spans="2:6" x14ac:dyDescent="0.25">
      <c r="B345" s="6" t="s">
        <v>261</v>
      </c>
      <c r="C345" s="43">
        <v>100</v>
      </c>
      <c r="E345" s="6" t="s">
        <v>261</v>
      </c>
      <c r="F345" s="43">
        <v>100</v>
      </c>
    </row>
    <row r="346" spans="2:6" x14ac:dyDescent="0.25">
      <c r="B346" s="8" t="s">
        <v>7</v>
      </c>
      <c r="C346" s="200">
        <v>1778.76</v>
      </c>
      <c r="E346" s="8" t="s">
        <v>265</v>
      </c>
      <c r="F346" s="200">
        <v>1778.76</v>
      </c>
    </row>
    <row r="347" spans="2:6" x14ac:dyDescent="0.25">
      <c r="B347" s="8" t="s">
        <v>274</v>
      </c>
      <c r="C347" s="78">
        <f>91/365</f>
        <v>0.24931506849315069</v>
      </c>
      <c r="E347" s="8" t="s">
        <v>18</v>
      </c>
      <c r="F347" s="78">
        <v>4950</v>
      </c>
    </row>
    <row r="348" spans="2:6" x14ac:dyDescent="0.25">
      <c r="B348" s="8" t="s">
        <v>275</v>
      </c>
      <c r="C348" s="69">
        <v>0.02</v>
      </c>
      <c r="E348" s="8" t="s">
        <v>276</v>
      </c>
      <c r="F348" s="201">
        <v>1770</v>
      </c>
    </row>
    <row r="349" spans="2:6" x14ac:dyDescent="0.25">
      <c r="B349" s="8" t="s">
        <v>11</v>
      </c>
      <c r="C349" s="9">
        <v>1770</v>
      </c>
      <c r="E349" s="8" t="s">
        <v>277</v>
      </c>
      <c r="F349" s="78">
        <v>4500</v>
      </c>
    </row>
    <row r="350" spans="2:6" x14ac:dyDescent="0.25">
      <c r="B350" s="10" t="s">
        <v>278</v>
      </c>
      <c r="C350" s="202">
        <v>0</v>
      </c>
      <c r="E350" s="10" t="s">
        <v>279</v>
      </c>
      <c r="F350" s="79">
        <f>90/365</f>
        <v>0.24657534246575341</v>
      </c>
    </row>
    <row r="352" spans="2:6" x14ac:dyDescent="0.25">
      <c r="B352" s="21" t="s">
        <v>280</v>
      </c>
      <c r="C352" s="67"/>
      <c r="E352" s="21" t="s">
        <v>281</v>
      </c>
    </row>
    <row r="353" spans="2:12" x14ac:dyDescent="0.25">
      <c r="B353" s="6" t="s">
        <v>7</v>
      </c>
      <c r="C353" s="203">
        <f>C346</f>
        <v>1778.76</v>
      </c>
      <c r="E353" s="6" t="s">
        <v>282</v>
      </c>
      <c r="F353" s="85">
        <f>F346-5</f>
        <v>1773.76</v>
      </c>
      <c r="H353" s="2" t="s">
        <v>283</v>
      </c>
      <c r="J353" s="204"/>
    </row>
    <row r="354" spans="2:12" x14ac:dyDescent="0.25">
      <c r="B354" s="8" t="s">
        <v>284</v>
      </c>
      <c r="C354" s="205">
        <f>(91-71)/365</f>
        <v>5.4794520547945202E-2</v>
      </c>
      <c r="E354" s="8" t="s">
        <v>285</v>
      </c>
      <c r="F354" s="200">
        <f>F353/(1+C355)^F350</f>
        <v>1765.120125145839</v>
      </c>
      <c r="H354" s="38" t="s">
        <v>286</v>
      </c>
      <c r="I354" s="206" t="s">
        <v>287</v>
      </c>
      <c r="J354" s="207" t="s">
        <v>288</v>
      </c>
      <c r="K354" s="206" t="s">
        <v>289</v>
      </c>
      <c r="L354" s="77" t="s">
        <v>290</v>
      </c>
    </row>
    <row r="355" spans="2:12" x14ac:dyDescent="0.25">
      <c r="B355" s="8" t="s">
        <v>275</v>
      </c>
      <c r="C355" s="69">
        <f>C348</f>
        <v>0.02</v>
      </c>
      <c r="E355" s="8" t="s">
        <v>291</v>
      </c>
      <c r="F355" s="78">
        <f>5*F345</f>
        <v>500</v>
      </c>
      <c r="H355" s="95" t="s">
        <v>292</v>
      </c>
      <c r="I355" s="62">
        <f>C361*C345</f>
        <v>177876</v>
      </c>
      <c r="J355" s="208">
        <f>C367</f>
        <v>-497.56453103739204</v>
      </c>
      <c r="K355" s="84">
        <v>0</v>
      </c>
      <c r="L355" s="43">
        <v>0</v>
      </c>
    </row>
    <row r="356" spans="2:12" x14ac:dyDescent="0.25">
      <c r="B356" s="8" t="s">
        <v>293</v>
      </c>
      <c r="C356" s="209">
        <f>C349-50</f>
        <v>1720</v>
      </c>
      <c r="E356" s="8" t="s">
        <v>294</v>
      </c>
      <c r="F356" s="78">
        <f>F347-F355</f>
        <v>4450</v>
      </c>
      <c r="H356" s="18" t="s">
        <v>273</v>
      </c>
      <c r="I356" s="72">
        <f>F362*F345</f>
        <v>177376</v>
      </c>
      <c r="J356" s="52">
        <f>F366</f>
        <v>0</v>
      </c>
      <c r="K356" s="72">
        <f>-F364</f>
        <v>-500</v>
      </c>
      <c r="L356" s="79">
        <f>F347</f>
        <v>4950</v>
      </c>
    </row>
    <row r="357" spans="2:12" x14ac:dyDescent="0.25">
      <c r="B357" s="13" t="s">
        <v>295</v>
      </c>
      <c r="C357" s="210">
        <f>C356-C353/(1+C355)^C354</f>
        <v>-56.830957927420059</v>
      </c>
      <c r="E357" s="10" t="s">
        <v>295</v>
      </c>
      <c r="F357" s="79">
        <f>IF(F356&lt;F349,0,F356)</f>
        <v>0</v>
      </c>
    </row>
    <row r="358" spans="2:12" x14ac:dyDescent="0.25">
      <c r="B358" s="18" t="s">
        <v>296</v>
      </c>
      <c r="C358" s="211">
        <f>C357*C345</f>
        <v>-5683.0957927420059</v>
      </c>
      <c r="F358" s="87" t="str">
        <f>IF(F356&lt;F349,"margin call",F356)</f>
        <v>margin call</v>
      </c>
      <c r="H358" s="2" t="s">
        <v>297</v>
      </c>
      <c r="J358" s="204"/>
    </row>
    <row r="359" spans="2:12" x14ac:dyDescent="0.25">
      <c r="B359" s="2"/>
      <c r="C359" s="67"/>
      <c r="H359" s="38" t="s">
        <v>286</v>
      </c>
      <c r="I359" s="206" t="s">
        <v>287</v>
      </c>
      <c r="J359" s="207" t="s">
        <v>288</v>
      </c>
      <c r="K359" s="206" t="s">
        <v>289</v>
      </c>
      <c r="L359" s="77" t="s">
        <v>290</v>
      </c>
    </row>
    <row r="360" spans="2:12" x14ac:dyDescent="0.25">
      <c r="B360" s="21" t="s">
        <v>298</v>
      </c>
      <c r="C360" s="67"/>
      <c r="H360" s="95" t="s">
        <v>292</v>
      </c>
      <c r="I360" s="62">
        <f>C370</f>
        <v>1778.76</v>
      </c>
      <c r="J360" s="62">
        <f>C375</f>
        <v>-895.66474774146627</v>
      </c>
      <c r="K360" s="84">
        <v>0</v>
      </c>
      <c r="L360" s="43">
        <v>0</v>
      </c>
    </row>
    <row r="361" spans="2:12" x14ac:dyDescent="0.25">
      <c r="B361" s="6" t="s">
        <v>7</v>
      </c>
      <c r="C361" s="203">
        <f>C353</f>
        <v>1778.76</v>
      </c>
      <c r="E361" s="21" t="s">
        <v>299</v>
      </c>
      <c r="H361" s="18" t="s">
        <v>273</v>
      </c>
      <c r="I361" s="212">
        <f>F370*F345</f>
        <v>176976</v>
      </c>
      <c r="J361" s="52">
        <v>0</v>
      </c>
      <c r="K361" s="72">
        <f>-F372</f>
        <v>-400</v>
      </c>
      <c r="L361" s="82">
        <f>F373</f>
        <v>4550</v>
      </c>
    </row>
    <row r="362" spans="2:12" x14ac:dyDescent="0.25">
      <c r="B362" s="8" t="s">
        <v>300</v>
      </c>
      <c r="C362" s="213">
        <f>F354</f>
        <v>1765.120125145839</v>
      </c>
      <c r="E362" s="6" t="s">
        <v>301</v>
      </c>
      <c r="F362" s="85">
        <f>F353</f>
        <v>1773.76</v>
      </c>
    </row>
    <row r="363" spans="2:12" x14ac:dyDescent="0.25">
      <c r="B363" s="214" t="s">
        <v>302</v>
      </c>
      <c r="C363" s="215">
        <f>(91-72)/365</f>
        <v>5.2054794520547946E-2</v>
      </c>
      <c r="D363">
        <f>90/365</f>
        <v>0.24657534246575341</v>
      </c>
      <c r="E363" s="8" t="s">
        <v>303</v>
      </c>
      <c r="F363" s="200">
        <f>C362</f>
        <v>1765.120125145839</v>
      </c>
    </row>
    <row r="364" spans="2:12" x14ac:dyDescent="0.25">
      <c r="B364" s="8" t="s">
        <v>275</v>
      </c>
      <c r="C364" s="69">
        <f>C355</f>
        <v>0.02</v>
      </c>
      <c r="E364" s="8" t="s">
        <v>291</v>
      </c>
      <c r="F364" s="200">
        <f>(F346-F353)*F345</f>
        <v>500</v>
      </c>
    </row>
    <row r="365" spans="2:12" x14ac:dyDescent="0.25">
      <c r="B365" s="8" t="s">
        <v>304</v>
      </c>
      <c r="C365" s="213">
        <f>C362</f>
        <v>1765.120125145839</v>
      </c>
      <c r="E365" s="8" t="s">
        <v>294</v>
      </c>
      <c r="F365" s="200">
        <f>F347-F364</f>
        <v>4450</v>
      </c>
    </row>
    <row r="366" spans="2:12" x14ac:dyDescent="0.25">
      <c r="B366" s="13" t="s">
        <v>295</v>
      </c>
      <c r="C366" s="216">
        <f>C365-C361/(1+C364)^D363</f>
        <v>-4.9756453103739204</v>
      </c>
      <c r="E366" s="10" t="s">
        <v>295</v>
      </c>
      <c r="F366" s="79">
        <f>IF(F365&lt;F347,0,F365)</f>
        <v>0</v>
      </c>
    </row>
    <row r="367" spans="2:12" x14ac:dyDescent="0.25">
      <c r="B367" s="18" t="s">
        <v>296</v>
      </c>
      <c r="C367" s="217">
        <f>C366*C345</f>
        <v>-497.56453103739204</v>
      </c>
      <c r="F367" s="87" t="str">
        <f>IF(F365&lt;F347,"margin call",F365)</f>
        <v>margin call</v>
      </c>
    </row>
    <row r="368" spans="2:12" x14ac:dyDescent="0.25">
      <c r="B368" s="2"/>
      <c r="C368" s="67"/>
    </row>
    <row r="369" spans="2:6" x14ac:dyDescent="0.25">
      <c r="B369" s="21" t="s">
        <v>305</v>
      </c>
      <c r="C369" s="67"/>
      <c r="E369" s="21" t="s">
        <v>306</v>
      </c>
    </row>
    <row r="370" spans="2:6" x14ac:dyDescent="0.25">
      <c r="B370" s="6" t="s">
        <v>7</v>
      </c>
      <c r="C370" s="203">
        <f>C361</f>
        <v>1778.76</v>
      </c>
      <c r="E370" s="6" t="s">
        <v>307</v>
      </c>
      <c r="F370" s="85">
        <f>F362-4</f>
        <v>1769.76</v>
      </c>
    </row>
    <row r="371" spans="2:6" x14ac:dyDescent="0.25">
      <c r="B371" s="8" t="s">
        <v>308</v>
      </c>
      <c r="C371" s="213">
        <f>F370/(1+C364)^(89/365)</f>
        <v>1761.2351599588108</v>
      </c>
      <c r="E371" s="8" t="s">
        <v>303</v>
      </c>
      <c r="F371" s="200">
        <f>F370/(1+C364)^(90/365)</f>
        <v>1761.1396088975396</v>
      </c>
    </row>
    <row r="372" spans="2:6" x14ac:dyDescent="0.25">
      <c r="B372" s="214" t="s">
        <v>309</v>
      </c>
      <c r="C372" s="215">
        <f>89/365</f>
        <v>0.24383561643835616</v>
      </c>
      <c r="E372" s="8" t="s">
        <v>291</v>
      </c>
      <c r="F372" s="200">
        <f>(F362-F370)*F345</f>
        <v>400</v>
      </c>
    </row>
    <row r="373" spans="2:6" x14ac:dyDescent="0.25">
      <c r="B373" s="8" t="s">
        <v>275</v>
      </c>
      <c r="C373" s="69">
        <f>C364</f>
        <v>0.02</v>
      </c>
      <c r="E373" s="8" t="s">
        <v>294</v>
      </c>
      <c r="F373" s="200">
        <f>F347-F372</f>
        <v>4550</v>
      </c>
    </row>
    <row r="374" spans="2:6" x14ac:dyDescent="0.25">
      <c r="B374" s="13" t="s">
        <v>295</v>
      </c>
      <c r="C374" s="216">
        <f>C371-C370/(1+C373)^C372</f>
        <v>-8.9566474774146627</v>
      </c>
      <c r="E374" s="10" t="s">
        <v>295</v>
      </c>
      <c r="F374" s="82">
        <f>F373-F349</f>
        <v>50</v>
      </c>
    </row>
    <row r="375" spans="2:6" x14ac:dyDescent="0.25">
      <c r="B375" s="18" t="s">
        <v>296</v>
      </c>
      <c r="C375" s="217">
        <f>C374*C345</f>
        <v>-895.66474774146627</v>
      </c>
      <c r="F375" s="87">
        <f>IF(F373&lt;F355,"margin call",F373)</f>
        <v>4550</v>
      </c>
    </row>
    <row r="379" spans="2:6" s="41" customFormat="1" x14ac:dyDescent="0.25"/>
    <row r="381" spans="2:6" ht="24.6" x14ac:dyDescent="0.4">
      <c r="B381" s="1" t="s">
        <v>310</v>
      </c>
    </row>
    <row r="382" spans="2:6" ht="13.5" customHeight="1" x14ac:dyDescent="0.25">
      <c r="B382" s="6" t="s">
        <v>311</v>
      </c>
      <c r="C382" s="48">
        <v>100000000</v>
      </c>
    </row>
    <row r="383" spans="2:6" x14ac:dyDescent="0.25">
      <c r="B383" s="8" t="s">
        <v>312</v>
      </c>
      <c r="C383" s="218">
        <f>C307</f>
        <v>2.2429906542056344E-2</v>
      </c>
      <c r="D383" s="31"/>
    </row>
    <row r="384" spans="2:6" x14ac:dyDescent="0.25">
      <c r="B384" s="8" t="s">
        <v>313</v>
      </c>
      <c r="C384" s="90">
        <v>2.1499999999999998E-2</v>
      </c>
      <c r="D384" s="31"/>
    </row>
    <row r="385" spans="2:9" x14ac:dyDescent="0.25">
      <c r="B385" s="10" t="s">
        <v>314</v>
      </c>
      <c r="C385" s="79">
        <f>90/360</f>
        <v>0.25</v>
      </c>
    </row>
    <row r="386" spans="2:9" x14ac:dyDescent="0.25">
      <c r="B386" s="2" t="s">
        <v>315</v>
      </c>
      <c r="C386" s="24">
        <f>(C384-C383)*C382*C385</f>
        <v>-23247.663551408637</v>
      </c>
    </row>
    <row r="387" spans="2:9" x14ac:dyDescent="0.25">
      <c r="B387" s="2" t="s">
        <v>316</v>
      </c>
      <c r="C387" s="24">
        <f>C386/(1+C384/4)</f>
        <v>-23123.375408587483</v>
      </c>
      <c r="D387" s="87"/>
    </row>
    <row r="389" spans="2:9" s="41" customFormat="1" x14ac:dyDescent="0.25">
      <c r="D389" s="219"/>
    </row>
    <row r="391" spans="2:9" ht="24.6" x14ac:dyDescent="0.4">
      <c r="B391" s="1" t="s">
        <v>317</v>
      </c>
    </row>
    <row r="393" spans="2:9" x14ac:dyDescent="0.25">
      <c r="B393" s="6" t="s">
        <v>33</v>
      </c>
      <c r="C393" s="43">
        <v>98.25</v>
      </c>
    </row>
    <row r="394" spans="2:9" x14ac:dyDescent="0.25">
      <c r="B394" s="8" t="s">
        <v>318</v>
      </c>
      <c r="C394" s="78">
        <v>3</v>
      </c>
    </row>
    <row r="395" spans="2:9" x14ac:dyDescent="0.25">
      <c r="B395" s="10" t="s">
        <v>319</v>
      </c>
      <c r="C395" s="79">
        <v>6</v>
      </c>
    </row>
    <row r="396" spans="2:9" x14ac:dyDescent="0.25">
      <c r="B396" s="2" t="s">
        <v>320</v>
      </c>
      <c r="C396" s="25">
        <f>(100-C393)/100</f>
        <v>1.7500000000000002E-2</v>
      </c>
    </row>
    <row r="398" spans="2:9" x14ac:dyDescent="0.25">
      <c r="B398" s="21" t="s">
        <v>321</v>
      </c>
      <c r="E398" s="21" t="s">
        <v>321</v>
      </c>
      <c r="H398" s="21" t="s">
        <v>321</v>
      </c>
    </row>
    <row r="399" spans="2:9" x14ac:dyDescent="0.25">
      <c r="B399" s="61" t="s">
        <v>322</v>
      </c>
      <c r="C399" s="48">
        <v>1000000</v>
      </c>
      <c r="E399" s="61" t="s">
        <v>322</v>
      </c>
      <c r="F399" s="48">
        <v>1000000</v>
      </c>
      <c r="H399" s="61" t="s">
        <v>322</v>
      </c>
      <c r="I399" s="48">
        <v>1000000</v>
      </c>
    </row>
    <row r="400" spans="2:9" x14ac:dyDescent="0.25">
      <c r="B400" s="8" t="s">
        <v>323</v>
      </c>
      <c r="C400" s="90">
        <v>2.2100000000000002E-2</v>
      </c>
      <c r="E400" s="8" t="s">
        <v>323</v>
      </c>
      <c r="F400" s="90">
        <v>2.2200000000000001E-2</v>
      </c>
      <c r="H400" s="8" t="s">
        <v>323</v>
      </c>
      <c r="I400" s="90">
        <v>2.23E-2</v>
      </c>
    </row>
    <row r="401" spans="2:9" x14ac:dyDescent="0.25">
      <c r="B401" s="10" t="s">
        <v>324</v>
      </c>
      <c r="C401" s="79"/>
      <c r="E401" s="10" t="s">
        <v>324</v>
      </c>
      <c r="F401" s="79"/>
      <c r="H401" s="10" t="s">
        <v>324</v>
      </c>
      <c r="I401" s="79"/>
    </row>
    <row r="402" spans="2:9" x14ac:dyDescent="0.25">
      <c r="B402" s="18" t="s">
        <v>325</v>
      </c>
      <c r="C402" s="50">
        <f>C399*(1+C400/4)</f>
        <v>1005525</v>
      </c>
      <c r="E402" s="18" t="s">
        <v>325</v>
      </c>
      <c r="F402" s="50">
        <f>F399*(1+F400/4)</f>
        <v>1005550</v>
      </c>
      <c r="H402" s="18" t="s">
        <v>325</v>
      </c>
      <c r="I402" s="50">
        <f>I399*(1+I400/4)</f>
        <v>1005575.0000000001</v>
      </c>
    </row>
    <row r="403" spans="2:9" x14ac:dyDescent="0.25">
      <c r="E403" s="2" t="s">
        <v>326</v>
      </c>
      <c r="F403" s="23">
        <f>F402-C402</f>
        <v>25</v>
      </c>
    </row>
    <row r="406" spans="2:9" ht="19.2" x14ac:dyDescent="0.35">
      <c r="B406" s="97" t="s">
        <v>327</v>
      </c>
    </row>
    <row r="407" spans="2:9" x14ac:dyDescent="0.25">
      <c r="B407" s="61" t="s">
        <v>322</v>
      </c>
      <c r="C407" s="48">
        <v>50000000</v>
      </c>
      <c r="E407" s="4" t="s">
        <v>328</v>
      </c>
      <c r="F407" s="5"/>
    </row>
    <row r="408" spans="2:9" x14ac:dyDescent="0.25">
      <c r="B408" s="8" t="s">
        <v>329</v>
      </c>
      <c r="C408" s="90">
        <v>1.2500000000000001E-2</v>
      </c>
      <c r="E408" s="61" t="str">
        <f>B409</f>
        <v>fo(t) open</v>
      </c>
      <c r="F408" s="43">
        <f>C409</f>
        <v>98.75</v>
      </c>
    </row>
    <row r="409" spans="2:9" x14ac:dyDescent="0.25">
      <c r="B409" s="18" t="s">
        <v>330</v>
      </c>
      <c r="C409" s="82">
        <f>100-(100*C408)</f>
        <v>98.75</v>
      </c>
      <c r="E409" s="71" t="str">
        <f>B411</f>
        <v>fo(t) close</v>
      </c>
      <c r="F409" s="79">
        <f>C411</f>
        <v>97.75</v>
      </c>
    </row>
    <row r="410" spans="2:9" x14ac:dyDescent="0.25">
      <c r="B410" s="6" t="s">
        <v>329</v>
      </c>
      <c r="C410" s="220">
        <v>2.2499999999999999E-2</v>
      </c>
      <c r="E410" s="4" t="s">
        <v>331</v>
      </c>
      <c r="F410" s="221">
        <f>F409-F408</f>
        <v>-1</v>
      </c>
    </row>
    <row r="411" spans="2:9" x14ac:dyDescent="0.25">
      <c r="B411" s="18" t="s">
        <v>332</v>
      </c>
      <c r="C411" s="82">
        <f>100-(100*C410)</f>
        <v>97.75</v>
      </c>
      <c r="E411" s="4" t="s">
        <v>328</v>
      </c>
      <c r="F411" s="5">
        <f>C413*F410</f>
        <v>-416.66666666666663</v>
      </c>
    </row>
    <row r="412" spans="2:9" x14ac:dyDescent="0.25">
      <c r="B412" s="6" t="s">
        <v>333</v>
      </c>
      <c r="C412" s="43">
        <f>1/12</f>
        <v>8.3333333333333329E-2</v>
      </c>
    </row>
    <row r="413" spans="2:9" x14ac:dyDescent="0.25">
      <c r="B413" s="18" t="s">
        <v>325</v>
      </c>
      <c r="C413" s="82">
        <f>C407*0.01%*C412</f>
        <v>416.66666666666663</v>
      </c>
    </row>
    <row r="416" spans="2:9" ht="24.6" x14ac:dyDescent="0.4">
      <c r="B416" s="1" t="s">
        <v>334</v>
      </c>
    </row>
    <row r="418" spans="2:6" x14ac:dyDescent="0.25">
      <c r="B418" s="6" t="s">
        <v>311</v>
      </c>
      <c r="C418" s="48">
        <v>1000000</v>
      </c>
      <c r="E418" s="6" t="s">
        <v>311</v>
      </c>
      <c r="F418" s="48">
        <v>1000000</v>
      </c>
    </row>
    <row r="419" spans="2:6" x14ac:dyDescent="0.25">
      <c r="B419" s="8" t="s">
        <v>313</v>
      </c>
      <c r="C419" s="90">
        <v>2.2100000000000002E-2</v>
      </c>
      <c r="E419" s="8" t="s">
        <v>312</v>
      </c>
      <c r="F419" s="90">
        <v>2.2100000000000002E-2</v>
      </c>
    </row>
    <row r="420" spans="2:6" x14ac:dyDescent="0.25">
      <c r="B420" s="10" t="s">
        <v>314</v>
      </c>
      <c r="C420" s="79">
        <f>90/360</f>
        <v>0.25</v>
      </c>
      <c r="E420" s="8" t="s">
        <v>313</v>
      </c>
      <c r="F420" s="90">
        <v>2.2200000000000001E-2</v>
      </c>
    </row>
    <row r="421" spans="2:6" x14ac:dyDescent="0.25">
      <c r="B421" s="2" t="s">
        <v>325</v>
      </c>
      <c r="C421" s="24">
        <f>C418*0.01%*C420</f>
        <v>25</v>
      </c>
      <c r="E421" s="10" t="s">
        <v>314</v>
      </c>
      <c r="F421" s="79">
        <f>90/360</f>
        <v>0.25</v>
      </c>
    </row>
    <row r="422" spans="2:6" x14ac:dyDescent="0.25">
      <c r="B422" s="2"/>
      <c r="C422" s="24">
        <f>C418*C419*C420</f>
        <v>5525</v>
      </c>
      <c r="E422" s="2" t="s">
        <v>315</v>
      </c>
      <c r="F422" s="24">
        <f>(F420-F419)*F418*F421</f>
        <v>24.999999999999847</v>
      </c>
    </row>
    <row r="425" spans="2:6" x14ac:dyDescent="0.25">
      <c r="C425" s="222" t="s">
        <v>335</v>
      </c>
      <c r="D425" s="223" t="s">
        <v>336</v>
      </c>
      <c r="E425" s="222" t="s">
        <v>337</v>
      </c>
    </row>
    <row r="426" spans="2:6" x14ac:dyDescent="0.25">
      <c r="C426" s="25">
        <f>C427-0.1%</f>
        <v>2.01E-2</v>
      </c>
      <c r="D426" s="31">
        <f>(($F$419-C426)*$F$418*$F$421)/(1+C426/4)</f>
        <v>497.50006218750821</v>
      </c>
      <c r="E426" s="42">
        <f>($C$428-C426)*$C$418*$C$420</f>
        <v>500.00000000000045</v>
      </c>
    </row>
    <row r="427" spans="2:6" x14ac:dyDescent="0.25">
      <c r="C427" s="25">
        <f>C428-0.1%</f>
        <v>2.1100000000000001E-2</v>
      </c>
      <c r="D427" s="31">
        <f>(($F$419-C427)*$F$418*$F$421)/(1+C427/4)</f>
        <v>248.68816990375794</v>
      </c>
      <c r="E427" s="42">
        <f>($C$428-C427)*$C$418*$C$420</f>
        <v>250.00000000000023</v>
      </c>
    </row>
    <row r="428" spans="2:6" x14ac:dyDescent="0.25">
      <c r="C428" s="92">
        <f>C419</f>
        <v>2.2100000000000002E-2</v>
      </c>
      <c r="D428">
        <v>0</v>
      </c>
      <c r="E428" s="92">
        <f>($C$428-C428)*$C$418*$C$420</f>
        <v>0</v>
      </c>
    </row>
    <row r="429" spans="2:6" x14ac:dyDescent="0.25">
      <c r="C429" s="25">
        <f>C428+0.1%</f>
        <v>2.3100000000000002E-2</v>
      </c>
      <c r="D429" s="31">
        <f>(($F$419-C429)*$F$418*$F$421)/(1+C429/4)</f>
        <v>-248.56453978275479</v>
      </c>
      <c r="E429" s="42">
        <f>($C$428-C429)*$C$418*$C$420</f>
        <v>-250.00000000000023</v>
      </c>
    </row>
    <row r="430" spans="2:6" x14ac:dyDescent="0.25">
      <c r="C430" s="25">
        <f>C429+0.1%</f>
        <v>2.4100000000000003E-2</v>
      </c>
      <c r="D430" s="31">
        <f>(($F$419-C430)*$F$418*$F$421)/(1+C430/4)</f>
        <v>-497.00554161178945</v>
      </c>
      <c r="E430" s="42">
        <f>($C$428-C430)*$C$418*$C$420</f>
        <v>-500.00000000000045</v>
      </c>
    </row>
    <row r="433" spans="2:10" s="41" customFormat="1" x14ac:dyDescent="0.25"/>
    <row r="435" spans="2:10" ht="24.6" x14ac:dyDescent="0.4">
      <c r="B435" s="1" t="s">
        <v>338</v>
      </c>
    </row>
    <row r="437" spans="2:10" x14ac:dyDescent="0.25">
      <c r="B437" s="224" t="str">
        <f>B235</f>
        <v>Year to Maturity</v>
      </c>
      <c r="C437" s="224" t="str">
        <f t="shared" ref="C437:E437" si="23">C235</f>
        <v>Annual Coupon</v>
      </c>
      <c r="D437" s="224" t="str">
        <f t="shared" si="23"/>
        <v>PV(per 100 FV)</v>
      </c>
      <c r="E437" s="224" t="str">
        <f t="shared" si="23"/>
        <v>YTM</v>
      </c>
      <c r="F437" s="224" t="str">
        <f>C241</f>
        <v>Zero-rate</v>
      </c>
      <c r="G437" s="225" t="s">
        <v>229</v>
      </c>
      <c r="H437" s="226"/>
      <c r="I437" s="222" t="s">
        <v>339</v>
      </c>
      <c r="J437" s="222" t="s">
        <v>340</v>
      </c>
    </row>
    <row r="438" spans="2:10" x14ac:dyDescent="0.25">
      <c r="B438" s="61">
        <f t="shared" ref="B438:E440" si="24">B236</f>
        <v>1</v>
      </c>
      <c r="C438" s="84">
        <f t="shared" si="24"/>
        <v>1.5</v>
      </c>
      <c r="D438" s="84">
        <f t="shared" si="24"/>
        <v>99.125</v>
      </c>
      <c r="E438" s="227">
        <f t="shared" si="24"/>
        <v>2.3959646910466606E-2</v>
      </c>
      <c r="F438" s="107">
        <f t="shared" ref="F438:F440" si="25">C242</f>
        <v>2.3959646910466592E-2</v>
      </c>
      <c r="G438" s="6" t="s">
        <v>341</v>
      </c>
      <c r="H438" s="228">
        <f>(1+F438)-1</f>
        <v>2.3959646910466592E-2</v>
      </c>
      <c r="I438" s="229">
        <f>H438/(1+F438)^B438</f>
        <v>2.3399014778325133E-2</v>
      </c>
      <c r="J438" s="230">
        <f>1/(1+F438)^B438</f>
        <v>0.97660098522167482</v>
      </c>
    </row>
    <row r="439" spans="2:10" x14ac:dyDescent="0.25">
      <c r="B439" s="66">
        <f t="shared" si="24"/>
        <v>2</v>
      </c>
      <c r="C439">
        <f t="shared" si="24"/>
        <v>2.5</v>
      </c>
      <c r="D439">
        <f t="shared" si="24"/>
        <v>98.275000000000006</v>
      </c>
      <c r="E439" s="231">
        <f t="shared" si="24"/>
        <v>3.4068218297552154E-2</v>
      </c>
      <c r="F439" s="114">
        <f t="shared" si="25"/>
        <v>3.4196975807985863E-2</v>
      </c>
      <c r="G439" s="8" t="s">
        <v>342</v>
      </c>
      <c r="H439" s="232">
        <f>(1+F439)^B439/(1+F438)-1</f>
        <v>4.4536655323786034E-2</v>
      </c>
      <c r="I439" s="233">
        <f t="shared" ref="I439:I440" si="26">H439/(1+F439)^B439</f>
        <v>4.1640033641715653E-2</v>
      </c>
      <c r="J439" s="234">
        <f t="shared" ref="J439:J440" si="27">1/(1+F439)^B439</f>
        <v>0.93496095157995929</v>
      </c>
    </row>
    <row r="440" spans="2:10" x14ac:dyDescent="0.25">
      <c r="B440" s="71">
        <f t="shared" si="24"/>
        <v>3</v>
      </c>
      <c r="C440" s="52">
        <f t="shared" si="24"/>
        <v>3.25</v>
      </c>
      <c r="D440" s="52">
        <f t="shared" si="24"/>
        <v>98</v>
      </c>
      <c r="E440" s="235">
        <f t="shared" si="24"/>
        <v>3.9702907398727477E-2</v>
      </c>
      <c r="F440" s="118">
        <f t="shared" si="25"/>
        <v>4.0008335817832696E-2</v>
      </c>
      <c r="G440" s="10" t="s">
        <v>343</v>
      </c>
      <c r="H440" s="236">
        <f>(1+F440)^B440/(1+F439)^B439-1</f>
        <v>5.1729204922244199E-2</v>
      </c>
      <c r="I440" s="237">
        <f t="shared" si="26"/>
        <v>4.5985969042432198E-2</v>
      </c>
      <c r="J440" s="238">
        <f t="shared" si="27"/>
        <v>0.88897498253752705</v>
      </c>
    </row>
    <row r="441" spans="2:10" x14ac:dyDescent="0.25">
      <c r="I441" s="204">
        <f>SUM(I438:I440)</f>
        <v>0.11102501746247298</v>
      </c>
      <c r="J441" s="204">
        <f>SUM(J438:J440)</f>
        <v>2.8005369193391614</v>
      </c>
    </row>
    <row r="442" spans="2:10" x14ac:dyDescent="0.25">
      <c r="I442" s="21" t="s">
        <v>344</v>
      </c>
      <c r="J442" s="239">
        <f>I441/J441</f>
        <v>3.9644189903652975E-2</v>
      </c>
    </row>
    <row r="451" spans="2:3" s="41" customFormat="1" x14ac:dyDescent="0.25"/>
    <row r="453" spans="2:3" ht="24.6" x14ac:dyDescent="0.4">
      <c r="B453" s="1" t="s">
        <v>345</v>
      </c>
    </row>
    <row r="456" spans="2:3" x14ac:dyDescent="0.25">
      <c r="B456" s="6" t="s">
        <v>346</v>
      </c>
      <c r="C456" s="43">
        <v>1000</v>
      </c>
    </row>
    <row r="457" spans="2:3" x14ac:dyDescent="0.25">
      <c r="B457" s="8" t="s">
        <v>263</v>
      </c>
      <c r="C457" s="69">
        <v>0.01</v>
      </c>
    </row>
    <row r="458" spans="2:3" x14ac:dyDescent="0.25">
      <c r="B458" s="8" t="s">
        <v>347</v>
      </c>
      <c r="C458" s="78">
        <f>6/12</f>
        <v>0.5</v>
      </c>
    </row>
    <row r="459" spans="2:3" x14ac:dyDescent="0.25">
      <c r="B459" s="10" t="s">
        <v>69</v>
      </c>
      <c r="C459" s="79">
        <v>950</v>
      </c>
    </row>
    <row r="460" spans="2:3" x14ac:dyDescent="0.25">
      <c r="B460" s="2" t="s">
        <v>348</v>
      </c>
      <c r="C460" s="96">
        <f>MAX(0,(C456/(1+C457)^C458)-C459)</f>
        <v>45.037190209989262</v>
      </c>
    </row>
    <row r="463" spans="2:3" ht="24.6" x14ac:dyDescent="0.4">
      <c r="B463" s="1" t="s">
        <v>349</v>
      </c>
    </row>
    <row r="465" spans="2:3" x14ac:dyDescent="0.25">
      <c r="B465" s="6" t="s">
        <v>346</v>
      </c>
      <c r="C465" s="43">
        <v>1000</v>
      </c>
    </row>
    <row r="466" spans="2:3" x14ac:dyDescent="0.25">
      <c r="B466" s="66" t="s">
        <v>348</v>
      </c>
      <c r="C466" s="78">
        <f>MAX(0,(C456/(1+C457)^C458)-C459)</f>
        <v>45.037190209989262</v>
      </c>
    </row>
    <row r="467" spans="2:3" x14ac:dyDescent="0.25">
      <c r="B467" s="8" t="s">
        <v>347</v>
      </c>
      <c r="C467" s="78">
        <f>6/12</f>
        <v>0.5</v>
      </c>
    </row>
    <row r="468" spans="2:3" x14ac:dyDescent="0.25">
      <c r="B468" s="8" t="s">
        <v>69</v>
      </c>
      <c r="C468" s="78">
        <v>950</v>
      </c>
    </row>
    <row r="469" spans="2:3" x14ac:dyDescent="0.25">
      <c r="B469" s="10" t="s">
        <v>350</v>
      </c>
      <c r="C469" s="79">
        <f>C465-C468</f>
        <v>50</v>
      </c>
    </row>
    <row r="470" spans="2:3" x14ac:dyDescent="0.25">
      <c r="B470" s="8" t="s">
        <v>351</v>
      </c>
      <c r="C470">
        <f>C469-C466</f>
        <v>4.9628097900107377</v>
      </c>
    </row>
    <row r="473" spans="2:3" ht="24.6" x14ac:dyDescent="0.4">
      <c r="B473" s="1" t="s">
        <v>352</v>
      </c>
    </row>
    <row r="475" spans="2:3" x14ac:dyDescent="0.25">
      <c r="B475" s="6" t="s">
        <v>353</v>
      </c>
      <c r="C475" s="43">
        <v>1000</v>
      </c>
    </row>
    <row r="476" spans="2:3" x14ac:dyDescent="0.25">
      <c r="B476" s="8" t="s">
        <v>354</v>
      </c>
      <c r="C476" s="78">
        <v>990</v>
      </c>
    </row>
    <row r="477" spans="2:3" x14ac:dyDescent="0.25">
      <c r="B477" s="8" t="s">
        <v>143</v>
      </c>
      <c r="C477" s="69">
        <v>0.01</v>
      </c>
    </row>
    <row r="478" spans="2:3" x14ac:dyDescent="0.25">
      <c r="B478" s="8" t="s">
        <v>355</v>
      </c>
      <c r="C478" s="216">
        <f>6/12</f>
        <v>0.5</v>
      </c>
    </row>
    <row r="479" spans="2:3" x14ac:dyDescent="0.25">
      <c r="B479" s="10" t="s">
        <v>356</v>
      </c>
      <c r="C479" s="79">
        <v>1050</v>
      </c>
    </row>
    <row r="480" spans="2:3" ht="26.4" x14ac:dyDescent="0.25">
      <c r="B480" s="93" t="s">
        <v>357</v>
      </c>
      <c r="C480" s="240">
        <f>MAX(0,C479-C475/(1+C477)^C478)</f>
        <v>54.962809790010738</v>
      </c>
    </row>
    <row r="481" spans="2:6" ht="26.4" x14ac:dyDescent="0.25">
      <c r="B481" s="93" t="s">
        <v>358</v>
      </c>
      <c r="C481">
        <f>C479</f>
        <v>1050</v>
      </c>
    </row>
    <row r="488" spans="2:6" ht="24.6" x14ac:dyDescent="0.4">
      <c r="B488" s="1" t="s">
        <v>359</v>
      </c>
      <c r="E488" s="1" t="s">
        <v>360</v>
      </c>
    </row>
    <row r="490" spans="2:6" x14ac:dyDescent="0.25">
      <c r="B490" s="6" t="s">
        <v>172</v>
      </c>
      <c r="C490" s="43">
        <v>295</v>
      </c>
      <c r="E490" s="6" t="s">
        <v>172</v>
      </c>
      <c r="F490" s="43">
        <f>C490</f>
        <v>295</v>
      </c>
    </row>
    <row r="491" spans="2:6" x14ac:dyDescent="0.25">
      <c r="B491" s="8" t="s">
        <v>361</v>
      </c>
      <c r="C491" s="78">
        <v>265</v>
      </c>
      <c r="E491" s="8" t="s">
        <v>362</v>
      </c>
      <c r="F491" s="78">
        <f>C495</f>
        <v>23.85387905809381</v>
      </c>
    </row>
    <row r="492" spans="2:6" x14ac:dyDescent="0.25">
      <c r="B492" s="8" t="s">
        <v>363</v>
      </c>
      <c r="C492" s="78">
        <v>59</v>
      </c>
      <c r="E492" s="8" t="s">
        <v>364</v>
      </c>
      <c r="F492" s="78">
        <v>30</v>
      </c>
    </row>
    <row r="493" spans="2:6" x14ac:dyDescent="0.25">
      <c r="B493" s="8" t="s">
        <v>365</v>
      </c>
      <c r="C493" s="78">
        <f>6/12</f>
        <v>0.5</v>
      </c>
      <c r="E493" s="71" t="str">
        <f>B494</f>
        <v>free risk rate</v>
      </c>
      <c r="F493" s="79">
        <f>C494</f>
        <v>0.04</v>
      </c>
    </row>
    <row r="494" spans="2:6" x14ac:dyDescent="0.25">
      <c r="B494" s="10" t="s">
        <v>157</v>
      </c>
      <c r="C494" s="75">
        <v>0.04</v>
      </c>
    </row>
    <row r="495" spans="2:6" x14ac:dyDescent="0.25">
      <c r="B495" s="8" t="s">
        <v>362</v>
      </c>
      <c r="C495">
        <f>(C492+C491/(1+C494)^C493)-C490</f>
        <v>23.85387905809381</v>
      </c>
      <c r="E495" s="2" t="s">
        <v>366</v>
      </c>
      <c r="F495">
        <f>F490+F492</f>
        <v>325</v>
      </c>
    </row>
    <row r="496" spans="2:6" x14ac:dyDescent="0.25">
      <c r="E496" s="2" t="s">
        <v>367</v>
      </c>
      <c r="F496" s="24">
        <f>C492+C491/(1+F493)^C493</f>
        <v>318.85387905809381</v>
      </c>
    </row>
    <row r="497" spans="2:6" x14ac:dyDescent="0.25">
      <c r="B497" s="2" t="s">
        <v>366</v>
      </c>
      <c r="C497">
        <f>C495+C490</f>
        <v>318.85387905809381</v>
      </c>
      <c r="E497" s="2" t="s">
        <v>368</v>
      </c>
      <c r="F497" s="23">
        <f>F495-F496</f>
        <v>6.1461209419061902</v>
      </c>
    </row>
    <row r="498" spans="2:6" x14ac:dyDescent="0.25">
      <c r="B498" s="2" t="s">
        <v>367</v>
      </c>
      <c r="C498">
        <f>C492+C491/(1+C494)^C493</f>
        <v>318.85387905809381</v>
      </c>
    </row>
    <row r="499" spans="2:6" x14ac:dyDescent="0.25">
      <c r="B499" s="2" t="s">
        <v>368</v>
      </c>
      <c r="C499">
        <f>C498-C497</f>
        <v>0</v>
      </c>
    </row>
    <row r="502" spans="2:6" ht="24.6" x14ac:dyDescent="0.4">
      <c r="B502" s="1" t="s">
        <v>369</v>
      </c>
      <c r="E502" s="1" t="s">
        <v>370</v>
      </c>
    </row>
    <row r="503" spans="2:6" x14ac:dyDescent="0.25">
      <c r="B503" s="6" t="s">
        <v>172</v>
      </c>
      <c r="C503" s="43">
        <v>295</v>
      </c>
      <c r="E503" s="6" t="s">
        <v>172</v>
      </c>
      <c r="F503" s="43">
        <v>295</v>
      </c>
    </row>
    <row r="504" spans="2:6" x14ac:dyDescent="0.25">
      <c r="B504" s="8" t="s">
        <v>333</v>
      </c>
      <c r="C504" s="78">
        <f>6/12</f>
        <v>0.5</v>
      </c>
      <c r="E504" s="8" t="s">
        <v>333</v>
      </c>
      <c r="F504" s="78">
        <f>6/12</f>
        <v>0.5</v>
      </c>
    </row>
    <row r="505" spans="2:6" x14ac:dyDescent="0.25">
      <c r="B505" s="8" t="s">
        <v>371</v>
      </c>
      <c r="C505" s="78">
        <v>325</v>
      </c>
      <c r="E505" s="8" t="s">
        <v>372</v>
      </c>
      <c r="F505" s="78">
        <v>265</v>
      </c>
    </row>
    <row r="506" spans="2:6" x14ac:dyDescent="0.25">
      <c r="B506" s="8" t="s">
        <v>143</v>
      </c>
      <c r="C506" s="69">
        <v>0.04</v>
      </c>
      <c r="E506" s="8" t="s">
        <v>373</v>
      </c>
      <c r="F506" s="78">
        <v>59</v>
      </c>
    </row>
    <row r="507" spans="2:6" x14ac:dyDescent="0.25">
      <c r="B507" s="10" t="s">
        <v>362</v>
      </c>
      <c r="C507" s="79">
        <v>56</v>
      </c>
      <c r="E507" s="10" t="s">
        <v>157</v>
      </c>
      <c r="F507" s="75">
        <v>0.04</v>
      </c>
    </row>
    <row r="508" spans="2:6" x14ac:dyDescent="0.25">
      <c r="B508" s="8" t="s">
        <v>373</v>
      </c>
      <c r="C508">
        <f>C503+C507-C505/(1+C506)^C504</f>
        <v>32.311280400450983</v>
      </c>
      <c r="E508" s="8" t="s">
        <v>374</v>
      </c>
      <c r="F508">
        <f>F503*(1+F507)^F504</f>
        <v>300.8421513019743</v>
      </c>
    </row>
    <row r="509" spans="2:6" x14ac:dyDescent="0.25">
      <c r="E509" s="8" t="s">
        <v>362</v>
      </c>
      <c r="F509">
        <f>(F505-F508)*(1+F507)^(-F504)+F506</f>
        <v>23.853879058093852</v>
      </c>
    </row>
    <row r="510" spans="2:6" x14ac:dyDescent="0.25">
      <c r="E510" s="8" t="s">
        <v>362</v>
      </c>
      <c r="F510">
        <f>F506+F505*(1+F507)^(-F504)-F508*(1+F507)^(-F504)</f>
        <v>23.85387905809381</v>
      </c>
    </row>
    <row r="515" spans="2:4" ht="24.6" x14ac:dyDescent="0.4">
      <c r="B515" s="1" t="s">
        <v>375</v>
      </c>
    </row>
    <row r="517" spans="2:4" x14ac:dyDescent="0.25">
      <c r="B517" s="241" t="s">
        <v>353</v>
      </c>
      <c r="C517" s="242">
        <v>100</v>
      </c>
      <c r="D517" s="243"/>
    </row>
    <row r="518" spans="2:4" x14ac:dyDescent="0.25">
      <c r="B518" s="244" t="s">
        <v>172</v>
      </c>
      <c r="C518" s="245">
        <v>80</v>
      </c>
      <c r="D518" s="243"/>
    </row>
    <row r="519" spans="2:4" x14ac:dyDescent="0.25">
      <c r="B519" s="244" t="s">
        <v>376</v>
      </c>
      <c r="C519" s="245">
        <v>1</v>
      </c>
      <c r="D519" s="243"/>
    </row>
    <row r="520" spans="2:4" x14ac:dyDescent="0.25">
      <c r="B520" s="244" t="s">
        <v>377</v>
      </c>
      <c r="C520" s="245">
        <v>60</v>
      </c>
      <c r="D520" s="243"/>
    </row>
    <row r="521" spans="2:4" x14ac:dyDescent="0.25">
      <c r="B521" s="244" t="s">
        <v>378</v>
      </c>
      <c r="C521" s="245">
        <v>110</v>
      </c>
      <c r="D521" s="243"/>
    </row>
    <row r="522" spans="2:4" ht="24.6" x14ac:dyDescent="0.4">
      <c r="B522" s="244" t="s">
        <v>379</v>
      </c>
      <c r="C522" s="246">
        <f>C521/C518</f>
        <v>1.375</v>
      </c>
      <c r="D522" s="247" t="s">
        <v>380</v>
      </c>
    </row>
    <row r="523" spans="2:4" x14ac:dyDescent="0.25">
      <c r="B523" s="248" t="s">
        <v>381</v>
      </c>
      <c r="C523" s="249">
        <f>C520/C518</f>
        <v>0.75</v>
      </c>
      <c r="D523" s="243"/>
    </row>
    <row r="524" spans="2:4" x14ac:dyDescent="0.25">
      <c r="B524" s="241" t="s">
        <v>171</v>
      </c>
      <c r="C524" s="250" t="s">
        <v>373</v>
      </c>
      <c r="D524" s="243"/>
    </row>
    <row r="525" spans="2:4" x14ac:dyDescent="0.25">
      <c r="B525" s="248" t="s">
        <v>382</v>
      </c>
      <c r="C525" s="251" t="s">
        <v>383</v>
      </c>
      <c r="D525" s="243"/>
    </row>
    <row r="526" spans="2:4" x14ac:dyDescent="0.25">
      <c r="B526" s="252" t="s">
        <v>384</v>
      </c>
      <c r="C526" s="242"/>
      <c r="D526" s="243"/>
    </row>
    <row r="527" spans="2:4" x14ac:dyDescent="0.25">
      <c r="B527" s="248" t="s">
        <v>385</v>
      </c>
      <c r="C527" s="249">
        <f>MAX(0,C521-C517)</f>
        <v>10</v>
      </c>
      <c r="D527" s="243"/>
    </row>
    <row r="528" spans="2:4" x14ac:dyDescent="0.25">
      <c r="B528" s="252" t="s">
        <v>386</v>
      </c>
      <c r="C528" s="242"/>
      <c r="D528" s="243"/>
    </row>
    <row r="529" spans="2:4" x14ac:dyDescent="0.25">
      <c r="B529" s="248" t="s">
        <v>387</v>
      </c>
      <c r="C529" s="249">
        <f>MAX(0,C520-C517)</f>
        <v>0</v>
      </c>
      <c r="D529" s="243"/>
    </row>
    <row r="530" spans="2:4" x14ac:dyDescent="0.25">
      <c r="B530" s="2" t="s">
        <v>388</v>
      </c>
    </row>
    <row r="531" spans="2:4" x14ac:dyDescent="0.25">
      <c r="B531" s="253" t="s">
        <v>389</v>
      </c>
      <c r="C531" s="254"/>
      <c r="D531" s="255"/>
    </row>
    <row r="532" spans="2:4" x14ac:dyDescent="0.25">
      <c r="B532" s="256" t="s">
        <v>390</v>
      </c>
      <c r="C532" s="257"/>
      <c r="D532" s="255"/>
    </row>
    <row r="533" spans="2:4" x14ac:dyDescent="0.25">
      <c r="B533" s="258" t="s">
        <v>391</v>
      </c>
      <c r="C533" s="259"/>
      <c r="D533" s="255"/>
    </row>
    <row r="534" spans="2:4" x14ac:dyDescent="0.25">
      <c r="B534" s="260" t="s">
        <v>392</v>
      </c>
      <c r="C534" s="261" t="s">
        <v>393</v>
      </c>
      <c r="D534" s="255"/>
    </row>
    <row r="535" spans="2:4" x14ac:dyDescent="0.25">
      <c r="B535" s="253" t="s">
        <v>172</v>
      </c>
      <c r="C535" s="254">
        <v>80</v>
      </c>
      <c r="D535" s="255"/>
    </row>
    <row r="536" spans="2:4" x14ac:dyDescent="0.25">
      <c r="B536" s="262" t="s">
        <v>378</v>
      </c>
      <c r="C536" s="257">
        <v>110</v>
      </c>
      <c r="D536" s="255"/>
    </row>
    <row r="537" spans="2:4" x14ac:dyDescent="0.25">
      <c r="B537" s="256" t="s">
        <v>394</v>
      </c>
      <c r="C537" s="257">
        <f>C536/C535</f>
        <v>1.375</v>
      </c>
      <c r="D537" s="255"/>
    </row>
    <row r="538" spans="2:4" x14ac:dyDescent="0.25">
      <c r="B538" s="256" t="s">
        <v>395</v>
      </c>
      <c r="C538" s="263">
        <f>C536/C535-1</f>
        <v>0.375</v>
      </c>
      <c r="D538" s="255"/>
    </row>
    <row r="539" spans="2:4" x14ac:dyDescent="0.25">
      <c r="B539" s="256" t="s">
        <v>396</v>
      </c>
      <c r="C539" s="257">
        <f>MAX(0,C536-C517)</f>
        <v>10</v>
      </c>
      <c r="D539" s="255"/>
    </row>
    <row r="540" spans="2:4" ht="13.8" thickBot="1" x14ac:dyDescent="0.3">
      <c r="B540" s="256" t="s">
        <v>397</v>
      </c>
      <c r="C540" s="264">
        <f>(C539-C547)/(C536-C544)</f>
        <v>0.2</v>
      </c>
      <c r="D540" s="255"/>
    </row>
    <row r="541" spans="2:4" ht="13.8" thickBot="1" x14ac:dyDescent="0.3">
      <c r="B541" s="260" t="s">
        <v>398</v>
      </c>
      <c r="C541" s="265">
        <f>C536*C540-C539</f>
        <v>12</v>
      </c>
      <c r="D541" s="255"/>
    </row>
    <row r="542" spans="2:4" ht="24.6" x14ac:dyDescent="0.4">
      <c r="B542" s="266" t="s">
        <v>399</v>
      </c>
      <c r="C542" s="267" t="s">
        <v>400</v>
      </c>
      <c r="D542" s="268" t="s">
        <v>401</v>
      </c>
    </row>
    <row r="543" spans="2:4" x14ac:dyDescent="0.25">
      <c r="B543" s="253" t="s">
        <v>172</v>
      </c>
      <c r="C543" s="254">
        <f>C535</f>
        <v>80</v>
      </c>
      <c r="D543" s="255"/>
    </row>
    <row r="544" spans="2:4" x14ac:dyDescent="0.25">
      <c r="B544" s="256" t="s">
        <v>377</v>
      </c>
      <c r="C544" s="257">
        <v>60</v>
      </c>
      <c r="D544" s="255"/>
    </row>
    <row r="545" spans="2:4" x14ac:dyDescent="0.25">
      <c r="B545" s="256" t="s">
        <v>402</v>
      </c>
      <c r="C545" s="257">
        <f>C544/C543</f>
        <v>0.75</v>
      </c>
      <c r="D545" s="255"/>
    </row>
    <row r="546" spans="2:4" x14ac:dyDescent="0.25">
      <c r="B546" s="256" t="s">
        <v>395</v>
      </c>
      <c r="C546" s="269">
        <f>C544/C543-1</f>
        <v>-0.25</v>
      </c>
      <c r="D546" s="255"/>
    </row>
    <row r="547" spans="2:4" x14ac:dyDescent="0.25">
      <c r="B547" s="256" t="s">
        <v>403</v>
      </c>
      <c r="C547" s="257">
        <f>MAX(0,C544-C517)</f>
        <v>0</v>
      </c>
      <c r="D547" s="255"/>
    </row>
    <row r="548" spans="2:4" ht="13.8" thickBot="1" x14ac:dyDescent="0.3">
      <c r="B548" s="258" t="s">
        <v>397</v>
      </c>
      <c r="C548" s="264">
        <f>C540</f>
        <v>0.2</v>
      </c>
      <c r="D548" s="255"/>
    </row>
    <row r="549" spans="2:4" ht="13.8" thickBot="1" x14ac:dyDescent="0.3">
      <c r="B549" s="260" t="s">
        <v>404</v>
      </c>
      <c r="C549" s="270">
        <f>C548*C544-C547</f>
        <v>12</v>
      </c>
      <c r="D549" s="255"/>
    </row>
    <row r="550" spans="2:4" x14ac:dyDescent="0.25">
      <c r="B550" s="255"/>
      <c r="C550" s="255"/>
      <c r="D550" s="255"/>
    </row>
    <row r="551" spans="2:4" x14ac:dyDescent="0.25">
      <c r="B551" s="253" t="s">
        <v>157</v>
      </c>
      <c r="C551" s="271">
        <v>0.05</v>
      </c>
      <c r="D551" s="255"/>
    </row>
    <row r="552" spans="2:4" x14ac:dyDescent="0.25">
      <c r="B552" s="256" t="s">
        <v>405</v>
      </c>
      <c r="C552" s="257">
        <f>C549</f>
        <v>12</v>
      </c>
      <c r="D552" s="255"/>
    </row>
    <row r="553" spans="2:4" x14ac:dyDescent="0.25">
      <c r="B553" s="258" t="s">
        <v>172</v>
      </c>
      <c r="C553" s="259">
        <f>C518</f>
        <v>80</v>
      </c>
      <c r="D553" s="255"/>
    </row>
    <row r="554" spans="2:4" x14ac:dyDescent="0.25">
      <c r="B554" s="260" t="s">
        <v>406</v>
      </c>
      <c r="C554" s="272">
        <f>C548*C553-C552/(1+C551)^C519</f>
        <v>4.5714285714285712</v>
      </c>
      <c r="D554" s="255"/>
    </row>
    <row r="555" spans="2:4" ht="24.6" x14ac:dyDescent="0.4">
      <c r="B555" s="273" t="s">
        <v>407</v>
      </c>
      <c r="C555" s="274">
        <f>C548*C553-C554</f>
        <v>11.428571428571429</v>
      </c>
      <c r="D555" s="275" t="s">
        <v>408</v>
      </c>
    </row>
    <row r="558" spans="2:4" ht="24.6" x14ac:dyDescent="0.4">
      <c r="B558" s="1" t="s">
        <v>409</v>
      </c>
    </row>
    <row r="559" spans="2:4" x14ac:dyDescent="0.25">
      <c r="B559" s="6" t="s">
        <v>410</v>
      </c>
      <c r="C559" s="65">
        <v>0.05</v>
      </c>
    </row>
    <row r="560" spans="2:4" x14ac:dyDescent="0.25">
      <c r="B560" s="66" t="s">
        <v>394</v>
      </c>
      <c r="C560" s="78">
        <v>1.375</v>
      </c>
    </row>
    <row r="561" spans="2:3" x14ac:dyDescent="0.25">
      <c r="B561" s="71" t="s">
        <v>402</v>
      </c>
      <c r="C561" s="79">
        <v>0.75</v>
      </c>
    </row>
    <row r="562" spans="2:3" x14ac:dyDescent="0.25">
      <c r="B562" s="276" t="s">
        <v>411</v>
      </c>
      <c r="C562" s="135">
        <f>(1+C559-C561)/(C560-C561)</f>
        <v>0.48000000000000009</v>
      </c>
    </row>
    <row r="563" spans="2:3" x14ac:dyDescent="0.25">
      <c r="B563" s="61" t="s">
        <v>396</v>
      </c>
      <c r="C563" s="43">
        <v>10</v>
      </c>
    </row>
    <row r="564" spans="2:3" x14ac:dyDescent="0.25">
      <c r="B564" s="71" t="s">
        <v>403</v>
      </c>
      <c r="C564" s="79">
        <v>0</v>
      </c>
    </row>
    <row r="565" spans="2:3" x14ac:dyDescent="0.25">
      <c r="B565" s="21" t="s">
        <v>373</v>
      </c>
      <c r="C565" s="277">
        <f>(C562*C563+(1-C562)*C564)/(1+C559)^C519</f>
        <v>4.5714285714285721</v>
      </c>
    </row>
  </sheetData>
  <mergeCells count="6">
    <mergeCell ref="G437:H437"/>
    <mergeCell ref="F235:I238"/>
    <mergeCell ref="D241:I244"/>
    <mergeCell ref="D248:I251"/>
    <mergeCell ref="D254:I257"/>
    <mergeCell ref="B282:H298"/>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DERIVATIVES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Yury</dc:creator>
  <cp:lastModifiedBy>Yury</cp:lastModifiedBy>
  <dcterms:created xsi:type="dcterms:W3CDTF">2024-11-11T23:34:16Z</dcterms:created>
  <dcterms:modified xsi:type="dcterms:W3CDTF">2024-11-11T23:53:35Z</dcterms:modified>
</cp:coreProperties>
</file>