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Futures\ICS\"/>
    </mc:Choice>
  </mc:AlternateContent>
  <xr:revisionPtr revIDLastSave="0" documentId="13_ncr:1_{A24C01D3-FF84-4365-8D64-39C42A0071CF}" xr6:coauthVersionLast="36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By Us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C16" i="1"/>
  <c r="B16" i="1"/>
  <c r="E16" i="1" s="1"/>
  <c r="D15" i="1"/>
  <c r="C15" i="1"/>
  <c r="B15" i="1"/>
  <c r="D14" i="1"/>
  <c r="E14" i="1" s="1"/>
  <c r="C14" i="1"/>
  <c r="B14" i="1"/>
  <c r="D13" i="1"/>
  <c r="C13" i="1"/>
  <c r="B13" i="1"/>
  <c r="D12" i="1"/>
  <c r="C12" i="1"/>
  <c r="B12" i="1"/>
  <c r="E12" i="1" s="1"/>
  <c r="D11" i="1"/>
  <c r="C11" i="1"/>
  <c r="B11" i="1"/>
  <c r="D10" i="1"/>
  <c r="C10" i="1"/>
  <c r="B10" i="1"/>
  <c r="D9" i="1"/>
  <c r="C9" i="1"/>
  <c r="B9" i="1"/>
  <c r="D8" i="1"/>
  <c r="C8" i="1"/>
  <c r="B8" i="1"/>
  <c r="E8" i="1" s="1"/>
  <c r="D7" i="1"/>
  <c r="C7" i="1"/>
  <c r="B7" i="1"/>
  <c r="E7" i="1" s="1"/>
  <c r="G7" i="1" s="1"/>
  <c r="D27" i="2"/>
  <c r="D26" i="2"/>
  <c r="D23" i="2"/>
  <c r="D22" i="2"/>
  <c r="D19" i="2"/>
  <c r="D18" i="2"/>
  <c r="D17" i="2"/>
  <c r="D15" i="2"/>
  <c r="D14" i="2"/>
  <c r="D13" i="2"/>
  <c r="D11" i="2"/>
  <c r="D10" i="2"/>
  <c r="D9" i="2"/>
  <c r="D7" i="2"/>
  <c r="D6" i="2"/>
  <c r="D4" i="2"/>
  <c r="D3" i="2"/>
  <c r="D2" i="2"/>
  <c r="D5" i="2"/>
  <c r="E13" i="1" l="1"/>
  <c r="G12" i="1" s="1"/>
  <c r="E15" i="1"/>
  <c r="G15" i="1" s="1"/>
  <c r="G13" i="1"/>
  <c r="E24" i="1"/>
  <c r="E23" i="1"/>
  <c r="E22" i="1"/>
  <c r="C22" i="1"/>
  <c r="D22" i="1"/>
  <c r="B22" i="1"/>
  <c r="G14" i="1" l="1"/>
  <c r="C25" i="1"/>
  <c r="D25" i="1"/>
  <c r="B25" i="1"/>
  <c r="E25" i="1" l="1"/>
  <c r="E10" i="1"/>
  <c r="E11" i="1"/>
  <c r="E17" i="1"/>
  <c r="E18" i="1"/>
  <c r="E19" i="1"/>
  <c r="E9" i="1"/>
  <c r="G10" i="1" l="1"/>
  <c r="G9" i="1"/>
  <c r="G8" i="1"/>
  <c r="G11" i="1"/>
</calcChain>
</file>

<file path=xl/sharedStrings.xml><?xml version="1.0" encoding="utf-8"?>
<sst xmlns="http://schemas.openxmlformats.org/spreadsheetml/2006/main" count="123" uniqueCount="42">
  <si>
    <t>Data Sources:</t>
  </si>
  <si>
    <t>Interim Guidelines: https://www.usbr.gov/lc/region/programs/strategies/RecordofDecision.pdf</t>
  </si>
  <si>
    <t>Item</t>
  </si>
  <si>
    <t>Arizona</t>
  </si>
  <si>
    <t>California</t>
  </si>
  <si>
    <t>Nevada</t>
  </si>
  <si>
    <t>Total</t>
  </si>
  <si>
    <t>Balance - Dec 2017 (AF)</t>
  </si>
  <si>
    <t>Max Deposit (AF/year)</t>
  </si>
  <si>
    <t>Max Total (AF)</t>
  </si>
  <si>
    <t>Max Withdraw (Delivery; AF/year)</t>
  </si>
  <si>
    <t>Initial</t>
  </si>
  <si>
    <t>Water Accounting Reports: https://www.usbr.gov/lc/region/g4000/wtracct.html</t>
  </si>
  <si>
    <t>Balance - Dec 2016 (AF)</t>
  </si>
  <si>
    <t>Balance - Dec 2015 (AF)</t>
  </si>
  <si>
    <t>Intentionally Created Surplus (Lake Mead) - Summary Accounting</t>
  </si>
  <si>
    <t>Assessment of Losses</t>
  </si>
  <si>
    <t>Each subsequent year</t>
  </si>
  <si>
    <t>Why is NV greater than Max Total?</t>
  </si>
  <si>
    <t>ICS reduced when reservoir flood control releases made.</t>
  </si>
  <si>
    <t>Delivery lessened when shortage condition reached - insufficient water to deliver 7.5 MAF/yr of consumptive use</t>
  </si>
  <si>
    <t>Shortage condition = 1,075 ft Mead Level</t>
  </si>
  <si>
    <t>New levels with DCP</t>
  </si>
  <si>
    <t>Balance - Dec 2018 (AF)</t>
  </si>
  <si>
    <t>Max Balance (AF)</t>
  </si>
  <si>
    <t>Year</t>
  </si>
  <si>
    <t>Difference</t>
  </si>
  <si>
    <t>Balance - Dec 2014 (AF)</t>
  </si>
  <si>
    <t>Balance - Dec 2013 (AF)</t>
  </si>
  <si>
    <t>Balance - Dec 2012 (AF)</t>
  </si>
  <si>
    <t>Balance - Dec 2011 (AF)</t>
  </si>
  <si>
    <t>Balance - Dec 2010 (AF)</t>
  </si>
  <si>
    <t>User</t>
  </si>
  <si>
    <t>State</t>
  </si>
  <si>
    <t>Balance</t>
  </si>
  <si>
    <t>MWD</t>
  </si>
  <si>
    <t>IID</t>
  </si>
  <si>
    <t>SNWA</t>
  </si>
  <si>
    <t>CAP</t>
  </si>
  <si>
    <t>CRIT</t>
  </si>
  <si>
    <t>GRIC</t>
  </si>
  <si>
    <t>Balance - Dec 2019 (AF)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</si>
</sst>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ont="1"/>
    <xf numFmtId="0" fontId="0" fillId="0" borderId="1" xfId="0" applyBorder="1"/>
    <xf numFmtId="164" fontId="0" fillId="0" borderId="1" xfId="1" applyNumberFormat="1" applyFont="1" applyBorder="1"/>
    <xf numFmtId="0" fontId="2" fillId="2" borderId="1" xfId="0" applyFont="1" applyFill="1" applyBorder="1"/>
    <xf numFmtId="164" fontId="2" fillId="2" borderId="1" xfId="1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1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Font="1"/>
    <xf numFmtId="164" fontId="0" fillId="0" borderId="0" xfId="0" applyNumberFormat="1"/>
    <xf numFmtId="0" fontId="0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zoomScale="150" zoomScaleNormal="150" workbookViewId="0">
      <selection activeCell="B4" sqref="B4"/>
    </sheetView>
  </sheetViews>
  <sheetFormatPr defaultRowHeight="14.5" x14ac:dyDescent="0.35"/>
  <cols>
    <col min="1" max="1" width="30.7265625" customWidth="1"/>
    <col min="2" max="2" width="10" customWidth="1"/>
    <col min="3" max="3" width="11" customWidth="1"/>
    <col min="4" max="4" width="10.54296875" customWidth="1"/>
    <col min="5" max="5" width="10.36328125" customWidth="1"/>
    <col min="6" max="6" width="9.08984375" bestFit="1" customWidth="1"/>
    <col min="7" max="7" width="10.54296875" customWidth="1"/>
  </cols>
  <sheetData>
    <row r="1" spans="1:8" s="1" customFormat="1" x14ac:dyDescent="0.35">
      <c r="A1" s="1" t="s">
        <v>15</v>
      </c>
    </row>
    <row r="2" spans="1:8" x14ac:dyDescent="0.35">
      <c r="A2" t="s">
        <v>0</v>
      </c>
    </row>
    <row r="3" spans="1:8" x14ac:dyDescent="0.35">
      <c r="B3" t="s">
        <v>1</v>
      </c>
    </row>
    <row r="4" spans="1:8" x14ac:dyDescent="0.35">
      <c r="B4" t="s">
        <v>12</v>
      </c>
    </row>
    <row r="6" spans="1:8" s="1" customFormat="1" x14ac:dyDescent="0.35">
      <c r="A6" s="1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1" t="s">
        <v>25</v>
      </c>
      <c r="G6" s="1" t="s">
        <v>26</v>
      </c>
    </row>
    <row r="7" spans="1:8" s="1" customFormat="1" x14ac:dyDescent="0.35">
      <c r="A7" s="5" t="s">
        <v>41</v>
      </c>
      <c r="B7" s="2">
        <f>SUMIFS('By User'!$D$2:$D$43,'By User'!$A$2:$A$43,Sheet1!$F7,'By User'!$C$2:$C$43,Sheet1!B$6)</f>
        <v>473504</v>
      </c>
      <c r="C7" s="2">
        <f>SUMIFS('By User'!$D$2:$D$43,'By User'!$A$2:$A$43,Sheet1!$F7,'By User'!$C$2:$C$43,Sheet1!C$6)</f>
        <v>1053210</v>
      </c>
      <c r="D7" s="2">
        <f>SUMIFS('By User'!$D$2:$D$43,'By User'!$A$2:$A$43,Sheet1!$F7,'By User'!$C$2:$C$43,Sheet1!D$6)</f>
        <v>785913</v>
      </c>
      <c r="E7" s="2">
        <f>SUM(B7:D7)</f>
        <v>2312627</v>
      </c>
      <c r="F7" s="15">
        <v>2019</v>
      </c>
      <c r="G7" s="13">
        <f>E7-E8</f>
        <v>570695</v>
      </c>
    </row>
    <row r="8" spans="1:8" s="1" customFormat="1" x14ac:dyDescent="0.35">
      <c r="A8" s="5" t="s">
        <v>23</v>
      </c>
      <c r="B8" s="2">
        <f>SUMIFS('By User'!$D$2:$D$43,'By User'!$A$2:$A$43,Sheet1!$F8,'By User'!$C$2:$C$43,Sheet1!B$6)</f>
        <v>343052</v>
      </c>
      <c r="C8" s="2">
        <f>SUMIFS('By User'!$D$2:$D$43,'By User'!$A$2:$A$43,Sheet1!$F8,'By User'!$C$2:$C$43,Sheet1!C$6)</f>
        <v>698432</v>
      </c>
      <c r="D8" s="2">
        <f>SUMIFS('By User'!$D$2:$D$43,'By User'!$A$2:$A$43,Sheet1!$F8,'By User'!$C$2:$C$43,Sheet1!D$6)</f>
        <v>700448</v>
      </c>
      <c r="E8" s="2">
        <f>SUM(B8:D8)</f>
        <v>1741932</v>
      </c>
      <c r="F8" s="10">
        <v>2018</v>
      </c>
      <c r="G8" s="13">
        <f>E8-E9</f>
        <v>480441</v>
      </c>
    </row>
    <row r="9" spans="1:8" x14ac:dyDescent="0.35">
      <c r="A9" t="s">
        <v>7</v>
      </c>
      <c r="B9" s="2">
        <f>SUMIFS('By User'!$D$2:$D$43,'By User'!$A$2:$A$43,Sheet1!$F9,'By User'!$C$2:$C$43,Sheet1!B$6)</f>
        <v>126800</v>
      </c>
      <c r="C9" s="2">
        <f>SUMIFS('By User'!$D$2:$D$43,'By User'!$A$2:$A$43,Sheet1!$F9,'By User'!$C$2:$C$43,Sheet1!C$6)</f>
        <v>552378</v>
      </c>
      <c r="D9" s="2">
        <f>SUMIFS('By User'!$D$2:$D$43,'By User'!$A$2:$A$43,Sheet1!$F9,'By User'!$C$2:$C$43,Sheet1!D$6)</f>
        <v>582313</v>
      </c>
      <c r="E9" s="2">
        <f>SUM(B9:D9)</f>
        <v>1261491</v>
      </c>
      <c r="F9" s="11">
        <v>2017</v>
      </c>
      <c r="G9" s="13">
        <f t="shared" ref="G9:G15" si="0">E9-E10</f>
        <v>511813</v>
      </c>
      <c r="H9" t="s">
        <v>18</v>
      </c>
    </row>
    <row r="10" spans="1:8" x14ac:dyDescent="0.35">
      <c r="A10" t="s">
        <v>13</v>
      </c>
      <c r="B10" s="2">
        <f>SUMIFS('By User'!$D$2:$D$43,'By User'!$A$2:$A$43,Sheet1!$F10,'By User'!$C$2:$C$43,Sheet1!B$6)</f>
        <v>103050</v>
      </c>
      <c r="C10" s="2">
        <f>SUMIFS('By User'!$D$2:$D$43,'By User'!$A$2:$A$43,Sheet1!$F10,'By User'!$C$2:$C$43,Sheet1!C$6)</f>
        <v>115066</v>
      </c>
      <c r="D10" s="2">
        <f>SUMIFS('By User'!$D$2:$D$43,'By User'!$A$2:$A$43,Sheet1!$F10,'By User'!$C$2:$C$43,Sheet1!D$6)</f>
        <v>531562</v>
      </c>
      <c r="E10" s="2">
        <f t="shared" ref="E10:E16" si="1">SUM(B10:D10)</f>
        <v>749678</v>
      </c>
      <c r="F10" s="11">
        <v>2016</v>
      </c>
      <c r="G10" s="13">
        <f t="shared" si="0"/>
        <v>37814</v>
      </c>
    </row>
    <row r="11" spans="1:8" x14ac:dyDescent="0.35">
      <c r="A11" t="s">
        <v>14</v>
      </c>
      <c r="B11" s="2">
        <f>SUMIFS('By User'!$D$2:$D$43,'By User'!$A$2:$A$43,Sheet1!$F11,'By User'!$C$2:$C$43,Sheet1!B$6)</f>
        <v>103050</v>
      </c>
      <c r="C11" s="2">
        <f>SUMIFS('By User'!$D$2:$D$43,'By User'!$A$2:$A$43,Sheet1!$F11,'By User'!$C$2:$C$43,Sheet1!C$6)</f>
        <v>97791</v>
      </c>
      <c r="D11" s="2">
        <f>SUMIFS('By User'!$D$2:$D$43,'By User'!$A$2:$A$43,Sheet1!$F11,'By User'!$C$2:$C$43,Sheet1!D$6)</f>
        <v>511023</v>
      </c>
      <c r="E11" s="2">
        <f t="shared" si="1"/>
        <v>711864</v>
      </c>
      <c r="F11" s="11">
        <v>2015</v>
      </c>
      <c r="G11" s="13">
        <f t="shared" si="0"/>
        <v>-125036</v>
      </c>
    </row>
    <row r="12" spans="1:8" x14ac:dyDescent="0.35">
      <c r="A12" t="s">
        <v>27</v>
      </c>
      <c r="B12" s="2">
        <f>SUMIFS('By User'!$D$2:$D$43,'By User'!$A$2:$A$43,Sheet1!$F12,'By User'!$C$2:$C$43,Sheet1!B$6)</f>
        <v>103050</v>
      </c>
      <c r="C12" s="2">
        <f>SUMIFS('By User'!$D$2:$D$43,'By User'!$A$2:$A$43,Sheet1!$F12,'By User'!$C$2:$C$43,Sheet1!C$6)</f>
        <v>169085</v>
      </c>
      <c r="D12" s="2">
        <f>SUMIFS('By User'!$D$2:$D$43,'By User'!$A$2:$A$43,Sheet1!$F12,'By User'!$C$2:$C$43,Sheet1!D$6)</f>
        <v>564765</v>
      </c>
      <c r="E12" s="2">
        <f t="shared" si="1"/>
        <v>836900</v>
      </c>
      <c r="F12" s="11">
        <v>2014</v>
      </c>
      <c r="G12" s="13">
        <f t="shared" si="0"/>
        <v>-281264</v>
      </c>
    </row>
    <row r="13" spans="1:8" x14ac:dyDescent="0.35">
      <c r="A13" t="s">
        <v>28</v>
      </c>
      <c r="B13" s="2">
        <f>SUMIFS('By User'!$D$2:$D$43,'By User'!$A$2:$A$43,Sheet1!$F13,'By User'!$C$2:$C$43,Sheet1!B$6)</f>
        <v>103050</v>
      </c>
      <c r="C13" s="2">
        <f>SUMIFS('By User'!$D$2:$D$43,'By User'!$A$2:$A$43,Sheet1!$F13,'By User'!$C$2:$C$43,Sheet1!C$6)</f>
        <v>474063</v>
      </c>
      <c r="D13" s="2">
        <f>SUMIFS('By User'!$D$2:$D$43,'By User'!$A$2:$A$43,Sheet1!$F13,'By User'!$C$2:$C$43,Sheet1!D$6)</f>
        <v>541051</v>
      </c>
      <c r="E13" s="2">
        <f t="shared" si="1"/>
        <v>1118164</v>
      </c>
      <c r="F13" s="11">
        <v>2013</v>
      </c>
      <c r="G13" s="13">
        <f t="shared" si="0"/>
        <v>-77476</v>
      </c>
    </row>
    <row r="14" spans="1:8" x14ac:dyDescent="0.35">
      <c r="A14" t="s">
        <v>29</v>
      </c>
      <c r="B14" s="2">
        <f>SUMIFS('By User'!$D$2:$D$43,'By User'!$A$2:$A$43,Sheet1!$F14,'By User'!$C$2:$C$43,Sheet1!B$6)</f>
        <v>103050</v>
      </c>
      <c r="C14" s="2">
        <f>SUMIFS('By User'!$D$2:$D$43,'By User'!$A$2:$A$43,Sheet1!$F14,'By User'!$C$2:$C$43,Sheet1!C$6)</f>
        <v>579786</v>
      </c>
      <c r="D14" s="2">
        <f>SUMIFS('By User'!$D$2:$D$43,'By User'!$A$2:$A$43,Sheet1!$F14,'By User'!$C$2:$C$43,Sheet1!D$6)</f>
        <v>512804</v>
      </c>
      <c r="E14" s="2">
        <f t="shared" si="1"/>
        <v>1195640</v>
      </c>
      <c r="F14" s="11">
        <v>2012</v>
      </c>
      <c r="G14" s="13">
        <f t="shared" si="0"/>
        <v>169240</v>
      </c>
    </row>
    <row r="15" spans="1:8" x14ac:dyDescent="0.35">
      <c r="A15" t="s">
        <v>30</v>
      </c>
      <c r="B15" s="2">
        <f>SUMIFS('By User'!$D$2:$D$43,'By User'!$A$2:$A$43,Sheet1!$F15,'By User'!$C$2:$C$43,Sheet1!B$6)</f>
        <v>103050</v>
      </c>
      <c r="C15" s="2">
        <f>SUMIFS('By User'!$D$2:$D$43,'By User'!$A$2:$A$43,Sheet1!$F15,'By User'!$C$2:$C$43,Sheet1!C$6)</f>
        <v>440678</v>
      </c>
      <c r="D15" s="2">
        <f>SUMIFS('By User'!$D$2:$D$43,'By User'!$A$2:$A$43,Sheet1!$F15,'By User'!$C$2:$C$43,Sheet1!D$6)</f>
        <v>482672</v>
      </c>
      <c r="E15" s="2">
        <f t="shared" si="1"/>
        <v>1026400</v>
      </c>
      <c r="F15" s="11">
        <v>2011</v>
      </c>
      <c r="G15" s="13">
        <f t="shared" si="0"/>
        <v>211059</v>
      </c>
    </row>
    <row r="16" spans="1:8" x14ac:dyDescent="0.35">
      <c r="A16" t="s">
        <v>31</v>
      </c>
      <c r="B16" s="2">
        <f>SUMIFS('By User'!$D$2:$D$43,'By User'!$A$2:$A$43,Sheet1!$F16,'By User'!$C$2:$C$43,Sheet1!B$6)</f>
        <v>102094</v>
      </c>
      <c r="C16" s="2">
        <f>SUMIFS('By User'!$D$2:$D$43,'By User'!$A$2:$A$43,Sheet1!$F16,'By User'!$C$2:$C$43,Sheet1!C$6)</f>
        <v>261990</v>
      </c>
      <c r="D16" s="2">
        <f>SUMIFS('By User'!$D$2:$D$43,'By User'!$A$2:$A$43,Sheet1!$F16,'By User'!$C$2:$C$43,Sheet1!D$6)</f>
        <v>451257</v>
      </c>
      <c r="E16" s="2">
        <f t="shared" si="1"/>
        <v>815341</v>
      </c>
      <c r="F16" s="11">
        <v>2010</v>
      </c>
      <c r="G16" s="13"/>
    </row>
    <row r="17" spans="1:5" x14ac:dyDescent="0.35">
      <c r="A17" t="s">
        <v>8</v>
      </c>
      <c r="B17" s="2">
        <v>100000</v>
      </c>
      <c r="C17" s="2">
        <v>400000</v>
      </c>
      <c r="D17" s="2">
        <v>125000</v>
      </c>
      <c r="E17" s="2">
        <f t="shared" ref="E17:E19" si="2">SUM(B17:D17)</f>
        <v>625000</v>
      </c>
    </row>
    <row r="18" spans="1:5" x14ac:dyDescent="0.35">
      <c r="A18" t="s">
        <v>9</v>
      </c>
      <c r="B18" s="2">
        <v>300000</v>
      </c>
      <c r="C18" s="2">
        <v>1500000</v>
      </c>
      <c r="D18" s="2">
        <v>300000</v>
      </c>
      <c r="E18" s="2">
        <f t="shared" si="2"/>
        <v>2100000</v>
      </c>
    </row>
    <row r="19" spans="1:5" x14ac:dyDescent="0.35">
      <c r="A19" t="s">
        <v>10</v>
      </c>
      <c r="B19" s="2">
        <v>300000</v>
      </c>
      <c r="C19" s="2">
        <v>400000</v>
      </c>
      <c r="D19" s="2">
        <v>300000</v>
      </c>
      <c r="E19" s="2">
        <f t="shared" si="2"/>
        <v>1000000</v>
      </c>
    </row>
    <row r="20" spans="1:5" x14ac:dyDescent="0.35">
      <c r="A20" t="s">
        <v>20</v>
      </c>
      <c r="B20" s="2"/>
      <c r="C20" s="2"/>
      <c r="D20" s="2"/>
      <c r="E20" s="2"/>
    </row>
    <row r="21" spans="1:5" x14ac:dyDescent="0.35">
      <c r="B21" s="2"/>
      <c r="C21" s="2"/>
      <c r="D21" s="2"/>
      <c r="E21" s="2"/>
    </row>
    <row r="22" spans="1:5" x14ac:dyDescent="0.35">
      <c r="A22" s="8" t="s">
        <v>22</v>
      </c>
      <c r="B22" s="9" t="str">
        <f>B6</f>
        <v>Arizona</v>
      </c>
      <c r="C22" s="9" t="str">
        <f t="shared" ref="C22:E22" si="3">C6</f>
        <v>California</v>
      </c>
      <c r="D22" s="9" t="str">
        <f t="shared" si="3"/>
        <v>Nevada</v>
      </c>
      <c r="E22" s="9" t="str">
        <f t="shared" si="3"/>
        <v>Total</v>
      </c>
    </row>
    <row r="23" spans="1:5" x14ac:dyDescent="0.35">
      <c r="A23" s="6" t="s">
        <v>8</v>
      </c>
      <c r="B23" s="7">
        <v>100000</v>
      </c>
      <c r="C23" s="7">
        <v>400000</v>
      </c>
      <c r="D23" s="7">
        <v>125000</v>
      </c>
      <c r="E23" s="7">
        <f t="shared" ref="E23:E25" si="4">SUM(B23:D23)</f>
        <v>625000</v>
      </c>
    </row>
    <row r="24" spans="1:5" x14ac:dyDescent="0.35">
      <c r="A24" s="6" t="s">
        <v>24</v>
      </c>
      <c r="B24" s="7">
        <v>500000</v>
      </c>
      <c r="C24" s="7">
        <v>1700000</v>
      </c>
      <c r="D24" s="7">
        <v>500000</v>
      </c>
      <c r="E24" s="7">
        <f t="shared" si="4"/>
        <v>2700000</v>
      </c>
    </row>
    <row r="25" spans="1:5" x14ac:dyDescent="0.35">
      <c r="A25" s="6" t="s">
        <v>10</v>
      </c>
      <c r="B25" s="7">
        <f>B19</f>
        <v>300000</v>
      </c>
      <c r="C25" s="7">
        <f t="shared" ref="C25:D25" si="5">C19</f>
        <v>400000</v>
      </c>
      <c r="D25" s="7">
        <f t="shared" si="5"/>
        <v>300000</v>
      </c>
      <c r="E25" s="7">
        <f t="shared" si="4"/>
        <v>1000000</v>
      </c>
    </row>
    <row r="26" spans="1:5" x14ac:dyDescent="0.35">
      <c r="A26" s="12" t="s">
        <v>21</v>
      </c>
      <c r="B26" s="12"/>
      <c r="C26" s="12"/>
      <c r="D26" s="12"/>
      <c r="E26" s="12"/>
    </row>
    <row r="27" spans="1:5" x14ac:dyDescent="0.35">
      <c r="A27" t="s">
        <v>19</v>
      </c>
      <c r="B27" s="2"/>
      <c r="C27" s="2"/>
      <c r="D27" s="2"/>
      <c r="E27" s="2"/>
    </row>
    <row r="28" spans="1:5" x14ac:dyDescent="0.35">
      <c r="B28" s="2"/>
      <c r="C28" s="2"/>
      <c r="D28" s="2"/>
      <c r="E28" s="2"/>
    </row>
    <row r="29" spans="1:5" x14ac:dyDescent="0.35">
      <c r="A29" s="1" t="s">
        <v>16</v>
      </c>
    </row>
    <row r="30" spans="1:5" x14ac:dyDescent="0.35">
      <c r="A30" t="s">
        <v>11</v>
      </c>
      <c r="B30" s="4">
        <v>0.05</v>
      </c>
      <c r="C30" s="4">
        <v>0.05</v>
      </c>
      <c r="D30" s="4">
        <v>0.05</v>
      </c>
    </row>
    <row r="31" spans="1:5" x14ac:dyDescent="0.35">
      <c r="A31" t="s">
        <v>17</v>
      </c>
      <c r="B31" s="4">
        <v>0.03</v>
      </c>
      <c r="C31" s="4">
        <v>0.03</v>
      </c>
      <c r="D31" s="4">
        <v>0.03</v>
      </c>
    </row>
  </sheetData>
  <mergeCells count="1">
    <mergeCell ref="A26:E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65CD-11FF-4B0E-A32F-7305DFCA8DC1}">
  <dimension ref="A1:H43"/>
  <sheetViews>
    <sheetView topLeftCell="A5" workbookViewId="0">
      <selection activeCell="D22" sqref="D22"/>
    </sheetView>
  </sheetViews>
  <sheetFormatPr defaultRowHeight="14.5" x14ac:dyDescent="0.35"/>
  <cols>
    <col min="4" max="4" width="11.08984375" bestFit="1" customWidth="1"/>
    <col min="5" max="5" width="10" bestFit="1" customWidth="1"/>
  </cols>
  <sheetData>
    <row r="1" spans="1:8" x14ac:dyDescent="0.35">
      <c r="A1" t="s">
        <v>25</v>
      </c>
      <c r="B1" t="s">
        <v>32</v>
      </c>
      <c r="C1" t="s">
        <v>33</v>
      </c>
      <c r="D1" t="s">
        <v>34</v>
      </c>
    </row>
    <row r="2" spans="1:8" x14ac:dyDescent="0.35">
      <c r="A2">
        <v>2011</v>
      </c>
      <c r="B2" t="s">
        <v>38</v>
      </c>
      <c r="C2" t="s">
        <v>3</v>
      </c>
      <c r="D2" s="2">
        <f>100000+3050</f>
        <v>103050</v>
      </c>
      <c r="G2" s="2"/>
      <c r="H2" s="2"/>
    </row>
    <row r="3" spans="1:8" x14ac:dyDescent="0.35">
      <c r="A3">
        <v>2011</v>
      </c>
      <c r="B3" t="s">
        <v>35</v>
      </c>
      <c r="C3" t="s">
        <v>4</v>
      </c>
      <c r="D3" s="2">
        <f>344439+66000+24397</f>
        <v>434836</v>
      </c>
    </row>
    <row r="4" spans="1:8" x14ac:dyDescent="0.35">
      <c r="A4">
        <v>2011</v>
      </c>
      <c r="B4" t="s">
        <v>36</v>
      </c>
      <c r="C4" t="s">
        <v>4</v>
      </c>
      <c r="D4" s="2">
        <f>5842</f>
        <v>5842</v>
      </c>
    </row>
    <row r="5" spans="1:8" x14ac:dyDescent="0.35">
      <c r="A5">
        <v>2011</v>
      </c>
      <c r="B5" t="s">
        <v>37</v>
      </c>
      <c r="C5" t="s">
        <v>5</v>
      </c>
      <c r="D5" s="2">
        <f>47523+28395+3704+400000+3050</f>
        <v>482672</v>
      </c>
    </row>
    <row r="6" spans="1:8" x14ac:dyDescent="0.35">
      <c r="A6">
        <v>2010</v>
      </c>
      <c r="B6" t="s">
        <v>38</v>
      </c>
      <c r="C6" t="s">
        <v>3</v>
      </c>
      <c r="D6" s="2">
        <f>100000+2094</f>
        <v>102094</v>
      </c>
    </row>
    <row r="7" spans="1:8" x14ac:dyDescent="0.35">
      <c r="A7">
        <v>2010</v>
      </c>
      <c r="B7" t="s">
        <v>35</v>
      </c>
      <c r="C7" t="s">
        <v>4</v>
      </c>
      <c r="D7" s="2">
        <f>173217+66000+16750</f>
        <v>255967</v>
      </c>
    </row>
    <row r="8" spans="1:8" x14ac:dyDescent="0.35">
      <c r="A8">
        <v>2010</v>
      </c>
      <c r="B8" t="s">
        <v>36</v>
      </c>
      <c r="C8" t="s">
        <v>4</v>
      </c>
      <c r="D8" s="2">
        <v>6023</v>
      </c>
    </row>
    <row r="9" spans="1:8" x14ac:dyDescent="0.35">
      <c r="A9">
        <v>2010</v>
      </c>
      <c r="B9" t="s">
        <v>37</v>
      </c>
      <c r="C9" t="s">
        <v>5</v>
      </c>
      <c r="D9" s="2">
        <f>19798+28566+799+400000+2094</f>
        <v>451257</v>
      </c>
      <c r="F9" s="14"/>
    </row>
    <row r="10" spans="1:8" x14ac:dyDescent="0.35">
      <c r="A10">
        <v>2012</v>
      </c>
      <c r="B10" t="s">
        <v>38</v>
      </c>
      <c r="C10" t="s">
        <v>3</v>
      </c>
      <c r="D10" s="2">
        <f>100000+3050</f>
        <v>103050</v>
      </c>
    </row>
    <row r="11" spans="1:8" x14ac:dyDescent="0.35">
      <c r="A11">
        <v>2012</v>
      </c>
      <c r="B11" t="s">
        <v>35</v>
      </c>
      <c r="C11" t="s">
        <v>4</v>
      </c>
      <c r="D11" s="2">
        <f>489389+66000+24397</f>
        <v>579786</v>
      </c>
    </row>
    <row r="12" spans="1:8" x14ac:dyDescent="0.35">
      <c r="A12">
        <v>2012</v>
      </c>
      <c r="B12" t="s">
        <v>36</v>
      </c>
      <c r="C12" t="s">
        <v>4</v>
      </c>
      <c r="D12" s="2">
        <v>0</v>
      </c>
    </row>
    <row r="13" spans="1:8" x14ac:dyDescent="0.35">
      <c r="A13">
        <v>2012</v>
      </c>
      <c r="B13" t="s">
        <v>37</v>
      </c>
      <c r="C13" t="s">
        <v>5</v>
      </c>
      <c r="D13" s="2">
        <f>77162+29870+2722+400000+3050</f>
        <v>512804</v>
      </c>
      <c r="E13" s="14"/>
    </row>
    <row r="14" spans="1:8" x14ac:dyDescent="0.35">
      <c r="A14">
        <v>2013</v>
      </c>
      <c r="B14" t="s">
        <v>38</v>
      </c>
      <c r="C14" t="s">
        <v>3</v>
      </c>
      <c r="D14" s="2">
        <f>100000+3050</f>
        <v>103050</v>
      </c>
    </row>
    <row r="15" spans="1:8" x14ac:dyDescent="0.35">
      <c r="A15">
        <v>2013</v>
      </c>
      <c r="B15" t="s">
        <v>35</v>
      </c>
      <c r="C15" t="s">
        <v>4</v>
      </c>
      <c r="D15" s="2">
        <f>383666+66000+24397</f>
        <v>474063</v>
      </c>
    </row>
    <row r="16" spans="1:8" x14ac:dyDescent="0.35">
      <c r="A16">
        <v>2013</v>
      </c>
      <c r="B16" t="s">
        <v>36</v>
      </c>
      <c r="C16" t="s">
        <v>4</v>
      </c>
      <c r="D16" s="2">
        <v>0</v>
      </c>
    </row>
    <row r="17" spans="1:4" x14ac:dyDescent="0.35">
      <c r="A17">
        <v>2013</v>
      </c>
      <c r="B17" t="s">
        <v>37</v>
      </c>
      <c r="C17" t="s">
        <v>5</v>
      </c>
      <c r="D17" s="2">
        <f>106461+29925+1615+400000+3050</f>
        <v>541051</v>
      </c>
    </row>
    <row r="18" spans="1:4" x14ac:dyDescent="0.35">
      <c r="A18">
        <v>2014</v>
      </c>
      <c r="B18" t="s">
        <v>38</v>
      </c>
      <c r="C18" t="s">
        <v>3</v>
      </c>
      <c r="D18" s="2">
        <f>100000+3050</f>
        <v>103050</v>
      </c>
    </row>
    <row r="19" spans="1:4" x14ac:dyDescent="0.35">
      <c r="A19">
        <v>2014</v>
      </c>
      <c r="B19" t="s">
        <v>35</v>
      </c>
      <c r="C19" t="s">
        <v>4</v>
      </c>
      <c r="D19" s="2">
        <f>61764+65000+24397</f>
        <v>151161</v>
      </c>
    </row>
    <row r="20" spans="1:4" x14ac:dyDescent="0.35">
      <c r="A20">
        <v>2014</v>
      </c>
      <c r="B20" t="s">
        <v>36</v>
      </c>
      <c r="C20" t="s">
        <v>4</v>
      </c>
      <c r="D20" s="2">
        <v>17924</v>
      </c>
    </row>
    <row r="21" spans="1:4" x14ac:dyDescent="0.35">
      <c r="A21">
        <v>2014</v>
      </c>
      <c r="B21" t="s">
        <v>37</v>
      </c>
      <c r="C21" t="s">
        <v>5</v>
      </c>
      <c r="D21" s="2">
        <v>564765</v>
      </c>
    </row>
    <row r="22" spans="1:4" x14ac:dyDescent="0.35">
      <c r="A22">
        <v>2015</v>
      </c>
      <c r="B22" t="s">
        <v>38</v>
      </c>
      <c r="C22" t="s">
        <v>3</v>
      </c>
      <c r="D22" s="2">
        <f>100000+3050</f>
        <v>103050</v>
      </c>
    </row>
    <row r="23" spans="1:4" x14ac:dyDescent="0.35">
      <c r="A23">
        <v>2015</v>
      </c>
      <c r="B23" t="s">
        <v>35</v>
      </c>
      <c r="C23" t="s">
        <v>4</v>
      </c>
      <c r="D23" s="2">
        <f>56008+24397</f>
        <v>80405</v>
      </c>
    </row>
    <row r="24" spans="1:4" x14ac:dyDescent="0.35">
      <c r="A24">
        <v>2015</v>
      </c>
      <c r="B24" t="s">
        <v>36</v>
      </c>
      <c r="C24" t="s">
        <v>4</v>
      </c>
      <c r="D24" s="2">
        <v>17386</v>
      </c>
    </row>
    <row r="25" spans="1:4" x14ac:dyDescent="0.35">
      <c r="A25">
        <v>2015</v>
      </c>
      <c r="B25" t="s">
        <v>37</v>
      </c>
      <c r="C25" t="s">
        <v>5</v>
      </c>
      <c r="D25" s="2">
        <v>511023</v>
      </c>
    </row>
    <row r="26" spans="1:4" x14ac:dyDescent="0.35">
      <c r="A26">
        <v>2016</v>
      </c>
      <c r="B26" t="s">
        <v>38</v>
      </c>
      <c r="C26" t="s">
        <v>3</v>
      </c>
      <c r="D26" s="2">
        <f>100000+3050</f>
        <v>103050</v>
      </c>
    </row>
    <row r="27" spans="1:4" x14ac:dyDescent="0.35">
      <c r="A27">
        <v>2016</v>
      </c>
      <c r="B27" t="s">
        <v>35</v>
      </c>
      <c r="C27" t="s">
        <v>4</v>
      </c>
      <c r="D27" s="2">
        <f>4644+56008+24397</f>
        <v>85049</v>
      </c>
    </row>
    <row r="28" spans="1:4" x14ac:dyDescent="0.35">
      <c r="A28">
        <v>2016</v>
      </c>
      <c r="B28" t="s">
        <v>36</v>
      </c>
      <c r="C28" t="s">
        <v>4</v>
      </c>
      <c r="D28" s="2">
        <v>30017</v>
      </c>
    </row>
    <row r="29" spans="1:4" x14ac:dyDescent="0.35">
      <c r="A29">
        <v>2016</v>
      </c>
      <c r="B29" t="s">
        <v>37</v>
      </c>
      <c r="C29" t="s">
        <v>5</v>
      </c>
      <c r="D29" s="2">
        <v>531562</v>
      </c>
    </row>
    <row r="30" spans="1:4" x14ac:dyDescent="0.35">
      <c r="A30">
        <v>2017</v>
      </c>
      <c r="B30" t="s">
        <v>38</v>
      </c>
      <c r="C30" t="s">
        <v>3</v>
      </c>
      <c r="D30" s="2">
        <v>126800</v>
      </c>
    </row>
    <row r="31" spans="1:4" x14ac:dyDescent="0.35">
      <c r="A31">
        <v>2017</v>
      </c>
      <c r="B31" t="s">
        <v>35</v>
      </c>
      <c r="C31" t="s">
        <v>4</v>
      </c>
      <c r="D31" s="2">
        <v>478628</v>
      </c>
    </row>
    <row r="32" spans="1:4" x14ac:dyDescent="0.35">
      <c r="A32">
        <v>2017</v>
      </c>
      <c r="B32" t="s">
        <v>36</v>
      </c>
      <c r="C32" t="s">
        <v>4</v>
      </c>
      <c r="D32" s="2">
        <v>73750</v>
      </c>
    </row>
    <row r="33" spans="1:4" x14ac:dyDescent="0.35">
      <c r="A33">
        <v>2017</v>
      </c>
      <c r="B33" t="s">
        <v>37</v>
      </c>
      <c r="C33" t="s">
        <v>5</v>
      </c>
      <c r="D33" s="2">
        <v>582313</v>
      </c>
    </row>
    <row r="34" spans="1:4" x14ac:dyDescent="0.35">
      <c r="A34">
        <v>2018</v>
      </c>
      <c r="B34" t="s">
        <v>38</v>
      </c>
      <c r="C34" t="s">
        <v>3</v>
      </c>
      <c r="D34" s="2">
        <v>343052</v>
      </c>
    </row>
    <row r="35" spans="1:4" x14ac:dyDescent="0.35">
      <c r="A35">
        <v>2018</v>
      </c>
      <c r="B35" t="s">
        <v>35</v>
      </c>
      <c r="C35" t="s">
        <v>4</v>
      </c>
      <c r="D35" s="2">
        <v>624682</v>
      </c>
    </row>
    <row r="36" spans="1:4" x14ac:dyDescent="0.35">
      <c r="A36">
        <v>2018</v>
      </c>
      <c r="B36" t="s">
        <v>36</v>
      </c>
      <c r="C36" t="s">
        <v>4</v>
      </c>
      <c r="D36" s="2">
        <v>73750</v>
      </c>
    </row>
    <row r="37" spans="1:4" x14ac:dyDescent="0.35">
      <c r="A37">
        <v>2018</v>
      </c>
      <c r="B37" t="s">
        <v>37</v>
      </c>
      <c r="C37" t="s">
        <v>5</v>
      </c>
      <c r="D37" s="2">
        <v>700448</v>
      </c>
    </row>
    <row r="38" spans="1:4" x14ac:dyDescent="0.35">
      <c r="A38">
        <v>2019</v>
      </c>
      <c r="B38" t="s">
        <v>38</v>
      </c>
      <c r="C38" t="s">
        <v>3</v>
      </c>
      <c r="D38" s="2">
        <v>362557</v>
      </c>
    </row>
    <row r="39" spans="1:4" x14ac:dyDescent="0.35">
      <c r="A39">
        <v>2019</v>
      </c>
      <c r="B39" t="s">
        <v>39</v>
      </c>
      <c r="C39" t="s">
        <v>3</v>
      </c>
      <c r="D39" s="2">
        <v>5647</v>
      </c>
    </row>
    <row r="40" spans="1:4" x14ac:dyDescent="0.35">
      <c r="A40">
        <v>2019</v>
      </c>
      <c r="B40" t="s">
        <v>40</v>
      </c>
      <c r="C40" t="s">
        <v>3</v>
      </c>
      <c r="D40" s="2">
        <v>105300</v>
      </c>
    </row>
    <row r="41" spans="1:4" x14ac:dyDescent="0.35">
      <c r="A41">
        <v>2019</v>
      </c>
      <c r="B41" t="s">
        <v>35</v>
      </c>
      <c r="C41" t="s">
        <v>4</v>
      </c>
      <c r="D41" s="2">
        <v>979460</v>
      </c>
    </row>
    <row r="42" spans="1:4" x14ac:dyDescent="0.35">
      <c r="A42">
        <v>2019</v>
      </c>
      <c r="B42" t="s">
        <v>36</v>
      </c>
      <c r="C42" t="s">
        <v>4</v>
      </c>
      <c r="D42" s="2">
        <v>73750</v>
      </c>
    </row>
    <row r="43" spans="1:4" x14ac:dyDescent="0.35">
      <c r="A43">
        <v>2019</v>
      </c>
      <c r="B43" t="s">
        <v>37</v>
      </c>
      <c r="C43" t="s">
        <v>5</v>
      </c>
      <c r="D43" s="2">
        <v>785913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By User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drosenberg</dc:creator>
  <cp:lastModifiedBy>david</cp:lastModifiedBy>
  <dcterms:created xsi:type="dcterms:W3CDTF">2019-03-14T05:28:40Z</dcterms:created>
  <dcterms:modified xsi:type="dcterms:W3CDTF">2020-06-19T23:48:20Z</dcterms:modified>
</cp:coreProperties>
</file>