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ntleyedu-my.sharepoint.com/personal/minhanhnguyen_falcon_bentley_edu/Documents/USA/Bentley External Projects/"/>
    </mc:Choice>
  </mc:AlternateContent>
  <xr:revisionPtr revIDLastSave="0" documentId="8_{AC8EAE2B-2465-43B4-8DFC-0FFBB15213A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shboard" sheetId="1" r:id="rId1"/>
    <sheet name="Charts" sheetId="14" r:id="rId2"/>
    <sheet name="GDP" sheetId="9" r:id="rId3"/>
    <sheet name="Tariff" sheetId="11" r:id="rId4"/>
    <sheet name="Gov Debt" sheetId="8" r:id="rId5"/>
    <sheet name="Gov outlays" sheetId="12" r:id="rId6"/>
    <sheet name="Social Security" sheetId="13" r:id="rId7"/>
    <sheet name="Net Interest" sheetId="10" r:id="rId8"/>
    <sheet name="Actual Revenue Progression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0" i="1" l="1"/>
  <c r="AJ22" i="1"/>
  <c r="Z22" i="1"/>
  <c r="AF21" i="9" a="1"/>
  <c r="AF21" i="9" s="1"/>
  <c r="AF20" i="9" a="1"/>
  <c r="AF20" i="9" s="1"/>
  <c r="AF19" i="9" a="1"/>
  <c r="AF19" i="9" s="1"/>
  <c r="AF18" i="9" a="1"/>
  <c r="AF18" i="9" s="1"/>
  <c r="AF17" i="9" a="1"/>
  <c r="AF17" i="9" s="1"/>
  <c r="AF16" i="9" a="1"/>
  <c r="AF16" i="9" s="1"/>
  <c r="AJ61" i="1"/>
  <c r="AK46" i="1"/>
  <c r="AK45" i="1"/>
  <c r="AK32" i="1"/>
  <c r="AK31" i="1"/>
  <c r="AJ42" i="1"/>
  <c r="AJ39" i="1"/>
  <c r="AK18" i="1"/>
  <c r="AK17" i="1"/>
  <c r="AK16" i="1"/>
  <c r="AK15" i="1"/>
  <c r="AJ24" i="1"/>
  <c r="AJ23" i="1"/>
  <c r="AJ21" i="1"/>
  <c r="AJ19" i="1"/>
  <c r="AJ14" i="1"/>
  <c r="AJ10" i="1"/>
  <c r="AJ7" i="1"/>
  <c r="C72" i="12"/>
  <c r="C71" i="12"/>
  <c r="C70" i="12"/>
  <c r="AE21" i="9" a="1"/>
  <c r="AE21" i="9" s="1"/>
  <c r="AD21" i="9" a="1"/>
  <c r="AD21" i="9" s="1"/>
  <c r="AC21" i="9" a="1"/>
  <c r="AC21" i="9"/>
  <c r="AB21" i="9" a="1"/>
  <c r="AB21" i="9"/>
  <c r="AA21" i="9" a="1"/>
  <c r="AA21" i="9"/>
  <c r="Z21" i="9" a="1"/>
  <c r="Z21" i="9"/>
  <c r="Y21" i="9" a="1"/>
  <c r="Y21" i="9"/>
  <c r="X21" i="9" a="1"/>
  <c r="X21" i="9"/>
  <c r="W21" i="9" a="1"/>
  <c r="W21" i="9"/>
  <c r="V21" i="9" a="1"/>
  <c r="V21" i="9" s="1"/>
  <c r="U21" i="9" a="1"/>
  <c r="U21" i="9" s="1"/>
  <c r="T21" i="9" a="1"/>
  <c r="T21" i="9"/>
  <c r="S21" i="9" a="1"/>
  <c r="S21" i="9"/>
  <c r="R21" i="9" a="1"/>
  <c r="R21" i="9"/>
  <c r="Q21" i="9" a="1"/>
  <c r="Q21" i="9"/>
  <c r="P21" i="9" a="1"/>
  <c r="P21" i="9"/>
  <c r="O21" i="9" a="1"/>
  <c r="O21" i="9"/>
  <c r="N21" i="9" a="1"/>
  <c r="N21" i="9"/>
  <c r="M21" i="9" a="1"/>
  <c r="M21" i="9" s="1"/>
  <c r="L21" i="9" a="1"/>
  <c r="L21" i="9" s="1"/>
  <c r="K21" i="9" a="1"/>
  <c r="K21" i="9"/>
  <c r="J21" i="9" a="1"/>
  <c r="J21" i="9"/>
  <c r="I21" i="9" a="1"/>
  <c r="I21" i="9"/>
  <c r="H21" i="9" a="1"/>
  <c r="H21" i="9"/>
  <c r="G21" i="9" a="1"/>
  <c r="G21" i="9"/>
  <c r="F21" i="9" a="1"/>
  <c r="F21" i="9"/>
  <c r="E21" i="9" a="1"/>
  <c r="E21" i="9"/>
  <c r="D21" i="9" a="1"/>
  <c r="D21" i="9" s="1"/>
  <c r="C21" i="9" a="1"/>
  <c r="C21" i="9" s="1"/>
  <c r="B21" i="9" a="1"/>
  <c r="B21" i="9"/>
  <c r="AE20" i="9" a="1"/>
  <c r="AE20" i="9" s="1"/>
  <c r="AD20" i="9" a="1"/>
  <c r="AD20" i="9" s="1"/>
  <c r="AC20" i="9" a="1"/>
  <c r="AC20" i="9" s="1"/>
  <c r="AB20" i="9" a="1"/>
  <c r="AB20" i="9" s="1"/>
  <c r="AA20" i="9" a="1"/>
  <c r="AA20" i="9" s="1"/>
  <c r="Z20" i="9" a="1"/>
  <c r="Z20" i="9"/>
  <c r="Y20" i="9" a="1"/>
  <c r="Y20" i="9"/>
  <c r="X20" i="9" a="1"/>
  <c r="X20" i="9"/>
  <c r="W20" i="9" a="1"/>
  <c r="W20" i="9"/>
  <c r="V20" i="9" a="1"/>
  <c r="V20" i="9" s="1"/>
  <c r="U20" i="9" a="1"/>
  <c r="U20" i="9" s="1"/>
  <c r="T20" i="9" a="1"/>
  <c r="T20" i="9"/>
  <c r="S20" i="9" a="1"/>
  <c r="S20" i="9" s="1"/>
  <c r="R20" i="9" a="1"/>
  <c r="R20" i="9" s="1"/>
  <c r="Q20" i="9" a="1"/>
  <c r="Q20" i="9" s="1"/>
  <c r="P20" i="9" a="1"/>
  <c r="P20" i="9" s="1"/>
  <c r="O20" i="9" a="1"/>
  <c r="O20" i="9"/>
  <c r="N20" i="9" a="1"/>
  <c r="N20" i="9"/>
  <c r="M20" i="9" a="1"/>
  <c r="M20" i="9" s="1"/>
  <c r="L20" i="9" a="1"/>
  <c r="L20" i="9" s="1"/>
  <c r="K20" i="9" a="1"/>
  <c r="K20" i="9"/>
  <c r="J20" i="9" a="1"/>
  <c r="J20" i="9" s="1"/>
  <c r="I20" i="9" a="1"/>
  <c r="I20" i="9"/>
  <c r="H20" i="9" a="1"/>
  <c r="H20" i="9" s="1"/>
  <c r="G20" i="9" a="1"/>
  <c r="G20" i="9" s="1"/>
  <c r="F20" i="9" a="1"/>
  <c r="F20" i="9" s="1"/>
  <c r="E20" i="9" a="1"/>
  <c r="E20" i="9"/>
  <c r="D20" i="9" a="1"/>
  <c r="D20" i="9" s="1"/>
  <c r="C20" i="9" a="1"/>
  <c r="C20" i="9" s="1"/>
  <c r="B20" i="9" a="1"/>
  <c r="B20" i="9"/>
  <c r="F50" i="1"/>
  <c r="G50" i="1"/>
  <c r="H50" i="1" s="1"/>
  <c r="F22" i="1"/>
  <c r="G22" i="1"/>
  <c r="H22" i="1"/>
  <c r="I22" i="1"/>
  <c r="J22" i="1"/>
  <c r="K22" i="1"/>
  <c r="L22" i="1"/>
  <c r="M22" i="1"/>
  <c r="N22" i="1"/>
  <c r="O22" i="1"/>
  <c r="P22" i="1"/>
  <c r="J85" i="1"/>
  <c r="F19" i="1"/>
  <c r="F86" i="1"/>
  <c r="G88" i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X93" i="1" s="1"/>
  <c r="E128" i="1"/>
  <c r="F128" i="1"/>
  <c r="G128" i="1"/>
  <c r="H128" i="1"/>
  <c r="I128" i="1"/>
  <c r="J128" i="1"/>
  <c r="K128" i="1"/>
  <c r="L128" i="1"/>
  <c r="M128" i="1"/>
  <c r="N128" i="1"/>
  <c r="D128" i="1"/>
  <c r="E123" i="1"/>
  <c r="F123" i="1"/>
  <c r="G123" i="1"/>
  <c r="H123" i="1"/>
  <c r="I123" i="1"/>
  <c r="J123" i="1"/>
  <c r="K123" i="1"/>
  <c r="L123" i="1"/>
  <c r="M123" i="1"/>
  <c r="N123" i="1"/>
  <c r="D123" i="1"/>
  <c r="O122" i="1"/>
  <c r="P122" i="1" s="1"/>
  <c r="O121" i="1"/>
  <c r="O123" i="1" s="1"/>
  <c r="E118" i="1"/>
  <c r="F118" i="1"/>
  <c r="G118" i="1"/>
  <c r="H118" i="1"/>
  <c r="I118" i="1"/>
  <c r="J118" i="1"/>
  <c r="K118" i="1"/>
  <c r="L118" i="1"/>
  <c r="M118" i="1"/>
  <c r="N118" i="1"/>
  <c r="D118" i="1"/>
  <c r="O117" i="1"/>
  <c r="O116" i="1"/>
  <c r="F90" i="1"/>
  <c r="G90" i="1" s="1"/>
  <c r="H90" i="1" s="1"/>
  <c r="I90" i="1" s="1"/>
  <c r="O20" i="1"/>
  <c r="F44" i="1"/>
  <c r="G44" i="1"/>
  <c r="H44" i="1"/>
  <c r="I44" i="1"/>
  <c r="J44" i="1"/>
  <c r="K44" i="1"/>
  <c r="L44" i="1"/>
  <c r="M44" i="1"/>
  <c r="N44" i="1"/>
  <c r="P44" i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O47" i="1"/>
  <c r="K11" i="1"/>
  <c r="G13" i="1"/>
  <c r="G12" i="1"/>
  <c r="O78" i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G79" i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F79" i="1"/>
  <c r="P97" i="1"/>
  <c r="G109" i="1" s="1"/>
  <c r="E107" i="1"/>
  <c r="J106" i="1"/>
  <c r="I106" i="1"/>
  <c r="H106" i="1"/>
  <c r="E106" i="1"/>
  <c r="F106" i="1"/>
  <c r="G106" i="1"/>
  <c r="O25" i="1"/>
  <c r="O34" i="1"/>
  <c r="N37" i="1"/>
  <c r="M37" i="1"/>
  <c r="L37" i="1"/>
  <c r="K37" i="1"/>
  <c r="J37" i="1"/>
  <c r="I37" i="1"/>
  <c r="H37" i="1"/>
  <c r="G37" i="1"/>
  <c r="F37" i="1"/>
  <c r="G87" i="1"/>
  <c r="H87" i="1" s="1"/>
  <c r="P83" i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P81" i="1"/>
  <c r="Q81" i="1" s="1"/>
  <c r="O82" i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N82" i="1"/>
  <c r="M82" i="1"/>
  <c r="L82" i="1"/>
  <c r="K82" i="1"/>
  <c r="J82" i="1"/>
  <c r="I82" i="1"/>
  <c r="H82" i="1"/>
  <c r="AK76" i="1"/>
  <c r="AK77" i="1"/>
  <c r="P74" i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Z33" i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Z30" i="1"/>
  <c r="AA30" i="1" s="1"/>
  <c r="Z24" i="1"/>
  <c r="Z23" i="1"/>
  <c r="Z21" i="1"/>
  <c r="Z14" i="1"/>
  <c r="Z10" i="1"/>
  <c r="Z7" i="1"/>
  <c r="Z4" i="1"/>
  <c r="AA4" i="1" s="1"/>
  <c r="AB4" i="1" s="1"/>
  <c r="AC4" i="1" s="1"/>
  <c r="AD4" i="1" s="1"/>
  <c r="AE4" i="1" s="1"/>
  <c r="AF4" i="1" s="1"/>
  <c r="AG4" i="1" s="1"/>
  <c r="AH4" i="1" s="1"/>
  <c r="AI4" i="1" s="1"/>
  <c r="O36" i="1"/>
  <c r="B42" i="1"/>
  <c r="C42" i="1"/>
  <c r="D42" i="1"/>
  <c r="E42" i="1"/>
  <c r="Z42" i="1"/>
  <c r="B29" i="1"/>
  <c r="C29" i="1"/>
  <c r="D29" i="1"/>
  <c r="AE19" i="9" a="1"/>
  <c r="AE19" i="9" s="1"/>
  <c r="AD19" i="9" a="1"/>
  <c r="AD19" i="9" s="1"/>
  <c r="AC19" i="9" a="1"/>
  <c r="AC19" i="9" s="1"/>
  <c r="AB19" i="9" a="1"/>
  <c r="AB19" i="9" s="1"/>
  <c r="AA19" i="9" a="1"/>
  <c r="AA19" i="9" s="1"/>
  <c r="Z19" i="9" a="1"/>
  <c r="Z19" i="9" s="1"/>
  <c r="Y19" i="9" a="1"/>
  <c r="Y19" i="9" s="1"/>
  <c r="X19" i="9" a="1"/>
  <c r="X19" i="9" s="1"/>
  <c r="W19" i="9" a="1"/>
  <c r="W19" i="9" s="1"/>
  <c r="V19" i="9" a="1"/>
  <c r="V19" i="9"/>
  <c r="U19" i="9" a="1"/>
  <c r="U19" i="9" s="1"/>
  <c r="T19" i="9" a="1"/>
  <c r="T19" i="9" s="1"/>
  <c r="S19" i="9" a="1"/>
  <c r="S19" i="9" s="1"/>
  <c r="R19" i="9" a="1"/>
  <c r="R19" i="9"/>
  <c r="Q19" i="9" a="1"/>
  <c r="Q19" i="9" s="1"/>
  <c r="P19" i="9" a="1"/>
  <c r="P19" i="9" s="1"/>
  <c r="O19" i="9" a="1"/>
  <c r="O19" i="9" s="1"/>
  <c r="N19" i="9" a="1"/>
  <c r="N19" i="9"/>
  <c r="M19" i="9" a="1"/>
  <c r="M19" i="9" s="1"/>
  <c r="L19" i="9" a="1"/>
  <c r="L19" i="9" s="1"/>
  <c r="K19" i="9" a="1"/>
  <c r="K19" i="9" s="1"/>
  <c r="J19" i="9" a="1"/>
  <c r="J19" i="9"/>
  <c r="I19" i="9" a="1"/>
  <c r="I19" i="9" s="1"/>
  <c r="H19" i="9" a="1"/>
  <c r="H19" i="9" s="1"/>
  <c r="G19" i="9" a="1"/>
  <c r="G19" i="9" s="1"/>
  <c r="F19" i="9" a="1"/>
  <c r="F19" i="9"/>
  <c r="E19" i="9" a="1"/>
  <c r="E19" i="9" s="1"/>
  <c r="D19" i="9" a="1"/>
  <c r="D19" i="9" s="1"/>
  <c r="C19" i="9" a="1"/>
  <c r="C19" i="9" s="1"/>
  <c r="B19" i="9" a="1"/>
  <c r="B19" i="9" s="1"/>
  <c r="AE18" i="9" a="1"/>
  <c r="AE18" i="9" s="1"/>
  <c r="AD18" i="9" a="1"/>
  <c r="AD18" i="9" s="1"/>
  <c r="AC18" i="9" a="1"/>
  <c r="AC18" i="9"/>
  <c r="AB18" i="9" a="1"/>
  <c r="AB18" i="9" s="1"/>
  <c r="AA18" i="9" a="1"/>
  <c r="AA18" i="9" s="1"/>
  <c r="Z18" i="9" a="1"/>
  <c r="Z18" i="9" s="1"/>
  <c r="Y18" i="9" a="1"/>
  <c r="Y18" i="9" s="1"/>
  <c r="X18" i="9" a="1"/>
  <c r="X18" i="9" s="1"/>
  <c r="W18" i="9" a="1"/>
  <c r="W18" i="9" s="1"/>
  <c r="V18" i="9" a="1"/>
  <c r="V18" i="9" s="1"/>
  <c r="U18" i="9" a="1"/>
  <c r="U18" i="9"/>
  <c r="T18" i="9" a="1"/>
  <c r="T18" i="9" s="1"/>
  <c r="S18" i="9" a="1"/>
  <c r="S18" i="9" s="1"/>
  <c r="R18" i="9" a="1"/>
  <c r="R18" i="9" s="1"/>
  <c r="Q18" i="9" a="1"/>
  <c r="Q18" i="9" s="1"/>
  <c r="P18" i="9" a="1"/>
  <c r="P18" i="9" s="1"/>
  <c r="O18" i="9" a="1"/>
  <c r="O18" i="9" s="1"/>
  <c r="N18" i="9" a="1"/>
  <c r="N18" i="9" s="1"/>
  <c r="M18" i="9" a="1"/>
  <c r="M18" i="9" s="1"/>
  <c r="L18" i="9" a="1"/>
  <c r="L18" i="9" s="1"/>
  <c r="K18" i="9" a="1"/>
  <c r="K18" i="9" s="1"/>
  <c r="J18" i="9" a="1"/>
  <c r="J18" i="9" s="1"/>
  <c r="I18" i="9" a="1"/>
  <c r="I18" i="9"/>
  <c r="H18" i="9" a="1"/>
  <c r="H18" i="9" s="1"/>
  <c r="G18" i="9" a="1"/>
  <c r="G18" i="9" s="1"/>
  <c r="F18" i="9" a="1"/>
  <c r="F18" i="9" s="1"/>
  <c r="E18" i="9" a="1"/>
  <c r="E18" i="9"/>
  <c r="D18" i="9" a="1"/>
  <c r="D18" i="9" s="1"/>
  <c r="C18" i="9" a="1"/>
  <c r="C18" i="9" s="1"/>
  <c r="B18" i="9" a="1"/>
  <c r="B18" i="9" s="1"/>
  <c r="AE17" i="9" a="1"/>
  <c r="AE17" i="9" s="1"/>
  <c r="AD17" i="9" a="1"/>
  <c r="AD17" i="9" s="1"/>
  <c r="AC17" i="9" a="1"/>
  <c r="AC17" i="9" s="1"/>
  <c r="AB17" i="9" a="1"/>
  <c r="AB17" i="9" s="1"/>
  <c r="AA17" i="9" a="1"/>
  <c r="AA17" i="9" s="1"/>
  <c r="Z17" i="9" a="1"/>
  <c r="Z17" i="9"/>
  <c r="Y17" i="9" a="1"/>
  <c r="Y17" i="9" s="1"/>
  <c r="X17" i="9" a="1"/>
  <c r="X17" i="9" s="1"/>
  <c r="W17" i="9" a="1"/>
  <c r="W17" i="9" s="1"/>
  <c r="V17" i="9" a="1"/>
  <c r="V17" i="9"/>
  <c r="U17" i="9" a="1"/>
  <c r="U17" i="9" s="1"/>
  <c r="T17" i="9" a="1"/>
  <c r="T17" i="9" s="1"/>
  <c r="S17" i="9" a="1"/>
  <c r="S17" i="9" s="1"/>
  <c r="R17" i="9" a="1"/>
  <c r="R17" i="9"/>
  <c r="Q17" i="9" a="1"/>
  <c r="Q17" i="9" s="1"/>
  <c r="P17" i="9" a="1"/>
  <c r="P17" i="9" s="1"/>
  <c r="O17" i="9" a="1"/>
  <c r="O17" i="9" s="1"/>
  <c r="N17" i="9" a="1"/>
  <c r="N17" i="9" s="1"/>
  <c r="M17" i="9" a="1"/>
  <c r="M17" i="9" s="1"/>
  <c r="L17" i="9" a="1"/>
  <c r="L17" i="9" s="1"/>
  <c r="K17" i="9" a="1"/>
  <c r="K17" i="9" s="1"/>
  <c r="J17" i="9" a="1"/>
  <c r="J17" i="9"/>
  <c r="I17" i="9" a="1"/>
  <c r="I17" i="9" s="1"/>
  <c r="H17" i="9" a="1"/>
  <c r="H17" i="9" s="1"/>
  <c r="G17" i="9" a="1"/>
  <c r="G17" i="9" s="1"/>
  <c r="F17" i="9" a="1"/>
  <c r="F17" i="9"/>
  <c r="E17" i="9" a="1"/>
  <c r="E17" i="9" s="1"/>
  <c r="D17" i="9" a="1"/>
  <c r="D17" i="9" s="1"/>
  <c r="C17" i="9" a="1"/>
  <c r="C17" i="9" s="1"/>
  <c r="B17" i="9" a="1"/>
  <c r="B17" i="9" s="1"/>
  <c r="AE16" i="9" a="1"/>
  <c r="AE16" i="9" s="1"/>
  <c r="AD16" i="9" a="1"/>
  <c r="AD16" i="9" s="1"/>
  <c r="AC16" i="9" a="1"/>
  <c r="AC16" i="9" s="1"/>
  <c r="AB16" i="9" a="1"/>
  <c r="AB16" i="9" s="1"/>
  <c r="AA16" i="9" a="1"/>
  <c r="AA16" i="9" s="1"/>
  <c r="Z16" i="9" a="1"/>
  <c r="Z16" i="9" s="1"/>
  <c r="Y16" i="9" a="1"/>
  <c r="Y16" i="9"/>
  <c r="X16" i="9" a="1"/>
  <c r="X16" i="9" s="1"/>
  <c r="W16" i="9" a="1"/>
  <c r="W16" i="9" s="1"/>
  <c r="V16" i="9" a="1"/>
  <c r="V16" i="9" s="1"/>
  <c r="U16" i="9" a="1"/>
  <c r="U16" i="9" s="1"/>
  <c r="T16" i="9" a="1"/>
  <c r="T16" i="9" s="1"/>
  <c r="S16" i="9" a="1"/>
  <c r="S16" i="9" s="1"/>
  <c r="R16" i="9" a="1"/>
  <c r="R16" i="9" s="1"/>
  <c r="Q16" i="9" a="1"/>
  <c r="Q16" i="9" s="1"/>
  <c r="P16" i="9" a="1"/>
  <c r="P16" i="9" s="1"/>
  <c r="O16" i="9" a="1"/>
  <c r="O16" i="9" s="1"/>
  <c r="N16" i="9" a="1"/>
  <c r="N16" i="9" s="1"/>
  <c r="M16" i="9" a="1"/>
  <c r="M16" i="9" s="1"/>
  <c r="L16" i="9" a="1"/>
  <c r="L16" i="9" s="1"/>
  <c r="K16" i="9" a="1"/>
  <c r="K16" i="9" s="1"/>
  <c r="J16" i="9" a="1"/>
  <c r="J16" i="9" s="1"/>
  <c r="I16" i="9" a="1"/>
  <c r="I16" i="9" s="1"/>
  <c r="H16" i="9" a="1"/>
  <c r="H16" i="9" s="1"/>
  <c r="G16" i="9" a="1"/>
  <c r="G16" i="9" s="1"/>
  <c r="F16" i="9" a="1"/>
  <c r="F16" i="9" s="1"/>
  <c r="E16" i="9" a="1"/>
  <c r="E16" i="9" s="1"/>
  <c r="D16" i="9" a="1"/>
  <c r="D16" i="9" s="1"/>
  <c r="C16" i="9" a="1"/>
  <c r="C16" i="9" s="1"/>
  <c r="B16" i="9" a="1"/>
  <c r="B16" i="9" s="1"/>
  <c r="F40" i="12"/>
  <c r="C39" i="12"/>
  <c r="D39" i="12"/>
  <c r="E39" i="12"/>
  <c r="F39" i="12"/>
  <c r="G39" i="12"/>
  <c r="H39" i="12"/>
  <c r="I39" i="12"/>
  <c r="J39" i="12"/>
  <c r="K39" i="12"/>
  <c r="L39" i="12"/>
  <c r="M39" i="12"/>
  <c r="B36" i="12"/>
  <c r="C36" i="12"/>
  <c r="D36" i="12"/>
  <c r="E36" i="12"/>
  <c r="F36" i="12"/>
  <c r="G36" i="12"/>
  <c r="H36" i="12"/>
  <c r="I36" i="12"/>
  <c r="J36" i="12"/>
  <c r="K36" i="12"/>
  <c r="L36" i="12"/>
  <c r="C37" i="12"/>
  <c r="D37" i="12"/>
  <c r="E37" i="12"/>
  <c r="F37" i="12"/>
  <c r="G37" i="12"/>
  <c r="H37" i="12"/>
  <c r="I37" i="12"/>
  <c r="J37" i="12"/>
  <c r="K37" i="12"/>
  <c r="L37" i="12"/>
  <c r="M37" i="12"/>
  <c r="B37" i="12"/>
  <c r="C38" i="12"/>
  <c r="D38" i="12"/>
  <c r="E38" i="12"/>
  <c r="F38" i="12"/>
  <c r="G38" i="12"/>
  <c r="H38" i="12"/>
  <c r="I38" i="12"/>
  <c r="J38" i="12"/>
  <c r="K38" i="12"/>
  <c r="L38" i="12"/>
  <c r="M38" i="12"/>
  <c r="M36" i="12"/>
  <c r="O8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E61" i="1"/>
  <c r="F61" i="1"/>
  <c r="G61" i="1"/>
  <c r="H61" i="1"/>
  <c r="I61" i="1"/>
  <c r="J61" i="1"/>
  <c r="K61" i="1"/>
  <c r="L61" i="1"/>
  <c r="M61" i="1"/>
  <c r="N61" i="1"/>
  <c r="O61" i="1"/>
  <c r="P61" i="1"/>
  <c r="N60" i="8"/>
  <c r="O60" i="8"/>
  <c r="P60" i="8"/>
  <c r="Q60" i="8"/>
  <c r="R60" i="8"/>
  <c r="S60" i="8"/>
  <c r="T60" i="8"/>
  <c r="U60" i="8"/>
  <c r="V60" i="8"/>
  <c r="A65" i="8"/>
  <c r="C63" i="8"/>
  <c r="D63" i="8"/>
  <c r="E63" i="8"/>
  <c r="F63" i="8"/>
  <c r="G63" i="8"/>
  <c r="H63" i="8"/>
  <c r="I63" i="8"/>
  <c r="J63" i="8"/>
  <c r="K63" i="8"/>
  <c r="L63" i="8"/>
  <c r="M63" i="8"/>
  <c r="C61" i="8"/>
  <c r="D61" i="8"/>
  <c r="E61" i="8"/>
  <c r="F61" i="8"/>
  <c r="G61" i="8"/>
  <c r="H61" i="8"/>
  <c r="I61" i="8"/>
  <c r="J61" i="8"/>
  <c r="K61" i="8"/>
  <c r="L61" i="8"/>
  <c r="M61" i="8"/>
  <c r="F59" i="8"/>
  <c r="G59" i="8"/>
  <c r="I59" i="8"/>
  <c r="E62" i="8"/>
  <c r="F62" i="8"/>
  <c r="G62" i="8"/>
  <c r="H62" i="8"/>
  <c r="I62" i="8"/>
  <c r="B60" i="8"/>
  <c r="C60" i="8"/>
  <c r="D60" i="8"/>
  <c r="E60" i="8"/>
  <c r="F60" i="8"/>
  <c r="G60" i="8"/>
  <c r="H60" i="8"/>
  <c r="I60" i="8"/>
  <c r="J60" i="8"/>
  <c r="K60" i="8"/>
  <c r="L60" i="8"/>
  <c r="M60" i="8"/>
  <c r="B58" i="8"/>
  <c r="C58" i="8"/>
  <c r="C59" i="8" s="1"/>
  <c r="D58" i="8"/>
  <c r="D59" i="8" s="1"/>
  <c r="E58" i="8"/>
  <c r="E59" i="8" s="1"/>
  <c r="F58" i="8"/>
  <c r="G58" i="8"/>
  <c r="H58" i="8"/>
  <c r="H59" i="8" s="1"/>
  <c r="I58" i="8"/>
  <c r="J59" i="8" s="1"/>
  <c r="J58" i="8"/>
  <c r="K58" i="8"/>
  <c r="K59" i="8" s="1"/>
  <c r="L58" i="8"/>
  <c r="L59" i="8" s="1"/>
  <c r="M58" i="8"/>
  <c r="G60" i="1"/>
  <c r="C30" i="8"/>
  <c r="D30" i="8"/>
  <c r="E30" i="8"/>
  <c r="F30" i="8"/>
  <c r="G30" i="8"/>
  <c r="H30" i="8"/>
  <c r="I30" i="8"/>
  <c r="J30" i="8"/>
  <c r="K30" i="8"/>
  <c r="L30" i="8"/>
  <c r="M30" i="8"/>
  <c r="E60" i="1"/>
  <c r="F60" i="1"/>
  <c r="H60" i="1"/>
  <c r="I60" i="1"/>
  <c r="J60" i="1"/>
  <c r="K60" i="1"/>
  <c r="L60" i="1"/>
  <c r="M60" i="1"/>
  <c r="N60" i="1"/>
  <c r="O60" i="1"/>
  <c r="P60" i="1"/>
  <c r="B51" i="8"/>
  <c r="C51" i="8"/>
  <c r="D51" i="8"/>
  <c r="D62" i="8" s="1"/>
  <c r="E51" i="8"/>
  <c r="F51" i="8"/>
  <c r="G51" i="8"/>
  <c r="H51" i="8"/>
  <c r="I51" i="8"/>
  <c r="J51" i="8"/>
  <c r="J62" i="8" s="1"/>
  <c r="K51" i="8"/>
  <c r="L51" i="8"/>
  <c r="L62" i="8" s="1"/>
  <c r="M51" i="8"/>
  <c r="M62" i="8" s="1"/>
  <c r="C45" i="8"/>
  <c r="D45" i="8"/>
  <c r="E45" i="8"/>
  <c r="F45" i="8"/>
  <c r="G45" i="8"/>
  <c r="H45" i="8"/>
  <c r="I45" i="8"/>
  <c r="J45" i="8"/>
  <c r="K45" i="8"/>
  <c r="L45" i="8"/>
  <c r="M45" i="8"/>
  <c r="C39" i="8"/>
  <c r="D39" i="8"/>
  <c r="E39" i="8"/>
  <c r="F39" i="8"/>
  <c r="G39" i="8"/>
  <c r="H39" i="8"/>
  <c r="I39" i="8"/>
  <c r="J39" i="8"/>
  <c r="K39" i="8"/>
  <c r="L39" i="8"/>
  <c r="M39" i="8"/>
  <c r="G2" i="8"/>
  <c r="D58" i="1" s="1"/>
  <c r="F2" i="8"/>
  <c r="C58" i="1" s="1"/>
  <c r="E2" i="8"/>
  <c r="B58" i="1" s="1"/>
  <c r="N75" i="1"/>
  <c r="M75" i="1"/>
  <c r="L75" i="1"/>
  <c r="K75" i="1"/>
  <c r="J75" i="1"/>
  <c r="I75" i="1"/>
  <c r="H75" i="1"/>
  <c r="N74" i="1"/>
  <c r="M74" i="1"/>
  <c r="L74" i="1"/>
  <c r="K74" i="1"/>
  <c r="J74" i="1"/>
  <c r="I74" i="1"/>
  <c r="H74" i="1"/>
  <c r="G74" i="1"/>
  <c r="F74" i="1"/>
  <c r="AA64" i="1"/>
  <c r="AA22" i="1" s="1"/>
  <c r="E3" i="1"/>
  <c r="D3" i="1"/>
  <c r="C3" i="1"/>
  <c r="B3" i="1"/>
  <c r="O6" i="1"/>
  <c r="O5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F9" i="1"/>
  <c r="G9" i="1"/>
  <c r="H9" i="1"/>
  <c r="I9" i="1"/>
  <c r="J9" i="1"/>
  <c r="P30" i="1"/>
  <c r="Q30" i="1" s="1"/>
  <c r="R30" i="1" s="1"/>
  <c r="O9" i="1"/>
  <c r="N9" i="1"/>
  <c r="M9" i="1"/>
  <c r="L9" i="1"/>
  <c r="K9" i="1"/>
  <c r="E58" i="1"/>
  <c r="E70" i="1" s="1"/>
  <c r="P51" i="1"/>
  <c r="Q51" i="1" s="1"/>
  <c r="R51" i="1" s="1"/>
  <c r="S51" i="1" s="1"/>
  <c r="T51" i="1" s="1"/>
  <c r="U51" i="1" s="1"/>
  <c r="V51" i="1" s="1"/>
  <c r="W51" i="1" s="1"/>
  <c r="X51" i="1" s="1"/>
  <c r="Y51" i="1" s="1"/>
  <c r="O51" i="1"/>
  <c r="N51" i="1"/>
  <c r="M51" i="1"/>
  <c r="L51" i="1"/>
  <c r="K51" i="1"/>
  <c r="J51" i="1"/>
  <c r="I51" i="1"/>
  <c r="H51" i="1"/>
  <c r="G51" i="1"/>
  <c r="F51" i="1"/>
  <c r="F52" i="1" s="1"/>
  <c r="P49" i="1"/>
  <c r="O49" i="1"/>
  <c r="N49" i="1"/>
  <c r="M49" i="1"/>
  <c r="L49" i="1"/>
  <c r="K49" i="1"/>
  <c r="J49" i="1"/>
  <c r="I49" i="1"/>
  <c r="H49" i="1"/>
  <c r="G49" i="1"/>
  <c r="F49" i="1"/>
  <c r="P43" i="1"/>
  <c r="P48" i="1" s="1"/>
  <c r="O43" i="1"/>
  <c r="O48" i="1" s="1"/>
  <c r="N43" i="1"/>
  <c r="N48" i="1" s="1"/>
  <c r="M43" i="1"/>
  <c r="M48" i="1" s="1"/>
  <c r="L43" i="1"/>
  <c r="L48" i="1" s="1"/>
  <c r="K43" i="1"/>
  <c r="K48" i="1" s="1"/>
  <c r="J43" i="1"/>
  <c r="J48" i="1" s="1"/>
  <c r="I43" i="1"/>
  <c r="I48" i="1" s="1"/>
  <c r="H43" i="1"/>
  <c r="H48" i="1" s="1"/>
  <c r="G43" i="1"/>
  <c r="G48" i="1" s="1"/>
  <c r="F43" i="1"/>
  <c r="F48" i="1" s="1"/>
  <c r="P24" i="1"/>
  <c r="O24" i="1"/>
  <c r="N24" i="1"/>
  <c r="M24" i="1"/>
  <c r="L24" i="1"/>
  <c r="K24" i="1"/>
  <c r="J24" i="1"/>
  <c r="I24" i="1"/>
  <c r="H24" i="1"/>
  <c r="G24" i="1"/>
  <c r="F24" i="1"/>
  <c r="P23" i="1"/>
  <c r="O23" i="1"/>
  <c r="N23" i="1"/>
  <c r="M23" i="1"/>
  <c r="L23" i="1"/>
  <c r="K23" i="1"/>
  <c r="J23" i="1"/>
  <c r="I23" i="1"/>
  <c r="H23" i="1"/>
  <c r="G23" i="1"/>
  <c r="F23" i="1"/>
  <c r="P21" i="1"/>
  <c r="O21" i="1"/>
  <c r="N21" i="1"/>
  <c r="M21" i="1"/>
  <c r="L21" i="1"/>
  <c r="K21" i="1"/>
  <c r="J21" i="1"/>
  <c r="I21" i="1"/>
  <c r="H21" i="1"/>
  <c r="G21" i="1"/>
  <c r="F21" i="1"/>
  <c r="P14" i="1"/>
  <c r="O14" i="1"/>
  <c r="N14" i="1"/>
  <c r="M14" i="1"/>
  <c r="L14" i="1"/>
  <c r="K14" i="1"/>
  <c r="J14" i="1"/>
  <c r="I14" i="1"/>
  <c r="H14" i="1"/>
  <c r="G14" i="1"/>
  <c r="F14" i="1"/>
  <c r="P10" i="1"/>
  <c r="O10" i="1"/>
  <c r="N10" i="1"/>
  <c r="M10" i="1"/>
  <c r="L10" i="1"/>
  <c r="K10" i="1"/>
  <c r="J10" i="1"/>
  <c r="I10" i="1"/>
  <c r="H10" i="1"/>
  <c r="G10" i="1"/>
  <c r="F10" i="1"/>
  <c r="P7" i="1"/>
  <c r="O7" i="1"/>
  <c r="N7" i="1"/>
  <c r="M7" i="1"/>
  <c r="L7" i="1"/>
  <c r="K7" i="1"/>
  <c r="J7" i="1"/>
  <c r="I7" i="1"/>
  <c r="H7" i="1"/>
  <c r="G7" i="1"/>
  <c r="F7" i="1"/>
  <c r="P4" i="1"/>
  <c r="Q4" i="1" s="1"/>
  <c r="R4" i="1" s="1"/>
  <c r="S4" i="1" s="1"/>
  <c r="T4" i="1" s="1"/>
  <c r="U4" i="1" s="1"/>
  <c r="V4" i="1" s="1"/>
  <c r="W4" i="1" s="1"/>
  <c r="X4" i="1" s="1"/>
  <c r="Y4" i="1" s="1"/>
  <c r="O4" i="1"/>
  <c r="N4" i="1"/>
  <c r="M4" i="1"/>
  <c r="L4" i="1"/>
  <c r="K4" i="1"/>
  <c r="J4" i="1"/>
  <c r="I4" i="1"/>
  <c r="H4" i="1"/>
  <c r="G4" i="1"/>
  <c r="F4" i="1"/>
  <c r="P39" i="1"/>
  <c r="O39" i="1"/>
  <c r="N39" i="1"/>
  <c r="M39" i="1"/>
  <c r="L39" i="1"/>
  <c r="K39" i="1"/>
  <c r="J39" i="1"/>
  <c r="I39" i="1"/>
  <c r="H39" i="1"/>
  <c r="G39" i="1"/>
  <c r="F39" i="1"/>
  <c r="P41" i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O41" i="1"/>
  <c r="N41" i="1"/>
  <c r="M41" i="1"/>
  <c r="L41" i="1"/>
  <c r="K41" i="1"/>
  <c r="J41" i="1"/>
  <c r="I41" i="1"/>
  <c r="H41" i="1"/>
  <c r="G41" i="1"/>
  <c r="F41" i="1"/>
  <c r="E41" i="1"/>
  <c r="E29" i="1" s="1"/>
  <c r="P33" i="1"/>
  <c r="Q33" i="1" s="1"/>
  <c r="O33" i="1"/>
  <c r="N33" i="1"/>
  <c r="M33" i="1"/>
  <c r="L33" i="1"/>
  <c r="K33" i="1"/>
  <c r="J33" i="1"/>
  <c r="I33" i="1"/>
  <c r="H33" i="1"/>
  <c r="G33" i="1"/>
  <c r="F33" i="1"/>
  <c r="O30" i="1"/>
  <c r="N30" i="1"/>
  <c r="M30" i="1"/>
  <c r="L30" i="1"/>
  <c r="K30" i="1"/>
  <c r="J30" i="1"/>
  <c r="I30" i="1"/>
  <c r="H30" i="1"/>
  <c r="G30" i="1"/>
  <c r="F30" i="1"/>
  <c r="P35" i="1"/>
  <c r="Q35" i="1" s="1"/>
  <c r="R35" i="1" s="1"/>
  <c r="S35" i="1" s="1"/>
  <c r="T35" i="1" s="1"/>
  <c r="U35" i="1" s="1"/>
  <c r="V35" i="1" s="1"/>
  <c r="W35" i="1" s="1"/>
  <c r="X35" i="1" s="1"/>
  <c r="Y35" i="1" s="1"/>
  <c r="O35" i="1"/>
  <c r="N35" i="1"/>
  <c r="M35" i="1"/>
  <c r="L35" i="1"/>
  <c r="K35" i="1"/>
  <c r="J35" i="1"/>
  <c r="I35" i="1"/>
  <c r="H35" i="1"/>
  <c r="G35" i="1"/>
  <c r="F35" i="1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AC6" i="9"/>
  <c r="AD6" i="9"/>
  <c r="B5" i="9"/>
  <c r="C5" i="9"/>
  <c r="C6" i="9" s="1"/>
  <c r="D5" i="9"/>
  <c r="E5" i="9"/>
  <c r="F5" i="9"/>
  <c r="G5" i="9"/>
  <c r="G6" i="9" s="1"/>
  <c r="H5" i="9"/>
  <c r="I5" i="9"/>
  <c r="J5" i="9"/>
  <c r="K5" i="9"/>
  <c r="K6" i="9" s="1"/>
  <c r="L5" i="9"/>
  <c r="M5" i="9"/>
  <c r="N5" i="9"/>
  <c r="O5" i="9"/>
  <c r="O6" i="9" s="1"/>
  <c r="P5" i="9"/>
  <c r="Q5" i="9"/>
  <c r="R5" i="9"/>
  <c r="S5" i="9"/>
  <c r="S6" i="9" s="1"/>
  <c r="T5" i="9"/>
  <c r="U5" i="9"/>
  <c r="V5" i="9"/>
  <c r="W5" i="9"/>
  <c r="W6" i="9" s="1"/>
  <c r="X5" i="9"/>
  <c r="Y5" i="9"/>
  <c r="Z5" i="9"/>
  <c r="AA5" i="9"/>
  <c r="AE6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J6" i="9" s="1"/>
  <c r="C52" i="1"/>
  <c r="D52" i="1"/>
  <c r="E52" i="1"/>
  <c r="F66" i="1" l="1"/>
  <c r="AK9" i="1"/>
  <c r="P8" i="1"/>
  <c r="P36" i="1"/>
  <c r="AJ4" i="1"/>
  <c r="AJ3" i="1" s="1"/>
  <c r="P25" i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/>
  <c r="H13" i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/>
  <c r="L11" i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/>
  <c r="P47" i="1"/>
  <c r="AK44" i="1"/>
  <c r="P20" i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/>
  <c r="AL15" i="1"/>
  <c r="AL16" i="1"/>
  <c r="AL17" i="1"/>
  <c r="AL18" i="1"/>
  <c r="AL31" i="1"/>
  <c r="AL32" i="1"/>
  <c r="AL45" i="1"/>
  <c r="AL46" i="1"/>
  <c r="AJ43" i="1"/>
  <c r="Q60" i="1"/>
  <c r="AB64" i="1"/>
  <c r="AB22" i="1" s="1"/>
  <c r="F67" i="1"/>
  <c r="G67" i="1"/>
  <c r="H67" i="1"/>
  <c r="O37" i="1"/>
  <c r="P34" i="1"/>
  <c r="J84" i="1"/>
  <c r="K85" i="1"/>
  <c r="I6" i="9"/>
  <c r="I50" i="1"/>
  <c r="H19" i="1"/>
  <c r="O118" i="1"/>
  <c r="O126" i="1"/>
  <c r="F109" i="1"/>
  <c r="F111" i="1" s="1"/>
  <c r="O127" i="1"/>
  <c r="O128" i="1" s="1"/>
  <c r="P117" i="1"/>
  <c r="Q122" i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H86" i="1"/>
  <c r="E109" i="1"/>
  <c r="AK89" i="1" s="1"/>
  <c r="G86" i="1"/>
  <c r="P121" i="1"/>
  <c r="P116" i="1"/>
  <c r="G19" i="1"/>
  <c r="J90" i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F68" i="1"/>
  <c r="Q47" i="1"/>
  <c r="H12" i="1"/>
  <c r="J42" i="1"/>
  <c r="AA39" i="1"/>
  <c r="F42" i="1"/>
  <c r="N42" i="1"/>
  <c r="K42" i="1"/>
  <c r="G42" i="1"/>
  <c r="O42" i="1"/>
  <c r="H42" i="1"/>
  <c r="P42" i="1"/>
  <c r="I87" i="1"/>
  <c r="AB10" i="1"/>
  <c r="AA10" i="1"/>
  <c r="AB42" i="1"/>
  <c r="L42" i="1"/>
  <c r="M42" i="1"/>
  <c r="AK75" i="1"/>
  <c r="AB23" i="1"/>
  <c r="AB14" i="1"/>
  <c r="H29" i="1"/>
  <c r="I29" i="1"/>
  <c r="M29" i="1"/>
  <c r="I42" i="1"/>
  <c r="AA7" i="1"/>
  <c r="AB24" i="1"/>
  <c r="AB21" i="1"/>
  <c r="K29" i="1"/>
  <c r="L29" i="1"/>
  <c r="AK82" i="1"/>
  <c r="F29" i="1"/>
  <c r="N29" i="1"/>
  <c r="AK74" i="1"/>
  <c r="J29" i="1"/>
  <c r="G29" i="1"/>
  <c r="O29" i="1"/>
  <c r="Q36" i="1"/>
  <c r="AB7" i="1"/>
  <c r="AB39" i="1"/>
  <c r="R81" i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A42" i="1"/>
  <c r="AA24" i="1"/>
  <c r="AA23" i="1"/>
  <c r="AA21" i="1"/>
  <c r="AA14" i="1"/>
  <c r="P29" i="1"/>
  <c r="AK83" i="1"/>
  <c r="AK78" i="1"/>
  <c r="AB30" i="1"/>
  <c r="S30" i="1"/>
  <c r="R33" i="1"/>
  <c r="S33" i="1" s="1"/>
  <c r="T33" i="1" s="1"/>
  <c r="U33" i="1" s="1"/>
  <c r="V33" i="1" s="1"/>
  <c r="W33" i="1" s="1"/>
  <c r="X33" i="1" s="1"/>
  <c r="Y33" i="1" s="1"/>
  <c r="T6" i="9"/>
  <c r="L6" i="9"/>
  <c r="D6" i="9"/>
  <c r="U6" i="9"/>
  <c r="M6" i="9"/>
  <c r="E6" i="9"/>
  <c r="X6" i="9"/>
  <c r="P6" i="9"/>
  <c r="V6" i="9"/>
  <c r="N6" i="9"/>
  <c r="F6" i="9"/>
  <c r="Y6" i="9"/>
  <c r="Q6" i="9"/>
  <c r="H6" i="9"/>
  <c r="Q8" i="1"/>
  <c r="R60" i="1"/>
  <c r="J65" i="1"/>
  <c r="O3" i="1"/>
  <c r="N65" i="1"/>
  <c r="G65" i="1"/>
  <c r="O65" i="1"/>
  <c r="M59" i="8"/>
  <c r="K62" i="8"/>
  <c r="C62" i="8"/>
  <c r="B62" i="8"/>
  <c r="AA65" i="1"/>
  <c r="K3" i="1"/>
  <c r="M65" i="1"/>
  <c r="P3" i="1"/>
  <c r="D65" i="1"/>
  <c r="L65" i="1"/>
  <c r="E65" i="1"/>
  <c r="F65" i="1"/>
  <c r="H65" i="1"/>
  <c r="P65" i="1"/>
  <c r="M3" i="1"/>
  <c r="I65" i="1"/>
  <c r="L3" i="1"/>
  <c r="F3" i="1"/>
  <c r="F56" i="1" s="1"/>
  <c r="F62" i="1" s="1"/>
  <c r="N3" i="1"/>
  <c r="C65" i="1"/>
  <c r="K65" i="1"/>
  <c r="B70" i="1"/>
  <c r="I3" i="1"/>
  <c r="C70" i="1"/>
  <c r="B28" i="1"/>
  <c r="B54" i="1" s="1"/>
  <c r="G3" i="1"/>
  <c r="G56" i="1" s="1"/>
  <c r="G62" i="1" s="1"/>
  <c r="H3" i="1"/>
  <c r="H56" i="1" s="1"/>
  <c r="H62" i="1" s="1"/>
  <c r="J3" i="1"/>
  <c r="D70" i="1"/>
  <c r="AB65" i="1"/>
  <c r="Q64" i="1"/>
  <c r="Q22" i="1" s="1"/>
  <c r="P5" i="1"/>
  <c r="P6" i="1"/>
  <c r="Q52" i="1"/>
  <c r="G52" i="1"/>
  <c r="H52" i="1"/>
  <c r="I52" i="1"/>
  <c r="J52" i="1"/>
  <c r="K52" i="1"/>
  <c r="L52" i="1"/>
  <c r="M52" i="1"/>
  <c r="N52" i="1"/>
  <c r="O52" i="1"/>
  <c r="P52" i="1"/>
  <c r="BI6" i="9"/>
  <c r="BH6" i="9"/>
  <c r="BG6" i="9"/>
  <c r="BE6" i="9"/>
  <c r="BD6" i="9"/>
  <c r="BC6" i="9"/>
  <c r="BB6" i="9"/>
  <c r="BA6" i="9"/>
  <c r="AZ6" i="9"/>
  <c r="AY6" i="9"/>
  <c r="AW6" i="9"/>
  <c r="AV6" i="9"/>
  <c r="AU6" i="9"/>
  <c r="AT6" i="9"/>
  <c r="AS6" i="9"/>
  <c r="AR6" i="9"/>
  <c r="AQ6" i="9"/>
  <c r="AO6" i="9"/>
  <c r="AN6" i="9"/>
  <c r="AM6" i="9"/>
  <c r="AL6" i="9"/>
  <c r="AK6" i="9"/>
  <c r="AJ6" i="9"/>
  <c r="AI6" i="9"/>
  <c r="AG6" i="9"/>
  <c r="AF6" i="9"/>
  <c r="AA6" i="9"/>
  <c r="AB6" i="9"/>
  <c r="R6" i="9"/>
  <c r="BF6" i="9"/>
  <c r="AX6" i="9"/>
  <c r="AP6" i="9"/>
  <c r="AH6" i="9"/>
  <c r="Z6" i="9"/>
  <c r="J6" i="9"/>
  <c r="C28" i="1"/>
  <c r="E28" i="1"/>
  <c r="D28" i="1"/>
  <c r="C59" i="1"/>
  <c r="E59" i="1"/>
  <c r="D59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G2" i="1"/>
  <c r="F2" i="1"/>
  <c r="R47" i="1" l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/>
  <c r="G66" i="1"/>
  <c r="G68" i="1" s="1"/>
  <c r="P37" i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/>
  <c r="AL20" i="1"/>
  <c r="AL44" i="1"/>
  <c r="AL11" i="1"/>
  <c r="AL13" i="1"/>
  <c r="AL25" i="1"/>
  <c r="AL9" i="1"/>
  <c r="AJ48" i="1"/>
  <c r="AJ49" i="1"/>
  <c r="I12" i="1"/>
  <c r="H66" i="1"/>
  <c r="J50" i="1"/>
  <c r="I67" i="1"/>
  <c r="K84" i="1"/>
  <c r="L85" i="1"/>
  <c r="Q34" i="1"/>
  <c r="AC64" i="1"/>
  <c r="AC22" i="1" s="1"/>
  <c r="AK90" i="1"/>
  <c r="Q121" i="1"/>
  <c r="P123" i="1"/>
  <c r="AK122" i="1"/>
  <c r="P126" i="1"/>
  <c r="P118" i="1"/>
  <c r="Q116" i="1"/>
  <c r="I86" i="1"/>
  <c r="I19" i="1"/>
  <c r="Q117" i="1"/>
  <c r="P127" i="1"/>
  <c r="H68" i="1"/>
  <c r="E111" i="1"/>
  <c r="J87" i="1"/>
  <c r="AK81" i="1"/>
  <c r="Q23" i="1"/>
  <c r="Q24" i="1"/>
  <c r="Q10" i="1"/>
  <c r="Q7" i="1"/>
  <c r="Q42" i="1"/>
  <c r="Q21" i="1"/>
  <c r="Q39" i="1"/>
  <c r="Q14" i="1"/>
  <c r="R36" i="1"/>
  <c r="AK79" i="1"/>
  <c r="T30" i="1"/>
  <c r="AC30" i="1"/>
  <c r="R8" i="1"/>
  <c r="F28" i="1"/>
  <c r="S60" i="1"/>
  <c r="Q5" i="1"/>
  <c r="Q65" i="1"/>
  <c r="R64" i="1"/>
  <c r="R22" i="1" s="1"/>
  <c r="Q6" i="1"/>
  <c r="Z51" i="1"/>
  <c r="AA51" i="1" s="1"/>
  <c r="AB51" i="1" s="1"/>
  <c r="R52" i="1"/>
  <c r="D54" i="1"/>
  <c r="E54" i="1"/>
  <c r="C54" i="1"/>
  <c r="C55" i="1" s="1"/>
  <c r="Z39" i="1"/>
  <c r="Z35" i="1"/>
  <c r="P28" i="1"/>
  <c r="O28" i="1"/>
  <c r="N28" i="1"/>
  <c r="M28" i="1"/>
  <c r="L28" i="1"/>
  <c r="K28" i="1"/>
  <c r="J28" i="1"/>
  <c r="I28" i="1"/>
  <c r="H28" i="1"/>
  <c r="G28" i="1"/>
  <c r="AL37" i="1" l="1"/>
  <c r="AL47" i="1"/>
  <c r="I56" i="1"/>
  <c r="I62" i="1" s="1"/>
  <c r="AC51" i="1"/>
  <c r="AD51" i="1" s="1"/>
  <c r="AE51" i="1" s="1"/>
  <c r="AF51" i="1" s="1"/>
  <c r="AG51" i="1" s="1"/>
  <c r="AH51" i="1" s="1"/>
  <c r="AI51" i="1" s="1"/>
  <c r="AJ51" i="1" s="1"/>
  <c r="AB52" i="1"/>
  <c r="AD64" i="1"/>
  <c r="AD22" i="1" s="1"/>
  <c r="AC24" i="1"/>
  <c r="AC23" i="1"/>
  <c r="AC42" i="1"/>
  <c r="AC21" i="1"/>
  <c r="AC14" i="1"/>
  <c r="AC10" i="1"/>
  <c r="AC7" i="1"/>
  <c r="AC39" i="1"/>
  <c r="AC65" i="1"/>
  <c r="R34" i="1"/>
  <c r="L84" i="1"/>
  <c r="M85" i="1"/>
  <c r="K50" i="1"/>
  <c r="J67" i="1"/>
  <c r="J12" i="1"/>
  <c r="I66" i="1"/>
  <c r="I68" i="1" s="1"/>
  <c r="Q126" i="1"/>
  <c r="Q118" i="1"/>
  <c r="R116" i="1"/>
  <c r="P128" i="1"/>
  <c r="R117" i="1"/>
  <c r="Q127" i="1"/>
  <c r="J19" i="1"/>
  <c r="J86" i="1"/>
  <c r="R121" i="1"/>
  <c r="Q123" i="1"/>
  <c r="Q29" i="1"/>
  <c r="K87" i="1"/>
  <c r="R39" i="1"/>
  <c r="R14" i="1"/>
  <c r="R23" i="1"/>
  <c r="R24" i="1"/>
  <c r="R10" i="1"/>
  <c r="R7" i="1"/>
  <c r="R42" i="1"/>
  <c r="R21" i="1"/>
  <c r="S36" i="1"/>
  <c r="S8" i="1"/>
  <c r="Q3" i="1"/>
  <c r="Z29" i="1"/>
  <c r="AA35" i="1"/>
  <c r="U30" i="1"/>
  <c r="AD30" i="1"/>
  <c r="E55" i="1"/>
  <c r="D55" i="1"/>
  <c r="S64" i="1"/>
  <c r="S22" i="1" s="1"/>
  <c r="R65" i="1"/>
  <c r="R5" i="1"/>
  <c r="AA3" i="1"/>
  <c r="Z3" i="1"/>
  <c r="R6" i="1"/>
  <c r="F54" i="1"/>
  <c r="F58" i="1" s="1"/>
  <c r="G54" i="1"/>
  <c r="G58" i="1" s="1"/>
  <c r="H54" i="1"/>
  <c r="H58" i="1" s="1"/>
  <c r="I54" i="1"/>
  <c r="I58" i="1" s="1"/>
  <c r="J54" i="1"/>
  <c r="J58" i="1" s="1"/>
  <c r="K54" i="1"/>
  <c r="K58" i="1" s="1"/>
  <c r="L54" i="1"/>
  <c r="L58" i="1" s="1"/>
  <c r="M54" i="1"/>
  <c r="M58" i="1" s="1"/>
  <c r="N54" i="1"/>
  <c r="N58" i="1" s="1"/>
  <c r="O54" i="1"/>
  <c r="O58" i="1" s="1"/>
  <c r="P54" i="1"/>
  <c r="P58" i="1" s="1"/>
  <c r="S52" i="1"/>
  <c r="T8" i="1" l="1"/>
  <c r="J56" i="1"/>
  <c r="J62" i="1" s="1"/>
  <c r="K12" i="1"/>
  <c r="J66" i="1"/>
  <c r="J68" i="1" s="1"/>
  <c r="L50" i="1"/>
  <c r="K67" i="1"/>
  <c r="N85" i="1"/>
  <c r="M84" i="1"/>
  <c r="S34" i="1"/>
  <c r="AE64" i="1"/>
  <c r="AE22" i="1" s="1"/>
  <c r="AD10" i="1"/>
  <c r="AD24" i="1"/>
  <c r="AD21" i="1"/>
  <c r="AD23" i="1"/>
  <c r="AD14" i="1"/>
  <c r="AD42" i="1"/>
  <c r="AD7" i="1"/>
  <c r="AD39" i="1"/>
  <c r="AD65" i="1"/>
  <c r="S117" i="1"/>
  <c r="R127" i="1"/>
  <c r="K86" i="1"/>
  <c r="K19" i="1"/>
  <c r="Q128" i="1"/>
  <c r="S116" i="1"/>
  <c r="R118" i="1"/>
  <c r="R126" i="1"/>
  <c r="S121" i="1"/>
  <c r="R123" i="1"/>
  <c r="R29" i="1"/>
  <c r="R3" i="1"/>
  <c r="L87" i="1"/>
  <c r="T36" i="1"/>
  <c r="S21" i="1"/>
  <c r="S39" i="1"/>
  <c r="S14" i="1"/>
  <c r="S23" i="1"/>
  <c r="S24" i="1"/>
  <c r="S10" i="1"/>
  <c r="S7" i="1"/>
  <c r="S42" i="1"/>
  <c r="AB35" i="1"/>
  <c r="AA29" i="1"/>
  <c r="AE30" i="1"/>
  <c r="V30" i="1"/>
  <c r="U8" i="1"/>
  <c r="F59" i="1"/>
  <c r="N55" i="1"/>
  <c r="P55" i="1"/>
  <c r="K55" i="1"/>
  <c r="O55" i="1"/>
  <c r="G55" i="1"/>
  <c r="F55" i="1"/>
  <c r="I55" i="1"/>
  <c r="H55" i="1"/>
  <c r="M55" i="1"/>
  <c r="J55" i="1"/>
  <c r="L55" i="1"/>
  <c r="AB3" i="1"/>
  <c r="T64" i="1"/>
  <c r="T22" i="1" s="1"/>
  <c r="S65" i="1"/>
  <c r="S5" i="1"/>
  <c r="S6" i="1"/>
  <c r="AA52" i="1"/>
  <c r="T52" i="1"/>
  <c r="G59" i="1"/>
  <c r="F70" i="1"/>
  <c r="K56" i="1" l="1"/>
  <c r="K62" i="1" s="1"/>
  <c r="AF64" i="1"/>
  <c r="AF22" i="1" s="1"/>
  <c r="AE21" i="1"/>
  <c r="AE24" i="1"/>
  <c r="AE23" i="1"/>
  <c r="AE14" i="1"/>
  <c r="AE10" i="1"/>
  <c r="AE7" i="1"/>
  <c r="AE39" i="1"/>
  <c r="AE42" i="1"/>
  <c r="AE43" i="1" s="1"/>
  <c r="AE49" i="1" s="1"/>
  <c r="AE65" i="1"/>
  <c r="T34" i="1"/>
  <c r="O85" i="1"/>
  <c r="N84" i="1"/>
  <c r="M50" i="1"/>
  <c r="L67" i="1"/>
  <c r="L12" i="1"/>
  <c r="K66" i="1"/>
  <c r="K68" i="1" s="1"/>
  <c r="L19" i="1"/>
  <c r="L86" i="1"/>
  <c r="R128" i="1"/>
  <c r="T117" i="1"/>
  <c r="S127" i="1"/>
  <c r="T121" i="1"/>
  <c r="S123" i="1"/>
  <c r="T116" i="1"/>
  <c r="S118" i="1"/>
  <c r="S126" i="1"/>
  <c r="S29" i="1"/>
  <c r="M87" i="1"/>
  <c r="AC35" i="1"/>
  <c r="AB29" i="1"/>
  <c r="S3" i="1"/>
  <c r="T42" i="1"/>
  <c r="T21" i="1"/>
  <c r="T39" i="1"/>
  <c r="T14" i="1"/>
  <c r="T23" i="1"/>
  <c r="T24" i="1"/>
  <c r="T10" i="1"/>
  <c r="T7" i="1"/>
  <c r="U36" i="1"/>
  <c r="AF30" i="1"/>
  <c r="W30" i="1"/>
  <c r="V8" i="1"/>
  <c r="AC3" i="1"/>
  <c r="T5" i="1"/>
  <c r="U64" i="1"/>
  <c r="U22" i="1" s="1"/>
  <c r="T65" i="1"/>
  <c r="T6" i="1"/>
  <c r="U52" i="1"/>
  <c r="H59" i="1"/>
  <c r="G70" i="1"/>
  <c r="L56" i="1" l="1"/>
  <c r="L62" i="1" s="1"/>
  <c r="M12" i="1"/>
  <c r="L66" i="1"/>
  <c r="L68" i="1" s="1"/>
  <c r="N50" i="1"/>
  <c r="M67" i="1"/>
  <c r="P85" i="1"/>
  <c r="O84" i="1"/>
  <c r="U34" i="1"/>
  <c r="AG64" i="1"/>
  <c r="AG22" i="1" s="1"/>
  <c r="AF7" i="1"/>
  <c r="AF39" i="1"/>
  <c r="AF24" i="1"/>
  <c r="AF23" i="1"/>
  <c r="AF21" i="1"/>
  <c r="AF14" i="1"/>
  <c r="AF42" i="1"/>
  <c r="AF10" i="1"/>
  <c r="AF65" i="1"/>
  <c r="M86" i="1"/>
  <c r="M19" i="1"/>
  <c r="U116" i="1"/>
  <c r="T126" i="1"/>
  <c r="T118" i="1"/>
  <c r="U121" i="1"/>
  <c r="T123" i="1"/>
  <c r="U117" i="1"/>
  <c r="T127" i="1"/>
  <c r="S128" i="1"/>
  <c r="T29" i="1"/>
  <c r="N87" i="1"/>
  <c r="V36" i="1"/>
  <c r="U7" i="1"/>
  <c r="U42" i="1"/>
  <c r="U21" i="1"/>
  <c r="U39" i="1"/>
  <c r="U14" i="1"/>
  <c r="U23" i="1"/>
  <c r="U24" i="1"/>
  <c r="U10" i="1"/>
  <c r="T3" i="1"/>
  <c r="AD35" i="1"/>
  <c r="AC29" i="1"/>
  <c r="X30" i="1"/>
  <c r="AG30" i="1"/>
  <c r="W8" i="1"/>
  <c r="AD3" i="1"/>
  <c r="V64" i="1"/>
  <c r="V22" i="1" s="1"/>
  <c r="U65" i="1"/>
  <c r="U5" i="1"/>
  <c r="U6" i="1"/>
  <c r="AC52" i="1"/>
  <c r="V52" i="1"/>
  <c r="I59" i="1"/>
  <c r="H70" i="1"/>
  <c r="M56" i="1" l="1"/>
  <c r="M62" i="1" s="1"/>
  <c r="AH64" i="1"/>
  <c r="AH22" i="1" s="1"/>
  <c r="AG7" i="1"/>
  <c r="AG39" i="1"/>
  <c r="AG42" i="1"/>
  <c r="AG10" i="1"/>
  <c r="AG24" i="1"/>
  <c r="AG23" i="1"/>
  <c r="AG21" i="1"/>
  <c r="AG14" i="1"/>
  <c r="AG65" i="1"/>
  <c r="V34" i="1"/>
  <c r="Q85" i="1"/>
  <c r="P84" i="1"/>
  <c r="O50" i="1"/>
  <c r="N67" i="1"/>
  <c r="N12" i="1"/>
  <c r="M66" i="1"/>
  <c r="M68" i="1" s="1"/>
  <c r="T128" i="1"/>
  <c r="V117" i="1"/>
  <c r="U127" i="1"/>
  <c r="V116" i="1"/>
  <c r="U118" i="1"/>
  <c r="U126" i="1"/>
  <c r="U128" i="1" s="1"/>
  <c r="N86" i="1"/>
  <c r="N19" i="1"/>
  <c r="V121" i="1"/>
  <c r="U123" i="1"/>
  <c r="U29" i="1"/>
  <c r="O87" i="1"/>
  <c r="V7" i="1"/>
  <c r="V42" i="1"/>
  <c r="V21" i="1"/>
  <c r="V39" i="1"/>
  <c r="V14" i="1"/>
  <c r="V23" i="1"/>
  <c r="V24" i="1"/>
  <c r="V10" i="1"/>
  <c r="AE35" i="1"/>
  <c r="AD29" i="1"/>
  <c r="U3" i="1"/>
  <c r="W36" i="1"/>
  <c r="AH30" i="1"/>
  <c r="Y30" i="1"/>
  <c r="X8" i="1"/>
  <c r="AE3" i="1"/>
  <c r="V5" i="1"/>
  <c r="W64" i="1"/>
  <c r="W22" i="1" s="1"/>
  <c r="V65" i="1"/>
  <c r="V6" i="1"/>
  <c r="W52" i="1"/>
  <c r="AD52" i="1"/>
  <c r="J59" i="1"/>
  <c r="I70" i="1"/>
  <c r="N56" i="1" l="1"/>
  <c r="N62" i="1" s="1"/>
  <c r="O12" i="1"/>
  <c r="N66" i="1"/>
  <c r="N68" i="1" s="1"/>
  <c r="P50" i="1"/>
  <c r="O67" i="1"/>
  <c r="R85" i="1"/>
  <c r="Q84" i="1"/>
  <c r="W34" i="1"/>
  <c r="AI64" i="1"/>
  <c r="AH42" i="1"/>
  <c r="AH7" i="1"/>
  <c r="AH39" i="1"/>
  <c r="AH10" i="1"/>
  <c r="AH24" i="1"/>
  <c r="AH23" i="1"/>
  <c r="AH21" i="1"/>
  <c r="AH14" i="1"/>
  <c r="AH65" i="1"/>
  <c r="W116" i="1"/>
  <c r="V126" i="1"/>
  <c r="V118" i="1"/>
  <c r="W117" i="1"/>
  <c r="V127" i="1"/>
  <c r="O19" i="1"/>
  <c r="O86" i="1"/>
  <c r="W121" i="1"/>
  <c r="V123" i="1"/>
  <c r="V29" i="1"/>
  <c r="P87" i="1"/>
  <c r="AF35" i="1"/>
  <c r="AE29" i="1"/>
  <c r="X36" i="1"/>
  <c r="W7" i="1"/>
  <c r="W42" i="1"/>
  <c r="W21" i="1"/>
  <c r="W39" i="1"/>
  <c r="W14" i="1"/>
  <c r="W23" i="1"/>
  <c r="W24" i="1"/>
  <c r="W10" i="1"/>
  <c r="V3" i="1"/>
  <c r="AI30" i="1"/>
  <c r="AJ30" i="1" s="1"/>
  <c r="Y8" i="1"/>
  <c r="AF3" i="1"/>
  <c r="X64" i="1"/>
  <c r="X22" i="1" s="1"/>
  <c r="W65" i="1"/>
  <c r="W5" i="1"/>
  <c r="W6" i="1"/>
  <c r="AE52" i="1"/>
  <c r="X52" i="1"/>
  <c r="K59" i="1"/>
  <c r="J70" i="1"/>
  <c r="AI22" i="1" l="1"/>
  <c r="AJ65" i="1"/>
  <c r="O56" i="1"/>
  <c r="O62" i="1" s="1"/>
  <c r="AN22" i="1"/>
  <c r="AI65" i="1"/>
  <c r="AI39" i="1"/>
  <c r="AN39" i="1" s="1"/>
  <c r="AI21" i="1"/>
  <c r="AI7" i="1"/>
  <c r="AI23" i="1"/>
  <c r="AI42" i="1"/>
  <c r="AI10" i="1"/>
  <c r="AI14" i="1"/>
  <c r="AI24" i="1"/>
  <c r="X34" i="1"/>
  <c r="S85" i="1"/>
  <c r="R84" i="1"/>
  <c r="Q50" i="1"/>
  <c r="P67" i="1"/>
  <c r="P12" i="1"/>
  <c r="O66" i="1"/>
  <c r="O68" i="1" s="1"/>
  <c r="X121" i="1"/>
  <c r="W123" i="1"/>
  <c r="P19" i="1"/>
  <c r="P86" i="1"/>
  <c r="X117" i="1"/>
  <c r="W127" i="1"/>
  <c r="V128" i="1"/>
  <c r="X116" i="1"/>
  <c r="W118" i="1"/>
  <c r="W126" i="1"/>
  <c r="W29" i="1"/>
  <c r="Q87" i="1"/>
  <c r="W3" i="1"/>
  <c r="AG35" i="1"/>
  <c r="AF29" i="1"/>
  <c r="Y36" i="1"/>
  <c r="X24" i="1"/>
  <c r="X10" i="1"/>
  <c r="X7" i="1"/>
  <c r="X42" i="1"/>
  <c r="X21" i="1"/>
  <c r="X39" i="1"/>
  <c r="X14" i="1"/>
  <c r="X23" i="1"/>
  <c r="Z8" i="1"/>
  <c r="AG3" i="1"/>
  <c r="X5" i="1"/>
  <c r="Y64" i="1"/>
  <c r="Y22" i="1" s="1"/>
  <c r="X65" i="1"/>
  <c r="X6" i="1"/>
  <c r="Y52" i="1"/>
  <c r="Z52" i="1"/>
  <c r="AF52" i="1"/>
  <c r="L59" i="1"/>
  <c r="K70" i="1"/>
  <c r="P56" i="1" l="1"/>
  <c r="P62" i="1" s="1"/>
  <c r="Q12" i="1"/>
  <c r="P66" i="1"/>
  <c r="P68" i="1" s="1"/>
  <c r="R50" i="1"/>
  <c r="T85" i="1"/>
  <c r="S84" i="1"/>
  <c r="Y34" i="1"/>
  <c r="AN21" i="1"/>
  <c r="W128" i="1"/>
  <c r="Q86" i="1"/>
  <c r="Q19" i="1"/>
  <c r="Y117" i="1"/>
  <c r="X127" i="1"/>
  <c r="Y116" i="1"/>
  <c r="X126" i="1"/>
  <c r="X128" i="1" s="1"/>
  <c r="X118" i="1"/>
  <c r="Y121" i="1"/>
  <c r="X123" i="1"/>
  <c r="X29" i="1"/>
  <c r="R87" i="1"/>
  <c r="X3" i="1"/>
  <c r="Y23" i="1"/>
  <c r="Y24" i="1"/>
  <c r="Y10" i="1"/>
  <c r="Y7" i="1"/>
  <c r="Y42" i="1"/>
  <c r="Y21" i="1"/>
  <c r="Y39" i="1"/>
  <c r="Y14" i="1"/>
  <c r="Z36" i="1"/>
  <c r="AH35" i="1"/>
  <c r="AG29" i="1"/>
  <c r="AA8" i="1"/>
  <c r="AH3" i="1"/>
  <c r="Z65" i="1"/>
  <c r="Y65" i="1"/>
  <c r="Y5" i="1"/>
  <c r="Y6" i="1"/>
  <c r="AG52" i="1"/>
  <c r="M59" i="1"/>
  <c r="L70" i="1"/>
  <c r="S50" i="1" l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/>
  <c r="Z34" i="1"/>
  <c r="T84" i="1"/>
  <c r="U85" i="1"/>
  <c r="R12" i="1"/>
  <c r="Q66" i="1"/>
  <c r="R86" i="1"/>
  <c r="R19" i="1"/>
  <c r="Z116" i="1"/>
  <c r="Y118" i="1"/>
  <c r="Y126" i="1"/>
  <c r="Z117" i="1"/>
  <c r="Y127" i="1"/>
  <c r="Z121" i="1"/>
  <c r="Y123" i="1"/>
  <c r="Y29" i="1"/>
  <c r="S87" i="1"/>
  <c r="AA36" i="1"/>
  <c r="Y3" i="1"/>
  <c r="AI35" i="1"/>
  <c r="AJ35" i="1" s="1"/>
  <c r="AJ29" i="1" s="1"/>
  <c r="AJ28" i="1" s="1"/>
  <c r="AJ54" i="1" s="1"/>
  <c r="AH29" i="1"/>
  <c r="AB8" i="1"/>
  <c r="AI3" i="1"/>
  <c r="Z5" i="1"/>
  <c r="Z6" i="1"/>
  <c r="AI52" i="1"/>
  <c r="AH52" i="1"/>
  <c r="N59" i="1"/>
  <c r="M70" i="1"/>
  <c r="AL50" i="1" l="1"/>
  <c r="AI29" i="1"/>
  <c r="S12" i="1"/>
  <c r="R66" i="1"/>
  <c r="U84" i="1"/>
  <c r="V85" i="1"/>
  <c r="AA34" i="1"/>
  <c r="AA121" i="1"/>
  <c r="Z123" i="1"/>
  <c r="AA117" i="1"/>
  <c r="Z127" i="1"/>
  <c r="Y128" i="1"/>
  <c r="S86" i="1"/>
  <c r="S19" i="1"/>
  <c r="AA116" i="1"/>
  <c r="Z118" i="1"/>
  <c r="Z126" i="1"/>
  <c r="T87" i="1"/>
  <c r="AB36" i="1"/>
  <c r="AC8" i="1"/>
  <c r="AA5" i="1"/>
  <c r="AA6" i="1"/>
  <c r="O59" i="1"/>
  <c r="N70" i="1"/>
  <c r="AB34" i="1" l="1"/>
  <c r="V84" i="1"/>
  <c r="W85" i="1"/>
  <c r="T12" i="1"/>
  <c r="S66" i="1"/>
  <c r="T86" i="1"/>
  <c r="T19" i="1"/>
  <c r="AB116" i="1"/>
  <c r="AA118" i="1"/>
  <c r="AA126" i="1"/>
  <c r="AB117" i="1"/>
  <c r="AA127" i="1"/>
  <c r="Z128" i="1"/>
  <c r="AB121" i="1"/>
  <c r="AA123" i="1"/>
  <c r="U87" i="1"/>
  <c r="AC36" i="1"/>
  <c r="AD8" i="1"/>
  <c r="AB5" i="1"/>
  <c r="AB6" i="1"/>
  <c r="P59" i="1"/>
  <c r="O70" i="1"/>
  <c r="U12" i="1" l="1"/>
  <c r="T66" i="1"/>
  <c r="X85" i="1"/>
  <c r="W84" i="1"/>
  <c r="AC34" i="1"/>
  <c r="AC117" i="1"/>
  <c r="AB127" i="1"/>
  <c r="AA128" i="1"/>
  <c r="U86" i="1"/>
  <c r="U19" i="1"/>
  <c r="AC116" i="1"/>
  <c r="AB118" i="1"/>
  <c r="AB126" i="1"/>
  <c r="AC121" i="1"/>
  <c r="AB123" i="1"/>
  <c r="V87" i="1"/>
  <c r="AD36" i="1"/>
  <c r="AE8" i="1"/>
  <c r="AC5" i="1"/>
  <c r="AC6" i="1"/>
  <c r="P70" i="1"/>
  <c r="AD34" i="1" l="1"/>
  <c r="Y85" i="1"/>
  <c r="X84" i="1"/>
  <c r="V12" i="1"/>
  <c r="U66" i="1"/>
  <c r="AB128" i="1"/>
  <c r="AD116" i="1"/>
  <c r="AC118" i="1"/>
  <c r="AC126" i="1"/>
  <c r="V86" i="1"/>
  <c r="V19" i="1"/>
  <c r="AD121" i="1"/>
  <c r="AC123" i="1"/>
  <c r="AD117" i="1"/>
  <c r="AC127" i="1"/>
  <c r="W87" i="1"/>
  <c r="AE36" i="1"/>
  <c r="AF8" i="1"/>
  <c r="AD5" i="1"/>
  <c r="AD6" i="1"/>
  <c r="AC128" i="1" l="1"/>
  <c r="W12" i="1"/>
  <c r="V66" i="1"/>
  <c r="Z85" i="1"/>
  <c r="Y84" i="1"/>
  <c r="AE34" i="1"/>
  <c r="AE117" i="1"/>
  <c r="AD127" i="1"/>
  <c r="AE121" i="1"/>
  <c r="AD123" i="1"/>
  <c r="W19" i="1"/>
  <c r="W86" i="1"/>
  <c r="AE116" i="1"/>
  <c r="AD126" i="1"/>
  <c r="AD118" i="1"/>
  <c r="X87" i="1"/>
  <c r="AF36" i="1"/>
  <c r="AG8" i="1"/>
  <c r="AE5" i="1"/>
  <c r="AE6" i="1"/>
  <c r="AF34" i="1" l="1"/>
  <c r="AA85" i="1"/>
  <c r="Z84" i="1"/>
  <c r="X12" i="1"/>
  <c r="W66" i="1"/>
  <c r="AD128" i="1"/>
  <c r="AF116" i="1"/>
  <c r="AE118" i="1"/>
  <c r="AE126" i="1"/>
  <c r="X19" i="1"/>
  <c r="X86" i="1"/>
  <c r="AF121" i="1"/>
  <c r="AE123" i="1"/>
  <c r="AF117" i="1"/>
  <c r="AE127" i="1"/>
  <c r="Y87" i="1"/>
  <c r="AG36" i="1"/>
  <c r="AH8" i="1"/>
  <c r="AF5" i="1"/>
  <c r="AF6" i="1"/>
  <c r="AE128" i="1" l="1"/>
  <c r="Y12" i="1"/>
  <c r="X66" i="1"/>
  <c r="AB85" i="1"/>
  <c r="AA84" i="1"/>
  <c r="AG34" i="1"/>
  <c r="AG117" i="1"/>
  <c r="AF127" i="1"/>
  <c r="AG121" i="1"/>
  <c r="AF123" i="1"/>
  <c r="Y86" i="1"/>
  <c r="Y19" i="1"/>
  <c r="AG116" i="1"/>
  <c r="AF126" i="1"/>
  <c r="AF118" i="1"/>
  <c r="Z87" i="1"/>
  <c r="AH36" i="1"/>
  <c r="AI8" i="1"/>
  <c r="AG5" i="1"/>
  <c r="AG6" i="1"/>
  <c r="AJ8" i="1" l="1"/>
  <c r="AK8" i="1"/>
  <c r="AH34" i="1"/>
  <c r="AC85" i="1"/>
  <c r="AB84" i="1"/>
  <c r="Z12" i="1"/>
  <c r="Y66" i="1"/>
  <c r="AF128" i="1"/>
  <c r="AH116" i="1"/>
  <c r="AG118" i="1"/>
  <c r="AG126" i="1"/>
  <c r="AH121" i="1"/>
  <c r="AG123" i="1"/>
  <c r="Z19" i="1"/>
  <c r="Z86" i="1"/>
  <c r="AH117" i="1"/>
  <c r="AG127" i="1"/>
  <c r="AA87" i="1"/>
  <c r="AI36" i="1"/>
  <c r="AH5" i="1"/>
  <c r="AH6" i="1"/>
  <c r="AJ36" i="1" l="1"/>
  <c r="AK36" i="1"/>
  <c r="AL8" i="1"/>
  <c r="AN7" i="1"/>
  <c r="AG128" i="1"/>
  <c r="AA12" i="1"/>
  <c r="Z66" i="1"/>
  <c r="AD85" i="1"/>
  <c r="AC84" i="1"/>
  <c r="AI34" i="1"/>
  <c r="AI117" i="1"/>
  <c r="AH127" i="1"/>
  <c r="AI121" i="1"/>
  <c r="AH123" i="1"/>
  <c r="AA86" i="1"/>
  <c r="AA19" i="1"/>
  <c r="AI116" i="1"/>
  <c r="AH118" i="1"/>
  <c r="AH126" i="1"/>
  <c r="AB87" i="1"/>
  <c r="AN35" i="1"/>
  <c r="AI5" i="1"/>
  <c r="AI6" i="1"/>
  <c r="AJ6" i="1" l="1"/>
  <c r="AK6" i="1"/>
  <c r="AJ5" i="1"/>
  <c r="AK5" i="1"/>
  <c r="AJ34" i="1"/>
  <c r="AJ67" i="1" s="1"/>
  <c r="AK34" i="1"/>
  <c r="AL36" i="1"/>
  <c r="AD84" i="1"/>
  <c r="AE85" i="1"/>
  <c r="AB12" i="1"/>
  <c r="AA66" i="1"/>
  <c r="AI118" i="1"/>
  <c r="AK118" i="1" s="1"/>
  <c r="AI126" i="1"/>
  <c r="AK116" i="1"/>
  <c r="AB19" i="1"/>
  <c r="AB86" i="1"/>
  <c r="AI123" i="1"/>
  <c r="AK121" i="1"/>
  <c r="AK123" i="1" s="1"/>
  <c r="AH128" i="1"/>
  <c r="AI127" i="1"/>
  <c r="AK127" i="1" s="1"/>
  <c r="AK117" i="1"/>
  <c r="AC87" i="1"/>
  <c r="AL34" i="1" l="1"/>
  <c r="AL5" i="1"/>
  <c r="AN4" i="1"/>
  <c r="AL6" i="1"/>
  <c r="AC12" i="1"/>
  <c r="AB66" i="1"/>
  <c r="AE84" i="1"/>
  <c r="AF85" i="1"/>
  <c r="AN37" i="1"/>
  <c r="AN30" i="1"/>
  <c r="AC86" i="1"/>
  <c r="AC19" i="1"/>
  <c r="AI128" i="1"/>
  <c r="AK126" i="1"/>
  <c r="AK128" i="1" s="1"/>
  <c r="AD87" i="1"/>
  <c r="AG85" i="1" l="1"/>
  <c r="AF84" i="1"/>
  <c r="AD12" i="1"/>
  <c r="AC66" i="1"/>
  <c r="AD86" i="1"/>
  <c r="AD19" i="1"/>
  <c r="AE87" i="1"/>
  <c r="AI28" i="1"/>
  <c r="AI54" i="1" s="1"/>
  <c r="AJ55" i="1" s="1"/>
  <c r="AH28" i="1"/>
  <c r="AH54" i="1" s="1"/>
  <c r="AI43" i="1"/>
  <c r="AG28" i="1"/>
  <c r="AG54" i="1" s="1"/>
  <c r="AF28" i="1"/>
  <c r="AF54" i="1" s="1"/>
  <c r="AH43" i="1"/>
  <c r="X28" i="1"/>
  <c r="X54" i="1" s="1"/>
  <c r="Z28" i="1"/>
  <c r="Z54" i="1" s="1"/>
  <c r="Y28" i="1"/>
  <c r="Y54" i="1" s="1"/>
  <c r="AE28" i="1"/>
  <c r="AE54" i="1" s="1"/>
  <c r="AG43" i="1"/>
  <c r="AD28" i="1"/>
  <c r="AD54" i="1" s="1"/>
  <c r="W28" i="1"/>
  <c r="W54" i="1" s="1"/>
  <c r="Y43" i="1"/>
  <c r="AC28" i="1"/>
  <c r="AC54" i="1" s="1"/>
  <c r="V28" i="1"/>
  <c r="V54" i="1" s="1"/>
  <c r="U28" i="1"/>
  <c r="U54" i="1" s="1"/>
  <c r="AB28" i="1"/>
  <c r="AB54" i="1" s="1"/>
  <c r="AA28" i="1"/>
  <c r="AA54" i="1" s="1"/>
  <c r="AC43" i="1"/>
  <c r="T28" i="1"/>
  <c r="T54" i="1" s="1"/>
  <c r="AB43" i="1"/>
  <c r="U43" i="1"/>
  <c r="S28" i="1"/>
  <c r="R28" i="1"/>
  <c r="AA43" i="1"/>
  <c r="T43" i="1"/>
  <c r="S43" i="1"/>
  <c r="Q28" i="1"/>
  <c r="Q54" i="1" s="1"/>
  <c r="Q43" i="1"/>
  <c r="AF43" i="1"/>
  <c r="X43" i="1"/>
  <c r="W43" i="1"/>
  <c r="V43" i="1"/>
  <c r="AD43" i="1"/>
  <c r="Z43" i="1"/>
  <c r="R43" i="1"/>
  <c r="AE12" i="1" l="1"/>
  <c r="AD66" i="1"/>
  <c r="AH85" i="1"/>
  <c r="AG84" i="1"/>
  <c r="AE19" i="1"/>
  <c r="AE86" i="1"/>
  <c r="AF49" i="1"/>
  <c r="AF48" i="1"/>
  <c r="AF67" i="1" s="1"/>
  <c r="U49" i="1"/>
  <c r="U48" i="1"/>
  <c r="R49" i="1"/>
  <c r="R48" i="1"/>
  <c r="Z49" i="1"/>
  <c r="Z48" i="1"/>
  <c r="AD49" i="1"/>
  <c r="AD48" i="1"/>
  <c r="W49" i="1"/>
  <c r="W48" i="1"/>
  <c r="AA49" i="1"/>
  <c r="AA48" i="1"/>
  <c r="AE48" i="1"/>
  <c r="AE67" i="1" s="1"/>
  <c r="X49" i="1"/>
  <c r="X48" i="1"/>
  <c r="Q49" i="1"/>
  <c r="Q48" i="1"/>
  <c r="AB49" i="1"/>
  <c r="AB48" i="1"/>
  <c r="Y49" i="1"/>
  <c r="Y48" i="1"/>
  <c r="AH49" i="1"/>
  <c r="AH48" i="1"/>
  <c r="AH67" i="1" s="1"/>
  <c r="S49" i="1"/>
  <c r="S48" i="1"/>
  <c r="AC49" i="1"/>
  <c r="AC48" i="1"/>
  <c r="V49" i="1"/>
  <c r="V48" i="1"/>
  <c r="T49" i="1"/>
  <c r="T48" i="1"/>
  <c r="AG49" i="1"/>
  <c r="AG48" i="1"/>
  <c r="AG67" i="1" s="1"/>
  <c r="AI49" i="1"/>
  <c r="AN49" i="1" s="1"/>
  <c r="AI48" i="1"/>
  <c r="AI67" i="1" s="1"/>
  <c r="Y55" i="1"/>
  <c r="AF87" i="1"/>
  <c r="AH55" i="1"/>
  <c r="AB55" i="1"/>
  <c r="S54" i="1"/>
  <c r="S58" i="1" s="1"/>
  <c r="S70" i="1" s="1"/>
  <c r="AG55" i="1"/>
  <c r="V55" i="1"/>
  <c r="AA55" i="1"/>
  <c r="T60" i="1"/>
  <c r="W55" i="1"/>
  <c r="Q58" i="1"/>
  <c r="Q55" i="1"/>
  <c r="X55" i="1"/>
  <c r="AF55" i="1"/>
  <c r="AE55" i="1"/>
  <c r="AI55" i="1"/>
  <c r="AC55" i="1"/>
  <c r="AD55" i="1"/>
  <c r="Z55" i="1"/>
  <c r="U55" i="1"/>
  <c r="R54" i="1"/>
  <c r="AK48" i="1" l="1"/>
  <c r="T58" i="1"/>
  <c r="T67" i="1"/>
  <c r="T68" i="1" s="1"/>
  <c r="T56" i="1"/>
  <c r="T62" i="1" s="1"/>
  <c r="V67" i="1"/>
  <c r="V68" i="1" s="1"/>
  <c r="V56" i="1"/>
  <c r="AC67" i="1"/>
  <c r="AC68" i="1" s="1"/>
  <c r="AC56" i="1"/>
  <c r="S67" i="1"/>
  <c r="S68" i="1" s="1"/>
  <c r="S56" i="1"/>
  <c r="S62" i="1" s="1"/>
  <c r="Y67" i="1"/>
  <c r="Y68" i="1" s="1"/>
  <c r="Y56" i="1"/>
  <c r="AB67" i="1"/>
  <c r="AB68" i="1" s="1"/>
  <c r="AB56" i="1"/>
  <c r="Q67" i="1"/>
  <c r="Q68" i="1" s="1"/>
  <c r="Q56" i="1"/>
  <c r="Q62" i="1" s="1"/>
  <c r="X67" i="1"/>
  <c r="X68" i="1" s="1"/>
  <c r="X56" i="1"/>
  <c r="AA67" i="1"/>
  <c r="AA68" i="1" s="1"/>
  <c r="AA56" i="1"/>
  <c r="W67" i="1"/>
  <c r="W68" i="1" s="1"/>
  <c r="W56" i="1"/>
  <c r="AD67" i="1"/>
  <c r="AD56" i="1"/>
  <c r="Z67" i="1"/>
  <c r="Z68" i="1" s="1"/>
  <c r="Z56" i="1"/>
  <c r="R67" i="1"/>
  <c r="R68" i="1" s="1"/>
  <c r="R56" i="1"/>
  <c r="R62" i="1" s="1"/>
  <c r="U67" i="1"/>
  <c r="U68" i="1" s="1"/>
  <c r="U56" i="1"/>
  <c r="AE56" i="1"/>
  <c r="AI85" i="1"/>
  <c r="AI84" i="1" s="1"/>
  <c r="AH84" i="1"/>
  <c r="AK84" i="1" s="1"/>
  <c r="AD68" i="1"/>
  <c r="AF12" i="1"/>
  <c r="AE66" i="1"/>
  <c r="AE68" i="1" s="1"/>
  <c r="AF19" i="1"/>
  <c r="AF86" i="1"/>
  <c r="AG87" i="1"/>
  <c r="T55" i="1"/>
  <c r="U60" i="1"/>
  <c r="U62" i="1" s="1"/>
  <c r="U58" i="1"/>
  <c r="V60" i="1"/>
  <c r="V62" i="1" s="1"/>
  <c r="T59" i="1"/>
  <c r="T70" i="1"/>
  <c r="S55" i="1"/>
  <c r="R55" i="1"/>
  <c r="R58" i="1"/>
  <c r="Q70" i="1"/>
  <c r="Q59" i="1"/>
  <c r="AL48" i="1" l="1"/>
  <c r="AF56" i="1"/>
  <c r="AN42" i="1"/>
  <c r="AG12" i="1"/>
  <c r="AF66" i="1"/>
  <c r="AF68" i="1" s="1"/>
  <c r="AG86" i="1"/>
  <c r="AG19" i="1"/>
  <c r="AH87" i="1"/>
  <c r="R70" i="1"/>
  <c r="S59" i="1"/>
  <c r="R59" i="1"/>
  <c r="V58" i="1"/>
  <c r="W60" i="1"/>
  <c r="W62" i="1" s="1"/>
  <c r="U59" i="1"/>
  <c r="U70" i="1"/>
  <c r="AG56" i="1" l="1"/>
  <c r="AH12" i="1"/>
  <c r="AG66" i="1"/>
  <c r="AG68" i="1" s="1"/>
  <c r="AH86" i="1"/>
  <c r="AH19" i="1"/>
  <c r="AI87" i="1"/>
  <c r="W58" i="1"/>
  <c r="X60" i="1"/>
  <c r="X62" i="1" s="1"/>
  <c r="V59" i="1"/>
  <c r="V70" i="1"/>
  <c r="AH56" i="1" l="1"/>
  <c r="AI12" i="1"/>
  <c r="AH66" i="1"/>
  <c r="AH68" i="1" s="1"/>
  <c r="AI86" i="1"/>
  <c r="AK86" i="1" s="1"/>
  <c r="AI19" i="1"/>
  <c r="X58" i="1"/>
  <c r="Y60" i="1"/>
  <c r="Y62" i="1" s="1"/>
  <c r="W70" i="1"/>
  <c r="W59" i="1"/>
  <c r="AK19" i="1" l="1"/>
  <c r="AJ12" i="1"/>
  <c r="AK12" i="1"/>
  <c r="AI56" i="1"/>
  <c r="AN10" i="1"/>
  <c r="AI66" i="1"/>
  <c r="AI68" i="1" s="1"/>
  <c r="AK70" i="1"/>
  <c r="Y58" i="1"/>
  <c r="Z60" i="1"/>
  <c r="Z62" i="1" s="1"/>
  <c r="X70" i="1"/>
  <c r="X59" i="1"/>
  <c r="AL12" i="1" l="1"/>
  <c r="AJ66" i="1"/>
  <c r="AJ68" i="1" s="1"/>
  <c r="AJ56" i="1"/>
  <c r="AM19" i="1"/>
  <c r="AL19" i="1"/>
  <c r="AN14" i="1"/>
  <c r="AA60" i="1"/>
  <c r="AA62" i="1" s="1"/>
  <c r="Z58" i="1"/>
  <c r="Y59" i="1"/>
  <c r="Y70" i="1"/>
  <c r="AM40" i="1" l="1"/>
  <c r="AM15" i="1"/>
  <c r="AM16" i="1"/>
  <c r="AM17" i="1"/>
  <c r="AM18" i="1"/>
  <c r="AM31" i="1"/>
  <c r="AM32" i="1"/>
  <c r="AM45" i="1"/>
  <c r="AM46" i="1"/>
  <c r="AM20" i="1"/>
  <c r="AM44" i="1"/>
  <c r="AM11" i="1"/>
  <c r="AM13" i="1"/>
  <c r="AM25" i="1"/>
  <c r="AM9" i="1"/>
  <c r="AM37" i="1"/>
  <c r="AM47" i="1"/>
  <c r="AM50" i="1"/>
  <c r="AM8" i="1"/>
  <c r="AM36" i="1"/>
  <c r="AM34" i="1"/>
  <c r="AM5" i="1"/>
  <c r="AM6" i="1"/>
  <c r="AM48" i="1"/>
  <c r="AM12" i="1"/>
  <c r="AL70" i="1"/>
  <c r="Z70" i="1"/>
  <c r="Z59" i="1"/>
  <c r="AA58" i="1"/>
  <c r="AB60" i="1"/>
  <c r="AB62" i="1" s="1"/>
  <c r="AQ10" i="1" l="1"/>
  <c r="AM70" i="1"/>
  <c r="AN38" i="1"/>
  <c r="AQ11" i="1"/>
  <c r="AB58" i="1"/>
  <c r="AC60" i="1"/>
  <c r="AC62" i="1" s="1"/>
  <c r="AA70" i="1"/>
  <c r="AA59" i="1"/>
  <c r="AC58" i="1" l="1"/>
  <c r="AD60" i="1"/>
  <c r="AD62" i="1" s="1"/>
  <c r="AB59" i="1"/>
  <c r="AB70" i="1"/>
  <c r="AD58" i="1" l="1"/>
  <c r="AE60" i="1"/>
  <c r="AE62" i="1" s="1"/>
  <c r="AC70" i="1"/>
  <c r="AC59" i="1"/>
  <c r="AE58" i="1" l="1"/>
  <c r="AF60" i="1"/>
  <c r="AF62" i="1" s="1"/>
  <c r="AD70" i="1"/>
  <c r="AD59" i="1"/>
  <c r="AF58" i="1" l="1"/>
  <c r="AG60" i="1"/>
  <c r="AG62" i="1" s="1"/>
  <c r="AE70" i="1"/>
  <c r="AE59" i="1"/>
  <c r="AG58" i="1" l="1"/>
  <c r="AH60" i="1"/>
  <c r="AH62" i="1" s="1"/>
  <c r="AF59" i="1"/>
  <c r="AF70" i="1"/>
  <c r="AH58" i="1" l="1"/>
  <c r="AI60" i="1"/>
  <c r="AJ60" i="1" s="1"/>
  <c r="AG59" i="1"/>
  <c r="AG70" i="1"/>
  <c r="AJ62" i="1" l="1"/>
  <c r="AJ58" i="1"/>
  <c r="AI58" i="1"/>
  <c r="AI62" i="1"/>
  <c r="AI70" i="1"/>
  <c r="AI59" i="1"/>
  <c r="AH59" i="1"/>
  <c r="AH70" i="1"/>
  <c r="AJ59" i="1" l="1"/>
  <c r="AJ70" i="1"/>
  <c r="AN70" i="1" l="1"/>
  <c r="AM71" i="1"/>
  <c r="AN71" i="1" l="1"/>
  <c r="AP70" i="1"/>
  <c r="AP71" i="1" s="1"/>
  <c r="AO70" i="1"/>
  <c r="AO71" i="1" s="1"/>
  <c r="AK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 Vu</author>
  </authors>
  <commentList>
    <comment ref="A5" authorId="0" shapeId="0" xr:uid="{84889DE6-1DE3-417C-9778-08DF67211B44}">
      <text>
        <r>
          <rPr>
            <sz val="11"/>
            <color theme="1"/>
            <rFont val="Calibri"/>
            <family val="2"/>
            <scheme val="minor"/>
          </rPr>
          <t>simple growth: 4.44%</t>
        </r>
      </text>
    </comment>
    <comment ref="A6" authorId="0" shapeId="0" xr:uid="{772ED916-63E1-4722-AEB3-2DC363F2755D}">
      <text>
        <r>
          <rPr>
            <sz val="11"/>
            <color theme="1"/>
            <rFont val="Calibri"/>
            <family val="2"/>
            <scheme val="minor"/>
          </rPr>
          <t>geo growth: 3.4%</t>
        </r>
      </text>
    </comment>
    <comment ref="A14" authorId="0" shapeId="0" xr:uid="{A503C7C7-E5EF-41E3-A741-E898F7AE32B7}">
      <text>
        <r>
          <rPr>
            <sz val="11"/>
            <color theme="1"/>
            <rFont val="Calibri"/>
            <family val="2"/>
            <scheme val="minor"/>
          </rPr>
          <t>29% of other</t>
        </r>
      </text>
    </comment>
    <comment ref="A21" authorId="0" shapeId="0" xr:uid="{D5044A44-FB41-4DA4-9E04-2340CB24F9BE}">
      <text>
        <r>
          <rPr>
            <sz val="11"/>
            <color theme="1"/>
            <rFont val="Calibri"/>
            <family val="2"/>
            <scheme val="minor"/>
          </rPr>
          <t>43.5 of other</t>
        </r>
      </text>
    </comment>
    <comment ref="A23" authorId="0" shapeId="0" xr:uid="{FDC2FA49-0DA5-492F-9D78-CE8621058236}">
      <text>
        <r>
          <rPr>
            <sz val="11"/>
            <color theme="1"/>
            <rFont val="Calibri"/>
            <family val="2"/>
            <scheme val="minor"/>
          </rPr>
          <t>12% of other</t>
        </r>
      </text>
    </comment>
    <comment ref="A24" authorId="0" shapeId="0" xr:uid="{D7BFEA2F-C7A9-4C81-A49A-3E327F6425C7}">
      <text>
        <r>
          <rPr>
            <sz val="11"/>
            <color theme="1"/>
            <rFont val="Calibri"/>
            <family val="2"/>
            <scheme val="minor"/>
          </rPr>
          <t>15% of other</t>
        </r>
      </text>
    </comment>
    <comment ref="A25" authorId="0" shapeId="0" xr:uid="{6448AC89-D171-4F64-98C0-F8D59A5BC897}">
      <text>
        <r>
          <rPr>
            <sz val="11"/>
            <color rgb="FF000000"/>
            <rFont val="Calibri"/>
            <family val="2"/>
          </rPr>
          <t>Cumulative Impact: Small differences add up over time; for example, from 2000 to 2023, traditional CPI rose 45.7%, while Chained CPI rose 39.7%, a 6 percentage point difference.</t>
        </r>
      </text>
    </comment>
    <comment ref="A34" authorId="0" shapeId="0" xr:uid="{EBEB5B20-1F55-4262-93DA-46655E1DB247}">
      <text>
        <r>
          <rPr>
            <sz val="11"/>
            <color rgb="FF000000"/>
            <rFont val="Calibri"/>
            <family val="2"/>
          </rPr>
          <t>Cumulative Impact: Small differences add up over time; for example, from 2000 to 2023, traditional CPI rose 45.7%, while Chained CPI rose 39.7%, a 6 percentage point difference.</t>
        </r>
      </text>
    </comment>
    <comment ref="A37" authorId="0" shapeId="0" xr:uid="{5E8F728E-0422-47FB-A7E8-62818C1AC68C}">
      <text>
        <r>
          <rPr>
            <sz val="11"/>
            <color rgb="FF000000"/>
            <rFont val="Calibri"/>
            <family val="2"/>
          </rPr>
          <t>Cumulative Impact: Small differences add up over time; for example, from 2000 to 2023, traditional CPI rose 45.7%, while Chained CPI rose 39.7%, a 6 percentage point difference.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 Vu</author>
  </authors>
  <commentList>
    <comment ref="B5" authorId="0" shapeId="0" xr:uid="{F7C08E31-FEBB-4A08-B433-77E0D7CCF6DE}">
      <text>
        <r>
          <rPr>
            <sz val="11"/>
            <color theme="1"/>
            <rFont val="Calibri"/>
            <family val="2"/>
            <scheme val="minor"/>
          </rPr>
          <t>29% of other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tc={16FD507C-9F68-4358-8E87-5D9A9ADF5B26}</author>
    <author>tc={BEE89F50-D551-4B19-8232-5B2D90531766}</author>
    <author>tc={91FC59C6-653C-42B2-BBCE-0998C3AFA6EC}</author>
    <author>tc={CAC17DF5-0848-4AB8-816B-726CD1B5C2D9}</author>
    <author>tc={0FF714EF-5C60-44AF-BA8F-E88C7C82B31C}</author>
    <author>tc={619AB715-AA04-4525-9DD6-BA034AE79E2E}</author>
    <author>tc={AC353FBD-A2EB-4A65-A6B9-BA072A75AD11}</author>
    <author>tc={18E561EC-336A-413E-83B8-6DE689C61728}</author>
    <author>tc={7B6779AE-DA50-4EA5-89EF-7C680C8AC848}</author>
    <author>tc={253B81D8-3582-410C-A9ED-0A48A8310C69}</author>
    <author>tc={EB84F15B-4B3E-4998-AE2C-7FDFDCDF632F}</author>
    <author>tc={2B188E9B-D2E7-465A-8395-3E2A41952DD3}</author>
  </authors>
  <commentList>
    <comment ref="B36" authorId="0" shapeId="0" xr:uid="{16FD507C-9F68-4358-8E87-5D9A9ADF5B26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C36" authorId="1" shapeId="0" xr:uid="{BEE89F50-D551-4B19-8232-5B2D90531766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D36" authorId="2" shapeId="0" xr:uid="{91FC59C6-653C-42B2-BBCE-0998C3AFA6EC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E36" authorId="3" shapeId="0" xr:uid="{CAC17DF5-0848-4AB8-816B-726CD1B5C2D9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F36" authorId="4" shapeId="0" xr:uid="{0FF714EF-5C60-44AF-BA8F-E88C7C82B31C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G36" authorId="5" shapeId="0" xr:uid="{619AB715-AA04-4525-9DD6-BA034AE79E2E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H36" authorId="6" shapeId="0" xr:uid="{AC353FBD-A2EB-4A65-A6B9-BA072A75AD11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I36" authorId="7" shapeId="0" xr:uid="{18E561EC-336A-413E-83B8-6DE689C61728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J36" authorId="8" shapeId="0" xr:uid="{7B6779AE-DA50-4EA5-89EF-7C680C8AC848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K36" authorId="9" shapeId="0" xr:uid="{253B81D8-3582-410C-A9ED-0A48A8310C69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L36" authorId="10" shapeId="0" xr:uid="{EB84F15B-4B3E-4998-AE2C-7FDFDCDF632F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  <comment ref="M36" authorId="11" shapeId="0" xr:uid="{2B188E9B-D2E7-465A-8395-3E2A41952DD3}">
      <text>
        <t>[Threaded comment]
Your version of Excel allows you to read this threaded comment; however, any edits to it will get removed if the file is opened in a newer version of Excel. Learn more: https://go.microsoft.com/fwlink/?linkid=870924
Comment:
    dạ vd chỗ này thì làm theo data ở trên thì từ 2026 - 2036 thì spending tăng, nhma theo CBO project thì nó nên giảm ạ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<sst xmlns="http://schemas.openxmlformats.org/spreadsheetml/2006/main" count="887" uniqueCount="453">
  <si>
    <t>Billions of Dollars</t>
  </si>
  <si>
    <t>2056F</t>
  </si>
  <si>
    <t>Total</t>
  </si>
  <si>
    <t>% Impact (OG GDP)</t>
  </si>
  <si>
    <t>% Impact (Change GDP)</t>
  </si>
  <si>
    <t>Total after changes</t>
  </si>
  <si>
    <t>Government revenues</t>
  </si>
  <si>
    <t>Individual Income Taxes</t>
  </si>
  <si>
    <t xml:space="preserve">    Income Taxes solution (itemized)</t>
  </si>
  <si>
    <t xml:space="preserve">    Include Income from S.corp and LP</t>
  </si>
  <si>
    <t>Payroll Taxes</t>
  </si>
  <si>
    <t xml:space="preserve">    Dividend Tax solution</t>
  </si>
  <si>
    <t xml:space="preserve">    Immigration solution</t>
  </si>
  <si>
    <t>Corporate Income Taxes</t>
  </si>
  <si>
    <t xml:space="preserve">    Halve the GILTI Section 250 Deduction</t>
  </si>
  <si>
    <t xml:space="preserve">    Quadruple Stock Buyback Excise Tax</t>
  </si>
  <si>
    <t xml:space="preserve">    Strengthen Corporate AMT (CAMT)</t>
  </si>
  <si>
    <t>Excise taxes</t>
  </si>
  <si>
    <t xml:space="preserve">    OPTION 69</t>
  </si>
  <si>
    <t xml:space="preserve">    OPTION 70</t>
  </si>
  <si>
    <t xml:space="preserve">    OPTION 71</t>
  </si>
  <si>
    <t xml:space="preserve">    Space</t>
  </si>
  <si>
    <t xml:space="preserve">    EV</t>
  </si>
  <si>
    <t xml:space="preserve">    Financial transaction</t>
  </si>
  <si>
    <t>Federal Reserve remittances</t>
  </si>
  <si>
    <t>Customs duties</t>
  </si>
  <si>
    <t>Estate and gift taxes</t>
  </si>
  <si>
    <t>Miscellaneous fees and fines</t>
  </si>
  <si>
    <t xml:space="preserve">    Change to CPI-U</t>
  </si>
  <si>
    <t>https://www.usaspending.gov/</t>
  </si>
  <si>
    <t>Government Spending</t>
  </si>
  <si>
    <t>Mandatory Spending</t>
  </si>
  <si>
    <t>Medicare</t>
  </si>
  <si>
    <t xml:space="preserve">   Federal Medicare Spending Cap</t>
  </si>
  <si>
    <t xml:space="preserve">    Decrease drug price</t>
  </si>
  <si>
    <t>Medicaid</t>
  </si>
  <si>
    <t>Social Security</t>
  </si>
  <si>
    <t xml:space="preserve">    Reduce SS for high-incomers</t>
  </si>
  <si>
    <t>Other MandaSpending</t>
  </si>
  <si>
    <t xml:space="preserve">    Emergency Spending</t>
  </si>
  <si>
    <t>Offsetting Receipts</t>
  </si>
  <si>
    <t>Discretionary Spending</t>
  </si>
  <si>
    <t>Defense</t>
  </si>
  <si>
    <t xml:space="preserve">    OPTION 30</t>
  </si>
  <si>
    <t xml:space="preserve">    LRMD</t>
  </si>
  <si>
    <t xml:space="preserve">    Pit</t>
  </si>
  <si>
    <t xml:space="preserve">    OPTION 42</t>
  </si>
  <si>
    <t xml:space="preserve">    Audit</t>
  </si>
  <si>
    <t>Non-defense</t>
  </si>
  <si>
    <t>Immigration</t>
  </si>
  <si>
    <t>Net interest</t>
  </si>
  <si>
    <t xml:space="preserve">    growth%</t>
  </si>
  <si>
    <t>Government Budget (Deficit)</t>
  </si>
  <si>
    <t>https://bentleyedu-my.sharepoint.com/:x:/g/personal/adnguyen_falcon_bentley_edu/IQBP6Pdu1naASpx4Ii4QUmr2AXtvrZNHBltqEqZ89AE8JRE?e=HYyq4Q</t>
  </si>
  <si>
    <t>Government Debt</t>
  </si>
  <si>
    <t>Debt held by public initial</t>
  </si>
  <si>
    <t xml:space="preserve">    Other means of financing</t>
  </si>
  <si>
    <t>https://www.cbo.gov/data/budget-economic-data</t>
  </si>
  <si>
    <t>GDP</t>
  </si>
  <si>
    <t xml:space="preserve">    tax changes</t>
  </si>
  <si>
    <t xml:space="preserve">    spending changes</t>
  </si>
  <si>
    <t>GDP after changes</t>
  </si>
  <si>
    <t>GOAL</t>
  </si>
  <si>
    <t>% TO GOAL</t>
  </si>
  <si>
    <t>Debt/GDP</t>
  </si>
  <si>
    <t>defense</t>
  </si>
  <si>
    <t>OPTION 30</t>
  </si>
  <si>
    <t>OPTION 36</t>
  </si>
  <si>
    <t>LRMD</t>
  </si>
  <si>
    <t>Pit</t>
  </si>
  <si>
    <t>OPTION 42</t>
  </si>
  <si>
    <t>Audit</t>
  </si>
  <si>
    <t>excise</t>
  </si>
  <si>
    <t>OPTION 69</t>
  </si>
  <si>
    <t>OPTION 70</t>
  </si>
  <si>
    <t>OPTION 71</t>
  </si>
  <si>
    <t>Space Commercial</t>
  </si>
  <si>
    <t>EV</t>
  </si>
  <si>
    <t>Emergency</t>
  </si>
  <si>
    <t>N/A</t>
  </si>
  <si>
    <t>H-1B – CBO</t>
  </si>
  <si>
    <t>EB5 – Past</t>
  </si>
  <si>
    <t>reduce tax payer and consumer</t>
  </si>
  <si>
    <t>COVID</t>
  </si>
  <si>
    <t>Pork Barrel</t>
  </si>
  <si>
    <t>OCO 1st</t>
  </si>
  <si>
    <t>Border</t>
  </si>
  <si>
    <t>DRF Funding</t>
  </si>
  <si>
    <t>Unspent (2021)</t>
  </si>
  <si>
    <t>Discretionary</t>
  </si>
  <si>
    <t>GD + COVID</t>
  </si>
  <si>
    <t>MO+DR+Misc</t>
  </si>
  <si>
    <t>OCO</t>
  </si>
  <si>
    <t>Mandatory</t>
  </si>
  <si>
    <t>GD</t>
  </si>
  <si>
    <t>Others</t>
  </si>
  <si>
    <t>Useless</t>
  </si>
  <si>
    <t>"Useful"</t>
  </si>
  <si>
    <t>Investment</t>
  </si>
  <si>
    <t>agriculture</t>
  </si>
  <si>
    <t>construction</t>
  </si>
  <si>
    <t>Increase in revenues</t>
  </si>
  <si>
    <t>From taxes paid by immigrants in the surge population</t>
  </si>
  <si>
    <t>From changes in the economy</t>
  </si>
  <si>
    <t>Increases and decreases (-) in mandatory outlays and net spending for interest</t>
  </si>
  <si>
    <t>From benefits provided to immigrants in the surge population and their children</t>
  </si>
  <si>
    <t>*</t>
  </si>
  <si>
    <t>Decrease (-) in the deficit</t>
  </si>
  <si>
    <t>Net effect of taxes paid by and benefits provided to immigrants in the surge population and their children</t>
  </si>
  <si>
    <t>Health</t>
  </si>
  <si>
    <t>2026F</t>
  </si>
  <si>
    <t>2027F</t>
  </si>
  <si>
    <t>2028F</t>
  </si>
  <si>
    <t>2029F</t>
  </si>
  <si>
    <t>2030F</t>
  </si>
  <si>
    <t>2031F</t>
  </si>
  <si>
    <t>2032F</t>
  </si>
  <si>
    <t>2033F</t>
  </si>
  <si>
    <t>2034F</t>
  </si>
  <si>
    <t>2035F</t>
  </si>
  <si>
    <t>2036F</t>
  </si>
  <si>
    <t>2037F</t>
  </si>
  <si>
    <t>2038F</t>
  </si>
  <si>
    <t>2039F</t>
  </si>
  <si>
    <t>2040F</t>
  </si>
  <si>
    <t>2041F</t>
  </si>
  <si>
    <t>2042F</t>
  </si>
  <si>
    <t>2043F</t>
  </si>
  <si>
    <t>2044F</t>
  </si>
  <si>
    <t>2045F</t>
  </si>
  <si>
    <t>2046F</t>
  </si>
  <si>
    <t>2047F</t>
  </si>
  <si>
    <t>2048F</t>
  </si>
  <si>
    <t>2049F</t>
  </si>
  <si>
    <t>2050F</t>
  </si>
  <si>
    <t>2051F</t>
  </si>
  <si>
    <t>2052F</t>
  </si>
  <si>
    <t>2053F</t>
  </si>
  <si>
    <t>2054F</t>
  </si>
  <si>
    <t>2055F</t>
  </si>
  <si>
    <t>Real GDP (trillions of 2017 dollars)</t>
  </si>
  <si>
    <t>Nominal GDP (trillions of dollars, by calendar year)</t>
  </si>
  <si>
    <t xml:space="preserve">Growth of the GDP price index </t>
  </si>
  <si>
    <t>Real GDP (trillions of dollars)</t>
  </si>
  <si>
    <t>Growth% real</t>
  </si>
  <si>
    <t>Growth% nominal</t>
  </si>
  <si>
    <t>Spending multiplier</t>
  </si>
  <si>
    <t>IncomeTax multiplier</t>
  </si>
  <si>
    <t>Corp Tax</t>
  </si>
  <si>
    <t>Payroll Tax</t>
  </si>
  <si>
    <t>infra</t>
  </si>
  <si>
    <t>others</t>
  </si>
  <si>
    <t>bad</t>
  </si>
  <si>
    <t>normal</t>
  </si>
  <si>
    <t>good</t>
  </si>
  <si>
    <t>Infrastructure spending</t>
  </si>
  <si>
    <t>Others Taxes</t>
  </si>
  <si>
    <t>https://www.crfb.org/papers/comparing-fiscal-multipliers</t>
  </si>
  <si>
    <t>https://www.cbo.gov/sites/default/files/114th-congress-2015-2016/workingpaper/49925-FiscalMultiplier_1.pdf</t>
  </si>
  <si>
    <t>https://www.richmondfed.org/publications/research/econ_focus/2018/q4/jargon_alert</t>
  </si>
  <si>
    <t>Year</t>
  </si>
  <si>
    <t>Table 2-1.
CBO’s Economic Projections for Calendar Years 2026 to 2036</t>
  </si>
  <si>
    <t>Percent</t>
  </si>
  <si>
    <t>Annual average</t>
  </si>
  <si>
    <t> </t>
  </si>
  <si>
    <t>Estimated,
2025</t>
  </si>
  <si>
    <t>2029–
2030</t>
  </si>
  <si>
    <t>2031–
2036</t>
  </si>
  <si>
    <t>Change from fourth quarter to fourth quarter</t>
  </si>
  <si>
    <t>Gross domestic product</t>
  </si>
  <si>
    <t>Real</t>
  </si>
  <si>
    <t>Nominal</t>
  </si>
  <si>
    <t>Inflation</t>
  </si>
  <si>
    <t>PCE price index</t>
  </si>
  <si>
    <t>Core PCE price index</t>
  </si>
  <si>
    <t>Consumer price index</t>
  </si>
  <si>
    <t>Core consumer price index</t>
  </si>
  <si>
    <t>GDP price index</t>
  </si>
  <si>
    <t>Employment cost index</t>
  </si>
  <si>
    <t>Payroll employment (average monthly change, in thousands)</t>
  </si>
  <si>
    <t>Fourth-quarter level</t>
  </si>
  <si>
    <t>Unemployment rate</t>
  </si>
  <si>
    <t>Change from year to year</t>
  </si>
  <si>
    <t>Gross Domestic Product</t>
  </si>
  <si>
    <t>Interest rates</t>
  </si>
  <si>
    <t>Effective federal funds rate</t>
  </si>
  <si>
    <t>3-month Treasury bills</t>
  </si>
  <si>
    <t>10-year Treasury notes</t>
  </si>
  <si>
    <t>Tax bases (percentage of GDP)</t>
  </si>
  <si>
    <t>Wages and salaries</t>
  </si>
  <si>
    <t>Domestic corporate profits</t>
  </si>
  <si>
    <t>Tariff Tracker: 2026 Trump Tariffs &amp; Trade War by the Numbers</t>
  </si>
  <si>
    <t>Calendar Year</t>
  </si>
  <si>
    <t>2026-2035</t>
  </si>
  <si>
    <t>Section 232 Tariffs</t>
  </si>
  <si>
    <t>Section 232 Steel and Aluminum</t>
  </si>
  <si>
    <t>Section 232 Autos and Auto Parts</t>
  </si>
  <si>
    <t>Section 232 Copper</t>
  </si>
  <si>
    <t>Section 232 Furniture, Kithcen Cabinets and Vanities, Lumber</t>
  </si>
  <si>
    <t>tariff content, trend</t>
  </si>
  <si>
    <t>Section 232 Heavy Trucks and Parts</t>
  </si>
  <si>
    <t>other taxes</t>
  </si>
  <si>
    <t>corp tax</t>
  </si>
  <si>
    <t>Section 122 Tariff (10%)</t>
  </si>
  <si>
    <t>create financial chart</t>
  </si>
  <si>
    <t>Section 122 Tariff (15%)</t>
  </si>
  <si>
    <t>gdp changes</t>
  </si>
  <si>
    <t>IEEPA Tariffs</t>
  </si>
  <si>
    <t>IEEPA Fentanyl China</t>
  </si>
  <si>
    <t>IEEPA Mexico</t>
  </si>
  <si>
    <t>IEEPA Canada</t>
  </si>
  <si>
    <t>IEEPA 10% Baseline Tariff Excluding Canada and Mexico</t>
  </si>
  <si>
    <t>IEEPA "Reciprocal" Tariff Increases (ROW)</t>
  </si>
  <si>
    <t>Ending De Minimis</t>
  </si>
  <si>
    <t>Retaliation</t>
  </si>
  <si>
    <t>observation_date</t>
  </si>
  <si>
    <t>GFDEBTN</t>
  </si>
  <si>
    <t>Table 1-3.
CBO's Baseline Projections of Federal Debt</t>
  </si>
  <si>
    <t>Billions of dollars</t>
  </si>
  <si>
    <t>Actual,
2025</t>
  </si>
  <si>
    <t>Debt held by the public at the
beginning of the year</t>
  </si>
  <si>
    <t>Changes in debt held by the public</t>
  </si>
  <si>
    <t>Resulting from the deficit</t>
  </si>
  <si>
    <t>Resulting from other means of financing</t>
  </si>
  <si>
    <t>growth%</t>
  </si>
  <si>
    <t>Debt held by the public at the
end of the year</t>
  </si>
  <si>
    <t>In billions of dollars</t>
  </si>
  <si>
    <t>As a percentage of GDP</t>
  </si>
  <si>
    <t>Addendum:</t>
  </si>
  <si>
    <t>Federal financial assets</t>
  </si>
  <si>
    <t>Debt minus financial assets</t>
  </si>
  <si>
    <t>Federal Reserve's holdings of
debt held by the public</t>
  </si>
  <si>
    <t>Debt minus financial assets and
Federal Reserve's holdings</t>
  </si>
  <si>
    <t>Gross federal debt</t>
  </si>
  <si>
    <t>intragovernmental</t>
  </si>
  <si>
    <t>Debt subject to limit</t>
  </si>
  <si>
    <t>Average interest rate on debt held
by the public (percent)</t>
  </si>
  <si>
    <t>debt held by public</t>
  </si>
  <si>
    <t>other financing</t>
  </si>
  <si>
    <r>
      <t xml:space="preserve">This file presents data that supplement CBO’s February 2026 report </t>
    </r>
    <r>
      <rPr>
        <i/>
        <sz val="11"/>
        <color rgb="FF000000"/>
        <rFont val="Arial"/>
        <family val="2"/>
      </rPr>
      <t>The Budget and Economic Outlook: 2026 to 2036.</t>
    </r>
  </si>
  <si>
    <t>www.cbo.gov/publication/61882</t>
  </si>
  <si>
    <t>Table 3-1.
CBO's Baseline Projections of Outlays</t>
  </si>
  <si>
    <t>2027–
2031</t>
  </si>
  <si>
    <t>2027–
2036</t>
  </si>
  <si>
    <t>Other spending</t>
  </si>
  <si>
    <t>Offsetting receipts</t>
  </si>
  <si>
    <t>Subtotal</t>
  </si>
  <si>
    <t>Nondefense</t>
  </si>
  <si>
    <t xml:space="preserve">Net interest </t>
  </si>
  <si>
    <t>On-budget</t>
  </si>
  <si>
    <t>Off-budget</t>
  </si>
  <si>
    <t>Outlays adjusted to exclude timing shifts</t>
  </si>
  <si>
    <t>Mandatory outlays</t>
  </si>
  <si>
    <t>Discretionary outlays</t>
  </si>
  <si>
    <t>Total outlays</t>
  </si>
  <si>
    <t xml:space="preserve"> </t>
  </si>
  <si>
    <t>Average 2011 - 2024</t>
  </si>
  <si>
    <t>SECTION 1: CURRENT BASELINE</t>
  </si>
  <si>
    <t>Metric</t>
  </si>
  <si>
    <t>Value</t>
  </si>
  <si>
    <t>Unit</t>
  </si>
  <si>
    <t>Source</t>
  </si>
  <si>
    <t>Notes</t>
  </si>
  <si>
    <t>FY2025 Social Security outlays</t>
  </si>
  <si>
    <t>$B</t>
  </si>
  <si>
    <t>CBO Baseline 2025</t>
  </si>
  <si>
    <t>Up $127B (+8%) from FY2024</t>
  </si>
  <si>
    <t>10-year projected OASDI shortfall (2026-2035)</t>
  </si>
  <si>
    <t>CBO / CRFB Mar 2025</t>
  </si>
  <si>
    <t>Revenues fall $2.6T short of costs over next decade</t>
  </si>
  <si>
    <t>OASI trust fund depletion year</t>
  </si>
  <si>
    <t>2025 Trustees Report</t>
  </si>
  <si>
    <t>Only 77% of scheduled benefits payable after depletion</t>
  </si>
  <si>
    <t>DI trust fund depletion year</t>
  </si>
  <si>
    <t>DI is solvent through at least 2099</t>
  </si>
  <si>
    <t>2026 taxable maximum</t>
  </si>
  <si>
    <t>$</t>
  </si>
  <si>
    <t>SSA COLA 2026</t>
  </si>
  <si>
    <t>Up from $176,100 in 2025</t>
  </si>
  <si>
    <t>Current payroll tax rate (OASDI)</t>
  </si>
  <si>
    <t>%</t>
  </si>
  <si>
    <t>IRC / SSA</t>
  </si>
  <si>
    <t>6.2% employee + 6.2% employer</t>
  </si>
  <si>
    <t>Share of earnings currently taxable</t>
  </si>
  <si>
    <t>CBO 2025</t>
  </si>
  <si>
    <t>82% of covered earnings fall below the cap</t>
  </si>
  <si>
    <t>75-year actuarial deficit (% of taxable payroll)</t>
  </si>
  <si>
    <t>Highest in nearly 50 years; nearly doubled since 2010</t>
  </si>
  <si>
    <t>2026 COLA adjustment</t>
  </si>
  <si>
    <t>SSA Oct 2025</t>
  </si>
  <si>
    <t>+2.8%, effective Jan 2026</t>
  </si>
  <si>
    <t>Payroll tax revenue (2023)</t>
  </si>
  <si>
    <t>SSA / PGPF</t>
  </si>
  <si>
    <t>90% of total SS income</t>
  </si>
  <si>
    <t>SECTION 2: REVENUE-SIDE SOLUTIONS (TAX FIXES)</t>
  </si>
  <si>
    <t>Policy Option</t>
  </si>
  <si>
    <t>10-Year Revenue Gain ($B)</t>
  </si>
  <si>
    <t>75-Year Solvency Gap Closed</t>
  </si>
  <si>
    <t>Who Is Affected</t>
  </si>
  <si>
    <t>Key Trade-Off / Mechanism</t>
  </si>
  <si>
    <t>A. Raise taxable max to 90% of earnings (~$305,100)</t>
  </si>
  <si>
    <t>Top 18% of earners (above current $184,500 cap)</t>
  </si>
  <si>
    <t>Additional taxed earnings also increase future benefits for those earners, partially offsetting revenue gains</t>
  </si>
  <si>
    <t>CBO Budget Options 2024; CRFB Mar 2025</t>
  </si>
  <si>
    <t>B. Apply 12.4% tax on earnings &gt; $250K ("donut hole," no benefit credit)</t>
  </si>
  <si>
    <t>Top 6% of earners; gap between cap and $250K untaxed</t>
  </si>
  <si>
    <t>No benefit credit means pure revenue gain; most aggressive solvency fix among cap options</t>
  </si>
  <si>
    <t>CBO Budget Options; CRFB Mar 2025</t>
  </si>
  <si>
    <t>C. Eliminate the cap entirely (with benefit credit)</t>
  </si>
  <si>
    <t>All earners above $184,500 (2026 cap)</t>
  </si>
  <si>
    <t>Largest gross revenue but future benefit obligations grow; net trust-fund gain smaller than 'no-credit' version</t>
  </si>
  <si>
    <t>SS Trustees; PGPF May 2025</t>
  </si>
  <si>
    <t>D. Eliminate the cap entirely (no benefit credit)</t>
  </si>
  <si>
    <t>Not separately estimated</t>
  </si>
  <si>
    <t>Breaks the traditional tax-benefit link; strongest solvency effect but most politically contentious</t>
  </si>
  <si>
    <t>PGPF / SSA Chief Actuary</t>
  </si>
  <si>
    <t>E. Cover newly hired state &amp; local government workers</t>
  </si>
  <si>
    <t>Not separately est.</t>
  </si>
  <si>
    <t>25% of state/local employees currently opted out</t>
  </si>
  <si>
    <t>Long-term net positive: added payroll tax now, modest benefit costs decades later</t>
  </si>
  <si>
    <t>F. Increase covered workers via immigration</t>
  </si>
  <si>
    <t>Immigrant workers entering the labor force</t>
  </si>
  <si>
    <t>CBO: 2021-2026 immigration surge reduces 10-year deficit by $0.9T; SS chief actuary confirms positive trust-fund effect</t>
  </si>
  <si>
    <t>CBO Jun 2024; BPC Dec 2025</t>
  </si>
  <si>
    <t>G. Raise payroll tax rate by 1 pp (to 13.4%)</t>
  </si>
  <si>
    <t>All covered workers and employers</t>
  </si>
  <si>
    <t>Broad-based; most regressive option since lower earners pay higher share of income in payroll tax</t>
  </si>
  <si>
    <t>CRFB Jul 2025 (CBO revenue options)</t>
  </si>
  <si>
    <t>SECTION 3: BENEFIT-SIDE FIXES (FOR CONTEXT)</t>
  </si>
  <si>
    <t>10-Year Savings ($B)</t>
  </si>
  <si>
    <t>Progressive indexing (Simpson-Bowles formula)</t>
  </si>
  <si>
    <t>170-280</t>
  </si>
  <si>
    <t>Slow benefit growth for higher earners; protect bottom 50%</t>
  </si>
  <si>
    <t>CRFB Mar 2025</t>
  </si>
  <si>
    <t>Switch COLA to chained CPI</t>
  </si>
  <si>
    <t>More accurate inflation measure; $350B if applied gov-wide</t>
  </si>
  <si>
    <t>CBO; CRFB Mar 2025</t>
  </si>
  <si>
    <t>Raise full retirement age to 70 (2 mo/yr)</t>
  </si>
  <si>
    <t>Reflects longer life expectancy; phased in gradually</t>
  </si>
  <si>
    <t>Tighten SSDI work-recency requirement</t>
  </si>
  <si>
    <t>From 5-of-10 years to 4-of-6 years</t>
  </si>
  <si>
    <t>SECTION 4: CONNECTION TO FEDERAL DEBT STABILIZATION</t>
  </si>
  <si>
    <t>Projected FY2026 federal deficit</t>
  </si>
  <si>
    <t>CBO 2025 Baseline</t>
  </si>
  <si>
    <t>Debt held by public (current, % of GDP)</t>
  </si>
  <si>
    <t>% GDP</t>
  </si>
  <si>
    <t>BPC / CBO Nov 2025</t>
  </si>
  <si>
    <t>Projected debt in 2036 (% of GDP)</t>
  </si>
  <si>
    <t>CBO Long-Term Outlook 2025</t>
  </si>
  <si>
    <t>10-year SS shortfall if no action</t>
  </si>
  <si>
    <t>Benefit cut at OASI depletion (2033)</t>
  </si>
  <si>
    <t>SECTION 5: ILLUSTRATIVE POLICY COMBINATIONS</t>
  </si>
  <si>
    <t>Scenario</t>
  </si>
  <si>
    <t>Components</t>
  </si>
  <si>
    <t>Est. 10-Year Revenue / Savings ($B)</t>
  </si>
  <si>
    <t>Est. 75-Year Gap Closed</t>
  </si>
  <si>
    <t>Debt Stabilization Effect</t>
  </si>
  <si>
    <t>Moderate Revenue</t>
  </si>
  <si>
    <t>A (raise cap to 90%) + E (cover state/local)</t>
  </si>
  <si>
    <t>$980B</t>
  </si>
  <si>
    <t>20-25%</t>
  </si>
  <si>
    <t>Reduces 10-yr SS shortfall by ~38%; modest debt-to-GDP improvement</t>
  </si>
  <si>
    <t>Aggressive Revenue</t>
  </si>
  <si>
    <t>B (donut hole $250K+) + E (cover state/local) + F (immigration)</t>
  </si>
  <si>
    <t>$2,680B</t>
  </si>
  <si>
    <t>70%+</t>
  </si>
  <si>
    <t>Nearly closes 10-yr SS shortfall; significant debt-to-GDP reduction</t>
  </si>
  <si>
    <t>Balanced (Revenue + Benefits)</t>
  </si>
  <si>
    <t>A (raise cap to 90%) + E (state/local) + chained CPI + raise retirement age</t>
  </si>
  <si>
    <t>$1,390B</t>
  </si>
  <si>
    <t>65%+</t>
  </si>
  <si>
    <t>Addresses both sides; strongest long-term solvency signal to bond markets</t>
  </si>
  <si>
    <t>Full Solvency Package</t>
  </si>
  <si>
    <t>B (donut hole $250K+) + E + chained CPI + progressive indexing</t>
  </si>
  <si>
    <t>$2,110-$2,220B</t>
  </si>
  <si>
    <t>80%+</t>
  </si>
  <si>
    <t>Near-full 75-year solvency; removes SS from debt-driver projections</t>
  </si>
  <si>
    <t>Note: Combined effects are approximate. CBO cautions that interactions between policies mean combined savings do not always equal the sum of individual estimates.</t>
  </si>
  <si>
    <t>Sources: CBO Budget Options (2024-2025), CRFB (Mar 2025), 2025 Social Security Trustees Report, PGPF (May 2025), SSA COLA (Oct 2025), BPC (Dec 2025), CBO Immigration Report (Jun 2024).</t>
  </si>
  <si>
    <t>Outlays (millions of dollars)</t>
  </si>
  <si>
    <t>Interest on Treasury debt securities (gross)</t>
  </si>
  <si>
    <t>Interest received by trust funds</t>
  </si>
  <si>
    <t>Interest on investments in public debt securities</t>
  </si>
  <si>
    <t>Offsets, income from donated securities</t>
  </si>
  <si>
    <t>Earnings on investments, perishable agricultural commodities</t>
  </si>
  <si>
    <t>Proprietary Transactions</t>
  </si>
  <si>
    <t>Earning on investments, Native American institutions endowment</t>
  </si>
  <si>
    <t>Subfunction 908 receipts</t>
  </si>
  <si>
    <t>Earnings on investments, Abandoned Mine Reclamation Fund</t>
  </si>
  <si>
    <t>Interest, tribal funds</t>
  </si>
  <si>
    <t>Natural resources damages from legal action</t>
  </si>
  <si>
    <t>Wildlife restoration fund</t>
  </si>
  <si>
    <t>Earnings on investments, Indian irrigation system</t>
  </si>
  <si>
    <t>Earnings on Investments, Indian Irrigation System</t>
  </si>
  <si>
    <t>Interest received from Outer Continental Shelf</t>
  </si>
  <si>
    <t>Treasury Other</t>
  </si>
  <si>
    <t>Earnings on investments, U.S. trustees system</t>
  </si>
  <si>
    <t>Interest on UI loans to states</t>
  </si>
  <si>
    <t>Interest on investments, Panama Canal Commission, Labor</t>
  </si>
  <si>
    <t>Interest on investments, Foreign service national defined contribution</t>
  </si>
  <si>
    <t>Refunding internal revenue collections, interest</t>
  </si>
  <si>
    <t>Interest received from unemployment trust fund</t>
  </si>
  <si>
    <t xml:space="preserve">Payment to the Resolution Funding Corporation                   </t>
  </si>
  <si>
    <t xml:space="preserve">Interest on Uninvested Funds                                    </t>
  </si>
  <si>
    <t>Interest, Financial Research Fund</t>
  </si>
  <si>
    <t>Interest from FFB</t>
  </si>
  <si>
    <t>Earnings on investments in US securities, federal supplemental</t>
  </si>
  <si>
    <t>Proprietary receipts</t>
  </si>
  <si>
    <t>Intragovernmental interest</t>
  </si>
  <si>
    <t>Net interest paid from credit financing accounts</t>
  </si>
  <si>
    <t>Other proprietary receipts from the public, SMI and HI</t>
  </si>
  <si>
    <t>Interest, USPS Retiree Health Benefits Fund</t>
  </si>
  <si>
    <t>Proprietary Receipts</t>
  </si>
  <si>
    <t>Monetary Sanctions, Investor Protection Fund, SEC</t>
  </si>
  <si>
    <t>General fund property receipts not otherwise classified</t>
  </si>
  <si>
    <t>Earnings on investments, National Flood Insurance Reserve Fund</t>
  </si>
  <si>
    <t>Interest, Child Enrollment Contingency Fund</t>
  </si>
  <si>
    <t>Interest, National Archives Administration</t>
  </si>
  <si>
    <t>Interest from nuclear waste fund</t>
  </si>
  <si>
    <t>Earnings on investments, Uranium D&amp;D Fund</t>
  </si>
  <si>
    <t>Earnings on investments, Department of Defense-Military</t>
  </si>
  <si>
    <t>Interest Earnings on Investments In Treasury Securities, FHFA</t>
  </si>
  <si>
    <t>Earnings on Investments, Bureau of Consumer Financial Protection</t>
  </si>
  <si>
    <t>Gains and losses on non-federal securities, National railroad retirement</t>
  </si>
  <si>
    <t>1. CBO's Baseline Projections of Revenues</t>
  </si>
  <si>
    <t>Fiscal Year</t>
  </si>
  <si>
    <t>Actual,
2022</t>
  </si>
  <si>
    <t>2024–
2028</t>
  </si>
  <si>
    <t>2024–
2055</t>
  </si>
  <si>
    <t xml:space="preserve">Other </t>
  </si>
  <si>
    <t>Off-budgetᵃ</t>
  </si>
  <si>
    <t>Memorandum:</t>
  </si>
  <si>
    <t xml:space="preserve">Gross Domestic Product </t>
  </si>
  <si>
    <t>Gross Domestic Income</t>
  </si>
  <si>
    <t>As a Percentage of Gross Domestic Product</t>
  </si>
  <si>
    <t>Data source: Congressional Budget Office.</t>
  </si>
  <si>
    <t>a. Receipts from Social Security payroll taxes.</t>
  </si>
  <si>
    <t>2024–
2033</t>
  </si>
  <si>
    <t>Fiscal year</t>
  </si>
  <si>
    <t>Actual,
2023</t>
  </si>
  <si>
    <t>2025–
2029</t>
  </si>
  <si>
    <t>2025–
2034</t>
  </si>
  <si>
    <t>Individual income taxes</t>
  </si>
  <si>
    <t>Payroll taxes</t>
  </si>
  <si>
    <t>Corporate income taxes</t>
  </si>
  <si>
    <t>_____</t>
  </si>
  <si>
    <t>______</t>
  </si>
  <si>
    <t xml:space="preserve">Gross domestic product </t>
  </si>
  <si>
    <t xml:space="preserve">Gross domestic income </t>
  </si>
  <si>
    <t>As a percentage of gross domestic product</t>
  </si>
  <si>
    <t>Actual,
2024</t>
  </si>
  <si>
    <t>2026–
2030</t>
  </si>
  <si>
    <t>2026–
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</si>
</sst>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_(* #,##0.000_);_(* \(#,##0.000\);_(* &quot;-&quot;??_);_(@_)"/>
    <numFmt numFmtId="166" formatCode="_(* #,##0_);_(* \(#,##0\);_(* &quot;-&quot;??_);_(@_)"/>
    <numFmt numFmtId="167" formatCode="_(* #,##0.0_);_(* \(#,##0.0\);_(* &quot;-&quot;??_);_(@_)"/>
    <numFmt numFmtId="168" formatCode="0.000"/>
    <numFmt numFmtId="169" formatCode="#,##0.0"/>
    <numFmt numFmtId="170" formatCode="0.0"/>
    <numFmt numFmtId="171" formatCode="&quot;$&quot;#,##0"/>
    <numFmt numFmtId="172" formatCode="#,###,##0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sz val="11"/>
      <color rgb="FF000000"/>
      <name val="Arial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sz val="11"/>
      <color rgb="FF000000"/>
      <name val="Calibri"/>
      <family val="2"/>
    </font>
    <font>
      <i/>
      <sz val="11"/>
      <color theme="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u/>
      <sz val="11"/>
      <color rgb="FF000000"/>
      <name val="Arial"/>
      <family val="2"/>
    </font>
    <font>
      <sz val="12"/>
      <color rgb="FF000000"/>
      <name val="Aptos Narrow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sz val="9"/>
      <name val="Arial"/>
      <family val="2"/>
    </font>
    <font>
      <i/>
      <sz val="8"/>
      <color rgb="FF888888"/>
      <name val="Arial"/>
      <family val="2"/>
    </font>
    <font>
      <b/>
      <i/>
      <sz val="11"/>
      <color theme="9"/>
      <name val="Calibri"/>
      <family val="2"/>
      <scheme val="minor"/>
    </font>
    <font>
      <b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trike/>
      <sz val="11"/>
      <color theme="1"/>
      <name val="Calibri"/>
      <family val="2"/>
      <scheme val="minor"/>
    </font>
    <font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F7F7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17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2" borderId="0" xfId="0" applyFill="1"/>
    <xf numFmtId="0" fontId="5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/>
    <xf numFmtId="0" fontId="0" fillId="0" borderId="1" xfId="0" applyBorder="1"/>
    <xf numFmtId="0" fontId="8" fillId="0" borderId="0" xfId="0" applyFont="1"/>
    <xf numFmtId="0" fontId="8" fillId="0" borderId="1" xfId="0" applyFont="1" applyBorder="1" applyAlignment="1">
      <alignment horizontal="right" wrapText="1"/>
    </xf>
    <xf numFmtId="165" fontId="8" fillId="0" borderId="0" xfId="2" applyNumberFormat="1" applyFont="1"/>
    <xf numFmtId="166" fontId="8" fillId="0" borderId="0" xfId="2" applyNumberFormat="1" applyFont="1"/>
    <xf numFmtId="165" fontId="9" fillId="0" borderId="0" xfId="2" applyNumberFormat="1" applyFont="1"/>
    <xf numFmtId="166" fontId="9" fillId="0" borderId="0" xfId="2" applyNumberFormat="1" applyFont="1"/>
    <xf numFmtId="0" fontId="7" fillId="0" borderId="0" xfId="0" applyFont="1"/>
    <xf numFmtId="165" fontId="7" fillId="0" borderId="0" xfId="2" applyNumberFormat="1" applyFont="1"/>
    <xf numFmtId="166" fontId="7" fillId="0" borderId="0" xfId="2" applyNumberFormat="1" applyFont="1"/>
    <xf numFmtId="166" fontId="0" fillId="0" borderId="0" xfId="0" applyNumberFormat="1"/>
    <xf numFmtId="167" fontId="8" fillId="0" borderId="0" xfId="2" applyNumberFormat="1" applyFont="1"/>
    <xf numFmtId="167" fontId="9" fillId="0" borderId="0" xfId="2" applyNumberFormat="1" applyFont="1"/>
    <xf numFmtId="167" fontId="7" fillId="0" borderId="0" xfId="2" applyNumberFormat="1" applyFont="1"/>
    <xf numFmtId="167" fontId="8" fillId="0" borderId="1" xfId="2" applyNumberFormat="1" applyFont="1" applyBorder="1"/>
    <xf numFmtId="9" fontId="8" fillId="0" borderId="0" xfId="3" applyFont="1"/>
    <xf numFmtId="168" fontId="8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indent="2"/>
    </xf>
    <xf numFmtId="166" fontId="8" fillId="0" borderId="0" xfId="2" applyNumberFormat="1" applyFont="1" applyAlignment="1">
      <alignment horizontal="right"/>
    </xf>
    <xf numFmtId="0" fontId="7" fillId="0" borderId="0" xfId="0" applyFont="1" applyAlignment="1">
      <alignment horizontal="left" indent="1"/>
    </xf>
    <xf numFmtId="166" fontId="8" fillId="0" borderId="0" xfId="0" applyNumberFormat="1" applyFont="1"/>
    <xf numFmtId="0" fontId="8" fillId="0" borderId="1" xfId="0" applyFont="1" applyBorder="1" applyAlignment="1">
      <alignment horizontal="left" indent="2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indent="5"/>
    </xf>
    <xf numFmtId="0" fontId="8" fillId="0" borderId="0" xfId="0" applyFont="1" applyAlignment="1">
      <alignment horizontal="left" indent="6"/>
    </xf>
    <xf numFmtId="37" fontId="8" fillId="0" borderId="0" xfId="2" applyNumberFormat="1" applyFont="1"/>
    <xf numFmtId="0" fontId="8" fillId="0" borderId="1" xfId="0" applyFont="1" applyBorder="1" applyAlignment="1">
      <alignment horizontal="left" indent="6"/>
    </xf>
    <xf numFmtId="0" fontId="11" fillId="0" borderId="3" xfId="0" applyFont="1" applyBorder="1"/>
    <xf numFmtId="14" fontId="12" fillId="0" borderId="4" xfId="0" applyNumberFormat="1" applyFont="1" applyBorder="1"/>
    <xf numFmtId="171" fontId="0" fillId="0" borderId="0" xfId="0" applyNumberFormat="1"/>
    <xf numFmtId="164" fontId="12" fillId="0" borderId="4" xfId="0" applyNumberFormat="1" applyFont="1" applyBorder="1"/>
    <xf numFmtId="170" fontId="8" fillId="0" borderId="0" xfId="0" applyNumberFormat="1" applyFont="1"/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10" fontId="14" fillId="0" borderId="0" xfId="0" applyNumberFormat="1" applyFont="1"/>
    <xf numFmtId="10" fontId="14" fillId="0" borderId="0" xfId="1" applyNumberFormat="1" applyFont="1"/>
    <xf numFmtId="10" fontId="14" fillId="0" borderId="0" xfId="0" applyNumberFormat="1" applyFont="1" applyAlignment="1">
      <alignment horizontal="center"/>
    </xf>
    <xf numFmtId="0" fontId="1" fillId="0" borderId="0" xfId="1"/>
    <xf numFmtId="3" fontId="0" fillId="0" borderId="0" xfId="0" applyNumberFormat="1"/>
    <xf numFmtId="169" fontId="0" fillId="0" borderId="0" xfId="0" applyNumberFormat="1" applyAlignment="1">
      <alignment horizontal="center"/>
    </xf>
    <xf numFmtId="0" fontId="2" fillId="2" borderId="0" xfId="0" applyFont="1" applyFill="1"/>
    <xf numFmtId="169" fontId="2" fillId="2" borderId="0" xfId="0" applyNumberFormat="1" applyFont="1" applyFill="1" applyAlignment="1">
      <alignment horizontal="center"/>
    </xf>
    <xf numFmtId="0" fontId="2" fillId="2" borderId="5" xfId="0" applyFont="1" applyFill="1" applyBorder="1"/>
    <xf numFmtId="0" fontId="2" fillId="2" borderId="0" xfId="0" applyFont="1" applyFill="1" applyAlignment="1">
      <alignment horizontal="left"/>
    </xf>
    <xf numFmtId="172" fontId="8" fillId="0" borderId="0" xfId="0" applyNumberFormat="1" applyFont="1"/>
    <xf numFmtId="49" fontId="10" fillId="0" borderId="6" xfId="0" applyNumberFormat="1" applyFont="1" applyBorder="1"/>
    <xf numFmtId="170" fontId="7" fillId="0" borderId="0" xfId="0" applyNumberFormat="1" applyFont="1"/>
    <xf numFmtId="1" fontId="0" fillId="0" borderId="0" xfId="0" applyNumberFormat="1" applyAlignment="1">
      <alignment horizontal="center"/>
    </xf>
    <xf numFmtId="0" fontId="10" fillId="0" borderId="0" xfId="0" applyFont="1"/>
    <xf numFmtId="0" fontId="1" fillId="0" borderId="0" xfId="1" applyFill="1" applyBorder="1" applyAlignment="1"/>
    <xf numFmtId="0" fontId="10" fillId="0" borderId="1" xfId="0" applyFont="1" applyBorder="1"/>
    <xf numFmtId="0" fontId="1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3" fontId="10" fillId="0" borderId="0" xfId="0" applyNumberFormat="1" applyFont="1"/>
    <xf numFmtId="0" fontId="20" fillId="0" borderId="0" xfId="0" applyFont="1"/>
    <xf numFmtId="3" fontId="20" fillId="0" borderId="0" xfId="0" applyNumberFormat="1" applyFont="1"/>
    <xf numFmtId="0" fontId="18" fillId="0" borderId="0" xfId="0" applyFont="1"/>
    <xf numFmtId="3" fontId="18" fillId="0" borderId="0" xfId="0" applyNumberFormat="1" applyFont="1"/>
    <xf numFmtId="3" fontId="2" fillId="2" borderId="0" xfId="0" applyNumberFormat="1" applyFont="1" applyFill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14" fontId="0" fillId="0" borderId="0" xfId="0" applyNumberFormat="1"/>
    <xf numFmtId="0" fontId="8" fillId="0" borderId="8" xfId="0" applyFont="1" applyBorder="1"/>
    <xf numFmtId="170" fontId="8" fillId="0" borderId="9" xfId="0" applyNumberFormat="1" applyFont="1" applyBorder="1"/>
    <xf numFmtId="170" fontId="7" fillId="0" borderId="9" xfId="0" applyNumberFormat="1" applyFont="1" applyBorder="1"/>
    <xf numFmtId="0" fontId="0" fillId="0" borderId="9" xfId="0" applyBorder="1"/>
    <xf numFmtId="10" fontId="14" fillId="0" borderId="9" xfId="0" applyNumberFormat="1" applyFont="1" applyBorder="1"/>
    <xf numFmtId="0" fontId="21" fillId="0" borderId="0" xfId="0" applyFont="1"/>
    <xf numFmtId="0" fontId="13" fillId="0" borderId="0" xfId="0" applyFont="1"/>
    <xf numFmtId="0" fontId="4" fillId="5" borderId="10" xfId="0" applyFont="1" applyFill="1" applyBorder="1"/>
    <xf numFmtId="0" fontId="4" fillId="5" borderId="11" xfId="0" applyFont="1" applyFill="1" applyBorder="1"/>
    <xf numFmtId="0" fontId="3" fillId="0" borderId="12" xfId="0" applyFont="1" applyBorder="1"/>
    <xf numFmtId="0" fontId="23" fillId="0" borderId="13" xfId="0" applyFont="1" applyBorder="1"/>
    <xf numFmtId="6" fontId="23" fillId="0" borderId="13" xfId="0" applyNumberFormat="1" applyFont="1" applyBorder="1"/>
    <xf numFmtId="0" fontId="3" fillId="0" borderId="13" xfId="0" applyFont="1" applyBorder="1"/>
    <xf numFmtId="0" fontId="24" fillId="0" borderId="13" xfId="0" applyFont="1" applyBorder="1"/>
    <xf numFmtId="10" fontId="23" fillId="0" borderId="13" xfId="0" applyNumberFormat="1" applyFont="1" applyBorder="1"/>
    <xf numFmtId="0" fontId="24" fillId="0" borderId="13" xfId="0" quotePrefix="1" applyFont="1" applyBorder="1"/>
    <xf numFmtId="0" fontId="4" fillId="5" borderId="10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9" fontId="23" fillId="0" borderId="13" xfId="0" applyNumberFormat="1" applyFont="1" applyBorder="1"/>
    <xf numFmtId="0" fontId="25" fillId="0" borderId="13" xfId="0" applyFont="1" applyBorder="1" applyAlignment="1">
      <alignment wrapText="1"/>
    </xf>
    <xf numFmtId="0" fontId="4" fillId="6" borderId="12" xfId="0" applyFont="1" applyFill="1" applyBorder="1" applyAlignment="1">
      <alignment wrapText="1"/>
    </xf>
    <xf numFmtId="0" fontId="23" fillId="6" borderId="13" xfId="0" applyFont="1" applyFill="1" applyBorder="1"/>
    <xf numFmtId="6" fontId="23" fillId="6" borderId="13" xfId="0" applyNumberFormat="1" applyFont="1" applyFill="1" applyBorder="1"/>
    <xf numFmtId="0" fontId="25" fillId="6" borderId="13" xfId="0" applyFont="1" applyFill="1" applyBorder="1" applyAlignment="1">
      <alignment wrapText="1"/>
    </xf>
    <xf numFmtId="0" fontId="4" fillId="8" borderId="10" xfId="0" applyFont="1" applyFill="1" applyBorder="1"/>
    <xf numFmtId="0" fontId="4" fillId="8" borderId="11" xfId="0" applyFont="1" applyFill="1" applyBorder="1"/>
    <xf numFmtId="0" fontId="3" fillId="0" borderId="12" xfId="0" applyFont="1" applyBorder="1" applyAlignment="1">
      <alignment wrapText="1"/>
    </xf>
    <xf numFmtId="0" fontId="24" fillId="0" borderId="13" xfId="0" applyFont="1" applyBorder="1" applyAlignment="1">
      <alignment wrapText="1"/>
    </xf>
    <xf numFmtId="0" fontId="24" fillId="0" borderId="12" xfId="0" applyFont="1" applyBorder="1"/>
    <xf numFmtId="0" fontId="3" fillId="0" borderId="13" xfId="0" applyFont="1" applyBorder="1" applyAlignment="1">
      <alignment wrapText="1"/>
    </xf>
    <xf numFmtId="0" fontId="2" fillId="2" borderId="14" xfId="0" applyFont="1" applyFill="1" applyBorder="1"/>
    <xf numFmtId="3" fontId="2" fillId="2" borderId="14" xfId="0" applyNumberFormat="1" applyFont="1" applyFill="1" applyBorder="1" applyAlignment="1">
      <alignment horizontal="center"/>
    </xf>
    <xf numFmtId="0" fontId="0" fillId="2" borderId="14" xfId="0" applyFill="1" applyBorder="1"/>
    <xf numFmtId="0" fontId="2" fillId="2" borderId="15" xfId="0" applyFont="1" applyFill="1" applyBorder="1"/>
    <xf numFmtId="3" fontId="2" fillId="2" borderId="15" xfId="0" applyNumberFormat="1" applyFont="1" applyFill="1" applyBorder="1" applyAlignment="1">
      <alignment horizontal="center"/>
    </xf>
    <xf numFmtId="0" fontId="0" fillId="0" borderId="15" xfId="0" applyBorder="1"/>
    <xf numFmtId="10" fontId="0" fillId="0" borderId="0" xfId="0" applyNumberFormat="1" applyAlignment="1">
      <alignment horizontal="center"/>
    </xf>
    <xf numFmtId="10" fontId="0" fillId="0" borderId="0" xfId="0" applyNumberFormat="1"/>
    <xf numFmtId="3" fontId="2" fillId="0" borderId="0" xfId="0" applyNumberFormat="1" applyFont="1"/>
    <xf numFmtId="0" fontId="28" fillId="0" borderId="0" xfId="0" applyFont="1" applyAlignment="1">
      <alignment wrapText="1"/>
    </xf>
    <xf numFmtId="0" fontId="19" fillId="0" borderId="0" xfId="0" applyFont="1"/>
    <xf numFmtId="0" fontId="19" fillId="0" borderId="1" xfId="0" applyFont="1" applyBorder="1"/>
    <xf numFmtId="0" fontId="28" fillId="0" borderId="1" xfId="0" applyFont="1" applyBorder="1" applyAlignment="1">
      <alignment wrapText="1"/>
    </xf>
    <xf numFmtId="0" fontId="28" fillId="0" borderId="0" xfId="0" applyFont="1"/>
    <xf numFmtId="0" fontId="19" fillId="0" borderId="0" xfId="0" applyFont="1" applyAlignment="1">
      <alignment wrapText="1"/>
    </xf>
    <xf numFmtId="0" fontId="29" fillId="0" borderId="0" xfId="0" applyFont="1"/>
    <xf numFmtId="0" fontId="28" fillId="0" borderId="1" xfId="0" applyFont="1" applyBorder="1"/>
    <xf numFmtId="3" fontId="19" fillId="0" borderId="0" xfId="0" applyNumberFormat="1" applyFont="1"/>
    <xf numFmtId="3" fontId="28" fillId="0" borderId="0" xfId="0" applyNumberFormat="1" applyFont="1"/>
    <xf numFmtId="0" fontId="19" fillId="9" borderId="0" xfId="0" applyFont="1" applyFill="1" applyAlignment="1">
      <alignment wrapText="1"/>
    </xf>
    <xf numFmtId="0" fontId="19" fillId="9" borderId="0" xfId="0" applyFont="1" applyFill="1"/>
    <xf numFmtId="10" fontId="19" fillId="0" borderId="0" xfId="0" applyNumberFormat="1" applyFont="1"/>
    <xf numFmtId="170" fontId="0" fillId="0" borderId="0" xfId="0" applyNumberFormat="1"/>
    <xf numFmtId="1" fontId="0" fillId="0" borderId="0" xfId="0" applyNumberFormat="1"/>
    <xf numFmtId="10" fontId="29" fillId="0" borderId="0" xfId="0" applyNumberFormat="1" applyFont="1"/>
    <xf numFmtId="1" fontId="2" fillId="0" borderId="0" xfId="0" applyNumberFormat="1" applyFont="1"/>
    <xf numFmtId="0" fontId="30" fillId="0" borderId="0" xfId="0" applyFont="1"/>
    <xf numFmtId="0" fontId="3" fillId="11" borderId="12" xfId="0" applyFont="1" applyFill="1" applyBorder="1" applyAlignment="1">
      <alignment wrapText="1"/>
    </xf>
    <xf numFmtId="0" fontId="23" fillId="11" borderId="13" xfId="0" applyFont="1" applyFill="1" applyBorder="1"/>
    <xf numFmtId="9" fontId="23" fillId="11" borderId="13" xfId="0" applyNumberFormat="1" applyFont="1" applyFill="1" applyBorder="1"/>
    <xf numFmtId="0" fontId="24" fillId="11" borderId="13" xfId="0" applyFont="1" applyFill="1" applyBorder="1" applyAlignment="1">
      <alignment wrapText="1"/>
    </xf>
    <xf numFmtId="0" fontId="13" fillId="11" borderId="0" xfId="0" applyFont="1" applyFill="1"/>
    <xf numFmtId="0" fontId="24" fillId="11" borderId="12" xfId="0" applyFont="1" applyFill="1" applyBorder="1"/>
    <xf numFmtId="0" fontId="0" fillId="11" borderId="0" xfId="0" applyFill="1"/>
    <xf numFmtId="0" fontId="31" fillId="0" borderId="0" xfId="0" applyFont="1"/>
    <xf numFmtId="0" fontId="32" fillId="0" borderId="0" xfId="0" applyFont="1"/>
    <xf numFmtId="8" fontId="31" fillId="0" borderId="0" xfId="0" applyNumberFormat="1" applyFont="1"/>
    <xf numFmtId="8" fontId="0" fillId="0" borderId="0" xfId="0" applyNumberFormat="1"/>
    <xf numFmtId="0" fontId="15" fillId="12" borderId="0" xfId="0" applyFont="1" applyFill="1"/>
    <xf numFmtId="0" fontId="2" fillId="13" borderId="15" xfId="0" applyFont="1" applyFill="1" applyBorder="1"/>
    <xf numFmtId="10" fontId="2" fillId="13" borderId="5" xfId="0" applyNumberFormat="1" applyFont="1" applyFill="1" applyBorder="1"/>
    <xf numFmtId="0" fontId="2" fillId="13" borderId="0" xfId="0" applyFont="1" applyFill="1"/>
    <xf numFmtId="3" fontId="2" fillId="13" borderId="0" xfId="0" applyNumberFormat="1" applyFont="1" applyFill="1" applyAlignment="1">
      <alignment horizontal="center"/>
    </xf>
    <xf numFmtId="10" fontId="2" fillId="10" borderId="5" xfId="0" applyNumberFormat="1" applyFont="1" applyFill="1" applyBorder="1" applyAlignment="1">
      <alignment horizontal="center"/>
    </xf>
    <xf numFmtId="10" fontId="2" fillId="13" borderId="5" xfId="0" applyNumberFormat="1" applyFont="1" applyFill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0" fontId="2" fillId="10" borderId="0" xfId="0" applyNumberFormat="1" applyFont="1" applyFill="1" applyAlignment="1">
      <alignment horizontal="center"/>
    </xf>
    <xf numFmtId="10" fontId="2" fillId="10" borderId="14" xfId="0" applyNumberFormat="1" applyFont="1" applyFill="1" applyBorder="1" applyAlignment="1">
      <alignment horizontal="center"/>
    </xf>
    <xf numFmtId="10" fontId="2" fillId="10" borderId="15" xfId="0" applyNumberFormat="1" applyFont="1" applyFill="1" applyBorder="1" applyAlignment="1">
      <alignment horizontal="center"/>
    </xf>
    <xf numFmtId="10" fontId="2" fillId="13" borderId="0" xfId="0" applyNumberFormat="1" applyFont="1" applyFill="1" applyAlignment="1">
      <alignment horizontal="center"/>
    </xf>
    <xf numFmtId="0" fontId="0" fillId="0" borderId="14" xfId="0" applyBorder="1"/>
    <xf numFmtId="3" fontId="2" fillId="0" borderId="14" xfId="0" applyNumberFormat="1" applyFont="1" applyBorder="1" applyAlignment="1">
      <alignment horizontal="center"/>
    </xf>
    <xf numFmtId="0" fontId="2" fillId="0" borderId="14" xfId="0" applyFont="1" applyBorder="1"/>
    <xf numFmtId="0" fontId="32" fillId="2" borderId="0" xfId="0" applyFont="1" applyFill="1"/>
    <xf numFmtId="8" fontId="32" fillId="2" borderId="0" xfId="0" applyNumberFormat="1" applyFont="1" applyFill="1"/>
    <xf numFmtId="0" fontId="0" fillId="12" borderId="0" xfId="0" applyFill="1"/>
    <xf numFmtId="0" fontId="2" fillId="13" borderId="14" xfId="0" applyFont="1" applyFill="1" applyBorder="1"/>
    <xf numFmtId="170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9" fontId="2" fillId="2" borderId="0" xfId="0" applyNumberFormat="1" applyFont="1" applyFill="1" applyAlignment="1">
      <alignment horizontal="center" vertical="center"/>
    </xf>
    <xf numFmtId="10" fontId="2" fillId="10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27" fillId="10" borderId="0" xfId="0" applyNumberFormat="1" applyFont="1" applyFill="1" applyAlignment="1">
      <alignment horizontal="center" vertical="center"/>
    </xf>
    <xf numFmtId="10" fontId="2" fillId="13" borderId="0" xfId="0" applyNumberFormat="1" applyFont="1" applyFill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27" fillId="1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4" fillId="0" borderId="0" xfId="1" applyNumberFormat="1" applyFont="1" applyAlignment="1">
      <alignment horizontal="center" vertical="center"/>
    </xf>
    <xf numFmtId="10" fontId="2" fillId="13" borderId="0" xfId="0" applyNumberFormat="1" applyFont="1" applyFill="1"/>
    <xf numFmtId="3" fontId="33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 vertical="center"/>
    </xf>
    <xf numFmtId="10" fontId="34" fillId="0" borderId="0" xfId="0" applyNumberFormat="1" applyFont="1"/>
    <xf numFmtId="16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9" borderId="0" xfId="0" applyFont="1" applyFill="1"/>
    <xf numFmtId="3" fontId="2" fillId="9" borderId="0" xfId="0" applyNumberFormat="1" applyFont="1" applyFill="1"/>
    <xf numFmtId="3" fontId="2" fillId="9" borderId="0" xfId="0" applyNumberFormat="1" applyFont="1" applyFill="1" applyAlignment="1">
      <alignment horizontal="center"/>
    </xf>
    <xf numFmtId="1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0" fontId="27" fillId="9" borderId="0" xfId="0" applyNumberFormat="1" applyFont="1" applyFill="1" applyAlignment="1">
      <alignment horizontal="center" vertical="center"/>
    </xf>
    <xf numFmtId="3" fontId="2" fillId="9" borderId="14" xfId="0" applyNumberFormat="1" applyFont="1" applyFill="1" applyBorder="1"/>
    <xf numFmtId="0" fontId="2" fillId="9" borderId="15" xfId="0" applyFont="1" applyFill="1" applyBorder="1"/>
    <xf numFmtId="3" fontId="2" fillId="9" borderId="15" xfId="0" applyNumberFormat="1" applyFont="1" applyFill="1" applyBorder="1" applyAlignment="1">
      <alignment horizontal="center"/>
    </xf>
    <xf numFmtId="1" fontId="2" fillId="9" borderId="0" xfId="0" applyNumberFormat="1" applyFont="1" applyFill="1"/>
    <xf numFmtId="0" fontId="2" fillId="9" borderId="14" xfId="0" applyFont="1" applyFill="1" applyBorder="1"/>
    <xf numFmtId="4" fontId="2" fillId="9" borderId="0" xfId="0" applyNumberFormat="1" applyFont="1" applyFill="1"/>
    <xf numFmtId="0" fontId="0" fillId="9" borderId="0" xfId="0" applyFill="1"/>
    <xf numFmtId="49" fontId="8" fillId="0" borderId="7" xfId="0" applyNumberFormat="1" applyFont="1" applyBorder="1"/>
    <xf numFmtId="49" fontId="8" fillId="3" borderId="7" xfId="0" applyNumberFormat="1" applyFont="1" applyFill="1" applyBorder="1"/>
    <xf numFmtId="0" fontId="28" fillId="0" borderId="0" xfId="0" applyFont="1"/>
    <xf numFmtId="0" fontId="28" fillId="0" borderId="1" xfId="0" applyFont="1" applyBorder="1" applyAlignment="1">
      <alignment wrapText="1"/>
    </xf>
    <xf numFmtId="0" fontId="28" fillId="0" borderId="1" xfId="0" applyFont="1" applyBorder="1"/>
    <xf numFmtId="0" fontId="28" fillId="0" borderId="2" xfId="0" applyFont="1" applyBorder="1"/>
    <xf numFmtId="0" fontId="31" fillId="0" borderId="0" xfId="0" applyFont="1"/>
    <xf numFmtId="0" fontId="28" fillId="0" borderId="0" xfId="0" applyFont="1" applyAlignment="1">
      <alignment wrapText="1"/>
    </xf>
    <xf numFmtId="0" fontId="18" fillId="0" borderId="1" xfId="0" applyFont="1" applyBorder="1" applyAlignment="1">
      <alignment wrapText="1"/>
    </xf>
    <xf numFmtId="0" fontId="10" fillId="0" borderId="1" xfId="0" applyFont="1" applyBorder="1"/>
    <xf numFmtId="0" fontId="18" fillId="0" borderId="2" xfId="0" applyFont="1" applyBorder="1"/>
    <xf numFmtId="0" fontId="26" fillId="0" borderId="0" xfId="0" applyFont="1" applyAlignment="1">
      <alignment wrapText="1"/>
    </xf>
    <xf numFmtId="0" fontId="22" fillId="4" borderId="0" xfId="0" applyFont="1" applyFill="1"/>
    <xf numFmtId="0" fontId="22" fillId="7" borderId="0" xfId="0" applyFont="1" applyFill="1"/>
    <xf numFmtId="0" fontId="8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Comma" xfId="2" builtinId="3"/>
    <cellStyle name="Hyperlink" xfId="1" xr:uid="{00000000-000B-0000-0000-000008000000}"/>
    <cellStyle name="Normal" xfId="0" builtinId="0"/>
    <cellStyle name="Percent" xfId="3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CBO Tax Projection Distribution (2025)</a:t>
            </a:r>
          </a:p>
        </c:rich>
      </c:tx>
      <c:layout>
        <c:manualLayout>
          <c:xMode val="edge"/>
          <c:yMode val="edge"/>
          <c:x val="0.16643001768376861"/>
          <c:y val="3.3561820826654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F2-44EC-B90F-C338703F60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F2-44EC-B90F-C338703F60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F2-44EC-B90F-C338703F60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F2-44EC-B90F-C338703F60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F2-44EC-B90F-C338703F60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F2-44EC-B90F-C338703F6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Charts!$B$2:$B$7</c:f>
              <c:strCache>
                <c:ptCount val="6"/>
                <c:pt idx="0">
                  <c:v>Individual Income Taxes</c:v>
                </c:pt>
                <c:pt idx="1">
                  <c:v>Payroll Taxes</c:v>
                </c:pt>
                <c:pt idx="2">
                  <c:v>Corporate Income Taxes</c:v>
                </c:pt>
                <c:pt idx="3">
                  <c:v>Excise taxes</c:v>
                </c:pt>
                <c:pt idx="4">
                  <c:v>Customs duties</c:v>
                </c:pt>
                <c:pt idx="5">
                  <c:v>Others</c:v>
                </c:pt>
              </c:strCache>
            </c:strRef>
          </c:cat>
          <c:val>
            <c:numRef>
              <c:f>Charts!$C$2:$C$7</c:f>
              <c:numCache>
                <c:formatCode>#,##0</c:formatCode>
                <c:ptCount val="6"/>
                <c:pt idx="0">
                  <c:v>2656.0439999999999</c:v>
                </c:pt>
                <c:pt idx="1">
                  <c:v>1748.2939999999999</c:v>
                </c:pt>
                <c:pt idx="2">
                  <c:v>452.089</c:v>
                </c:pt>
                <c:pt idx="3">
                  <c:v>105.93600000000001</c:v>
                </c:pt>
                <c:pt idx="4">
                  <c:v>195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0-401E-AC1F-EEE93841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 Projection Distribution After Changes (2055)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42-4935-8358-A50717DAD1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42-4935-8358-A50717DAD1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42-4935-8358-A50717DAD1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42-4935-8358-A50717DAD1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42-4935-8358-A50717DAD1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42-4935-8358-A50717DAD1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Charts!$B$2:$B$7</c:f>
              <c:strCache>
                <c:ptCount val="6"/>
                <c:pt idx="0">
                  <c:v>Individual Income Taxes</c:v>
                </c:pt>
                <c:pt idx="1">
                  <c:v>Payroll Taxes</c:v>
                </c:pt>
                <c:pt idx="2">
                  <c:v>Corporate Income Taxes</c:v>
                </c:pt>
                <c:pt idx="3">
                  <c:v>Excise taxes</c:v>
                </c:pt>
                <c:pt idx="4">
                  <c:v>Customs duties</c:v>
                </c:pt>
                <c:pt idx="5">
                  <c:v>Others</c:v>
                </c:pt>
              </c:strCache>
            </c:strRef>
          </c:cat>
          <c:val>
            <c:numRef>
              <c:f>Charts!$D$2:$D$7</c:f>
              <c:numCache>
                <c:formatCode>#,##0</c:formatCode>
                <c:ptCount val="6"/>
                <c:pt idx="0">
                  <c:v>21755.448653382355</c:v>
                </c:pt>
                <c:pt idx="1">
                  <c:v>17833.423752030991</c:v>
                </c:pt>
                <c:pt idx="2">
                  <c:v>6295.5815298381822</c:v>
                </c:pt>
                <c:pt idx="3">
                  <c:v>2435.5354961942976</c:v>
                </c:pt>
                <c:pt idx="4">
                  <c:v>230.99081467837993</c:v>
                </c:pt>
                <c:pt idx="5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D-4511-BF65-CC9B452D2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CBO Spending Projection Distribution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0A-47DD-AD06-7545DC1A0A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0A-47DD-AD06-7545DC1A0A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0A-47DD-AD06-7545DC1A0A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0A-47DD-AD06-7545DC1A0A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0A-47DD-AD06-7545DC1A0A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Charts!$B$10:$B$14</c:f>
              <c:strCache>
                <c:ptCount val="5"/>
                <c:pt idx="0">
                  <c:v>Health</c:v>
                </c:pt>
                <c:pt idx="1">
                  <c:v>Social Security</c:v>
                </c:pt>
                <c:pt idx="2">
                  <c:v>Other MandaSpending</c:v>
                </c:pt>
                <c:pt idx="3">
                  <c:v>Defense</c:v>
                </c:pt>
                <c:pt idx="4">
                  <c:v>Non-defense</c:v>
                </c:pt>
              </c:strCache>
            </c:strRef>
          </c:cat>
          <c:val>
            <c:numRef>
              <c:f>Charts!$C$10:$C$14</c:f>
              <c:numCache>
                <c:formatCode>#,##0</c:formatCode>
                <c:ptCount val="5"/>
                <c:pt idx="0">
                  <c:v>1848.106</c:v>
                </c:pt>
                <c:pt idx="1">
                  <c:v>1575.309</c:v>
                </c:pt>
                <c:pt idx="2">
                  <c:v>1114.0449999999998</c:v>
                </c:pt>
                <c:pt idx="3">
                  <c:v>892.5</c:v>
                </c:pt>
                <c:pt idx="4">
                  <c:v>979.87699999999995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0-4659-A511-F20276AD8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Projection Distribution After Changes (2055)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AC-4D3C-B9EE-7B6AE1C488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AC-4D3C-B9EE-7B6AE1C488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AC-4D3C-B9EE-7B6AE1C488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AC-4D3C-B9EE-7B6AE1C488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AC-4D3C-B9EE-7B6AE1C488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Charts!$B$10:$B$14</c:f>
              <c:strCache>
                <c:ptCount val="5"/>
                <c:pt idx="0">
                  <c:v>Health</c:v>
                </c:pt>
                <c:pt idx="1">
                  <c:v>Social Security</c:v>
                </c:pt>
                <c:pt idx="2">
                  <c:v>Other MandaSpending</c:v>
                </c:pt>
                <c:pt idx="3">
                  <c:v>Defense</c:v>
                </c:pt>
                <c:pt idx="4">
                  <c:v>Non-defense</c:v>
                </c:pt>
              </c:strCache>
            </c:strRef>
          </c:cat>
          <c:val>
            <c:numRef>
              <c:f>Charts!$D$10:$D$14</c:f>
              <c:numCache>
                <c:formatCode>#,##0</c:formatCode>
                <c:ptCount val="5"/>
                <c:pt idx="0">
                  <c:v>-9241.947733793817</c:v>
                </c:pt>
                <c:pt idx="1">
                  <c:v>-6456.614521801619</c:v>
                </c:pt>
                <c:pt idx="2">
                  <c:v>-1588.8845049589045</c:v>
                </c:pt>
                <c:pt idx="3">
                  <c:v>-1280.6216960453844</c:v>
                </c:pt>
                <c:pt idx="4">
                  <c:v>2028.5072894166317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D76-BEAC-CF3DEC5C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Interest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Dashboard!$B$2:$AI$2</c:f>
              <c:strCache>
                <c:ptCount val="31"/>
                <c:pt idx="0">
                  <c:v>2025</c:v>
                </c:pt>
                <c:pt idx="1">
                  <c:v>2026F</c:v>
                </c:pt>
                <c:pt idx="2">
                  <c:v>2027F</c:v>
                </c:pt>
                <c:pt idx="3">
                  <c:v>2028F</c:v>
                </c:pt>
                <c:pt idx="4">
                  <c:v>2029F</c:v>
                </c:pt>
                <c:pt idx="5">
                  <c:v>2030F</c:v>
                </c:pt>
                <c:pt idx="6">
                  <c:v>2031F</c:v>
                </c:pt>
                <c:pt idx="7">
                  <c:v>2032F</c:v>
                </c:pt>
                <c:pt idx="8">
                  <c:v>2033F</c:v>
                </c:pt>
                <c:pt idx="9">
                  <c:v>2034F</c:v>
                </c:pt>
                <c:pt idx="10">
                  <c:v>2035F</c:v>
                </c:pt>
                <c:pt idx="11">
                  <c:v>2036F</c:v>
                </c:pt>
                <c:pt idx="12">
                  <c:v>2037F</c:v>
                </c:pt>
                <c:pt idx="13">
                  <c:v>2038F</c:v>
                </c:pt>
                <c:pt idx="14">
                  <c:v>2039F</c:v>
                </c:pt>
                <c:pt idx="15">
                  <c:v>2040F</c:v>
                </c:pt>
                <c:pt idx="16">
                  <c:v>2041F</c:v>
                </c:pt>
                <c:pt idx="17">
                  <c:v>2042F</c:v>
                </c:pt>
                <c:pt idx="18">
                  <c:v>2043F</c:v>
                </c:pt>
                <c:pt idx="19">
                  <c:v>2044F</c:v>
                </c:pt>
                <c:pt idx="20">
                  <c:v>2045F</c:v>
                </c:pt>
                <c:pt idx="21">
                  <c:v>2046F</c:v>
                </c:pt>
                <c:pt idx="22">
                  <c:v>2047F</c:v>
                </c:pt>
                <c:pt idx="23">
                  <c:v>2048F</c:v>
                </c:pt>
                <c:pt idx="24">
                  <c:v>2049F</c:v>
                </c:pt>
                <c:pt idx="25">
                  <c:v>2050F</c:v>
                </c:pt>
                <c:pt idx="26">
                  <c:v>2051F</c:v>
                </c:pt>
                <c:pt idx="27">
                  <c:v>2052F</c:v>
                </c:pt>
                <c:pt idx="28">
                  <c:v>2053F</c:v>
                </c:pt>
                <c:pt idx="29">
                  <c:v>2054F</c:v>
                </c:pt>
                <c:pt idx="30">
                  <c:v>2055F</c:v>
                </c:pt>
              </c:strCache>
            </c:strRef>
          </c:cat>
          <c:val>
            <c:numRef>
              <c:f>Dashboard!$B$51:$AI$51</c:f>
              <c:numCache>
                <c:formatCode>#,##0</c:formatCode>
                <c:ptCount val="31"/>
                <c:pt idx="0">
                  <c:v>969.93799999999999</c:v>
                </c:pt>
                <c:pt idx="1">
                  <c:v>1039</c:v>
                </c:pt>
                <c:pt idx="2">
                  <c:v>1108</c:v>
                </c:pt>
                <c:pt idx="3">
                  <c:v>1218</c:v>
                </c:pt>
                <c:pt idx="4">
                  <c:v>1324</c:v>
                </c:pt>
                <c:pt idx="5">
                  <c:v>1432</c:v>
                </c:pt>
                <c:pt idx="6">
                  <c:v>1548</c:v>
                </c:pt>
                <c:pt idx="7">
                  <c:v>1670</c:v>
                </c:pt>
                <c:pt idx="8">
                  <c:v>1784</c:v>
                </c:pt>
                <c:pt idx="9">
                  <c:v>1904</c:v>
                </c:pt>
                <c:pt idx="10">
                  <c:v>2019</c:v>
                </c:pt>
                <c:pt idx="11">
                  <c:v>2144</c:v>
                </c:pt>
                <c:pt idx="12">
                  <c:v>2249.6991999999996</c:v>
                </c:pt>
                <c:pt idx="13">
                  <c:v>2360.6093705599992</c:v>
                </c:pt>
                <c:pt idx="14">
                  <c:v>2476.9874125286069</c:v>
                </c:pt>
                <c:pt idx="15">
                  <c:v>2599.1028919662672</c:v>
                </c:pt>
                <c:pt idx="16">
                  <c:v>2727.2386645402039</c:v>
                </c:pt>
                <c:pt idx="17">
                  <c:v>2861.6915307020358</c:v>
                </c:pt>
                <c:pt idx="18">
                  <c:v>3002.7729231656458</c:v>
                </c:pt>
                <c:pt idx="19">
                  <c:v>3150.8096282777119</c:v>
                </c:pt>
                <c:pt idx="20">
                  <c:v>3306.1445429518026</c:v>
                </c:pt>
                <c:pt idx="21">
                  <c:v>3510</c:v>
                </c:pt>
                <c:pt idx="22">
                  <c:v>3711.1229999999996</c:v>
                </c:pt>
                <c:pt idx="23">
                  <c:v>3923.7703478999993</c:v>
                </c:pt>
                <c:pt idx="24">
                  <c:v>4148.602388834669</c:v>
                </c:pt>
                <c:pt idx="25">
                  <c:v>4386.3173057148952</c:v>
                </c:pt>
                <c:pt idx="26">
                  <c:v>4637.6532873323586</c:v>
                </c:pt>
                <c:pt idx="27">
                  <c:v>4903.3908206965025</c:v>
                </c:pt>
                <c:pt idx="28">
                  <c:v>5184.3551147224116</c:v>
                </c:pt>
                <c:pt idx="29">
                  <c:v>5481.4186627960053</c:v>
                </c:pt>
                <c:pt idx="30">
                  <c:v>5795.5039521742156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C-4C88-A590-1199EDA88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467911"/>
        <c:axId val="2018344967"/>
      </c:lineChart>
      <c:catAx>
        <c:axId val="200146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44967"/>
        <c:crosses val="autoZero"/>
        <c:auto val="1"/>
        <c:lblAlgn val="ctr"/>
        <c:lblOffset val="100"/>
        <c:noMultiLvlLbl val="0"/>
      </c:catAx>
      <c:valAx>
        <c:axId val="2018344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467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Tariff Distribution (2026-2035)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53-4B5A-A0B4-CDA90A8DE1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53-4B5A-A0B4-CDA90A8DE1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53-4B5A-A0B4-CDA90A8DE1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53-4B5A-A0B4-CDA90A8DE1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53-4B5A-A0B4-CDA90A8DE1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53-4B5A-A0B4-CDA90A8DE1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(Tariff!$A$4:$A$8,Tariff!$A$11)</c:f>
              <c:strCache>
                <c:ptCount val="6"/>
                <c:pt idx="0">
                  <c:v>Section 232 Steel and Aluminum</c:v>
                </c:pt>
                <c:pt idx="1">
                  <c:v>Section 232 Autos and Auto Parts</c:v>
                </c:pt>
                <c:pt idx="2">
                  <c:v>Section 232 Copper</c:v>
                </c:pt>
                <c:pt idx="3">
                  <c:v>Section 232 Furniture, Kithcen Cabinets and Vanities, Lumber</c:v>
                </c:pt>
                <c:pt idx="4">
                  <c:v>Section 232 Heavy Trucks and Parts</c:v>
                </c:pt>
                <c:pt idx="5">
                  <c:v>Section 122 Tariff (15%)</c:v>
                </c:pt>
              </c:strCache>
            </c:strRef>
          </c:cat>
          <c:val>
            <c:numRef>
              <c:f>(Tariff!$M$4:$M$8,Tariff!$M$11)</c:f>
              <c:numCache>
                <c:formatCode>"$"#,##0.00_);[Red]\("$"#,##0.00\)</c:formatCode>
                <c:ptCount val="6"/>
                <c:pt idx="0">
                  <c:v>85.7</c:v>
                </c:pt>
                <c:pt idx="1">
                  <c:v>315.89999999999998</c:v>
                </c:pt>
                <c:pt idx="2">
                  <c:v>8.5</c:v>
                </c:pt>
                <c:pt idx="3">
                  <c:v>14.4</c:v>
                </c:pt>
                <c:pt idx="4">
                  <c:v>65</c:v>
                </c:pt>
                <c:pt idx="5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53-4B5A-A0B4-CDA90A8DE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885450932017544E-2"/>
          <c:y val="0.12792856544702016"/>
          <c:w val="0.34210526315789475"/>
          <c:h val="0.78746899756796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Government Deficit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CBO Projection Baseline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Charts!$B$51:$AG$51</c:f>
              <c:strCache>
                <c:ptCount val="32"/>
                <c:pt idx="0">
                  <c:v>2025</c:v>
                </c:pt>
                <c:pt idx="1">
                  <c:v>2026F</c:v>
                </c:pt>
                <c:pt idx="2">
                  <c:v>2027F</c:v>
                </c:pt>
                <c:pt idx="3">
                  <c:v>2028F</c:v>
                </c:pt>
                <c:pt idx="4">
                  <c:v>2029F</c:v>
                </c:pt>
                <c:pt idx="5">
                  <c:v>2030F</c:v>
                </c:pt>
                <c:pt idx="6">
                  <c:v>2031F</c:v>
                </c:pt>
                <c:pt idx="7">
                  <c:v>2032F</c:v>
                </c:pt>
                <c:pt idx="8">
                  <c:v>2033F</c:v>
                </c:pt>
                <c:pt idx="9">
                  <c:v>2034F</c:v>
                </c:pt>
                <c:pt idx="10">
                  <c:v>2035F</c:v>
                </c:pt>
                <c:pt idx="11">
                  <c:v>2036F</c:v>
                </c:pt>
                <c:pt idx="12">
                  <c:v>2037F</c:v>
                </c:pt>
                <c:pt idx="13">
                  <c:v>2038F</c:v>
                </c:pt>
                <c:pt idx="14">
                  <c:v>2039F</c:v>
                </c:pt>
                <c:pt idx="15">
                  <c:v>2040F</c:v>
                </c:pt>
                <c:pt idx="16">
                  <c:v>2041F</c:v>
                </c:pt>
                <c:pt idx="17">
                  <c:v>2042F</c:v>
                </c:pt>
                <c:pt idx="18">
                  <c:v>2043F</c:v>
                </c:pt>
                <c:pt idx="19">
                  <c:v>2044F</c:v>
                </c:pt>
                <c:pt idx="20">
                  <c:v>2045F</c:v>
                </c:pt>
                <c:pt idx="21">
                  <c:v>2046F</c:v>
                </c:pt>
                <c:pt idx="22">
                  <c:v>2047F</c:v>
                </c:pt>
                <c:pt idx="23">
                  <c:v>2048F</c:v>
                </c:pt>
                <c:pt idx="24">
                  <c:v>2049F</c:v>
                </c:pt>
                <c:pt idx="25">
                  <c:v>2050F</c:v>
                </c:pt>
                <c:pt idx="26">
                  <c:v>2051F</c:v>
                </c:pt>
                <c:pt idx="27">
                  <c:v>2052F</c:v>
                </c:pt>
                <c:pt idx="28">
                  <c:v>2053F</c:v>
                </c:pt>
                <c:pt idx="29">
                  <c:v>2054F</c:v>
                </c:pt>
                <c:pt idx="30">
                  <c:v>2055F</c:v>
                </c:pt>
                <c:pt idx="31">
                  <c:v>2056F</c:v>
                </c:pt>
              </c:strCache>
            </c:strRef>
          </c:cat>
          <c:val>
            <c:numRef>
              <c:f>Charts!$B$52:$AG$52</c:f>
              <c:numCache>
                <c:formatCode>General</c:formatCode>
                <c:ptCount val="32"/>
                <c:pt idx="0">
                  <c:v>-1775.46</c:v>
                </c:pt>
                <c:pt idx="1">
                  <c:v>-2063.2779999999993</c:v>
                </c:pt>
                <c:pt idx="2">
                  <c:v>-2098.3535000000002</c:v>
                </c:pt>
                <c:pt idx="3">
                  <c:v>-2291.3269999999993</c:v>
                </c:pt>
                <c:pt idx="4">
                  <c:v>-2227.9399999999987</c:v>
                </c:pt>
                <c:pt idx="5">
                  <c:v>-2408.2145</c:v>
                </c:pt>
                <c:pt idx="6">
                  <c:v>-2489.1279999999997</c:v>
                </c:pt>
                <c:pt idx="7">
                  <c:v>-2632.9714999999978</c:v>
                </c:pt>
                <c:pt idx="8">
                  <c:v>-2970.6775000000007</c:v>
                </c:pt>
                <c:pt idx="9">
                  <c:v>-3008.8730000000005</c:v>
                </c:pt>
                <c:pt idx="10">
                  <c:v>-2973.1859999999988</c:v>
                </c:pt>
                <c:pt idx="11">
                  <c:v>-3317.4229999999989</c:v>
                </c:pt>
                <c:pt idx="12">
                  <c:v>-2998.2002194197994</c:v>
                </c:pt>
                <c:pt idx="13">
                  <c:v>-3109.4852122861648</c:v>
                </c:pt>
                <c:pt idx="14">
                  <c:v>-3225.1706275238412</c:v>
                </c:pt>
                <c:pt idx="15">
                  <c:v>-3345.443447887501</c:v>
                </c:pt>
                <c:pt idx="16">
                  <c:v>-3470.4991623462774</c:v>
                </c:pt>
                <c:pt idx="17">
                  <c:v>-3600.5421745827607</c:v>
                </c:pt>
                <c:pt idx="18">
                  <c:v>-3735.7862318385978</c:v>
                </c:pt>
                <c:pt idx="19">
                  <c:v>-3876.4548751417606</c:v>
                </c:pt>
                <c:pt idx="20">
                  <c:v>-4022.7819120034801</c:v>
                </c:pt>
                <c:pt idx="21">
                  <c:v>-4214.1883650785476</c:v>
                </c:pt>
                <c:pt idx="22">
                  <c:v>-4230.1121391324759</c:v>
                </c:pt>
                <c:pt idx="23">
                  <c:v>-4473.175192883069</c:v>
                </c:pt>
                <c:pt idx="24">
                  <c:v>-4730.1535447172082</c:v>
                </c:pt>
                <c:pt idx="25">
                  <c:v>-5001.8409300172734</c:v>
                </c:pt>
                <c:pt idx="26">
                  <c:v>-5289.0762257806782</c:v>
                </c:pt>
                <c:pt idx="27">
                  <c:v>-5592.7460126945643</c:v>
                </c:pt>
                <c:pt idx="28">
                  <c:v>-5913.7872824543974</c:v>
                </c:pt>
                <c:pt idx="29">
                  <c:v>-6253.1902985569141</c:v>
                </c:pt>
                <c:pt idx="30">
                  <c:v>-6612.0016192639669</c:v>
                </c:pt>
                <c:pt idx="31">
                  <c:v>-6943.1609908200262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EF-48A4-8CAC-C864CF3E938C}"/>
            </c:ext>
          </c:extLst>
        </c:ser>
        <c:ser>
          <c:idx val="1"/>
          <c:order val="1"/>
          <c:tx>
            <c:v>Projection After Solutions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Charts!$B$51:$AG$51</c:f>
              <c:strCache>
                <c:ptCount val="32"/>
                <c:pt idx="0">
                  <c:v>2025</c:v>
                </c:pt>
                <c:pt idx="1">
                  <c:v>2026F</c:v>
                </c:pt>
                <c:pt idx="2">
                  <c:v>2027F</c:v>
                </c:pt>
                <c:pt idx="3">
                  <c:v>2028F</c:v>
                </c:pt>
                <c:pt idx="4">
                  <c:v>2029F</c:v>
                </c:pt>
                <c:pt idx="5">
                  <c:v>2030F</c:v>
                </c:pt>
                <c:pt idx="6">
                  <c:v>2031F</c:v>
                </c:pt>
                <c:pt idx="7">
                  <c:v>2032F</c:v>
                </c:pt>
                <c:pt idx="8">
                  <c:v>2033F</c:v>
                </c:pt>
                <c:pt idx="9">
                  <c:v>2034F</c:v>
                </c:pt>
                <c:pt idx="10">
                  <c:v>2035F</c:v>
                </c:pt>
                <c:pt idx="11">
                  <c:v>2036F</c:v>
                </c:pt>
                <c:pt idx="12">
                  <c:v>2037F</c:v>
                </c:pt>
                <c:pt idx="13">
                  <c:v>2038F</c:v>
                </c:pt>
                <c:pt idx="14">
                  <c:v>2039F</c:v>
                </c:pt>
                <c:pt idx="15">
                  <c:v>2040F</c:v>
                </c:pt>
                <c:pt idx="16">
                  <c:v>2041F</c:v>
                </c:pt>
                <c:pt idx="17">
                  <c:v>2042F</c:v>
                </c:pt>
                <c:pt idx="18">
                  <c:v>2043F</c:v>
                </c:pt>
                <c:pt idx="19">
                  <c:v>2044F</c:v>
                </c:pt>
                <c:pt idx="20">
                  <c:v>2045F</c:v>
                </c:pt>
                <c:pt idx="21">
                  <c:v>2046F</c:v>
                </c:pt>
                <c:pt idx="22">
                  <c:v>2047F</c:v>
                </c:pt>
                <c:pt idx="23">
                  <c:v>2048F</c:v>
                </c:pt>
                <c:pt idx="24">
                  <c:v>2049F</c:v>
                </c:pt>
                <c:pt idx="25">
                  <c:v>2050F</c:v>
                </c:pt>
                <c:pt idx="26">
                  <c:v>2051F</c:v>
                </c:pt>
                <c:pt idx="27">
                  <c:v>2052F</c:v>
                </c:pt>
                <c:pt idx="28">
                  <c:v>2053F</c:v>
                </c:pt>
                <c:pt idx="29">
                  <c:v>2054F</c:v>
                </c:pt>
                <c:pt idx="30">
                  <c:v>2055F</c:v>
                </c:pt>
                <c:pt idx="31">
                  <c:v>2056F</c:v>
                </c:pt>
              </c:strCache>
            </c:strRef>
          </c:cat>
          <c:val>
            <c:numRef>
              <c:f>Charts!$B$53:$AG$53</c:f>
              <c:numCache>
                <c:formatCode>General</c:formatCode>
                <c:ptCount val="32"/>
                <c:pt idx="0">
                  <c:v>-1775.46</c:v>
                </c:pt>
                <c:pt idx="1">
                  <c:v>-2471.9889725714274</c:v>
                </c:pt>
                <c:pt idx="2">
                  <c:v>-2339.9113914083082</c:v>
                </c:pt>
                <c:pt idx="3">
                  <c:v>-2496.9928148024064</c:v>
                </c:pt>
                <c:pt idx="4">
                  <c:v>-2176.6949421275658</c:v>
                </c:pt>
                <c:pt idx="5">
                  <c:v>-2333.2804240030491</c:v>
                </c:pt>
                <c:pt idx="6">
                  <c:v>-2193.5982803863626</c:v>
                </c:pt>
                <c:pt idx="7">
                  <c:v>-2300.0929786980887</c:v>
                </c:pt>
                <c:pt idx="8">
                  <c:v>-2803.586250104574</c:v>
                </c:pt>
                <c:pt idx="9">
                  <c:v>-2698.4969374760967</c:v>
                </c:pt>
                <c:pt idx="10">
                  <c:v>-2442.7207740656922</c:v>
                </c:pt>
                <c:pt idx="11">
                  <c:v>-3020.453892873822</c:v>
                </c:pt>
                <c:pt idx="12">
                  <c:v>-2192.3098567414272</c:v>
                </c:pt>
                <c:pt idx="13">
                  <c:v>-2208.9455522364369</c:v>
                </c:pt>
                <c:pt idx="14">
                  <c:v>-2225.1366691971962</c:v>
                </c:pt>
                <c:pt idx="15">
                  <c:v>-2234.3174932450238</c:v>
                </c:pt>
                <c:pt idx="16">
                  <c:v>-2235.5223478504631</c:v>
                </c:pt>
                <c:pt idx="17">
                  <c:v>-2227.0146650891329</c:v>
                </c:pt>
                <c:pt idx="18">
                  <c:v>-2215.4569379608402</c:v>
                </c:pt>
                <c:pt idx="19">
                  <c:v>-2204.5613223813998</c:v>
                </c:pt>
                <c:pt idx="20">
                  <c:v>-2192.6965440822169</c:v>
                </c:pt>
                <c:pt idx="21">
                  <c:v>-2209.1143436683051</c:v>
                </c:pt>
                <c:pt idx="22">
                  <c:v>-1883.0123594901852</c:v>
                </c:pt>
                <c:pt idx="23">
                  <c:v>-1987.0076048786941</c:v>
                </c:pt>
                <c:pt idx="24">
                  <c:v>-2094.0519536039428</c:v>
                </c:pt>
                <c:pt idx="25">
                  <c:v>-2204.0009365025544</c:v>
                </c:pt>
                <c:pt idx="26">
                  <c:v>-2335.5156292331267</c:v>
                </c:pt>
                <c:pt idx="27">
                  <c:v>-2472.9784518557244</c:v>
                </c:pt>
                <c:pt idx="28">
                  <c:v>-2616.5890699487572</c:v>
                </c:pt>
                <c:pt idx="29">
                  <c:v>-2766.5443652559698</c:v>
                </c:pt>
                <c:pt idx="30">
                  <c:v>-2923.0372042311574</c:v>
                </c:pt>
                <c:pt idx="31">
                  <c:v>-3153.904575061686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EF-48A4-8CAC-C864CF3E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84327"/>
        <c:axId val="2126594567"/>
      </c:lineChart>
      <c:catAx>
        <c:axId val="2126584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94567"/>
        <c:crosses val="autoZero"/>
        <c:auto val="1"/>
        <c:lblAlgn val="ctr"/>
        <c:lblOffset val="100"/>
        <c:noMultiLvlLbl val="0"/>
      </c:catAx>
      <c:valAx>
        <c:axId val="212659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Government Deficit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84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Tariff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Dashboard!$B$2:$AI$2</c:f>
              <c:strCache>
                <c:ptCount val="31"/>
                <c:pt idx="0">
                  <c:v>2025</c:v>
                </c:pt>
                <c:pt idx="1">
                  <c:v>2026F</c:v>
                </c:pt>
                <c:pt idx="2">
                  <c:v>2027F</c:v>
                </c:pt>
                <c:pt idx="3">
                  <c:v>2028F</c:v>
                </c:pt>
                <c:pt idx="4">
                  <c:v>2029F</c:v>
                </c:pt>
                <c:pt idx="5">
                  <c:v>2030F</c:v>
                </c:pt>
                <c:pt idx="6">
                  <c:v>2031F</c:v>
                </c:pt>
                <c:pt idx="7">
                  <c:v>2032F</c:v>
                </c:pt>
                <c:pt idx="8">
                  <c:v>2033F</c:v>
                </c:pt>
                <c:pt idx="9">
                  <c:v>2034F</c:v>
                </c:pt>
                <c:pt idx="10">
                  <c:v>2035F</c:v>
                </c:pt>
                <c:pt idx="11">
                  <c:v>2036F</c:v>
                </c:pt>
                <c:pt idx="12">
                  <c:v>2037F</c:v>
                </c:pt>
                <c:pt idx="13">
                  <c:v>2038F</c:v>
                </c:pt>
                <c:pt idx="14">
                  <c:v>2039F</c:v>
                </c:pt>
                <c:pt idx="15">
                  <c:v>2040F</c:v>
                </c:pt>
                <c:pt idx="16">
                  <c:v>2041F</c:v>
                </c:pt>
                <c:pt idx="17">
                  <c:v>2042F</c:v>
                </c:pt>
                <c:pt idx="18">
                  <c:v>2043F</c:v>
                </c:pt>
                <c:pt idx="19">
                  <c:v>2044F</c:v>
                </c:pt>
                <c:pt idx="20">
                  <c:v>2045F</c:v>
                </c:pt>
                <c:pt idx="21">
                  <c:v>2046F</c:v>
                </c:pt>
                <c:pt idx="22">
                  <c:v>2047F</c:v>
                </c:pt>
                <c:pt idx="23">
                  <c:v>2048F</c:v>
                </c:pt>
                <c:pt idx="24">
                  <c:v>2049F</c:v>
                </c:pt>
                <c:pt idx="25">
                  <c:v>2050F</c:v>
                </c:pt>
                <c:pt idx="26">
                  <c:v>2051F</c:v>
                </c:pt>
                <c:pt idx="27">
                  <c:v>2052F</c:v>
                </c:pt>
                <c:pt idx="28">
                  <c:v>2053F</c:v>
                </c:pt>
                <c:pt idx="29">
                  <c:v>2054F</c:v>
                </c:pt>
                <c:pt idx="30">
                  <c:v>2055F</c:v>
                </c:pt>
              </c:strCache>
            </c:strRef>
          </c:cat>
          <c:val>
            <c:numRef>
              <c:f>Dashboard!$B$22:$AI$22</c:f>
              <c:numCache>
                <c:formatCode>#,##0</c:formatCode>
                <c:ptCount val="31"/>
                <c:pt idx="0">
                  <c:v>195</c:v>
                </c:pt>
                <c:pt idx="1">
                  <c:v>209.19399999999999</c:v>
                </c:pt>
                <c:pt idx="2">
                  <c:v>210.5515</c:v>
                </c:pt>
                <c:pt idx="3">
                  <c:v>211.79499999999996</c:v>
                </c:pt>
                <c:pt idx="4">
                  <c:v>208.72900000000001</c:v>
                </c:pt>
                <c:pt idx="5">
                  <c:v>206.21350000000001</c:v>
                </c:pt>
                <c:pt idx="6">
                  <c:v>202.62100000000001</c:v>
                </c:pt>
                <c:pt idx="7">
                  <c:v>194.65350000000001</c:v>
                </c:pt>
                <c:pt idx="8">
                  <c:v>191.15349999999998</c:v>
                </c:pt>
                <c:pt idx="9">
                  <c:v>190.79599999999999</c:v>
                </c:pt>
                <c:pt idx="10">
                  <c:v>195.04900000000001</c:v>
                </c:pt>
                <c:pt idx="11">
                  <c:v>201.178</c:v>
                </c:pt>
                <c:pt idx="12">
                  <c:v>145.39154321999999</c:v>
                </c:pt>
                <c:pt idx="13">
                  <c:v>150.84372609075001</c:v>
                </c:pt>
                <c:pt idx="14">
                  <c:v>156.50036581915316</c:v>
                </c:pt>
                <c:pt idx="15">
                  <c:v>162.36912953737141</c:v>
                </c:pt>
                <c:pt idx="16">
                  <c:v>168.45797189502287</c:v>
                </c:pt>
                <c:pt idx="17">
                  <c:v>174.77514584108624</c:v>
                </c:pt>
                <c:pt idx="18">
                  <c:v>181.32921381012699</c:v>
                </c:pt>
                <c:pt idx="19">
                  <c:v>188.12905932800678</c:v>
                </c:pt>
                <c:pt idx="20">
                  <c:v>195.18389905280705</c:v>
                </c:pt>
                <c:pt idx="21">
                  <c:v>202.5</c:v>
                </c:pt>
                <c:pt idx="22">
                  <c:v>209.68875</c:v>
                </c:pt>
                <c:pt idx="23">
                  <c:v>217.13270062500001</c:v>
                </c:pt>
                <c:pt idx="24">
                  <c:v>224.84091149718756</c:v>
                </c:pt>
                <c:pt idx="25">
                  <c:v>232.82276385533774</c:v>
                </c:pt>
                <c:pt idx="26">
                  <c:v>241.08797197220227</c:v>
                </c:pt>
                <c:pt idx="27">
                  <c:v>249.64659497721544</c:v>
                </c:pt>
                <c:pt idx="28">
                  <c:v>258.50904909890659</c:v>
                </c:pt>
                <c:pt idx="29">
                  <c:v>267.68612034191784</c:v>
                </c:pt>
                <c:pt idx="30">
                  <c:v>277.18897761405594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0-4000-898B-484135B7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910407"/>
        <c:axId val="1727912455"/>
      </c:lineChart>
      <c:catAx>
        <c:axId val="172791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12455"/>
        <c:crosses val="autoZero"/>
        <c:auto val="1"/>
        <c:lblAlgn val="ctr"/>
        <c:lblOffset val="100"/>
        <c:noMultiLvlLbl val="0"/>
      </c:catAx>
      <c:valAx>
        <c:axId val="1727912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10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i="1" dirty="0">
                <a:solidFill>
                  <a:schemeClr val="dk1"/>
                </a:solidFill>
                <a:latin typeface="Montserrat Medium"/>
                <a:ea typeface="Montserrat Medium"/>
                <a:cs typeface="Montserrat Medium"/>
                <a:sym typeface="Montserrat Medium"/>
              </a:rPr>
              <a:t>Other Mandatory Outlays Trend</a:t>
            </a:r>
            <a:endParaRPr lang="en-US" sz="1200" i="1" dirty="0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'Gov outlays'!$B$69:$B$72</c:f>
              <c:strCache>
                <c:ptCount val="4"/>
                <c:pt idx="0">
                  <c:v>Average 2011 - 2024</c:v>
                </c:pt>
                <c:pt idx="1">
                  <c:v>2025</c:v>
                </c:pt>
                <c:pt idx="2">
                  <c:v>2026</c:v>
                </c:pt>
                <c:pt idx="3">
                  <c:v>2036</c:v>
                </c:pt>
              </c:strCache>
            </c:strRef>
          </c:cat>
          <c:val>
            <c:numRef>
              <c:f>'Gov outlays'!$C$69:$C$72</c:f>
              <c:numCache>
                <c:formatCode>0.00%</c:formatCode>
                <c:ptCount val="4"/>
                <c:pt idx="0">
                  <c:v>4.2000000000000003E-2</c:v>
                </c:pt>
                <c:pt idx="1">
                  <c:v>2.4504314603781042E-2</c:v>
                </c:pt>
                <c:pt idx="2">
                  <c:v>2.7239671493950221E-2</c:v>
                </c:pt>
                <c:pt idx="3">
                  <c:v>1.883884226751156E-2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0-43B6-A3F3-706F1D9C6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779487"/>
        <c:axId val="1267772767"/>
      </c:barChart>
      <c:catAx>
        <c:axId val="12677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72767"/>
        <c:crosses val="autoZero"/>
        <c:auto val="1"/>
        <c:lblAlgn val="ctr"/>
        <c:lblOffset val="100"/>
        <c:noMultiLvlLbl val="0"/>
      </c:catAx>
      <c:valAx>
        <c:axId val="126777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GDP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</xdr:row>
      <xdr:rowOff>152400</xdr:rowOff>
    </xdr:from>
    <xdr:to>
      <xdr:col>12</xdr:col>
      <xdr:colOff>276225</xdr:colOff>
      <xdr:row>16</xdr:row>
      <xdr:rowOff>38100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10BC8E02-342D-2183-856B-EAE01FAEA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16</xdr:row>
      <xdr:rowOff>161925</xdr:rowOff>
    </xdr:from>
    <xdr:to>
      <xdr:col>12</xdr:col>
      <xdr:colOff>276225</xdr:colOff>
      <xdr:row>31</xdr:row>
      <xdr:rowOff>47625</xdr:rowOff>
    </xdr:to>
    <xdr:graphicFrame macro="">
      <xdr:nvGraphicFramePr>
        <xdr:cNvPr id="59" name="Chart 3">
          <a:extLst>
            <a:ext uri="{FF2B5EF4-FFF2-40B4-BE49-F238E27FC236}">
              <a16:creationId xmlns:a16="http://schemas.microsoft.com/office/drawing/2014/main" id="{0E68AC87-D4C7-6D5E-02F2-DCAF5E15350B}"/>
            </a:ext>
            <a:ext uri="{147F2762-F138-4A5C-976F-8EAC2B608ADB}">
              <a16:predDERef xmlns:a16="http://schemas.microsoft.com/office/drawing/2014/main" pred="{10BC8E02-342D-2183-856B-EAE01FAEA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523875</xdr:colOff>
      <xdr:row>2</xdr:row>
      <xdr:rowOff>9525</xdr:rowOff>
    </xdr:from>
    <xdr:to>
      <xdr:col>20</xdr:col>
      <xdr:colOff>219075</xdr:colOff>
      <xdr:row>16</xdr:row>
      <xdr:rowOff>85725</xdr:rowOff>
    </xdr:to>
    <xdr:graphicFrame macro="">
      <xdr:nvGraphicFramePr>
        <xdr:cNvPr id="77" name="Chart 4">
          <a:extLst>
            <a:ext uri="{FF2B5EF4-FFF2-40B4-BE49-F238E27FC236}">
              <a16:creationId xmlns:a16="http://schemas.microsoft.com/office/drawing/2014/main" id="{E4C77856-C7B0-E8A7-9AF5-1F120F3EDBFA}"/>
            </a:ext>
            <a:ext uri="{147F2762-F138-4A5C-976F-8EAC2B608ADB}">
              <a16:predDERef xmlns:a16="http://schemas.microsoft.com/office/drawing/2014/main" pred="{0E68AC87-D4C7-6D5E-02F2-DCAF5E153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514350</xdr:colOff>
      <xdr:row>16</xdr:row>
      <xdr:rowOff>180975</xdr:rowOff>
    </xdr:from>
    <xdr:to>
      <xdr:col>20</xdr:col>
      <xdr:colOff>209550</xdr:colOff>
      <xdr:row>31</xdr:row>
      <xdr:rowOff>66675</xdr:rowOff>
    </xdr:to>
    <xdr:graphicFrame macro="">
      <xdr:nvGraphicFramePr>
        <xdr:cNvPr id="76" name="Chart 5">
          <a:extLst>
            <a:ext uri="{FF2B5EF4-FFF2-40B4-BE49-F238E27FC236}">
              <a16:creationId xmlns:a16="http://schemas.microsoft.com/office/drawing/2014/main" id="{8368E8B1-3968-BA59-EE98-3B38E495C68C}"/>
            </a:ext>
            <a:ext uri="{147F2762-F138-4A5C-976F-8EAC2B608ADB}">
              <a16:predDERef xmlns:a16="http://schemas.microsoft.com/office/drawing/2014/main" pred="{E4C77856-C7B0-E8A7-9AF5-1F120F3ED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219075</xdr:colOff>
      <xdr:row>31</xdr:row>
      <xdr:rowOff>161925</xdr:rowOff>
    </xdr:from>
    <xdr:to>
      <xdr:col>12</xdr:col>
      <xdr:colOff>523875</xdr:colOff>
      <xdr:row>46</xdr:row>
      <xdr:rowOff>47625</xdr:rowOff>
    </xdr:to>
    <xdr:graphicFrame macro="">
      <xdr:nvGraphicFramePr>
        <xdr:cNvPr id="105" name="Chart 6">
          <a:extLst>
            <a:ext uri="{FF2B5EF4-FFF2-40B4-BE49-F238E27FC236}">
              <a16:creationId xmlns:a16="http://schemas.microsoft.com/office/drawing/2014/main" id="{A8A2B386-9B9A-4D1A-B409-99FFD6466849}"/>
            </a:ext>
            <a:ext uri="{147F2762-F138-4A5C-976F-8EAC2B608ADB}">
              <a16:predDERef xmlns:a16="http://schemas.microsoft.com/office/drawing/2014/main" pred="{8368E8B1-3968-BA59-EE98-3B38E495C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190500</xdr:colOff>
      <xdr:row>31</xdr:row>
      <xdr:rowOff>171450</xdr:rowOff>
    </xdr:from>
    <xdr:to>
      <xdr:col>20</xdr:col>
      <xdr:colOff>266700</xdr:colOff>
      <xdr:row>49</xdr:row>
      <xdr:rowOff>19050</xdr:rowOff>
    </xdr:to>
    <xdr:graphicFrame macro="">
      <xdr:nvGraphicFramePr>
        <xdr:cNvPr id="95" name="Chart 7">
          <a:extLst>
            <a:ext uri="{FF2B5EF4-FFF2-40B4-BE49-F238E27FC236}">
              <a16:creationId xmlns:a16="http://schemas.microsoft.com/office/drawing/2014/main" id="{1382383D-74BE-4C09-85BE-508AE7B13A66}"/>
            </a:ext>
            <a:ext uri="{147F2762-F138-4A5C-976F-8EAC2B608ADB}">
              <a16:predDERef xmlns:a16="http://schemas.microsoft.com/office/drawing/2014/main" pred="{A8A2B386-9B9A-4D1A-B409-99FFD6466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29</xdr:row>
      <xdr:rowOff>28575</xdr:rowOff>
    </xdr:from>
    <xdr:to>
      <xdr:col>30</xdr:col>
      <xdr:colOff>600075</xdr:colOff>
      <xdr:row>48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D0C25-687B-8410-D4CB-31E0A826A4B9}"/>
            </a:ext>
            <a:ext uri="{147F2762-F138-4A5C-976F-8EAC2B608ADB}">
              <a16:predDERef xmlns:a16="http://schemas.microsoft.com/office/drawing/2014/main" pred="{1382383D-74BE-4C09-85BE-508AE7B13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32</xdr:row>
      <xdr:rowOff>0</xdr:rowOff>
    </xdr:from>
    <xdr:to>
      <xdr:col>15</xdr:col>
      <xdr:colOff>190500</xdr:colOff>
      <xdr:row>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13979-A199-6290-7731-42986F89B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4950" y="3857625"/>
          <a:ext cx="4572000" cy="3076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27</xdr:row>
      <xdr:rowOff>171450</xdr:rowOff>
    </xdr:from>
    <xdr:to>
      <xdr:col>21</xdr:col>
      <xdr:colOff>419100</xdr:colOff>
      <xdr:row>43</xdr:row>
      <xdr:rowOff>19050</xdr:rowOff>
    </xdr:to>
    <xdr:graphicFrame macro="">
      <xdr:nvGraphicFramePr>
        <xdr:cNvPr id="20" name="Chart 3">
          <a:extLst>
            <a:ext uri="{FF2B5EF4-FFF2-40B4-BE49-F238E27FC236}">
              <a16:creationId xmlns:a16="http://schemas.microsoft.com/office/drawing/2014/main" id="{3D0D7FAE-1ECC-4794-8516-338A5F10E090}"/>
            </a:ext>
            <a:ext uri="{147F2762-F138-4A5C-976F-8EAC2B608ADB}">
              <a16:predDERef xmlns:a16="http://schemas.microsoft.com/office/drawing/2014/main" pred="{FD0E83CD-1C68-4DD5-AB81-AC1C2C5F9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19050</xdr:rowOff>
    </xdr:from>
    <xdr:to>
      <xdr:col>13</xdr:col>
      <xdr:colOff>552450</xdr:colOff>
      <xdr:row>65</xdr:row>
      <xdr:rowOff>76200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660334C-D790-28DF-082C-C330BB91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11715750" cy="4248150"/>
        </a:xfrm>
        <a:prstGeom prst="rect">
          <a:avLst/>
        </a:prstGeom>
      </xdr:spPr>
    </xdr:pic>
    <xdr:clientData/>
  </xdr:twoCellAnchor>
  <xdr:twoCellAnchor editAs="oneCell">
    <xdr:from>
      <xdr:col>16</xdr:col>
      <xdr:colOff>419100</xdr:colOff>
      <xdr:row>1</xdr:row>
      <xdr:rowOff>171450</xdr:rowOff>
    </xdr:from>
    <xdr:to>
      <xdr:col>36</xdr:col>
      <xdr:colOff>447675</xdr:colOff>
      <xdr:row>86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B3125-AEE4-E0FA-A7F5-1A51FF1083EC}"/>
            </a:ext>
            <a:ext uri="{147F2762-F138-4A5C-976F-8EAC2B608ADB}">
              <a16:predDERef xmlns:a16="http://schemas.microsoft.com/office/drawing/2014/main" pred="{A660334C-D790-28DF-082C-C330BB91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8675" y="361950"/>
          <a:ext cx="12220575" cy="16240125"/>
        </a:xfrm>
        <a:prstGeom prst="rect">
          <a:avLst/>
        </a:prstGeom>
      </xdr:spPr>
    </xdr:pic>
    <xdr:clientData/>
  </xdr:twoCellAnchor>
  <xdr:twoCellAnchor>
    <xdr:from>
      <xdr:col>4</xdr:col>
      <xdr:colOff>483083</xdr:colOff>
      <xdr:row>72</xdr:row>
      <xdr:rowOff>55140</xdr:rowOff>
    </xdr:from>
    <xdr:to>
      <xdr:col>12</xdr:col>
      <xdr:colOff>103690</xdr:colOff>
      <xdr:row>87</xdr:row>
      <xdr:rowOff>25239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62B0A73E-AA9C-C546-F99F-25A9EFCA6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guyen, Minh Anh" id="{1B4552BC-790C-0249-9F2D-6F58A2EBECF2}" userId="S::minhanhnguyen@falcon.bentley.edu::e6ddba83-1612-49a0-ba96-47d6fe5c75b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6" dT="2026-03-09T00:17:55.62" personId="{1B4552BC-790C-0249-9F2D-6F58A2EBECF2}" id="{16FD507C-9F68-4358-8E87-5D9A9ADF5B26}">
    <text>dạ vd chỗ này thì làm theo data ở trên thì từ 2026 - 2036 thì spending tăng, nhma theo CBO project thì nó nên giảm ạ</text>
  </threadedComment>
  <threadedComment ref="C36" dT="2026-03-09T00:17:55.62" personId="{1B4552BC-790C-0249-9F2D-6F58A2EBECF2}" id="{BEE89F50-D551-4B19-8232-5B2D90531766}">
    <text>dạ vd chỗ này thì làm theo data ở trên thì từ 2026 - 2036 thì spending tăng, nhma theo CBO project thì nó nên giảm ạ</text>
  </threadedComment>
  <threadedComment ref="D36" dT="2026-03-09T00:17:55.62" personId="{1B4552BC-790C-0249-9F2D-6F58A2EBECF2}" id="{91FC59C6-653C-42B2-BBCE-0998C3AFA6EC}">
    <text>dạ vd chỗ này thì làm theo data ở trên thì từ 2026 - 2036 thì spending tăng, nhma theo CBO project thì nó nên giảm ạ</text>
  </threadedComment>
  <threadedComment ref="E36" dT="2026-03-09T00:17:55.62" personId="{1B4552BC-790C-0249-9F2D-6F58A2EBECF2}" id="{CAC17DF5-0848-4AB8-816B-726CD1B5C2D9}">
    <text>dạ vd chỗ này thì làm theo data ở trên thì từ 2026 - 2036 thì spending tăng, nhma theo CBO project thì nó nên giảm ạ</text>
  </threadedComment>
  <threadedComment ref="F36" dT="2026-03-09T00:17:55.62" personId="{1B4552BC-790C-0249-9F2D-6F58A2EBECF2}" id="{0FF714EF-5C60-44AF-BA8F-E88C7C82B31C}">
    <text>dạ vd chỗ này thì làm theo data ở trên thì từ 2026 - 2036 thì spending tăng, nhma theo CBO project thì nó nên giảm ạ</text>
  </threadedComment>
  <threadedComment ref="G36" dT="2026-03-09T00:17:55.62" personId="{1B4552BC-790C-0249-9F2D-6F58A2EBECF2}" id="{619AB715-AA04-4525-9DD6-BA034AE79E2E}">
    <text>dạ vd chỗ này thì làm theo data ở trên thì từ 2026 - 2036 thì spending tăng, nhma theo CBO project thì nó nên giảm ạ</text>
  </threadedComment>
  <threadedComment ref="H36" dT="2026-03-09T00:17:55.62" personId="{1B4552BC-790C-0249-9F2D-6F58A2EBECF2}" id="{AC353FBD-A2EB-4A65-A6B9-BA072A75AD11}">
    <text>dạ vd chỗ này thì làm theo data ở trên thì từ 2026 - 2036 thì spending tăng, nhma theo CBO project thì nó nên giảm ạ</text>
  </threadedComment>
  <threadedComment ref="I36" dT="2026-03-09T00:17:55.62" personId="{1B4552BC-790C-0249-9F2D-6F58A2EBECF2}" id="{18E561EC-336A-413E-83B8-6DE689C61728}">
    <text>dạ vd chỗ này thì làm theo data ở trên thì từ 2026 - 2036 thì spending tăng, nhma theo CBO project thì nó nên giảm ạ</text>
  </threadedComment>
  <threadedComment ref="J36" dT="2026-03-09T00:17:55.62" personId="{1B4552BC-790C-0249-9F2D-6F58A2EBECF2}" id="{7B6779AE-DA50-4EA5-89EF-7C680C8AC848}">
    <text>dạ vd chỗ này thì làm theo data ở trên thì từ 2026 - 2036 thì spending tăng, nhma theo CBO project thì nó nên giảm ạ</text>
  </threadedComment>
  <threadedComment ref="K36" dT="2026-03-09T00:17:55.62" personId="{1B4552BC-790C-0249-9F2D-6F58A2EBECF2}" id="{253B81D8-3582-410C-A9ED-0A48A8310C69}">
    <text>dạ vd chỗ này thì làm theo data ở trên thì từ 2026 - 2036 thì spending tăng, nhma theo CBO project thì nó nên giảm ạ</text>
  </threadedComment>
  <threadedComment ref="L36" dT="2026-03-09T00:17:55.62" personId="{1B4552BC-790C-0249-9F2D-6F58A2EBECF2}" id="{EB84F15B-4B3E-4998-AE2C-7FDFDCDF632F}">
    <text>dạ vd chỗ này thì làm theo data ở trên thì từ 2026 - 2036 thì spending tăng, nhma theo CBO project thì nó nên giảm ạ</text>
  </threadedComment>
  <threadedComment ref="M36" dT="2026-03-09T00:17:55.62" personId="{1B4552BC-790C-0249-9F2D-6F58A2EBECF2}" id="{2B188E9B-D2E7-465A-8395-3E2A41952DD3}">
    <text>dạ vd chỗ này thì làm theo data ở trên thì từ 2026 - 2036 thì spending tăng, nhma theo CBO project thì nó nên giảm ạ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bo.gov/data/budget-economic-data" TargetMode="External"/><Relationship Id="rId2" Type="http://schemas.openxmlformats.org/officeDocument/2006/relationships/hyperlink" Target="../../../../:x:/g/personal/adnguyen_falcon_bentley_edu/IQBP6Pdu1naASpx4Ii4QUmr2AXtvrZNHBltqEqZ89AE8JRE?e=HYyq4Q" TargetMode="External"/><Relationship Id="rId1" Type="http://schemas.openxmlformats.org/officeDocument/2006/relationships/hyperlink" Target="https://www.usaspending.gov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ichmondfed.org/publications/research/econ_focus/2018/q4/jargon_alert" TargetMode="External"/><Relationship Id="rId2" Type="http://schemas.openxmlformats.org/officeDocument/2006/relationships/hyperlink" Target="https://www.crfb.org/papers/comparing-fiscal-multipliers" TargetMode="External"/><Relationship Id="rId1" Type="http://schemas.openxmlformats.org/officeDocument/2006/relationships/hyperlink" Target="https://www.cbo.gov/sites/default/files/114th-congress-2015-2016/workingpaper/49925-FiscalMultiplier_1.pdf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hyperlink" Target="http://www.cbo.gov/publication/61882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9"/>
  <sheetViews>
    <sheetView tabSelected="1" zoomScale="66" workbookViewId="0">
      <pane xSplit="1" ySplit="2" topLeftCell="AB45" activePane="bottomRight" state="frozen"/>
      <selection pane="topRight"/>
      <selection pane="bottomLeft"/>
      <selection pane="bottomRight" activeCell="AK52" sqref="AK52"/>
    </sheetView>
  </sheetViews>
  <sheetFormatPr defaultColWidth="8.81640625" defaultRowHeight="15" customHeight="1" x14ac:dyDescent="0.35"/>
  <cols>
    <col min="1" max="1" width="26.81640625" customWidth="1"/>
    <col min="2" max="2" width="12.81640625" hidden="1" customWidth="1"/>
    <col min="3" max="3" width="11.54296875" hidden="1" customWidth="1"/>
    <col min="4" max="4" width="13" hidden="1" customWidth="1"/>
    <col min="5" max="5" width="13" bestFit="1" customWidth="1"/>
    <col min="6" max="32" width="13.1796875" bestFit="1" customWidth="1"/>
    <col min="33" max="35" width="13.453125" bestFit="1" customWidth="1"/>
    <col min="36" max="36" width="13.453125" customWidth="1"/>
    <col min="37" max="37" width="7.54296875" style="184" bestFit="1" customWidth="1"/>
    <col min="38" max="38" width="17.453125" style="147" customWidth="1"/>
    <col min="39" max="39" width="21.453125" style="142" customWidth="1"/>
    <col min="40" max="40" width="9.453125" style="1" bestFit="1" customWidth="1"/>
    <col min="41" max="41" width="9.453125" bestFit="1" customWidth="1"/>
  </cols>
  <sheetData>
    <row r="1" spans="1:44" ht="14.5" hidden="1" x14ac:dyDescent="0.35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</row>
    <row r="2" spans="1:44" ht="14.5" x14ac:dyDescent="0.35">
      <c r="A2" s="4" t="s">
        <v>0</v>
      </c>
      <c r="B2" s="1">
        <v>2022</v>
      </c>
      <c r="C2" s="1">
        <v>2023</v>
      </c>
      <c r="D2" s="1">
        <v>2024</v>
      </c>
      <c r="E2" s="1">
        <v>2025</v>
      </c>
      <c r="F2" s="1" t="str">
        <f>$E$2+F1&amp;"F"</f>
        <v>2026F</v>
      </c>
      <c r="G2" s="1" t="str">
        <f>$E$2+G1&amp;"F"</f>
        <v>2027F</v>
      </c>
      <c r="H2" s="1" t="str">
        <f t="shared" ref="H2:AI2" si="0">$E$2+H1&amp;"F"</f>
        <v>2028F</v>
      </c>
      <c r="I2" s="1" t="str">
        <f t="shared" si="0"/>
        <v>2029F</v>
      </c>
      <c r="J2" s="1" t="str">
        <f t="shared" si="0"/>
        <v>2030F</v>
      </c>
      <c r="K2" s="1" t="str">
        <f t="shared" si="0"/>
        <v>2031F</v>
      </c>
      <c r="L2" s="1" t="str">
        <f t="shared" si="0"/>
        <v>2032F</v>
      </c>
      <c r="M2" s="1" t="str">
        <f t="shared" si="0"/>
        <v>2033F</v>
      </c>
      <c r="N2" s="1" t="str">
        <f t="shared" si="0"/>
        <v>2034F</v>
      </c>
      <c r="O2" s="1" t="str">
        <f t="shared" si="0"/>
        <v>2035F</v>
      </c>
      <c r="P2" s="1" t="str">
        <f t="shared" si="0"/>
        <v>2036F</v>
      </c>
      <c r="Q2" s="1" t="str">
        <f t="shared" si="0"/>
        <v>2037F</v>
      </c>
      <c r="R2" s="1" t="str">
        <f t="shared" si="0"/>
        <v>2038F</v>
      </c>
      <c r="S2" s="1" t="str">
        <f t="shared" si="0"/>
        <v>2039F</v>
      </c>
      <c r="T2" s="1" t="str">
        <f t="shared" si="0"/>
        <v>2040F</v>
      </c>
      <c r="U2" s="1" t="str">
        <f t="shared" si="0"/>
        <v>2041F</v>
      </c>
      <c r="V2" s="1" t="str">
        <f t="shared" si="0"/>
        <v>2042F</v>
      </c>
      <c r="W2" s="1" t="str">
        <f t="shared" si="0"/>
        <v>2043F</v>
      </c>
      <c r="X2" s="1" t="str">
        <f t="shared" si="0"/>
        <v>2044F</v>
      </c>
      <c r="Y2" s="1" t="str">
        <f t="shared" si="0"/>
        <v>2045F</v>
      </c>
      <c r="Z2" s="1" t="str">
        <f t="shared" si="0"/>
        <v>2046F</v>
      </c>
      <c r="AA2" s="1" t="str">
        <f t="shared" si="0"/>
        <v>2047F</v>
      </c>
      <c r="AB2" s="1" t="str">
        <f t="shared" si="0"/>
        <v>2048F</v>
      </c>
      <c r="AC2" s="1" t="str">
        <f t="shared" si="0"/>
        <v>2049F</v>
      </c>
      <c r="AD2" s="1" t="str">
        <f t="shared" si="0"/>
        <v>2050F</v>
      </c>
      <c r="AE2" s="1" t="str">
        <f t="shared" si="0"/>
        <v>2051F</v>
      </c>
      <c r="AF2" s="1" t="str">
        <f t="shared" si="0"/>
        <v>2052F</v>
      </c>
      <c r="AG2" s="1" t="str">
        <f t="shared" si="0"/>
        <v>2053F</v>
      </c>
      <c r="AH2" s="1" t="str">
        <f t="shared" si="0"/>
        <v>2054F</v>
      </c>
      <c r="AI2" s="1" t="str">
        <f t="shared" si="0"/>
        <v>2055F</v>
      </c>
      <c r="AJ2" s="1" t="s">
        <v>1</v>
      </c>
      <c r="AK2" s="184" t="s">
        <v>2</v>
      </c>
      <c r="AL2" s="147" t="s">
        <v>3</v>
      </c>
      <c r="AM2" s="150" t="s">
        <v>4</v>
      </c>
      <c r="AN2" s="1" t="s">
        <v>5</v>
      </c>
    </row>
    <row r="3" spans="1:44" s="3" customFormat="1" ht="14.5" x14ac:dyDescent="0.35">
      <c r="A3" s="52" t="s">
        <v>6</v>
      </c>
      <c r="B3" s="50">
        <f t="shared" ref="B3:AI3" si="1">SUM(B4,B7,B10,B14,B21,B22,B23,B24)</f>
        <v>4897.3990000000013</v>
      </c>
      <c r="C3" s="50">
        <f t="shared" si="1"/>
        <v>4440.9469999999992</v>
      </c>
      <c r="D3" s="50">
        <f t="shared" si="1"/>
        <v>4918.1040000000012</v>
      </c>
      <c r="E3" s="50">
        <f t="shared" si="1"/>
        <v>5234.3149999999996</v>
      </c>
      <c r="F3" s="50">
        <f t="shared" si="1"/>
        <v>5386.7220000000007</v>
      </c>
      <c r="G3" s="50">
        <f t="shared" si="1"/>
        <v>5674.6464999999998</v>
      </c>
      <c r="H3" s="50">
        <f t="shared" si="1"/>
        <v>5859.6730000000007</v>
      </c>
      <c r="I3" s="50">
        <f t="shared" si="1"/>
        <v>6111.0600000000013</v>
      </c>
      <c r="J3" s="50">
        <f t="shared" si="1"/>
        <v>6388.7855</v>
      </c>
      <c r="K3" s="50">
        <f t="shared" si="1"/>
        <v>6666.8720000000003</v>
      </c>
      <c r="L3" s="50">
        <f t="shared" si="1"/>
        <v>6935.0285000000022</v>
      </c>
      <c r="M3" s="50">
        <f t="shared" si="1"/>
        <v>7200.3224999999993</v>
      </c>
      <c r="N3" s="50">
        <f t="shared" si="1"/>
        <v>7478.1269999999995</v>
      </c>
      <c r="O3" s="50">
        <f t="shared" si="1"/>
        <v>7776.8140000000012</v>
      </c>
      <c r="P3" s="50">
        <f t="shared" si="1"/>
        <v>8099.5770000000011</v>
      </c>
      <c r="Q3" s="50">
        <f t="shared" si="1"/>
        <v>8383.7322939902006</v>
      </c>
      <c r="R3" s="50">
        <f t="shared" si="1"/>
        <v>8713.159713876712</v>
      </c>
      <c r="S3" s="50">
        <f t="shared" si="1"/>
        <v>9055.5556940764181</v>
      </c>
      <c r="T3" s="50">
        <f t="shared" si="1"/>
        <v>9411.4317104126239</v>
      </c>
      <c r="U3" s="50">
        <f t="shared" si="1"/>
        <v>9781.3194478837977</v>
      </c>
      <c r="V3" s="50">
        <f t="shared" si="1"/>
        <v>10165.771600586872</v>
      </c>
      <c r="W3" s="50">
        <f t="shared" si="1"/>
        <v>10565.362703358671</v>
      </c>
      <c r="X3" s="50">
        <f t="shared" si="1"/>
        <v>10980.689996395375</v>
      </c>
      <c r="Y3" s="50">
        <f t="shared" si="1"/>
        <v>11412.374324159888</v>
      </c>
      <c r="Z3" s="50">
        <f t="shared" si="1"/>
        <v>11861.775</v>
      </c>
      <c r="AA3" s="50">
        <f t="shared" si="1"/>
        <v>12398.973075</v>
      </c>
      <c r="AB3" s="50">
        <f t="shared" si="1"/>
        <v>12874.867364231999</v>
      </c>
      <c r="AC3" s="50">
        <f t="shared" si="1"/>
        <v>13369.11764551253</v>
      </c>
      <c r="AD3" s="50">
        <f t="shared" si="1"/>
        <v>13882.435356538293</v>
      </c>
      <c r="AE3" s="50">
        <f t="shared" si="1"/>
        <v>14415.559637461372</v>
      </c>
      <c r="AF3" s="50">
        <f t="shared" si="1"/>
        <v>14969.258414409303</v>
      </c>
      <c r="AG3" s="50">
        <f t="shared" si="1"/>
        <v>15544.329525564541</v>
      </c>
      <c r="AH3" s="50">
        <f t="shared" si="1"/>
        <v>16141.601891481616</v>
      </c>
      <c r="AI3" s="50">
        <f t="shared" si="1"/>
        <v>16761.936731386784</v>
      </c>
      <c r="AJ3" s="50">
        <f t="shared" ref="AJ3" si="2">SUM(AJ4,AJ7,AJ10,AJ14,AJ21,AJ22,AJ23,AJ24)</f>
        <v>17408.185645315927</v>
      </c>
      <c r="AK3" s="185"/>
      <c r="AL3" s="147"/>
      <c r="AM3" s="142"/>
      <c r="AN3" s="49"/>
    </row>
    <row r="4" spans="1:44" ht="14.5" x14ac:dyDescent="0.35">
      <c r="A4" t="s">
        <v>7</v>
      </c>
      <c r="B4" s="41">
        <v>2632.1460000000002</v>
      </c>
      <c r="C4" s="41">
        <v>2176.4809999999998</v>
      </c>
      <c r="D4" s="41">
        <v>2426.067</v>
      </c>
      <c r="E4" s="41">
        <v>2656.0439999999999</v>
      </c>
      <c r="F4" s="41">
        <f>'Actual Revenue Progression'!C186</f>
        <v>2751.2910000000006</v>
      </c>
      <c r="G4" s="41">
        <f>'Actual Revenue Progression'!D186</f>
        <v>2947.0250000000005</v>
      </c>
      <c r="H4" s="41">
        <f>'Actual Revenue Progression'!E186</f>
        <v>3044.1740000000004</v>
      </c>
      <c r="I4" s="41">
        <f>'Actual Revenue Progression'!F186</f>
        <v>3193.3230000000003</v>
      </c>
      <c r="J4" s="41">
        <f>'Actual Revenue Progression'!G186</f>
        <v>3338.9790000000003</v>
      </c>
      <c r="K4" s="41">
        <f>'Actual Revenue Progression'!H186</f>
        <v>3461.0529999999999</v>
      </c>
      <c r="L4" s="41">
        <f>'Actual Revenue Progression'!I186</f>
        <v>3594.393</v>
      </c>
      <c r="M4" s="41">
        <f>'Actual Revenue Progression'!J186</f>
        <v>3743.8540000000003</v>
      </c>
      <c r="N4" s="41">
        <f>'Actual Revenue Progression'!K186</f>
        <v>3902.6089999999999</v>
      </c>
      <c r="O4" s="41">
        <f>'Actual Revenue Progression'!L186</f>
        <v>4071.9090000000006</v>
      </c>
      <c r="P4" s="41">
        <f>'Actual Revenue Progression'!M186</f>
        <v>4248.9979999999996</v>
      </c>
      <c r="Q4" s="41">
        <f t="shared" ref="Q4:Y4" si="3">P4*1.0409</f>
        <v>4422.7820181999996</v>
      </c>
      <c r="R4" s="41">
        <f t="shared" si="3"/>
        <v>4603.6738027443789</v>
      </c>
      <c r="S4" s="41">
        <f t="shared" si="3"/>
        <v>4791.9640612766234</v>
      </c>
      <c r="T4" s="41">
        <f t="shared" si="3"/>
        <v>4987.9553913828368</v>
      </c>
      <c r="U4" s="41">
        <f t="shared" si="3"/>
        <v>5191.9627668903941</v>
      </c>
      <c r="V4" s="41">
        <f t="shared" si="3"/>
        <v>5404.3140440562111</v>
      </c>
      <c r="W4" s="41">
        <f t="shared" si="3"/>
        <v>5625.3504884581098</v>
      </c>
      <c r="X4" s="41">
        <f t="shared" si="3"/>
        <v>5855.4273234360462</v>
      </c>
      <c r="Y4" s="41">
        <f t="shared" si="3"/>
        <v>6094.9143009645804</v>
      </c>
      <c r="Z4" s="41">
        <f>Z64*0.094</f>
        <v>6345</v>
      </c>
      <c r="AA4" s="41">
        <f t="shared" ref="AA4:AJ4" si="4">Z4*1.04091</f>
        <v>6604.57395</v>
      </c>
      <c r="AB4" s="41">
        <f t="shared" si="4"/>
        <v>6874.7670702944997</v>
      </c>
      <c r="AC4" s="41">
        <f t="shared" si="4"/>
        <v>7156.013791140248</v>
      </c>
      <c r="AD4" s="41">
        <f t="shared" si="4"/>
        <v>7448.7663153357953</v>
      </c>
      <c r="AE4" s="41">
        <f t="shared" si="4"/>
        <v>7753.4953452961827</v>
      </c>
      <c r="AF4" s="41">
        <f t="shared" si="4"/>
        <v>8070.6908398722499</v>
      </c>
      <c r="AG4" s="41">
        <f t="shared" si="4"/>
        <v>8400.8628021314235</v>
      </c>
      <c r="AH4" s="41">
        <f t="shared" si="4"/>
        <v>8744.5420993666194</v>
      </c>
      <c r="AI4" s="42">
        <f t="shared" si="4"/>
        <v>9102.281316651708</v>
      </c>
      <c r="AJ4" s="42">
        <f t="shared" si="4"/>
        <v>9474.6556453159301</v>
      </c>
      <c r="AK4" s="186"/>
      <c r="AN4" s="109">
        <f>AI4+AK5+AK6</f>
        <v>22510.714215012609</v>
      </c>
    </row>
    <row r="5" spans="1:44" ht="14.5" x14ac:dyDescent="0.35">
      <c r="A5" t="s">
        <v>8</v>
      </c>
      <c r="B5" s="41"/>
      <c r="C5" s="41"/>
      <c r="D5" s="41"/>
      <c r="E5" s="41">
        <v>41.5</v>
      </c>
      <c r="F5" s="41">
        <v>134.9</v>
      </c>
      <c r="G5" s="41">
        <v>184.1</v>
      </c>
      <c r="H5" s="41">
        <v>193.8</v>
      </c>
      <c r="I5" s="41">
        <v>201.8</v>
      </c>
      <c r="J5" s="41">
        <v>210.8</v>
      </c>
      <c r="K5" s="41">
        <v>220.3</v>
      </c>
      <c r="L5" s="41">
        <v>232</v>
      </c>
      <c r="M5" s="41">
        <v>241.1</v>
      </c>
      <c r="N5" s="41">
        <v>249.5</v>
      </c>
      <c r="O5" s="41">
        <f>N5*1.0444</f>
        <v>260.57780000000002</v>
      </c>
      <c r="P5" s="41">
        <f t="shared" ref="P5:AJ5" si="5">O5*1.0444</f>
        <v>272.14745432000001</v>
      </c>
      <c r="Q5" s="41">
        <f t="shared" si="5"/>
        <v>284.23080129180801</v>
      </c>
      <c r="R5" s="41">
        <f t="shared" si="5"/>
        <v>296.85064886916427</v>
      </c>
      <c r="S5" s="41">
        <f t="shared" si="5"/>
        <v>310.03081767895515</v>
      </c>
      <c r="T5" s="41">
        <f t="shared" si="5"/>
        <v>323.79618598390073</v>
      </c>
      <c r="U5" s="41">
        <f t="shared" si="5"/>
        <v>338.17273664158591</v>
      </c>
      <c r="V5" s="41">
        <f t="shared" si="5"/>
        <v>353.18760614847236</v>
      </c>
      <c r="W5" s="41">
        <f t="shared" si="5"/>
        <v>368.86913586146454</v>
      </c>
      <c r="X5" s="41">
        <f t="shared" si="5"/>
        <v>385.24692549371355</v>
      </c>
      <c r="Y5" s="41">
        <f t="shared" si="5"/>
        <v>402.35188898563445</v>
      </c>
      <c r="Z5" s="41">
        <f t="shared" si="5"/>
        <v>420.21631285659663</v>
      </c>
      <c r="AA5" s="41">
        <f t="shared" si="5"/>
        <v>438.87391714742949</v>
      </c>
      <c r="AB5" s="41">
        <f t="shared" si="5"/>
        <v>458.35991906877535</v>
      </c>
      <c r="AC5" s="41">
        <f t="shared" si="5"/>
        <v>478.71109947542897</v>
      </c>
      <c r="AD5" s="41">
        <f t="shared" si="5"/>
        <v>499.96587229213799</v>
      </c>
      <c r="AE5" s="41">
        <f t="shared" si="5"/>
        <v>522.16435702190893</v>
      </c>
      <c r="AF5" s="41">
        <f t="shared" si="5"/>
        <v>545.34845447368173</v>
      </c>
      <c r="AG5" s="41">
        <f t="shared" si="5"/>
        <v>569.56192585231315</v>
      </c>
      <c r="AH5" s="41">
        <f t="shared" si="5"/>
        <v>594.85047536015588</v>
      </c>
      <c r="AI5" s="41">
        <f t="shared" si="5"/>
        <v>621.26183646614675</v>
      </c>
      <c r="AJ5" s="41">
        <f t="shared" si="5"/>
        <v>648.8458620052437</v>
      </c>
      <c r="AK5" s="186">
        <f>SUM(E5:AJ5)</f>
        <v>11303.422033294517</v>
      </c>
      <c r="AL5" s="147">
        <f>AK5/$AJ$64</f>
        <v>0.11811308289753936</v>
      </c>
      <c r="AM5" s="150">
        <f>AK5/$AJ$68</f>
        <v>0.12315200593088871</v>
      </c>
    </row>
    <row r="6" spans="1:44" ht="14.5" x14ac:dyDescent="0.35">
      <c r="A6" t="s">
        <v>9</v>
      </c>
      <c r="B6" s="41"/>
      <c r="C6" s="41"/>
      <c r="D6" s="41"/>
      <c r="E6" s="41">
        <v>24.5</v>
      </c>
      <c r="F6" s="41">
        <v>37.1</v>
      </c>
      <c r="G6" s="41">
        <v>40</v>
      </c>
      <c r="H6" s="41">
        <v>40.700000000000003</v>
      </c>
      <c r="I6" s="41">
        <v>41.9</v>
      </c>
      <c r="J6" s="41">
        <v>43.4</v>
      </c>
      <c r="K6" s="41">
        <v>45.2</v>
      </c>
      <c r="L6" s="41">
        <v>47</v>
      </c>
      <c r="M6" s="41">
        <v>48.8</v>
      </c>
      <c r="N6" s="41">
        <v>51</v>
      </c>
      <c r="O6" s="41">
        <f>N6*1.034</f>
        <v>52.734000000000002</v>
      </c>
      <c r="P6" s="41">
        <f t="shared" ref="P6:AJ6" si="6">O6*1.034</f>
        <v>54.526956000000006</v>
      </c>
      <c r="Q6" s="41">
        <f t="shared" si="6"/>
        <v>56.38087250400001</v>
      </c>
      <c r="R6" s="41">
        <f t="shared" si="6"/>
        <v>58.297822169136012</v>
      </c>
      <c r="S6" s="41">
        <f t="shared" si="6"/>
        <v>60.279948122886637</v>
      </c>
      <c r="T6" s="41">
        <f t="shared" si="6"/>
        <v>62.329466359064781</v>
      </c>
      <c r="U6" s="41">
        <f t="shared" si="6"/>
        <v>64.448668215272988</v>
      </c>
      <c r="V6" s="41">
        <f t="shared" si="6"/>
        <v>66.639922934592278</v>
      </c>
      <c r="W6" s="41">
        <f t="shared" si="6"/>
        <v>68.905680314368411</v>
      </c>
      <c r="X6" s="41">
        <f t="shared" si="6"/>
        <v>71.248473445056945</v>
      </c>
      <c r="Y6" s="41">
        <f t="shared" si="6"/>
        <v>73.670921542188879</v>
      </c>
      <c r="Z6" s="41">
        <f t="shared" si="6"/>
        <v>76.175732874623307</v>
      </c>
      <c r="AA6" s="41">
        <f t="shared" si="6"/>
        <v>78.765707792360502</v>
      </c>
      <c r="AB6" s="41">
        <f t="shared" si="6"/>
        <v>81.443741857300765</v>
      </c>
      <c r="AC6" s="41">
        <f t="shared" si="6"/>
        <v>84.212829080448998</v>
      </c>
      <c r="AD6" s="41">
        <f t="shared" si="6"/>
        <v>87.076065269184269</v>
      </c>
      <c r="AE6" s="41">
        <f t="shared" si="6"/>
        <v>90.036651488336531</v>
      </c>
      <c r="AF6" s="41">
        <f t="shared" si="6"/>
        <v>93.097897638939969</v>
      </c>
      <c r="AG6" s="41">
        <f t="shared" si="6"/>
        <v>96.263226158663926</v>
      </c>
      <c r="AH6" s="41">
        <f t="shared" si="6"/>
        <v>99.536175848058505</v>
      </c>
      <c r="AI6" s="41">
        <f t="shared" si="6"/>
        <v>102.92040582689249</v>
      </c>
      <c r="AJ6" s="41">
        <f t="shared" si="6"/>
        <v>106.41969962500684</v>
      </c>
      <c r="AK6" s="186">
        <f>SUM(E6:AJ6)</f>
        <v>2105.0108650663824</v>
      </c>
      <c r="AL6" s="147">
        <f>AK6/$AJ$64</f>
        <v>2.1995933804246422E-2</v>
      </c>
      <c r="AM6" s="150">
        <f>AK6/$AJ$68</f>
        <v>2.2934321108745045E-2</v>
      </c>
    </row>
    <row r="7" spans="1:44" ht="14.5" x14ac:dyDescent="0.35">
      <c r="A7" t="s">
        <v>10</v>
      </c>
      <c r="B7" s="41">
        <v>1483.527</v>
      </c>
      <c r="C7" s="41">
        <v>1614.4559999999999</v>
      </c>
      <c r="D7" s="41">
        <v>1708.9259999999999</v>
      </c>
      <c r="E7" s="41">
        <v>1748.2939999999999</v>
      </c>
      <c r="F7" s="41">
        <f>'Actual Revenue Progression'!C187</f>
        <v>1825.5730000000001</v>
      </c>
      <c r="G7" s="41">
        <f>'Actual Revenue Progression'!D187</f>
        <v>1896.664</v>
      </c>
      <c r="H7" s="41">
        <f>'Actual Revenue Progression'!E187</f>
        <v>1970.1610000000003</v>
      </c>
      <c r="I7" s="41">
        <f>'Actual Revenue Progression'!F187</f>
        <v>2048.4659999999999</v>
      </c>
      <c r="J7" s="41">
        <f>'Actual Revenue Progression'!G187</f>
        <v>2131.5569999999998</v>
      </c>
      <c r="K7" s="41">
        <f>'Actual Revenue Progression'!H187</f>
        <v>2216.3049999999998</v>
      </c>
      <c r="L7" s="41">
        <f>'Actual Revenue Progression'!I187</f>
        <v>2301.5560000000005</v>
      </c>
      <c r="M7" s="41">
        <f>'Actual Revenue Progression'!J187</f>
        <v>2388.5619999999999</v>
      </c>
      <c r="N7" s="41">
        <f>'Actual Revenue Progression'!K187</f>
        <v>2477.672</v>
      </c>
      <c r="O7" s="41">
        <f>'Actual Revenue Progression'!L187</f>
        <v>2570.0090000000009</v>
      </c>
      <c r="P7" s="41">
        <f>'Actual Revenue Progression'!M187</f>
        <v>2666.0660000000003</v>
      </c>
      <c r="Q7" s="41">
        <f t="shared" ref="Q7:AI7" si="7">Q64*0.057</f>
        <v>2762.4393211799998</v>
      </c>
      <c r="R7" s="41">
        <f t="shared" si="7"/>
        <v>2866.0307957242503</v>
      </c>
      <c r="S7" s="41">
        <f t="shared" si="7"/>
        <v>2973.5069505639099</v>
      </c>
      <c r="T7" s="41">
        <f t="shared" si="7"/>
        <v>3085.0134612100569</v>
      </c>
      <c r="U7" s="41">
        <f t="shared" si="7"/>
        <v>3200.7014660054342</v>
      </c>
      <c r="V7" s="41">
        <f t="shared" si="7"/>
        <v>3320.7277709806385</v>
      </c>
      <c r="W7" s="41">
        <f t="shared" si="7"/>
        <v>3445.2550623924126</v>
      </c>
      <c r="X7" s="41">
        <f t="shared" si="7"/>
        <v>3574.4521272321285</v>
      </c>
      <c r="Y7" s="41">
        <f t="shared" si="7"/>
        <v>3708.4940820033339</v>
      </c>
      <c r="Z7" s="41">
        <f t="shared" si="7"/>
        <v>3847.5</v>
      </c>
      <c r="AA7" s="41">
        <f t="shared" si="7"/>
        <v>3984.0862500000003</v>
      </c>
      <c r="AB7" s="41">
        <f t="shared" si="7"/>
        <v>4125.5213118750007</v>
      </c>
      <c r="AC7" s="41">
        <f t="shared" si="7"/>
        <v>4271.9773184465639</v>
      </c>
      <c r="AD7" s="41">
        <f t="shared" si="7"/>
        <v>4423.6325132514175</v>
      </c>
      <c r="AE7" s="41">
        <f t="shared" si="7"/>
        <v>4580.6714674718432</v>
      </c>
      <c r="AF7" s="41">
        <f t="shared" si="7"/>
        <v>4743.2853045670936</v>
      </c>
      <c r="AG7" s="41">
        <f t="shared" si="7"/>
        <v>4911.671932879226</v>
      </c>
      <c r="AH7" s="41">
        <f t="shared" si="7"/>
        <v>5086.0362864964391</v>
      </c>
      <c r="AI7" s="42">
        <f t="shared" si="7"/>
        <v>5266.5905746670624</v>
      </c>
      <c r="AJ7" s="42">
        <f t="shared" ref="AJ7" si="8">AJ64*0.057</f>
        <v>5454.9000000000005</v>
      </c>
      <c r="AK7" s="186"/>
      <c r="AN7" s="109">
        <f>AI7+AK8+AK9</f>
        <v>18517.077979593454</v>
      </c>
    </row>
    <row r="8" spans="1:44" ht="14.5" x14ac:dyDescent="0.35">
      <c r="A8" t="s">
        <v>11</v>
      </c>
      <c r="B8" s="41"/>
      <c r="C8" s="41"/>
      <c r="D8" s="41"/>
      <c r="E8" s="41"/>
      <c r="F8" s="41">
        <v>118.2</v>
      </c>
      <c r="G8" s="41">
        <v>122.8</v>
      </c>
      <c r="H8" s="41">
        <v>127.2</v>
      </c>
      <c r="I8" s="41">
        <v>131.1</v>
      </c>
      <c r="J8" s="41">
        <v>135.30000000000001</v>
      </c>
      <c r="K8" s="41">
        <v>278</v>
      </c>
      <c r="L8" s="41">
        <v>287.7</v>
      </c>
      <c r="M8" s="41">
        <v>297.5</v>
      </c>
      <c r="N8" s="41">
        <v>307.39999999999998</v>
      </c>
      <c r="O8" s="41">
        <f t="shared" ref="O8:AJ8" si="9">N8*1.037</f>
        <v>318.77379999999994</v>
      </c>
      <c r="P8" s="41">
        <f t="shared" si="9"/>
        <v>330.56843059999989</v>
      </c>
      <c r="Q8" s="41">
        <f t="shared" si="9"/>
        <v>342.79946253219987</v>
      </c>
      <c r="R8" s="41">
        <f t="shared" si="9"/>
        <v>355.48304264589126</v>
      </c>
      <c r="S8" s="41">
        <f t="shared" si="9"/>
        <v>368.6359152237892</v>
      </c>
      <c r="T8" s="41">
        <f t="shared" si="9"/>
        <v>382.27544408706939</v>
      </c>
      <c r="U8" s="41">
        <f t="shared" si="9"/>
        <v>396.41963551829093</v>
      </c>
      <c r="V8" s="41">
        <f t="shared" si="9"/>
        <v>411.08716203246769</v>
      </c>
      <c r="W8" s="41">
        <f t="shared" si="9"/>
        <v>426.29738702766895</v>
      </c>
      <c r="X8" s="41">
        <f t="shared" si="9"/>
        <v>442.07039034769264</v>
      </c>
      <c r="Y8" s="41">
        <f t="shared" si="9"/>
        <v>458.42699479055722</v>
      </c>
      <c r="Z8" s="41">
        <f t="shared" si="9"/>
        <v>475.38879359780782</v>
      </c>
      <c r="AA8" s="41">
        <f t="shared" si="9"/>
        <v>492.9781789609267</v>
      </c>
      <c r="AB8" s="41">
        <f t="shared" si="9"/>
        <v>511.21837158248093</v>
      </c>
      <c r="AC8" s="41">
        <f t="shared" si="9"/>
        <v>530.13345133103269</v>
      </c>
      <c r="AD8" s="41">
        <f t="shared" si="9"/>
        <v>549.7483890302808</v>
      </c>
      <c r="AE8" s="41">
        <f t="shared" si="9"/>
        <v>570.08907942440112</v>
      </c>
      <c r="AF8" s="41">
        <f t="shared" si="9"/>
        <v>591.18237536310392</v>
      </c>
      <c r="AG8" s="41">
        <f t="shared" si="9"/>
        <v>613.05612325153868</v>
      </c>
      <c r="AH8" s="41">
        <f t="shared" si="9"/>
        <v>635.73919981184554</v>
      </c>
      <c r="AI8" s="41">
        <f t="shared" si="9"/>
        <v>659.26155020488375</v>
      </c>
      <c r="AJ8" s="41">
        <f t="shared" si="9"/>
        <v>683.65422756246437</v>
      </c>
      <c r="AK8" s="186">
        <f>SUM(E8:AJ8)</f>
        <v>12350.487404926393</v>
      </c>
      <c r="AL8" s="147">
        <f>AK8/$AJ$64</f>
        <v>0.12905420485816502</v>
      </c>
      <c r="AM8" s="150">
        <f>AK8/$AJ$68</f>
        <v>0.13455989643320002</v>
      </c>
    </row>
    <row r="9" spans="1:44" ht="14.5" x14ac:dyDescent="0.35">
      <c r="A9" t="s">
        <v>12</v>
      </c>
      <c r="B9" s="41"/>
      <c r="C9" s="41"/>
      <c r="D9" s="41"/>
      <c r="E9" s="41"/>
      <c r="F9" s="41">
        <f>'Social Security'!$B$22/10</f>
        <v>90</v>
      </c>
      <c r="G9" s="41">
        <f>'Social Security'!$B$22/10</f>
        <v>90</v>
      </c>
      <c r="H9" s="41">
        <f>'Social Security'!$B$22/10</f>
        <v>90</v>
      </c>
      <c r="I9" s="41">
        <f>'Social Security'!$B$22/10</f>
        <v>90</v>
      </c>
      <c r="J9" s="41">
        <f>'Social Security'!$B$22/10</f>
        <v>90</v>
      </c>
      <c r="K9" s="41">
        <f>'Social Security'!$B$22/10</f>
        <v>90</v>
      </c>
      <c r="L9" s="41">
        <f>'Social Security'!$B$22/10</f>
        <v>90</v>
      </c>
      <c r="M9" s="41">
        <f>'Social Security'!$B$22/10</f>
        <v>90</v>
      </c>
      <c r="N9" s="41">
        <f>'Social Security'!$B$22/10</f>
        <v>90</v>
      </c>
      <c r="O9" s="41">
        <f>'Social Security'!$B$22/10</f>
        <v>90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186">
        <f>SUM(E9:AJ9)</f>
        <v>900</v>
      </c>
      <c r="AL9" s="147">
        <f>AK9/$AJ$64</f>
        <v>9.4043887147335428E-3</v>
      </c>
      <c r="AM9" s="150">
        <f>AK9/$AJ$68</f>
        <v>9.8055973678879901E-3</v>
      </c>
    </row>
    <row r="10" spans="1:44" ht="14.5" x14ac:dyDescent="0.35">
      <c r="A10" t="s">
        <v>13</v>
      </c>
      <c r="B10" s="41">
        <v>424.86500000000001</v>
      </c>
      <c r="C10" s="41">
        <v>419.584</v>
      </c>
      <c r="D10" s="41">
        <v>529.86699999999996</v>
      </c>
      <c r="E10" s="41">
        <v>452.089</v>
      </c>
      <c r="F10" s="41">
        <f>'Actual Revenue Progression'!C188</f>
        <v>403.97900000000004</v>
      </c>
      <c r="G10" s="41">
        <f>'Actual Revenue Progression'!D188</f>
        <v>419.298</v>
      </c>
      <c r="H10" s="41">
        <f>'Actual Revenue Progression'!E188</f>
        <v>432.53400000000005</v>
      </c>
      <c r="I10" s="41">
        <f>'Actual Revenue Progression'!F188</f>
        <v>451.5390000000001</v>
      </c>
      <c r="J10" s="41">
        <f>'Actual Revenue Progression'!G188</f>
        <v>477.34000000000003</v>
      </c>
      <c r="K10" s="41">
        <f>'Actual Revenue Progression'!H188</f>
        <v>493.46500000000009</v>
      </c>
      <c r="L10" s="41">
        <f>'Actual Revenue Progression'!I188</f>
        <v>509.96200000000005</v>
      </c>
      <c r="M10" s="41">
        <f>'Actual Revenue Progression'!J188</f>
        <v>525.92300000000012</v>
      </c>
      <c r="N10" s="41">
        <f>'Actual Revenue Progression'!K188</f>
        <v>539.06700000000001</v>
      </c>
      <c r="O10" s="41">
        <f>'Actual Revenue Progression'!L188</f>
        <v>551.90600000000018</v>
      </c>
      <c r="P10" s="41">
        <f>'Actual Revenue Progression'!M188</f>
        <v>575.64499999999998</v>
      </c>
      <c r="Q10" s="41">
        <f t="shared" ref="Q10:AI10" si="10">Q64*0.013</f>
        <v>630.03002061999996</v>
      </c>
      <c r="R10" s="41">
        <f t="shared" si="10"/>
        <v>653.65614639324997</v>
      </c>
      <c r="S10" s="41">
        <f t="shared" si="10"/>
        <v>678.16825188299697</v>
      </c>
      <c r="T10" s="41">
        <f t="shared" si="10"/>
        <v>703.59956132860941</v>
      </c>
      <c r="U10" s="41">
        <f t="shared" si="10"/>
        <v>729.9845448784323</v>
      </c>
      <c r="V10" s="41">
        <f t="shared" si="10"/>
        <v>757.35896531137359</v>
      </c>
      <c r="W10" s="41">
        <f t="shared" si="10"/>
        <v>785.75992651055014</v>
      </c>
      <c r="X10" s="41">
        <f t="shared" si="10"/>
        <v>815.22592375469594</v>
      </c>
      <c r="Y10" s="41">
        <f t="shared" si="10"/>
        <v>845.79689589549707</v>
      </c>
      <c r="Z10" s="41">
        <f t="shared" si="10"/>
        <v>877.5</v>
      </c>
      <c r="AA10" s="41">
        <f t="shared" si="10"/>
        <v>908.65125</v>
      </c>
      <c r="AB10" s="41">
        <f t="shared" si="10"/>
        <v>940.90836937500001</v>
      </c>
      <c r="AC10" s="41">
        <f t="shared" si="10"/>
        <v>974.31061648781269</v>
      </c>
      <c r="AD10" s="41">
        <f t="shared" si="10"/>
        <v>1008.8986433731302</v>
      </c>
      <c r="AE10" s="41">
        <f t="shared" si="10"/>
        <v>1044.7145452128764</v>
      </c>
      <c r="AF10" s="41">
        <f t="shared" si="10"/>
        <v>1081.8019115679335</v>
      </c>
      <c r="AG10" s="41">
        <f t="shared" si="10"/>
        <v>1120.2058794285952</v>
      </c>
      <c r="AH10" s="41">
        <f t="shared" si="10"/>
        <v>1159.9731881483106</v>
      </c>
      <c r="AI10" s="42">
        <f t="shared" si="10"/>
        <v>1201.1522363275756</v>
      </c>
      <c r="AJ10" s="42">
        <f t="shared" ref="AJ10" si="11">AJ64*0.013</f>
        <v>1244.0999999999999</v>
      </c>
      <c r="AK10" s="186"/>
      <c r="AN10" s="109">
        <f>AI10+AK11+AK12+AK13</f>
        <v>6577.7494994898889</v>
      </c>
      <c r="AQ10" s="108">
        <f>SUM(AM5:AM25)</f>
        <v>0.39517476019403919</v>
      </c>
      <c r="AR10" s="108"/>
    </row>
    <row r="11" spans="1:44" ht="14.5" x14ac:dyDescent="0.35">
      <c r="A11" t="s">
        <v>14</v>
      </c>
      <c r="B11" s="41"/>
      <c r="C11" s="41"/>
      <c r="D11" s="41"/>
      <c r="E11" s="41"/>
      <c r="F11" s="41">
        <v>60.8</v>
      </c>
      <c r="G11" s="41">
        <v>64.599999999999994</v>
      </c>
      <c r="H11" s="41">
        <v>65.400000000000006</v>
      </c>
      <c r="I11" s="41">
        <v>65.900000000000006</v>
      </c>
      <c r="J11" s="41">
        <v>68</v>
      </c>
      <c r="K11" s="41">
        <f t="shared" ref="K11:Z11" si="12">J11*1.0375</f>
        <v>70.550000000000011</v>
      </c>
      <c r="L11" s="41">
        <f t="shared" si="12"/>
        <v>73.195625000000021</v>
      </c>
      <c r="M11" s="41">
        <f t="shared" si="12"/>
        <v>75.940460937500035</v>
      </c>
      <c r="N11" s="41">
        <f t="shared" si="12"/>
        <v>78.788228222656286</v>
      </c>
      <c r="O11" s="41">
        <f t="shared" si="12"/>
        <v>81.742786781005904</v>
      </c>
      <c r="P11" s="41">
        <f t="shared" si="12"/>
        <v>84.80814128529363</v>
      </c>
      <c r="Q11" s="41">
        <f t="shared" si="12"/>
        <v>87.988446583492149</v>
      </c>
      <c r="R11" s="41">
        <f t="shared" si="12"/>
        <v>91.288013330373118</v>
      </c>
      <c r="S11" s="41">
        <f t="shared" si="12"/>
        <v>94.711313830262114</v>
      </c>
      <c r="T11" s="41">
        <f t="shared" si="12"/>
        <v>98.262988098896955</v>
      </c>
      <c r="U11" s="41">
        <f t="shared" si="12"/>
        <v>101.9478501526056</v>
      </c>
      <c r="V11" s="41">
        <f t="shared" si="12"/>
        <v>105.77089453332832</v>
      </c>
      <c r="W11" s="41">
        <f t="shared" si="12"/>
        <v>109.73730307832814</v>
      </c>
      <c r="X11" s="41">
        <f t="shared" si="12"/>
        <v>113.85245194376546</v>
      </c>
      <c r="Y11" s="41">
        <f t="shared" si="12"/>
        <v>118.12191889165668</v>
      </c>
      <c r="Z11" s="41">
        <f t="shared" si="12"/>
        <v>122.55149085009381</v>
      </c>
      <c r="AA11" s="41">
        <f t="shared" ref="AA11:AJ11" si="13">Z11*1.0355</f>
        <v>126.90206877527216</v>
      </c>
      <c r="AB11" s="41">
        <f t="shared" si="13"/>
        <v>131.40709221679433</v>
      </c>
      <c r="AC11" s="41">
        <f t="shared" si="13"/>
        <v>136.07204399049053</v>
      </c>
      <c r="AD11" s="41">
        <f t="shared" si="13"/>
        <v>140.90260155215296</v>
      </c>
      <c r="AE11" s="41">
        <f t="shared" si="13"/>
        <v>145.90464390725441</v>
      </c>
      <c r="AF11" s="41">
        <f t="shared" si="13"/>
        <v>151.08425876596195</v>
      </c>
      <c r="AG11" s="41">
        <f t="shared" si="13"/>
        <v>156.4477499521536</v>
      </c>
      <c r="AH11" s="41">
        <f t="shared" si="13"/>
        <v>162.00164507545506</v>
      </c>
      <c r="AI11" s="41">
        <f t="shared" si="13"/>
        <v>167.75270347563372</v>
      </c>
      <c r="AJ11" s="41">
        <f t="shared" si="13"/>
        <v>173.70792444901875</v>
      </c>
      <c r="AK11" s="186">
        <f>SUM(E11:AJ11)</f>
        <v>3326.1406456794452</v>
      </c>
      <c r="AL11" s="147">
        <f>AK11/$AJ$64</f>
        <v>3.475591061316035E-2</v>
      </c>
      <c r="AM11" s="150">
        <f>AK11/$AJ$68</f>
        <v>3.6238662178332923E-2</v>
      </c>
      <c r="AQ11" s="108">
        <f>SUM(AM31:AM50)</f>
        <v>-0.41578059121363758</v>
      </c>
    </row>
    <row r="12" spans="1:44" ht="14.5" x14ac:dyDescent="0.35">
      <c r="A12" t="s">
        <v>15</v>
      </c>
      <c r="B12" s="41"/>
      <c r="C12" s="41"/>
      <c r="D12" s="41"/>
      <c r="E12" s="41"/>
      <c r="F12" s="41">
        <v>21</v>
      </c>
      <c r="G12" s="41">
        <f t="shared" ref="G12:O12" si="14">F12*1.05</f>
        <v>22.05</v>
      </c>
      <c r="H12" s="41">
        <f t="shared" si="14"/>
        <v>23.152500000000003</v>
      </c>
      <c r="I12" s="41">
        <f t="shared" si="14"/>
        <v>24.310125000000003</v>
      </c>
      <c r="J12" s="41">
        <f t="shared" si="14"/>
        <v>25.525631250000004</v>
      </c>
      <c r="K12" s="41">
        <f t="shared" si="14"/>
        <v>26.801912812500007</v>
      </c>
      <c r="L12" s="41">
        <f t="shared" si="14"/>
        <v>28.142008453125008</v>
      </c>
      <c r="M12" s="41">
        <f t="shared" si="14"/>
        <v>29.549108875781261</v>
      </c>
      <c r="N12" s="41">
        <f t="shared" si="14"/>
        <v>31.026564319570326</v>
      </c>
      <c r="O12" s="41">
        <f t="shared" si="14"/>
        <v>32.577892535548841</v>
      </c>
      <c r="P12" s="41">
        <f t="shared" ref="P12:Z12" si="15">O12*1.0375</f>
        <v>33.799563505631923</v>
      </c>
      <c r="Q12" s="41">
        <f t="shared" si="15"/>
        <v>35.06704713709312</v>
      </c>
      <c r="R12" s="41">
        <f t="shared" si="15"/>
        <v>36.382061404734117</v>
      </c>
      <c r="S12" s="41">
        <f t="shared" si="15"/>
        <v>37.746388707411647</v>
      </c>
      <c r="T12" s="41">
        <f t="shared" si="15"/>
        <v>39.161878283939586</v>
      </c>
      <c r="U12" s="41">
        <f t="shared" si="15"/>
        <v>40.630448719587321</v>
      </c>
      <c r="V12" s="41">
        <f t="shared" si="15"/>
        <v>42.154090546571851</v>
      </c>
      <c r="W12" s="41">
        <f t="shared" si="15"/>
        <v>43.734868942068296</v>
      </c>
      <c r="X12" s="41">
        <f t="shared" si="15"/>
        <v>45.374926527395864</v>
      </c>
      <c r="Y12" s="41">
        <f t="shared" si="15"/>
        <v>47.076486272173213</v>
      </c>
      <c r="Z12" s="41">
        <f t="shared" si="15"/>
        <v>48.841854507379715</v>
      </c>
      <c r="AA12" s="41">
        <f t="shared" ref="AA12:AJ12" si="16">Z12*1.0355</f>
        <v>50.575740342391697</v>
      </c>
      <c r="AB12" s="41">
        <f t="shared" si="16"/>
        <v>52.371179124546607</v>
      </c>
      <c r="AC12" s="41">
        <f t="shared" si="16"/>
        <v>54.230355983468016</v>
      </c>
      <c r="AD12" s="41">
        <f t="shared" si="16"/>
        <v>56.155533620881137</v>
      </c>
      <c r="AE12" s="41">
        <f t="shared" si="16"/>
        <v>58.14905506442242</v>
      </c>
      <c r="AF12" s="41">
        <f t="shared" si="16"/>
        <v>60.213346519209423</v>
      </c>
      <c r="AG12" s="41">
        <f t="shared" si="16"/>
        <v>62.350920320641364</v>
      </c>
      <c r="AH12" s="41">
        <f t="shared" si="16"/>
        <v>64.564377992024134</v>
      </c>
      <c r="AI12" s="41">
        <f t="shared" si="16"/>
        <v>66.856413410740998</v>
      </c>
      <c r="AJ12" s="41">
        <f t="shared" si="16"/>
        <v>69.229816086822311</v>
      </c>
      <c r="AK12" s="186">
        <f>SUM(E12:AJ12)</f>
        <v>1308.8020962656601</v>
      </c>
      <c r="AL12" s="147">
        <f>AK12/$AJ$64</f>
        <v>1.3676092959933753E-2</v>
      </c>
      <c r="AM12" s="150">
        <f>AK12/$AJ$68</f>
        <v>1.4259540433587601E-2</v>
      </c>
    </row>
    <row r="13" spans="1:44" ht="14.5" x14ac:dyDescent="0.35">
      <c r="A13" t="s">
        <v>16</v>
      </c>
      <c r="B13" s="41"/>
      <c r="C13" s="41"/>
      <c r="D13" s="41"/>
      <c r="E13" s="41"/>
      <c r="F13" s="41">
        <v>11.9</v>
      </c>
      <c r="G13" s="41">
        <f t="shared" ref="G13:O13" si="17">F13*1.05</f>
        <v>12.495000000000001</v>
      </c>
      <c r="H13" s="41">
        <f t="shared" si="17"/>
        <v>13.119750000000002</v>
      </c>
      <c r="I13" s="41">
        <f t="shared" si="17"/>
        <v>13.775737500000002</v>
      </c>
      <c r="J13" s="41">
        <f t="shared" si="17"/>
        <v>14.464524375000002</v>
      </c>
      <c r="K13" s="41">
        <f t="shared" si="17"/>
        <v>15.187750593750003</v>
      </c>
      <c r="L13" s="41">
        <f t="shared" si="17"/>
        <v>15.947138123437504</v>
      </c>
      <c r="M13" s="41">
        <f t="shared" si="17"/>
        <v>16.744495029609379</v>
      </c>
      <c r="N13" s="41">
        <f t="shared" si="17"/>
        <v>17.581719781089848</v>
      </c>
      <c r="O13" s="41">
        <f t="shared" si="17"/>
        <v>18.46080577014434</v>
      </c>
      <c r="P13" s="41">
        <f t="shared" ref="P13:Z13" si="18">O13*1.0375</f>
        <v>19.153085986524754</v>
      </c>
      <c r="Q13" s="41">
        <f t="shared" si="18"/>
        <v>19.871326711019435</v>
      </c>
      <c r="R13" s="41">
        <f t="shared" si="18"/>
        <v>20.616501462682667</v>
      </c>
      <c r="S13" s="41">
        <f t="shared" si="18"/>
        <v>21.389620267533267</v>
      </c>
      <c r="T13" s="41">
        <f t="shared" si="18"/>
        <v>22.191731027565766</v>
      </c>
      <c r="U13" s="41">
        <f t="shared" si="18"/>
        <v>23.023920941099483</v>
      </c>
      <c r="V13" s="41">
        <f t="shared" si="18"/>
        <v>23.887317976390715</v>
      </c>
      <c r="W13" s="41">
        <f t="shared" si="18"/>
        <v>24.783092400505371</v>
      </c>
      <c r="X13" s="41">
        <f t="shared" si="18"/>
        <v>25.712458365524324</v>
      </c>
      <c r="Y13" s="41">
        <f t="shared" si="18"/>
        <v>26.676675554231487</v>
      </c>
      <c r="Z13" s="41">
        <f t="shared" si="18"/>
        <v>27.677050887515168</v>
      </c>
      <c r="AA13" s="41">
        <f t="shared" ref="AA13:AJ13" si="19">Z13*1.0355</f>
        <v>28.659586194021959</v>
      </c>
      <c r="AB13" s="41">
        <f t="shared" si="19"/>
        <v>29.677001503909739</v>
      </c>
      <c r="AC13" s="41">
        <f t="shared" si="19"/>
        <v>30.730535057298539</v>
      </c>
      <c r="AD13" s="41">
        <f t="shared" si="19"/>
        <v>31.82146905183264</v>
      </c>
      <c r="AE13" s="41">
        <f t="shared" si="19"/>
        <v>32.9511312031727</v>
      </c>
      <c r="AF13" s="41">
        <f t="shared" si="19"/>
        <v>34.120896360885332</v>
      </c>
      <c r="AG13" s="41">
        <f t="shared" si="19"/>
        <v>35.332188181696765</v>
      </c>
      <c r="AH13" s="41">
        <f t="shared" si="19"/>
        <v>36.586480862147006</v>
      </c>
      <c r="AI13" s="41">
        <f t="shared" si="19"/>
        <v>37.885300932753225</v>
      </c>
      <c r="AJ13" s="41">
        <f t="shared" si="19"/>
        <v>39.230229115865967</v>
      </c>
      <c r="AK13" s="186">
        <f>SUM(E13:AJ13)</f>
        <v>741.65452121720762</v>
      </c>
      <c r="AL13" s="147">
        <f>AK13/$AJ$64</f>
        <v>7.7497860106291285E-3</v>
      </c>
      <c r="AM13" s="150">
        <f>AK13/$AJ$68</f>
        <v>8.080406245699643E-3</v>
      </c>
    </row>
    <row r="14" spans="1:44" ht="14.5" x14ac:dyDescent="0.35">
      <c r="A14" t="s">
        <v>17</v>
      </c>
      <c r="B14" s="41">
        <v>87.727999999999994</v>
      </c>
      <c r="C14" s="41">
        <v>75.802000000000007</v>
      </c>
      <c r="D14" s="41">
        <v>101.435</v>
      </c>
      <c r="E14" s="41">
        <v>105.93600000000001</v>
      </c>
      <c r="F14" s="41">
        <f>'Actual Revenue Progression'!C191</f>
        <v>108.34399999999999</v>
      </c>
      <c r="G14" s="41">
        <f>'Actual Revenue Progression'!D191</f>
        <v>108.196</v>
      </c>
      <c r="H14" s="41">
        <f>'Actual Revenue Progression'!E191</f>
        <v>106.72200000000001</v>
      </c>
      <c r="I14" s="41">
        <f>'Actual Revenue Progression'!F191</f>
        <v>108.02800000000001</v>
      </c>
      <c r="J14" s="41">
        <f>'Actual Revenue Progression'!G191</f>
        <v>110.01299999999999</v>
      </c>
      <c r="K14" s="41">
        <f>'Actual Revenue Progression'!H191</f>
        <v>109.556</v>
      </c>
      <c r="L14" s="41">
        <f>'Actual Revenue Progression'!I191</f>
        <v>110.831</v>
      </c>
      <c r="M14" s="41">
        <f>'Actual Revenue Progression'!J191</f>
        <v>112.44999999999999</v>
      </c>
      <c r="N14" s="41">
        <f>'Actual Revenue Progression'!K191</f>
        <v>112.929</v>
      </c>
      <c r="O14" s="41">
        <f>'Actual Revenue Progression'!L191</f>
        <v>116.393</v>
      </c>
      <c r="P14" s="41">
        <f>'Actual Revenue Progression'!M191</f>
        <v>118.642</v>
      </c>
      <c r="Q14" s="41">
        <f t="shared" ref="Q14:Z14" si="20">(0.009*0.29)*Q64</f>
        <v>126.49064260139997</v>
      </c>
      <c r="R14" s="41">
        <f t="shared" si="20"/>
        <v>131.2340416989525</v>
      </c>
      <c r="S14" s="41">
        <f t="shared" si="20"/>
        <v>136.1553182626632</v>
      </c>
      <c r="T14" s="41">
        <f t="shared" si="20"/>
        <v>141.26114269751309</v>
      </c>
      <c r="U14" s="41">
        <f t="shared" si="20"/>
        <v>146.55843554866985</v>
      </c>
      <c r="V14" s="41">
        <f t="shared" si="20"/>
        <v>152.05437688174499</v>
      </c>
      <c r="W14" s="41">
        <f t="shared" si="20"/>
        <v>157.75641601481044</v>
      </c>
      <c r="X14" s="41">
        <f t="shared" si="20"/>
        <v>163.67228161536585</v>
      </c>
      <c r="Y14" s="41">
        <f t="shared" si="20"/>
        <v>169.80999217594209</v>
      </c>
      <c r="Z14" s="41">
        <f t="shared" si="20"/>
        <v>176.17499999999995</v>
      </c>
      <c r="AA14" s="41">
        <f t="shared" ref="AA14:AI14" si="21">(0.01*0.29)*AA64</f>
        <v>202.69912499999998</v>
      </c>
      <c r="AB14" s="41">
        <f t="shared" si="21"/>
        <v>209.89494393749999</v>
      </c>
      <c r="AC14" s="41">
        <f t="shared" si="21"/>
        <v>217.34621444728128</v>
      </c>
      <c r="AD14" s="41">
        <f t="shared" si="21"/>
        <v>225.06200506015981</v>
      </c>
      <c r="AE14" s="41">
        <f t="shared" si="21"/>
        <v>233.05170623979549</v>
      </c>
      <c r="AF14" s="41">
        <f t="shared" si="21"/>
        <v>241.32504181130824</v>
      </c>
      <c r="AG14" s="41">
        <f t="shared" si="21"/>
        <v>249.8920807956097</v>
      </c>
      <c r="AH14" s="41">
        <f t="shared" si="21"/>
        <v>258.76324966385386</v>
      </c>
      <c r="AI14" s="42">
        <f t="shared" si="21"/>
        <v>267.9493450269207</v>
      </c>
      <c r="AJ14" s="42">
        <f t="shared" ref="AJ14" si="22">(0.01*0.29)*AJ64</f>
        <v>277.52999999999997</v>
      </c>
      <c r="AK14" s="186"/>
      <c r="AN14" s="109">
        <f>AI14+SUM(AK15:AK19)</f>
        <v>2506.3631480134691</v>
      </c>
      <c r="AR14" s="108"/>
    </row>
    <row r="15" spans="1:44" ht="14.5" x14ac:dyDescent="0.35">
      <c r="A15" t="s">
        <v>18</v>
      </c>
      <c r="B15" s="41"/>
      <c r="C15" s="41"/>
      <c r="D15" s="41"/>
      <c r="E15" s="41"/>
      <c r="F15" s="56">
        <v>6.6</v>
      </c>
      <c r="G15" s="56">
        <v>8.9</v>
      </c>
      <c r="H15" s="56">
        <v>9.4</v>
      </c>
      <c r="I15" s="56">
        <v>9.8000000000000007</v>
      </c>
      <c r="J15" s="56">
        <v>10.199999999999999</v>
      </c>
      <c r="K15" s="56">
        <v>10.6</v>
      </c>
      <c r="L15" s="56">
        <v>11</v>
      </c>
      <c r="M15" s="56">
        <v>11.5</v>
      </c>
      <c r="N15" s="56">
        <v>11.9</v>
      </c>
      <c r="O15" s="56">
        <v>12.4</v>
      </c>
      <c r="P15" s="56">
        <v>12.8</v>
      </c>
      <c r="Q15" s="56">
        <v>13.200000000000001</v>
      </c>
      <c r="R15" s="56">
        <v>13.600000000000001</v>
      </c>
      <c r="S15" s="56">
        <v>14.000000000000002</v>
      </c>
      <c r="T15" s="56">
        <v>14.400000000000002</v>
      </c>
      <c r="U15" s="56">
        <v>14.800000000000002</v>
      </c>
      <c r="V15" s="56">
        <v>15.200000000000003</v>
      </c>
      <c r="W15" s="56">
        <v>15.600000000000003</v>
      </c>
      <c r="X15" s="56">
        <v>16.000000000000004</v>
      </c>
      <c r="Y15" s="56">
        <v>16.400000000000002</v>
      </c>
      <c r="Z15" s="56">
        <v>16.8</v>
      </c>
      <c r="AA15" s="56">
        <v>17.2</v>
      </c>
      <c r="AB15" s="56">
        <v>17.599999999999998</v>
      </c>
      <c r="AC15" s="56">
        <v>17.999999999999996</v>
      </c>
      <c r="AD15" s="56">
        <v>18.399999999999995</v>
      </c>
      <c r="AE15" s="56">
        <v>18.799999999999994</v>
      </c>
      <c r="AF15" s="56">
        <v>19.199999999999992</v>
      </c>
      <c r="AG15" s="56">
        <v>19.599999999999991</v>
      </c>
      <c r="AH15" s="56">
        <v>19.999999999999989</v>
      </c>
      <c r="AI15" s="56">
        <v>20.399999999999988</v>
      </c>
      <c r="AJ15" s="56">
        <v>20.399999999999988</v>
      </c>
      <c r="AK15" s="186">
        <f t="shared" ref="AK15:AK20" si="23">SUM(E15:AJ15)</f>
        <v>454.69999999999993</v>
      </c>
      <c r="AL15" s="147">
        <f t="shared" ref="AL15:AL20" si="24">AK15/$AJ$64</f>
        <v>4.7513061650992679E-3</v>
      </c>
      <c r="AM15" s="150">
        <f t="shared" ref="AM15:AM20" si="25">AK15/$AJ$68</f>
        <v>4.9540056924207432E-3</v>
      </c>
    </row>
    <row r="16" spans="1:44" ht="14.5" x14ac:dyDescent="0.35">
      <c r="A16" t="s">
        <v>19</v>
      </c>
      <c r="B16" s="41"/>
      <c r="C16" s="41"/>
      <c r="D16" s="41"/>
      <c r="E16" s="41"/>
      <c r="F16" s="56">
        <v>3.1</v>
      </c>
      <c r="G16" s="56">
        <v>4.4000000000000004</v>
      </c>
      <c r="H16" s="56">
        <v>4.8</v>
      </c>
      <c r="I16" s="56">
        <v>5</v>
      </c>
      <c r="J16" s="56">
        <v>5.3</v>
      </c>
      <c r="K16" s="56">
        <v>5.5</v>
      </c>
      <c r="L16" s="56">
        <v>5.8</v>
      </c>
      <c r="M16" s="56">
        <v>5.8999999999999995</v>
      </c>
      <c r="N16" s="56">
        <v>6</v>
      </c>
      <c r="O16" s="56">
        <v>5.8999999999999995</v>
      </c>
      <c r="P16" s="56">
        <v>5.8</v>
      </c>
      <c r="Q16" s="56">
        <v>5.7</v>
      </c>
      <c r="R16" s="56">
        <v>5.6000000000000005</v>
      </c>
      <c r="S16" s="56">
        <v>5.5000000000000009</v>
      </c>
      <c r="T16" s="56">
        <v>5.4000000000000012</v>
      </c>
      <c r="U16" s="56">
        <v>5.3000000000000016</v>
      </c>
      <c r="V16" s="56">
        <v>5.200000000000002</v>
      </c>
      <c r="W16" s="56">
        <v>5.1000000000000023</v>
      </c>
      <c r="X16" s="56">
        <v>5.0000000000000027</v>
      </c>
      <c r="Y16" s="56">
        <v>4.900000000000003</v>
      </c>
      <c r="Z16" s="56">
        <v>4.8000000000000034</v>
      </c>
      <c r="AA16" s="56">
        <v>4.7000000000000037</v>
      </c>
      <c r="AB16" s="56">
        <v>4.6000000000000041</v>
      </c>
      <c r="AC16" s="56">
        <v>4.5000000000000044</v>
      </c>
      <c r="AD16" s="56">
        <v>4.4000000000000048</v>
      </c>
      <c r="AE16" s="56">
        <v>4.3000000000000052</v>
      </c>
      <c r="AF16" s="56">
        <v>4.2000000000000055</v>
      </c>
      <c r="AG16" s="56">
        <v>4.1000000000000059</v>
      </c>
      <c r="AH16" s="56">
        <v>4.0000000000000062</v>
      </c>
      <c r="AI16" s="56">
        <v>3.9000000000000061</v>
      </c>
      <c r="AJ16" s="56">
        <v>3.9000000000000061</v>
      </c>
      <c r="AK16" s="186">
        <f t="shared" si="23"/>
        <v>152.60000000000005</v>
      </c>
      <c r="AL16" s="147">
        <f t="shared" si="24"/>
        <v>1.5945663531870434E-3</v>
      </c>
      <c r="AM16" s="150">
        <f t="shared" si="25"/>
        <v>1.6625935092663422E-3</v>
      </c>
    </row>
    <row r="17" spans="1:41" ht="14.5" x14ac:dyDescent="0.35">
      <c r="A17" t="s">
        <v>20</v>
      </c>
      <c r="B17" s="41"/>
      <c r="C17" s="41"/>
      <c r="D17" s="41"/>
      <c r="E17" s="41"/>
      <c r="F17" s="56">
        <v>14.6</v>
      </c>
      <c r="G17" s="56">
        <v>20.5</v>
      </c>
      <c r="H17" s="56">
        <v>20.9</v>
      </c>
      <c r="I17" s="56">
        <v>21.3</v>
      </c>
      <c r="J17" s="56">
        <v>21.7</v>
      </c>
      <c r="K17" s="56">
        <v>22.1</v>
      </c>
      <c r="L17" s="56">
        <v>22.3</v>
      </c>
      <c r="M17" s="56">
        <v>22.5</v>
      </c>
      <c r="N17" s="56">
        <v>22.7</v>
      </c>
      <c r="O17" s="56">
        <v>22.9</v>
      </c>
      <c r="P17" s="56">
        <v>22.327499999999997</v>
      </c>
      <c r="Q17" s="56">
        <v>21.754999999999995</v>
      </c>
      <c r="R17" s="56">
        <v>21.182499999999994</v>
      </c>
      <c r="S17" s="56">
        <v>20.609999999999992</v>
      </c>
      <c r="T17" s="56">
        <v>20.037499999999991</v>
      </c>
      <c r="U17" s="56">
        <v>19.464999999999989</v>
      </c>
      <c r="V17" s="56">
        <v>18.892499999999988</v>
      </c>
      <c r="W17" s="56">
        <v>18.319999999999986</v>
      </c>
      <c r="X17" s="56">
        <v>17.747499999999985</v>
      </c>
      <c r="Y17" s="56">
        <v>17.174999999999983</v>
      </c>
      <c r="Z17" s="56">
        <v>16.602499999999981</v>
      </c>
      <c r="AA17" s="56">
        <v>16.02999999999998</v>
      </c>
      <c r="AB17" s="56">
        <v>15.45749999999998</v>
      </c>
      <c r="AC17" s="56">
        <v>14.88499999999998</v>
      </c>
      <c r="AD17" s="56">
        <v>14.31249999999998</v>
      </c>
      <c r="AE17" s="56">
        <v>13.739999999999981</v>
      </c>
      <c r="AF17" s="56">
        <v>13.167499999999981</v>
      </c>
      <c r="AG17" s="56">
        <v>12.594999999999981</v>
      </c>
      <c r="AH17" s="56">
        <v>12.022499999999981</v>
      </c>
      <c r="AI17" s="56">
        <v>11.449999999999982</v>
      </c>
      <c r="AJ17" s="56">
        <v>11.449999999999982</v>
      </c>
      <c r="AK17" s="186">
        <f t="shared" si="23"/>
        <v>560.7249999999998</v>
      </c>
      <c r="AL17" s="147">
        <f t="shared" si="24"/>
        <v>5.8591954022988481E-3</v>
      </c>
      <c r="AM17" s="150">
        <f t="shared" si="25"/>
        <v>6.1091595378988794E-3</v>
      </c>
    </row>
    <row r="18" spans="1:41" ht="14.5" x14ac:dyDescent="0.35">
      <c r="A18" t="s">
        <v>21</v>
      </c>
      <c r="B18" s="41"/>
      <c r="C18" s="41"/>
      <c r="D18" s="41"/>
      <c r="E18" s="41"/>
      <c r="F18" s="56"/>
      <c r="G18" s="56"/>
      <c r="H18" s="56"/>
      <c r="I18" s="56"/>
      <c r="J18" s="56">
        <v>0.25516499999999998</v>
      </c>
      <c r="K18" s="56">
        <v>0.33171449999999997</v>
      </c>
      <c r="L18" s="56">
        <v>0.43122885000000005</v>
      </c>
      <c r="M18" s="56">
        <v>0.56059750500000005</v>
      </c>
      <c r="N18" s="56">
        <v>0.72877675650000018</v>
      </c>
      <c r="O18" s="56">
        <v>0.94740978345000015</v>
      </c>
      <c r="P18" s="56">
        <v>1.2316327184850004</v>
      </c>
      <c r="Q18" s="56">
        <v>1.6011225340305006</v>
      </c>
      <c r="R18" s="56">
        <v>2.081459294239651</v>
      </c>
      <c r="S18" s="56">
        <v>2.7058970825115463</v>
      </c>
      <c r="T18" s="56">
        <v>3.5176662072650102</v>
      </c>
      <c r="U18" s="56">
        <v>4.2211994487180124</v>
      </c>
      <c r="V18" s="56">
        <v>5.0654393384616148</v>
      </c>
      <c r="W18" s="56">
        <v>6.0785272061539377</v>
      </c>
      <c r="X18" s="56">
        <v>7.2942326473847245</v>
      </c>
      <c r="Y18" s="56">
        <v>8.7530791768616698</v>
      </c>
      <c r="Z18" s="56">
        <v>10.503695012234003</v>
      </c>
      <c r="AA18" s="56">
        <v>12.604434014680804</v>
      </c>
      <c r="AB18" s="56">
        <v>15.125320817616963</v>
      </c>
      <c r="AC18" s="56">
        <v>18.150384981140355</v>
      </c>
      <c r="AD18" s="56">
        <v>21.780461977368425</v>
      </c>
      <c r="AE18" s="56">
        <v>23.958508175105273</v>
      </c>
      <c r="AF18" s="56">
        <v>26.354358992615801</v>
      </c>
      <c r="AG18" s="56">
        <v>28.989794891877381</v>
      </c>
      <c r="AH18" s="56">
        <v>31.888774381065122</v>
      </c>
      <c r="AI18" s="56">
        <v>35.077651819171635</v>
      </c>
      <c r="AJ18" s="56">
        <v>35.077651819171635</v>
      </c>
      <c r="AK18" s="186">
        <f t="shared" si="23"/>
        <v>305.31618493110909</v>
      </c>
      <c r="AL18" s="147">
        <f t="shared" si="24"/>
        <v>3.1903467599906908E-3</v>
      </c>
      <c r="AM18" s="150">
        <f t="shared" si="25"/>
        <v>3.3264528659267627E-3</v>
      </c>
    </row>
    <row r="19" spans="1:41" ht="14.5" x14ac:dyDescent="0.35">
      <c r="A19" t="s">
        <v>22</v>
      </c>
      <c r="B19" s="41"/>
      <c r="C19" s="41"/>
      <c r="D19" s="41"/>
      <c r="E19" s="41"/>
      <c r="F19" s="158">
        <f>F87*F88*0.02</f>
        <v>1.1361999999999999</v>
      </c>
      <c r="G19" s="158">
        <f t="shared" ref="G19:AI19" si="26">G87*G88*0.02</f>
        <v>2.4807844551839997</v>
      </c>
      <c r="H19" s="158">
        <f t="shared" si="26"/>
        <v>3.8613522552079997</v>
      </c>
      <c r="I19" s="158">
        <f t="shared" si="26"/>
        <v>5.2779034000719989</v>
      </c>
      <c r="J19" s="158">
        <f t="shared" si="26"/>
        <v>6.7304378897759989</v>
      </c>
      <c r="K19" s="158">
        <f t="shared" si="26"/>
        <v>8.2189557243199971</v>
      </c>
      <c r="L19" s="158">
        <f t="shared" si="26"/>
        <v>9.7434569037039971</v>
      </c>
      <c r="M19" s="158">
        <f t="shared" si="26"/>
        <v>11.303941427927995</v>
      </c>
      <c r="N19" s="158">
        <f t="shared" si="26"/>
        <v>12.900409296991997</v>
      </c>
      <c r="O19" s="158">
        <f t="shared" si="26"/>
        <v>14.532860510895997</v>
      </c>
      <c r="P19" s="158">
        <f t="shared" si="26"/>
        <v>16.201295069639997</v>
      </c>
      <c r="Q19" s="158">
        <f t="shared" si="26"/>
        <v>17.905712973223999</v>
      </c>
      <c r="R19" s="158">
        <f t="shared" si="26"/>
        <v>19.646114221647998</v>
      </c>
      <c r="S19" s="158">
        <f t="shared" si="26"/>
        <v>21.422498814911997</v>
      </c>
      <c r="T19" s="158">
        <f t="shared" si="26"/>
        <v>23.234866753015996</v>
      </c>
      <c r="U19" s="158">
        <f t="shared" si="26"/>
        <v>25.083218035959995</v>
      </c>
      <c r="V19" s="158">
        <f t="shared" si="26"/>
        <v>26.967552663743994</v>
      </c>
      <c r="W19" s="158">
        <f t="shared" si="26"/>
        <v>28.887870636368</v>
      </c>
      <c r="X19" s="158">
        <f t="shared" si="26"/>
        <v>30.844171953831996</v>
      </c>
      <c r="Y19" s="158">
        <f t="shared" si="26"/>
        <v>32.83645661613599</v>
      </c>
      <c r="Z19" s="158">
        <f t="shared" si="26"/>
        <v>34.864724623279997</v>
      </c>
      <c r="AA19" s="158">
        <f t="shared" si="26"/>
        <v>36.928975975263995</v>
      </c>
      <c r="AB19" s="158">
        <f t="shared" si="26"/>
        <v>39.029210672087991</v>
      </c>
      <c r="AC19" s="158">
        <f t="shared" si="26"/>
        <v>41.165428713751993</v>
      </c>
      <c r="AD19" s="158">
        <f t="shared" si="26"/>
        <v>43.337630100255993</v>
      </c>
      <c r="AE19" s="158">
        <f t="shared" si="26"/>
        <v>45.545814831599991</v>
      </c>
      <c r="AF19" s="158">
        <f t="shared" si="26"/>
        <v>47.789982907783987</v>
      </c>
      <c r="AG19" s="158">
        <f t="shared" si="26"/>
        <v>50.070134328807988</v>
      </c>
      <c r="AH19" s="158">
        <f t="shared" si="26"/>
        <v>52.386269094671988</v>
      </c>
      <c r="AI19" s="158">
        <f t="shared" si="26"/>
        <v>54.738387205375986</v>
      </c>
      <c r="AJ19" s="158">
        <f t="shared" ref="AJ19" si="27">AJ87*AJ88*0.02</f>
        <v>0</v>
      </c>
      <c r="AK19" s="186">
        <f t="shared" si="23"/>
        <v>765.07261805543965</v>
      </c>
      <c r="AL19" s="147">
        <f t="shared" si="24"/>
        <v>7.9944892168802469E-3</v>
      </c>
      <c r="AM19" s="150">
        <f t="shared" si="25"/>
        <v>8.3355489442751025E-3</v>
      </c>
    </row>
    <row r="20" spans="1:41" ht="14.5" x14ac:dyDescent="0.35">
      <c r="A20" t="s">
        <v>23</v>
      </c>
      <c r="B20" s="107"/>
      <c r="C20" s="107"/>
      <c r="D20" s="107"/>
      <c r="E20" s="107"/>
      <c r="F20" s="56">
        <v>10.3</v>
      </c>
      <c r="G20" s="56">
        <v>25</v>
      </c>
      <c r="H20" s="56">
        <v>32.700000000000003</v>
      </c>
      <c r="I20" s="56">
        <v>35.9</v>
      </c>
      <c r="J20" s="56">
        <v>37.6</v>
      </c>
      <c r="K20" s="56">
        <v>39.1</v>
      </c>
      <c r="L20" s="56">
        <v>40.6</v>
      </c>
      <c r="M20" s="56">
        <v>42.2</v>
      </c>
      <c r="N20" s="56">
        <v>43.8</v>
      </c>
      <c r="O20" s="56">
        <f t="shared" ref="O20:AJ20" si="28">N20*1.05</f>
        <v>45.99</v>
      </c>
      <c r="P20" s="56">
        <f t="shared" si="28"/>
        <v>48.289500000000004</v>
      </c>
      <c r="Q20" s="56">
        <f t="shared" si="28"/>
        <v>50.703975000000007</v>
      </c>
      <c r="R20" s="56">
        <f t="shared" si="28"/>
        <v>53.239173750000006</v>
      </c>
      <c r="S20" s="56">
        <f t="shared" si="28"/>
        <v>55.90113243750001</v>
      </c>
      <c r="T20" s="56">
        <f t="shared" si="28"/>
        <v>58.696189059375016</v>
      </c>
      <c r="U20" s="56">
        <f t="shared" si="28"/>
        <v>61.630998512343766</v>
      </c>
      <c r="V20" s="56">
        <f t="shared" si="28"/>
        <v>64.712548437960962</v>
      </c>
      <c r="W20" s="56">
        <f t="shared" si="28"/>
        <v>67.948175859859006</v>
      </c>
      <c r="X20" s="56">
        <f t="shared" si="28"/>
        <v>71.345584652851954</v>
      </c>
      <c r="Y20" s="56">
        <f t="shared" si="28"/>
        <v>74.912863885494559</v>
      </c>
      <c r="Z20" s="56">
        <f t="shared" si="28"/>
        <v>78.658507079769294</v>
      </c>
      <c r="AA20" s="56">
        <f t="shared" si="28"/>
        <v>82.59143243375776</v>
      </c>
      <c r="AB20" s="56">
        <f t="shared" si="28"/>
        <v>86.721004055445647</v>
      </c>
      <c r="AC20" s="56">
        <f t="shared" si="28"/>
        <v>91.057054258217931</v>
      </c>
      <c r="AD20" s="56">
        <f t="shared" si="28"/>
        <v>95.609906971128837</v>
      </c>
      <c r="AE20" s="56">
        <f t="shared" si="28"/>
        <v>100.39040231968528</v>
      </c>
      <c r="AF20" s="56">
        <f t="shared" si="28"/>
        <v>105.40992243566954</v>
      </c>
      <c r="AG20" s="56">
        <f t="shared" si="28"/>
        <v>110.68041855745302</v>
      </c>
      <c r="AH20" s="56">
        <f t="shared" si="28"/>
        <v>116.21443948532568</v>
      </c>
      <c r="AI20" s="56">
        <f t="shared" si="28"/>
        <v>122.02516145959197</v>
      </c>
      <c r="AJ20" s="56">
        <f t="shared" si="28"/>
        <v>128.12641953257156</v>
      </c>
      <c r="AK20" s="186">
        <f t="shared" si="23"/>
        <v>2078.0548101840022</v>
      </c>
      <c r="AL20" s="147">
        <f t="shared" si="24"/>
        <v>2.1714261339435759E-2</v>
      </c>
      <c r="AM20" s="150">
        <f t="shared" si="25"/>
        <v>2.2640631974519144E-2</v>
      </c>
    </row>
    <row r="21" spans="1:41" ht="14.5" x14ac:dyDescent="0.35">
      <c r="A21" t="s">
        <v>24</v>
      </c>
      <c r="B21" s="41">
        <v>106.67400000000001</v>
      </c>
      <c r="C21" s="41">
        <v>0.58099999999999996</v>
      </c>
      <c r="D21" s="41">
        <v>3.1309999999999998</v>
      </c>
      <c r="E21" s="41">
        <v>5.49</v>
      </c>
      <c r="F21" s="41">
        <f>'Actual Revenue Progression'!C192</f>
        <v>7.8529999999999989</v>
      </c>
      <c r="G21" s="41">
        <f>'Actual Revenue Progression'!D192</f>
        <v>8.5569999999999986</v>
      </c>
      <c r="H21" s="41">
        <f>'Actual Revenue Progression'!E192</f>
        <v>9.1580000000000013</v>
      </c>
      <c r="I21" s="41">
        <f>'Actual Revenue Progression'!F192</f>
        <v>14.822000000000008</v>
      </c>
      <c r="J21" s="41">
        <f>'Actual Revenue Progression'!G192</f>
        <v>37.887000000000008</v>
      </c>
      <c r="K21" s="41">
        <f>'Actual Revenue Progression'!H192</f>
        <v>93.911999999999992</v>
      </c>
      <c r="L21" s="41">
        <f>'Actual Revenue Progression'!I192</f>
        <v>129.70699999999999</v>
      </c>
      <c r="M21" s="41">
        <f>'Actual Revenue Progression'!J192</f>
        <v>140.53399999999999</v>
      </c>
      <c r="N21" s="41">
        <f>'Actual Revenue Progression'!K192</f>
        <v>152.88300000000001</v>
      </c>
      <c r="O21" s="41">
        <f>'Actual Revenue Progression'!L192</f>
        <v>164.50799999999998</v>
      </c>
      <c r="P21" s="41">
        <f>'Actual Revenue Progression'!M192</f>
        <v>176.40199999999999</v>
      </c>
      <c r="Q21" s="41">
        <f t="shared" ref="Q21:Z21" si="29">(0.009*0.43)*Q64</f>
        <v>187.55509075379999</v>
      </c>
      <c r="R21" s="41">
        <f t="shared" si="29"/>
        <v>194.58840665706751</v>
      </c>
      <c r="S21" s="41">
        <f t="shared" si="29"/>
        <v>201.88547190670755</v>
      </c>
      <c r="T21" s="41">
        <f t="shared" si="29"/>
        <v>209.45617710320909</v>
      </c>
      <c r="U21" s="41">
        <f t="shared" si="29"/>
        <v>217.31078374457945</v>
      </c>
      <c r="V21" s="41">
        <f t="shared" si="29"/>
        <v>225.45993813500121</v>
      </c>
      <c r="W21" s="41">
        <f t="shared" si="29"/>
        <v>233.91468581506379</v>
      </c>
      <c r="X21" s="41">
        <f t="shared" si="29"/>
        <v>242.68648653312871</v>
      </c>
      <c r="Y21" s="41">
        <f t="shared" si="29"/>
        <v>251.78722977812106</v>
      </c>
      <c r="Z21" s="41">
        <f t="shared" si="29"/>
        <v>261.22499999999997</v>
      </c>
      <c r="AA21" s="41">
        <f t="shared" ref="AA21:AI21" si="30">(0.01*0.43)*AA64</f>
        <v>300.55387500000001</v>
      </c>
      <c r="AB21" s="41">
        <f t="shared" si="30"/>
        <v>311.22353756250004</v>
      </c>
      <c r="AC21" s="41">
        <f t="shared" si="30"/>
        <v>322.27197314596884</v>
      </c>
      <c r="AD21" s="41">
        <f t="shared" si="30"/>
        <v>333.71262819265075</v>
      </c>
      <c r="AE21" s="41">
        <f t="shared" si="30"/>
        <v>345.55942649348992</v>
      </c>
      <c r="AF21" s="41">
        <f t="shared" si="30"/>
        <v>357.82678613400878</v>
      </c>
      <c r="AG21" s="41">
        <f t="shared" si="30"/>
        <v>370.52963704176614</v>
      </c>
      <c r="AH21" s="41">
        <f t="shared" si="30"/>
        <v>383.68343915674888</v>
      </c>
      <c r="AI21" s="42">
        <f t="shared" si="30"/>
        <v>397.30420124681348</v>
      </c>
      <c r="AJ21" s="42">
        <f t="shared" ref="AJ21" si="31">(0.01*0.43)*AJ64</f>
        <v>411.51</v>
      </c>
      <c r="AK21" s="185"/>
      <c r="AN21" s="109">
        <f>SUM(AI21,AI23:AI25)</f>
        <v>638.63400616077979</v>
      </c>
    </row>
    <row r="22" spans="1:41" ht="14.5" x14ac:dyDescent="0.35">
      <c r="A22" t="s">
        <v>25</v>
      </c>
      <c r="B22" s="41">
        <v>99.908000000000001</v>
      </c>
      <c r="C22" s="41">
        <v>80.338000000000008</v>
      </c>
      <c r="D22" s="41">
        <v>77.037000000000006</v>
      </c>
      <c r="E22" s="41">
        <v>195</v>
      </c>
      <c r="F22" s="41">
        <f>'Actual Revenue Progression'!C189/2</f>
        <v>209.19399999999999</v>
      </c>
      <c r="G22" s="41">
        <f>'Actual Revenue Progression'!D189/2</f>
        <v>210.5515</v>
      </c>
      <c r="H22" s="41">
        <f>'Actual Revenue Progression'!E189/2</f>
        <v>211.79499999999996</v>
      </c>
      <c r="I22" s="41">
        <f>'Actual Revenue Progression'!F189/2</f>
        <v>208.72900000000001</v>
      </c>
      <c r="J22" s="41">
        <f>'Actual Revenue Progression'!G189/2</f>
        <v>206.21350000000001</v>
      </c>
      <c r="K22" s="41">
        <f>'Actual Revenue Progression'!H189/2</f>
        <v>202.62100000000001</v>
      </c>
      <c r="L22" s="41">
        <f>'Actual Revenue Progression'!I189/2</f>
        <v>194.65350000000001</v>
      </c>
      <c r="M22" s="41">
        <f>'Actual Revenue Progression'!J189/2</f>
        <v>191.15349999999998</v>
      </c>
      <c r="N22" s="41">
        <f>'Actual Revenue Progression'!K189/2</f>
        <v>190.79599999999999</v>
      </c>
      <c r="O22" s="41">
        <f>'Actual Revenue Progression'!L189/2</f>
        <v>195.04900000000001</v>
      </c>
      <c r="P22" s="41">
        <f>'Actual Revenue Progression'!M189/2</f>
        <v>201.178</v>
      </c>
      <c r="Q22" s="41">
        <f>Q64*0.003</f>
        <v>145.39154321999999</v>
      </c>
      <c r="R22" s="41">
        <f t="shared" ref="R22:AJ22" si="32">R64*0.003</f>
        <v>150.84372609075001</v>
      </c>
      <c r="S22" s="41">
        <f t="shared" si="32"/>
        <v>156.50036581915316</v>
      </c>
      <c r="T22" s="41">
        <f t="shared" si="32"/>
        <v>162.36912953737141</v>
      </c>
      <c r="U22" s="41">
        <f t="shared" si="32"/>
        <v>168.45797189502287</v>
      </c>
      <c r="V22" s="41">
        <f t="shared" si="32"/>
        <v>174.77514584108624</v>
      </c>
      <c r="W22" s="41">
        <f t="shared" si="32"/>
        <v>181.32921381012699</v>
      </c>
      <c r="X22" s="41">
        <f t="shared" si="32"/>
        <v>188.12905932800678</v>
      </c>
      <c r="Y22" s="41">
        <f t="shared" si="32"/>
        <v>195.18389905280705</v>
      </c>
      <c r="Z22" s="41">
        <f t="shared" si="32"/>
        <v>202.5</v>
      </c>
      <c r="AA22" s="41">
        <f t="shared" si="32"/>
        <v>209.68875</v>
      </c>
      <c r="AB22" s="41">
        <f t="shared" si="32"/>
        <v>217.13270062500001</v>
      </c>
      <c r="AC22" s="41">
        <f t="shared" si="32"/>
        <v>224.84091149718756</v>
      </c>
      <c r="AD22" s="41">
        <f t="shared" si="32"/>
        <v>232.82276385533774</v>
      </c>
      <c r="AE22" s="41">
        <f t="shared" si="32"/>
        <v>241.08797197220227</v>
      </c>
      <c r="AF22" s="41">
        <f t="shared" si="32"/>
        <v>249.64659497721544</v>
      </c>
      <c r="AG22" s="41">
        <f t="shared" si="32"/>
        <v>258.50904909890659</v>
      </c>
      <c r="AH22" s="41">
        <f t="shared" si="32"/>
        <v>267.68612034191784</v>
      </c>
      <c r="AI22" s="41">
        <f t="shared" si="32"/>
        <v>277.18897761405594</v>
      </c>
      <c r="AJ22" s="41">
        <f t="shared" si="32"/>
        <v>287.10000000000002</v>
      </c>
      <c r="AK22" s="186"/>
      <c r="AN22" s="109">
        <f>AI22</f>
        <v>277.18897761405594</v>
      </c>
    </row>
    <row r="23" spans="1:41" ht="14.5" x14ac:dyDescent="0.35">
      <c r="A23" t="s">
        <v>26</v>
      </c>
      <c r="B23" s="41">
        <v>32.549999999999997</v>
      </c>
      <c r="C23" s="41">
        <v>33.667999999999999</v>
      </c>
      <c r="D23" s="41">
        <v>31.616</v>
      </c>
      <c r="E23" s="41">
        <v>29.461999999999996</v>
      </c>
      <c r="F23" s="41">
        <f>'Actual Revenue Progression'!C193</f>
        <v>36.405000000000001</v>
      </c>
      <c r="G23" s="41">
        <f>'Actual Revenue Progression'!D193</f>
        <v>35.206999999999994</v>
      </c>
      <c r="H23" s="41">
        <f>'Actual Revenue Progression'!E193</f>
        <v>35.860999999999997</v>
      </c>
      <c r="I23" s="41">
        <f>'Actual Revenue Progression'!F193</f>
        <v>35.609000000000002</v>
      </c>
      <c r="J23" s="41">
        <f>'Actual Revenue Progression'!G193</f>
        <v>36.166000000000004</v>
      </c>
      <c r="K23" s="41">
        <f>'Actual Revenue Progression'!H193</f>
        <v>37.441000000000003</v>
      </c>
      <c r="L23" s="41">
        <f>'Actual Revenue Progression'!I193</f>
        <v>39.227999999999994</v>
      </c>
      <c r="M23" s="41">
        <f>'Actual Revenue Progression'!J193</f>
        <v>41.391000000000005</v>
      </c>
      <c r="N23" s="41">
        <f>'Actual Revenue Progression'!K193</f>
        <v>43.98899999999999</v>
      </c>
      <c r="O23" s="41">
        <f>'Actual Revenue Progression'!L193</f>
        <v>47.152000000000015</v>
      </c>
      <c r="P23" s="41">
        <f>'Actual Revenue Progression'!M193</f>
        <v>50.675000000000004</v>
      </c>
      <c r="Q23" s="41">
        <f t="shared" ref="Q23:Z23" si="33">(0.009*0.12)*Q64</f>
        <v>52.34095555919999</v>
      </c>
      <c r="R23" s="41">
        <f t="shared" si="33"/>
        <v>54.303741392669991</v>
      </c>
      <c r="S23" s="41">
        <f t="shared" si="33"/>
        <v>56.340131694895121</v>
      </c>
      <c r="T23" s="41">
        <f t="shared" si="33"/>
        <v>58.452886633453694</v>
      </c>
      <c r="U23" s="41">
        <f t="shared" si="33"/>
        <v>60.644869882208212</v>
      </c>
      <c r="V23" s="41">
        <f t="shared" si="33"/>
        <v>62.919052502791033</v>
      </c>
      <c r="W23" s="41">
        <f t="shared" si="33"/>
        <v>65.278516971645701</v>
      </c>
      <c r="X23" s="41">
        <f t="shared" si="33"/>
        <v>67.726461358082418</v>
      </c>
      <c r="Y23" s="41">
        <f t="shared" si="33"/>
        <v>70.266203659010515</v>
      </c>
      <c r="Z23" s="41">
        <f t="shared" si="33"/>
        <v>72.899999999999991</v>
      </c>
      <c r="AA23" s="41">
        <f t="shared" ref="AA23:AI23" si="34">(0.01*0.12)*AA64</f>
        <v>83.875499999999988</v>
      </c>
      <c r="AB23" s="41">
        <f t="shared" si="34"/>
        <v>86.853080249999991</v>
      </c>
      <c r="AC23" s="41">
        <f t="shared" si="34"/>
        <v>89.936364598875016</v>
      </c>
      <c r="AD23" s="41">
        <f t="shared" si="34"/>
        <v>93.129105542135093</v>
      </c>
      <c r="AE23" s="41">
        <f t="shared" si="34"/>
        <v>96.435188788880893</v>
      </c>
      <c r="AF23" s="41">
        <f t="shared" si="34"/>
        <v>99.858637990886166</v>
      </c>
      <c r="AG23" s="41">
        <f t="shared" si="34"/>
        <v>103.40361963956263</v>
      </c>
      <c r="AH23" s="41">
        <f t="shared" si="34"/>
        <v>107.07444813676712</v>
      </c>
      <c r="AI23" s="42">
        <f t="shared" si="34"/>
        <v>110.87559104562236</v>
      </c>
      <c r="AJ23" s="42">
        <f t="shared" ref="AJ23" si="35">(0.01*0.12)*AJ64</f>
        <v>114.83999999999999</v>
      </c>
    </row>
    <row r="24" spans="1:41" ht="14.5" x14ac:dyDescent="0.35">
      <c r="A24" t="s">
        <v>27</v>
      </c>
      <c r="B24" s="41">
        <v>30.001000000000001</v>
      </c>
      <c r="C24" s="41">
        <v>40.036999999999999</v>
      </c>
      <c r="D24" s="41">
        <v>40.024999999999999</v>
      </c>
      <c r="E24" s="41">
        <v>42</v>
      </c>
      <c r="F24" s="41">
        <f>'Actual Revenue Progression'!C194</f>
        <v>44.082999999999991</v>
      </c>
      <c r="G24" s="41">
        <f>'Actual Revenue Progression'!D194</f>
        <v>49.147999999999996</v>
      </c>
      <c r="H24" s="41">
        <f>'Actual Revenue Progression'!E194</f>
        <v>49.268000000000001</v>
      </c>
      <c r="I24" s="41">
        <f>'Actual Revenue Progression'!F194</f>
        <v>50.54399999999999</v>
      </c>
      <c r="J24" s="41">
        <f>'Actual Revenue Progression'!G194</f>
        <v>50.629999999999995</v>
      </c>
      <c r="K24" s="41">
        <f>'Actual Revenue Progression'!H194</f>
        <v>52.519000000000005</v>
      </c>
      <c r="L24" s="41">
        <f>'Actual Revenue Progression'!I194</f>
        <v>54.698000000000008</v>
      </c>
      <c r="M24" s="41">
        <f>'Actual Revenue Progression'!J194</f>
        <v>56.454999999999998</v>
      </c>
      <c r="N24" s="41">
        <f>'Actual Revenue Progression'!K194</f>
        <v>58.182000000000002</v>
      </c>
      <c r="O24" s="41">
        <f>'Actual Revenue Progression'!L194</f>
        <v>59.887999999999998</v>
      </c>
      <c r="P24" s="41">
        <f>'Actual Revenue Progression'!M194</f>
        <v>61.971000000000004</v>
      </c>
      <c r="Q24" s="41">
        <f t="shared" ref="Q24:Z24" si="36">(0.009*0.13)*Q64</f>
        <v>56.702701855800001</v>
      </c>
      <c r="R24" s="41">
        <f t="shared" si="36"/>
        <v>58.829053175392502</v>
      </c>
      <c r="S24" s="41">
        <f t="shared" si="36"/>
        <v>61.035142669469728</v>
      </c>
      <c r="T24" s="41">
        <f t="shared" si="36"/>
        <v>63.323960519574847</v>
      </c>
      <c r="U24" s="41">
        <f t="shared" si="36"/>
        <v>65.698609039058908</v>
      </c>
      <c r="V24" s="41">
        <f t="shared" si="36"/>
        <v>68.162306878023628</v>
      </c>
      <c r="W24" s="41">
        <f t="shared" si="36"/>
        <v>70.718393385949526</v>
      </c>
      <c r="X24" s="41">
        <f t="shared" si="36"/>
        <v>73.370333137922643</v>
      </c>
      <c r="Y24" s="41">
        <f t="shared" si="36"/>
        <v>76.121720630594751</v>
      </c>
      <c r="Z24" s="41">
        <f t="shared" si="36"/>
        <v>78.975000000000009</v>
      </c>
      <c r="AA24" s="41">
        <f t="shared" ref="AA24:AI24" si="37">(0.01*0.15)*AA64</f>
        <v>104.844375</v>
      </c>
      <c r="AB24" s="41">
        <f t="shared" si="37"/>
        <v>108.56635031250001</v>
      </c>
      <c r="AC24" s="41">
        <f t="shared" si="37"/>
        <v>112.42045574859378</v>
      </c>
      <c r="AD24" s="41">
        <f t="shared" si="37"/>
        <v>116.41138192766887</v>
      </c>
      <c r="AE24" s="41">
        <f t="shared" si="37"/>
        <v>120.54398598610113</v>
      </c>
      <c r="AF24" s="41">
        <f t="shared" si="37"/>
        <v>124.82329748860772</v>
      </c>
      <c r="AG24" s="41">
        <f t="shared" si="37"/>
        <v>129.25452454945329</v>
      </c>
      <c r="AH24" s="41">
        <f t="shared" si="37"/>
        <v>133.84306017095892</v>
      </c>
      <c r="AI24" s="179">
        <f t="shared" si="37"/>
        <v>138.59448880702797</v>
      </c>
      <c r="AJ24" s="179">
        <f t="shared" ref="AJ24" si="38">(0.01*0.15)*AJ64</f>
        <v>143.55000000000001</v>
      </c>
    </row>
    <row r="25" spans="1:41" ht="14.5" x14ac:dyDescent="0.35">
      <c r="A25" t="s">
        <v>28</v>
      </c>
      <c r="B25" s="41"/>
      <c r="C25" s="41"/>
      <c r="D25" s="41"/>
      <c r="E25" s="41"/>
      <c r="F25" s="41">
        <v>-0.1</v>
      </c>
      <c r="G25" s="41">
        <v>-0.1</v>
      </c>
      <c r="H25" s="41">
        <v>-0.1</v>
      </c>
      <c r="I25" s="41">
        <v>-0.2</v>
      </c>
      <c r="J25" s="41">
        <v>-0.2</v>
      </c>
      <c r="K25" s="41">
        <v>-0.2</v>
      </c>
      <c r="L25" s="41">
        <v>-0.8</v>
      </c>
      <c r="M25" s="41">
        <v>-0.9</v>
      </c>
      <c r="N25" s="41">
        <v>-1.1000000000000001</v>
      </c>
      <c r="O25" s="41">
        <f t="shared" ref="O25:AJ25" si="39">N25*1.1</f>
        <v>-1.2100000000000002</v>
      </c>
      <c r="P25" s="41">
        <f t="shared" si="39"/>
        <v>-1.3310000000000004</v>
      </c>
      <c r="Q25" s="41">
        <f t="shared" si="39"/>
        <v>-1.4641000000000006</v>
      </c>
      <c r="R25" s="41">
        <f t="shared" si="39"/>
        <v>-1.6105100000000008</v>
      </c>
      <c r="S25" s="41">
        <f t="shared" si="39"/>
        <v>-1.7715610000000011</v>
      </c>
      <c r="T25" s="41">
        <f t="shared" si="39"/>
        <v>-1.9487171000000014</v>
      </c>
      <c r="U25" s="41">
        <f t="shared" si="39"/>
        <v>-2.1435888100000016</v>
      </c>
      <c r="V25" s="41">
        <f t="shared" si="39"/>
        <v>-2.3579476910000019</v>
      </c>
      <c r="W25" s="41">
        <f t="shared" si="39"/>
        <v>-2.5937424601000023</v>
      </c>
      <c r="X25" s="41">
        <f t="shared" si="39"/>
        <v>-2.8531167061100029</v>
      </c>
      <c r="Y25" s="41">
        <f t="shared" si="39"/>
        <v>-3.1384283767210035</v>
      </c>
      <c r="Z25" s="41">
        <f t="shared" si="39"/>
        <v>-3.4522712143931042</v>
      </c>
      <c r="AA25" s="41">
        <f t="shared" si="39"/>
        <v>-3.7974983358324148</v>
      </c>
      <c r="AB25" s="41">
        <f t="shared" si="39"/>
        <v>-4.1772481694156562</v>
      </c>
      <c r="AC25" s="41">
        <f t="shared" si="39"/>
        <v>-4.594972986357222</v>
      </c>
      <c r="AD25" s="41">
        <f t="shared" si="39"/>
        <v>-5.0544702849929442</v>
      </c>
      <c r="AE25" s="41">
        <f t="shared" si="39"/>
        <v>-5.5599173134922388</v>
      </c>
      <c r="AF25" s="41">
        <f t="shared" si="39"/>
        <v>-6.1159090448414632</v>
      </c>
      <c r="AG25" s="41">
        <f t="shared" si="39"/>
        <v>-6.72749994932561</v>
      </c>
      <c r="AH25" s="41">
        <f t="shared" si="39"/>
        <v>-7.4002499442581717</v>
      </c>
      <c r="AI25" s="41">
        <f t="shared" si="39"/>
        <v>-8.140274938683989</v>
      </c>
      <c r="AJ25" s="41">
        <f t="shared" si="39"/>
        <v>-8.9543024325523888</v>
      </c>
      <c r="AK25" s="186">
        <f>SUM(F25:AI25)</f>
        <v>-81.143024325523839</v>
      </c>
      <c r="AL25" s="147">
        <f>AK25/$AJ$64</f>
        <v>-8.478894913847841E-4</v>
      </c>
      <c r="AM25" s="150">
        <f>AK25/$AJ$68</f>
        <v>-8.8406202860980866E-4</v>
      </c>
    </row>
    <row r="26" spans="1:41" ht="14.5" x14ac:dyDescent="0.35">
      <c r="A26" s="46" t="s">
        <v>29</v>
      </c>
      <c r="B26" s="48"/>
    </row>
    <row r="27" spans="1:41" ht="14.5" x14ac:dyDescent="0.35">
      <c r="A27" s="46"/>
      <c r="B27" s="48"/>
    </row>
    <row r="28" spans="1:41" s="3" customFormat="1" ht="14.5" x14ac:dyDescent="0.35">
      <c r="A28" s="169" t="s">
        <v>30</v>
      </c>
      <c r="B28" s="160">
        <f t="shared" ref="B28:AJ28" si="40">SUM(B29,B42,B51)</f>
        <v>6778.2580000000007</v>
      </c>
      <c r="C28" s="160">
        <f t="shared" si="40"/>
        <v>6479.2809999999999</v>
      </c>
      <c r="D28" s="160">
        <f t="shared" si="40"/>
        <v>7105.4860000000008</v>
      </c>
      <c r="E28" s="160">
        <f t="shared" si="40"/>
        <v>7009.7749999999996</v>
      </c>
      <c r="F28" s="160">
        <f t="shared" si="40"/>
        <v>7450</v>
      </c>
      <c r="G28" s="160">
        <f t="shared" si="40"/>
        <v>7773</v>
      </c>
      <c r="H28" s="160">
        <f t="shared" si="40"/>
        <v>8151</v>
      </c>
      <c r="I28" s="160">
        <f t="shared" si="40"/>
        <v>8339</v>
      </c>
      <c r="J28" s="160">
        <f t="shared" si="40"/>
        <v>8797</v>
      </c>
      <c r="K28" s="160">
        <f t="shared" si="40"/>
        <v>9156</v>
      </c>
      <c r="L28" s="160">
        <f t="shared" si="40"/>
        <v>9568</v>
      </c>
      <c r="M28" s="160">
        <f t="shared" si="40"/>
        <v>10171</v>
      </c>
      <c r="N28" s="160">
        <f t="shared" si="40"/>
        <v>10487</v>
      </c>
      <c r="O28" s="160">
        <f t="shared" si="40"/>
        <v>10750</v>
      </c>
      <c r="P28" s="160">
        <f t="shared" si="40"/>
        <v>11417</v>
      </c>
      <c r="Q28" s="160">
        <f t="shared" si="40"/>
        <v>11357.70058954</v>
      </c>
      <c r="R28" s="160">
        <f t="shared" si="40"/>
        <v>11797.504305147751</v>
      </c>
      <c r="S28" s="160">
        <f t="shared" si="40"/>
        <v>12254.642927297067</v>
      </c>
      <c r="T28" s="160">
        <f t="shared" si="40"/>
        <v>12729.813636710562</v>
      </c>
      <c r="U28" s="160">
        <f t="shared" si="40"/>
        <v>13223.742281580904</v>
      </c>
      <c r="V28" s="160">
        <f t="shared" si="40"/>
        <v>13737.184584196117</v>
      </c>
      <c r="W28" s="160">
        <f t="shared" si="40"/>
        <v>14270.927399562246</v>
      </c>
      <c r="X28" s="160">
        <f t="shared" si="40"/>
        <v>14825.790028315801</v>
      </c>
      <c r="Y28" s="160">
        <f t="shared" si="40"/>
        <v>15402.625586321234</v>
      </c>
      <c r="Z28" s="160">
        <f t="shared" si="40"/>
        <v>16042.213365078547</v>
      </c>
      <c r="AA28" s="160">
        <f t="shared" si="40"/>
        <v>16594.137089132477</v>
      </c>
      <c r="AB28" s="160">
        <f t="shared" si="40"/>
        <v>17311.853773677569</v>
      </c>
      <c r="AC28" s="160">
        <f t="shared" si="40"/>
        <v>18061.797704980207</v>
      </c>
      <c r="AD28" s="160">
        <f t="shared" si="40"/>
        <v>18845.472492579676</v>
      </c>
      <c r="AE28" s="160">
        <f t="shared" si="40"/>
        <v>19664.454534580018</v>
      </c>
      <c r="AF28" s="160">
        <f t="shared" si="40"/>
        <v>20520.396661274332</v>
      </c>
      <c r="AG28" s="160">
        <f t="shared" si="40"/>
        <v>21415.031966502454</v>
      </c>
      <c r="AH28" s="160">
        <f t="shared" si="40"/>
        <v>22350.17783664821</v>
      </c>
      <c r="AI28" s="160">
        <f t="shared" si="40"/>
        <v>23327.740187715077</v>
      </c>
      <c r="AJ28" s="160">
        <f t="shared" si="40"/>
        <v>24351.346636135953</v>
      </c>
      <c r="AK28" s="187"/>
      <c r="AL28" s="161"/>
      <c r="AM28" s="170"/>
      <c r="AN28" s="169"/>
    </row>
    <row r="29" spans="1:41" ht="14.5" x14ac:dyDescent="0.35">
      <c r="A29" s="171" t="s">
        <v>31</v>
      </c>
      <c r="B29" s="162">
        <f t="shared" ref="B29:AI29" si="41">SUM(B30,B33,B35,B39,B41)</f>
        <v>4637.8510000000006</v>
      </c>
      <c r="C29" s="162">
        <f t="shared" si="41"/>
        <v>4102.875</v>
      </c>
      <c r="D29" s="162">
        <f t="shared" si="41"/>
        <v>4415.4320000000007</v>
      </c>
      <c r="E29" s="162">
        <f t="shared" si="41"/>
        <v>4167.46</v>
      </c>
      <c r="F29" s="162">
        <f t="shared" si="41"/>
        <v>4530</v>
      </c>
      <c r="G29" s="162">
        <f t="shared" si="41"/>
        <v>4783</v>
      </c>
      <c r="H29" s="162">
        <f t="shared" si="41"/>
        <v>5004</v>
      </c>
      <c r="I29" s="162">
        <f t="shared" si="41"/>
        <v>5067</v>
      </c>
      <c r="J29" s="162">
        <f t="shared" si="41"/>
        <v>5376</v>
      </c>
      <c r="K29" s="162">
        <f t="shared" si="41"/>
        <v>5583</v>
      </c>
      <c r="L29" s="162">
        <f t="shared" si="41"/>
        <v>5835</v>
      </c>
      <c r="M29" s="162">
        <f t="shared" si="41"/>
        <v>6277</v>
      </c>
      <c r="N29" s="162">
        <f t="shared" si="41"/>
        <v>6436</v>
      </c>
      <c r="O29" s="162">
        <f t="shared" si="41"/>
        <v>6544</v>
      </c>
      <c r="P29" s="162">
        <f t="shared" si="41"/>
        <v>7029</v>
      </c>
      <c r="Q29" s="162">
        <f t="shared" si="41"/>
        <v>6830.2005457599998</v>
      </c>
      <c r="R29" s="162">
        <f t="shared" si="41"/>
        <v>7073.6765591660005</v>
      </c>
      <c r="S29" s="162">
        <f t="shared" si="41"/>
        <v>7325.8164502683958</v>
      </c>
      <c r="T29" s="162">
        <f t="shared" si="41"/>
        <v>7586.9277153254743</v>
      </c>
      <c r="U29" s="162">
        <f t="shared" si="41"/>
        <v>7857.3287240186755</v>
      </c>
      <c r="V29" s="162">
        <f t="shared" si="41"/>
        <v>8137.3491019837302</v>
      </c>
      <c r="W29" s="162">
        <f t="shared" si="41"/>
        <v>8427.3301267046118</v>
      </c>
      <c r="X29" s="162">
        <f t="shared" si="41"/>
        <v>8727.6251372326496</v>
      </c>
      <c r="Y29" s="162">
        <f t="shared" si="41"/>
        <v>9038.5999582087879</v>
      </c>
      <c r="Z29" s="162">
        <f t="shared" si="41"/>
        <v>9359.7133650785472</v>
      </c>
      <c r="AA29" s="162">
        <f t="shared" si="41"/>
        <v>9667.7865891324782</v>
      </c>
      <c r="AB29" s="162">
        <f t="shared" si="41"/>
        <v>10058.715349527569</v>
      </c>
      <c r="AC29" s="162">
        <f t="shared" si="41"/>
        <v>10465.634673188661</v>
      </c>
      <c r="AD29" s="162">
        <f t="shared" si="41"/>
        <v>10889.206141082934</v>
      </c>
      <c r="AE29" s="162">
        <f t="shared" si="41"/>
        <v>11330.119010340557</v>
      </c>
      <c r="AF29" s="162">
        <f t="shared" si="41"/>
        <v>11789.091384260524</v>
      </c>
      <c r="AG29" s="162">
        <f t="shared" si="41"/>
        <v>12266.871432263475</v>
      </c>
      <c r="AH29" s="162">
        <f t="shared" si="41"/>
        <v>12764.2386619428</v>
      </c>
      <c r="AI29" s="162">
        <f t="shared" si="41"/>
        <v>13282.005245458673</v>
      </c>
      <c r="AJ29" s="162">
        <f t="shared" ref="AJ29" si="42">SUM(AJ30,AJ33,AJ35,AJ39,AJ41)</f>
        <v>13821.560307502154</v>
      </c>
      <c r="AK29" s="188"/>
      <c r="AL29" s="161"/>
      <c r="AM29" s="170"/>
      <c r="AN29" s="172"/>
    </row>
    <row r="30" spans="1:41" s="43" customFormat="1" ht="14.5" x14ac:dyDescent="0.35">
      <c r="A30" s="173" t="s">
        <v>32</v>
      </c>
      <c r="B30" s="163">
        <v>974.649</v>
      </c>
      <c r="C30" s="163">
        <v>1015.87</v>
      </c>
      <c r="D30" s="163">
        <v>1043.79</v>
      </c>
      <c r="E30" s="163">
        <v>1179.972</v>
      </c>
      <c r="F30" s="163">
        <f>'Gov outlays'!C12</f>
        <v>1287</v>
      </c>
      <c r="G30" s="163">
        <f>'Gov outlays'!D12</f>
        <v>1374</v>
      </c>
      <c r="H30" s="163">
        <f>'Gov outlays'!E12</f>
        <v>1533</v>
      </c>
      <c r="I30" s="163">
        <f>'Gov outlays'!F12</f>
        <v>1470</v>
      </c>
      <c r="J30" s="163">
        <f>'Gov outlays'!G12</f>
        <v>1649</v>
      </c>
      <c r="K30" s="163">
        <f>'Gov outlays'!H12</f>
        <v>1753</v>
      </c>
      <c r="L30" s="163">
        <f>'Gov outlays'!I12</f>
        <v>1867</v>
      </c>
      <c r="M30" s="163">
        <f>'Gov outlays'!J12</f>
        <v>2123</v>
      </c>
      <c r="N30" s="163">
        <f>'Gov outlays'!K12</f>
        <v>2153</v>
      </c>
      <c r="O30" s="163">
        <f>'Gov outlays'!L12</f>
        <v>2155</v>
      </c>
      <c r="P30" s="163">
        <f>'Gov outlays'!M12</f>
        <v>2421</v>
      </c>
      <c r="Q30" s="164">
        <f t="shared" ref="Q30:Y30" si="43">P30*1.0346</f>
        <v>2504.7665999999999</v>
      </c>
      <c r="R30" s="164">
        <f t="shared" si="43"/>
        <v>2591.4315243599999</v>
      </c>
      <c r="S30" s="164">
        <f t="shared" si="43"/>
        <v>2681.0950551028559</v>
      </c>
      <c r="T30" s="164">
        <f t="shared" si="43"/>
        <v>2773.8609440094147</v>
      </c>
      <c r="U30" s="164">
        <f t="shared" si="43"/>
        <v>2869.8365326721405</v>
      </c>
      <c r="V30" s="164">
        <f t="shared" si="43"/>
        <v>2969.1328767025966</v>
      </c>
      <c r="W30" s="164">
        <f t="shared" si="43"/>
        <v>3071.8648742365062</v>
      </c>
      <c r="X30" s="164">
        <f t="shared" si="43"/>
        <v>3178.1513988850893</v>
      </c>
      <c r="Y30" s="164">
        <f t="shared" si="43"/>
        <v>3288.115437286513</v>
      </c>
      <c r="Z30" s="164">
        <f>Z$64*(70%*7.2%)</f>
        <v>3402</v>
      </c>
      <c r="AA30" s="164">
        <f t="shared" ref="AA30:AJ30" si="44">Z30*1.0452</f>
        <v>3555.7703999999999</v>
      </c>
      <c r="AB30" s="164">
        <f t="shared" si="44"/>
        <v>3716.4912220799997</v>
      </c>
      <c r="AC30" s="164">
        <f t="shared" si="44"/>
        <v>3884.4766253180155</v>
      </c>
      <c r="AD30" s="164">
        <f t="shared" si="44"/>
        <v>4060.0549687823896</v>
      </c>
      <c r="AE30" s="164">
        <f t="shared" si="44"/>
        <v>4243.5694533713531</v>
      </c>
      <c r="AF30" s="164">
        <f t="shared" si="44"/>
        <v>4435.3787926637378</v>
      </c>
      <c r="AG30" s="164">
        <f t="shared" si="44"/>
        <v>4635.8579140921383</v>
      </c>
      <c r="AH30" s="164">
        <f t="shared" si="44"/>
        <v>4845.3986918091023</v>
      </c>
      <c r="AI30" s="159">
        <f t="shared" si="44"/>
        <v>5064.4107126788731</v>
      </c>
      <c r="AJ30" s="159">
        <f t="shared" si="44"/>
        <v>5293.3220768919573</v>
      </c>
      <c r="AK30" s="189"/>
      <c r="AL30" s="165"/>
      <c r="AM30" s="174"/>
      <c r="AN30" s="109">
        <f>AI30+AK31+AK32+AI33+AK34</f>
        <v>-10580.723286881008</v>
      </c>
      <c r="AO30" s="109"/>
    </row>
    <row r="31" spans="1:41" ht="14.5" x14ac:dyDescent="0.35">
      <c r="A31" s="173" t="s">
        <v>33</v>
      </c>
      <c r="B31" s="173"/>
      <c r="C31" s="173"/>
      <c r="D31" s="173"/>
      <c r="E31" s="173"/>
      <c r="F31" s="173"/>
      <c r="G31" s="164">
        <v>0</v>
      </c>
      <c r="H31" s="164">
        <v>-62.650370767622817</v>
      </c>
      <c r="I31" s="164">
        <v>-102.74992231897323</v>
      </c>
      <c r="J31" s="164">
        <v>-149.72294610939394</v>
      </c>
      <c r="K31" s="164">
        <v>-163.55611407872658</v>
      </c>
      <c r="L31" s="164">
        <v>-178.59270604883241</v>
      </c>
      <c r="M31" s="164">
        <v>-194.93368187179894</v>
      </c>
      <c r="N31" s="164">
        <v>-212.68827308056632</v>
      </c>
      <c r="O31" s="164">
        <v>-231.97464967468713</v>
      </c>
      <c r="P31" s="164">
        <v>-252.92064004057025</v>
      </c>
      <c r="Q31" s="164">
        <v>-275.66450820508231</v>
      </c>
      <c r="R31" s="164">
        <v>-300.35579295114513</v>
      </c>
      <c r="S31" s="164">
        <v>-327.15621367951098</v>
      </c>
      <c r="T31" s="164">
        <v>-356.24064828422877</v>
      </c>
      <c r="U31" s="164">
        <v>-387.79818872259352</v>
      </c>
      <c r="V31" s="164">
        <v>-422.03328040594101</v>
      </c>
      <c r="W31" s="164">
        <v>-459.16695201800889</v>
      </c>
      <c r="X31" s="164">
        <v>-499.43814288545451</v>
      </c>
      <c r="Y31" s="164">
        <v>-543.10513558341711</v>
      </c>
      <c r="Z31" s="164">
        <v>-590.44710206086961</v>
      </c>
      <c r="AA31" s="164">
        <v>-641.76577221933792</v>
      </c>
      <c r="AB31" s="164">
        <v>-697.38723457799495</v>
      </c>
      <c r="AC31" s="164">
        <v>-757.66387941213486</v>
      </c>
      <c r="AD31" s="164">
        <v>-822.97649556480155</v>
      </c>
      <c r="AE31" s="164">
        <v>-893.73653300749947</v>
      </c>
      <c r="AF31" s="164">
        <v>-970.3885441703377</v>
      </c>
      <c r="AG31" s="164">
        <v>-1053.4128180799898</v>
      </c>
      <c r="AH31" s="164">
        <v>-1143.3282224411976</v>
      </c>
      <c r="AI31" s="164">
        <v>-1240.695269980361</v>
      </c>
      <c r="AJ31" s="164">
        <v>-1240.695269980361</v>
      </c>
      <c r="AK31" s="189">
        <f>SUM(F31:AJ31)</f>
        <v>-15173.245308221436</v>
      </c>
      <c r="AL31" s="147">
        <f>AK31/$AJ$64</f>
        <v>-0.15855010771391259</v>
      </c>
      <c r="AM31" s="150">
        <f>AK31/$AJ$68</f>
        <v>-0.16531414917401657</v>
      </c>
      <c r="AN31" s="172"/>
    </row>
    <row r="32" spans="1:41" ht="14.5" x14ac:dyDescent="0.35">
      <c r="A32" s="173" t="s">
        <v>34</v>
      </c>
      <c r="B32" s="173"/>
      <c r="C32" s="173"/>
      <c r="D32" s="173"/>
      <c r="E32" s="173"/>
      <c r="F32" s="164">
        <v>-48.540756000000002</v>
      </c>
      <c r="G32" s="164">
        <v>-69.406318422222228</v>
      </c>
      <c r="H32" s="164">
        <v>-83.403712003333339</v>
      </c>
      <c r="I32" s="164">
        <v>-96.701235905388899</v>
      </c>
      <c r="J32" s="164">
        <v>-109.33388361234169</v>
      </c>
      <c r="K32" s="164">
        <v>-102.88941165394684</v>
      </c>
      <c r="L32" s="164">
        <v>-96.767163293471725</v>
      </c>
      <c r="M32" s="164">
        <v>-90.951027351020372</v>
      </c>
      <c r="N32" s="164">
        <v>-85.425698205691575</v>
      </c>
      <c r="O32" s="164">
        <v>-80.176635517629222</v>
      </c>
      <c r="P32" s="164">
        <v>-75.190025963970001</v>
      </c>
      <c r="Q32" s="164">
        <v>-70.452746887993726</v>
      </c>
      <c r="R32" s="164">
        <v>-65.952331765816268</v>
      </c>
      <c r="S32" s="164">
        <v>-61.676937399747679</v>
      </c>
      <c r="T32" s="164">
        <v>-57.615312751982522</v>
      </c>
      <c r="U32" s="164">
        <v>-53.756769336605615</v>
      </c>
      <c r="V32" s="164">
        <v>-50.091153091997548</v>
      </c>
      <c r="W32" s="164">
        <v>-46.608817659619895</v>
      </c>
      <c r="X32" s="164">
        <v>-43.300598998861119</v>
      </c>
      <c r="Y32" s="164">
        <v>-40.15779127114029</v>
      </c>
      <c r="Z32" s="164">
        <v>-37.172123929805494</v>
      </c>
      <c r="AA32" s="164">
        <v>-34.335739955537441</v>
      </c>
      <c r="AB32" s="164">
        <v>-31.641175179982792</v>
      </c>
      <c r="AC32" s="164">
        <v>-29.081338643205871</v>
      </c>
      <c r="AD32" s="164">
        <v>-26.649493933267799</v>
      </c>
      <c r="AE32" s="164">
        <v>-24.339241458826631</v>
      </c>
      <c r="AF32" s="164">
        <v>-22.144501608107522</v>
      </c>
      <c r="AG32" s="164">
        <v>-20.059498749924366</v>
      </c>
      <c r="AH32" s="164">
        <v>-18.078746034650369</v>
      </c>
      <c r="AI32" s="164">
        <v>-16.197030955140068</v>
      </c>
      <c r="AJ32" s="164">
        <v>-16.197030955140068</v>
      </c>
      <c r="AK32" s="189">
        <f>SUM(F32:AJ32)</f>
        <v>-1704.2942484963689</v>
      </c>
      <c r="AL32" s="147">
        <f>AK32/$AJ$64</f>
        <v>-1.7808717330160595E-2</v>
      </c>
      <c r="AM32" s="150">
        <f>AK32/$AJ$68</f>
        <v>-1.8568470219069596E-2</v>
      </c>
      <c r="AN32" s="172"/>
    </row>
    <row r="33" spans="1:41" ht="14.5" x14ac:dyDescent="0.35">
      <c r="A33" s="173" t="s">
        <v>35</v>
      </c>
      <c r="B33" s="163">
        <v>591.94899999999996</v>
      </c>
      <c r="C33" s="163">
        <v>615.77200000000005</v>
      </c>
      <c r="D33" s="163">
        <v>617.51700000000005</v>
      </c>
      <c r="E33" s="163">
        <v>668.13400000000001</v>
      </c>
      <c r="F33" s="163">
        <f>'Gov outlays'!C13</f>
        <v>708</v>
      </c>
      <c r="G33" s="163">
        <f>'Gov outlays'!D13</f>
        <v>726</v>
      </c>
      <c r="H33" s="163">
        <f>'Gov outlays'!E13</f>
        <v>746</v>
      </c>
      <c r="I33" s="163">
        <f>'Gov outlays'!F13</f>
        <v>754</v>
      </c>
      <c r="J33" s="163">
        <f>'Gov outlays'!G13</f>
        <v>777</v>
      </c>
      <c r="K33" s="163">
        <f>'Gov outlays'!H13</f>
        <v>804</v>
      </c>
      <c r="L33" s="163">
        <f>'Gov outlays'!I13</f>
        <v>834</v>
      </c>
      <c r="M33" s="163">
        <f>'Gov outlays'!J13</f>
        <v>870</v>
      </c>
      <c r="N33" s="163">
        <f>'Gov outlays'!K13</f>
        <v>905</v>
      </c>
      <c r="O33" s="163">
        <f>'Gov outlays'!L13</f>
        <v>941</v>
      </c>
      <c r="P33" s="163">
        <f>'Gov outlays'!M13</f>
        <v>981</v>
      </c>
      <c r="Q33" s="164">
        <f t="shared" ref="Q33:Y33" si="45">P33*1.0404</f>
        <v>1020.6324</v>
      </c>
      <c r="R33" s="164">
        <f t="shared" si="45"/>
        <v>1061.86594896</v>
      </c>
      <c r="S33" s="164">
        <f t="shared" si="45"/>
        <v>1104.7653332979839</v>
      </c>
      <c r="T33" s="164">
        <f t="shared" si="45"/>
        <v>1149.3978527632225</v>
      </c>
      <c r="U33" s="164">
        <f t="shared" si="45"/>
        <v>1195.8335260148567</v>
      </c>
      <c r="V33" s="164">
        <f t="shared" si="45"/>
        <v>1244.145200465857</v>
      </c>
      <c r="W33" s="164">
        <f t="shared" si="45"/>
        <v>1294.4086665646776</v>
      </c>
      <c r="X33" s="164">
        <f t="shared" si="45"/>
        <v>1346.7027766938904</v>
      </c>
      <c r="Y33" s="164">
        <f t="shared" si="45"/>
        <v>1401.1095688723235</v>
      </c>
      <c r="Z33" s="164">
        <f>Z$64*(30%*7.2%)</f>
        <v>1458</v>
      </c>
      <c r="AA33" s="164">
        <f t="shared" ref="AA33:AJ33" si="46">Z33*1.0452</f>
        <v>1523.9015999999999</v>
      </c>
      <c r="AB33" s="164">
        <f t="shared" si="46"/>
        <v>1592.7819523199998</v>
      </c>
      <c r="AC33" s="164">
        <f t="shared" si="46"/>
        <v>1664.7756965648637</v>
      </c>
      <c r="AD33" s="164">
        <f t="shared" si="46"/>
        <v>1740.0235580495953</v>
      </c>
      <c r="AE33" s="164">
        <f t="shared" si="46"/>
        <v>1818.6726228734369</v>
      </c>
      <c r="AF33" s="164">
        <f t="shared" si="46"/>
        <v>1900.8766254273162</v>
      </c>
      <c r="AG33" s="164">
        <f t="shared" si="46"/>
        <v>1986.7962488966307</v>
      </c>
      <c r="AH33" s="164">
        <f t="shared" si="46"/>
        <v>2076.5994393467581</v>
      </c>
      <c r="AI33" s="159">
        <f t="shared" si="46"/>
        <v>2170.4617340052314</v>
      </c>
      <c r="AJ33" s="159">
        <f t="shared" si="46"/>
        <v>2268.5666043822675</v>
      </c>
      <c r="AK33" s="190"/>
      <c r="AM33" s="170"/>
      <c r="AN33" s="172"/>
    </row>
    <row r="34" spans="1:41" ht="14.5" x14ac:dyDescent="0.35">
      <c r="A34" s="173" t="s">
        <v>28</v>
      </c>
      <c r="B34" s="163"/>
      <c r="C34" s="163"/>
      <c r="D34" s="163"/>
      <c r="E34" s="163"/>
      <c r="F34" s="163">
        <v>-0.4</v>
      </c>
      <c r="G34" s="163">
        <v>-0.9</v>
      </c>
      <c r="H34" s="163">
        <v>-1.4</v>
      </c>
      <c r="I34" s="163">
        <v>-1.8</v>
      </c>
      <c r="J34" s="163">
        <v>-2.5</v>
      </c>
      <c r="K34" s="163">
        <v>-3.4</v>
      </c>
      <c r="L34" s="163">
        <v>-6.5</v>
      </c>
      <c r="M34" s="163">
        <v>-5</v>
      </c>
      <c r="N34" s="163">
        <v>-5.6</v>
      </c>
      <c r="O34" s="163">
        <f t="shared" ref="O34:V34" si="47">N34*1.2</f>
        <v>-6.72</v>
      </c>
      <c r="P34" s="163">
        <f t="shared" si="47"/>
        <v>-8.0640000000000001</v>
      </c>
      <c r="Q34" s="163">
        <f t="shared" si="47"/>
        <v>-9.6768000000000001</v>
      </c>
      <c r="R34" s="163">
        <f t="shared" si="47"/>
        <v>-11.612159999999999</v>
      </c>
      <c r="S34" s="163">
        <f t="shared" si="47"/>
        <v>-13.934591999999999</v>
      </c>
      <c r="T34" s="163">
        <f t="shared" si="47"/>
        <v>-16.721510399999996</v>
      </c>
      <c r="U34" s="163">
        <f t="shared" si="47"/>
        <v>-20.065812479999995</v>
      </c>
      <c r="V34" s="163">
        <f t="shared" si="47"/>
        <v>-24.078974975999994</v>
      </c>
      <c r="W34" s="164">
        <f>V34*1.3</f>
        <v>-31.302667468799992</v>
      </c>
      <c r="X34" s="164">
        <f>W34*1.3</f>
        <v>-40.693467709439993</v>
      </c>
      <c r="Y34" s="164">
        <f t="shared" ref="Y34:AJ34" si="48">X34*1.06</f>
        <v>-43.135075772006395</v>
      </c>
      <c r="Z34" s="164">
        <f t="shared" si="48"/>
        <v>-45.723180318326783</v>
      </c>
      <c r="AA34" s="164">
        <f t="shared" si="48"/>
        <v>-48.466571137426392</v>
      </c>
      <c r="AB34" s="164">
        <f t="shared" si="48"/>
        <v>-51.37456540567198</v>
      </c>
      <c r="AC34" s="164">
        <f t="shared" si="48"/>
        <v>-54.4570393300123</v>
      </c>
      <c r="AD34" s="164">
        <f t="shared" si="48"/>
        <v>-57.72446168981304</v>
      </c>
      <c r="AE34" s="164">
        <f t="shared" si="48"/>
        <v>-61.187929391201827</v>
      </c>
      <c r="AF34" s="164">
        <f t="shared" si="48"/>
        <v>-64.859205154673944</v>
      </c>
      <c r="AG34" s="164">
        <f t="shared" si="48"/>
        <v>-68.750757463954386</v>
      </c>
      <c r="AH34" s="164">
        <f t="shared" si="48"/>
        <v>-72.875802911791652</v>
      </c>
      <c r="AI34" s="164">
        <f t="shared" si="48"/>
        <v>-77.248351086499156</v>
      </c>
      <c r="AJ34" s="164">
        <f t="shared" si="48"/>
        <v>-81.883252151689106</v>
      </c>
      <c r="AK34" s="189">
        <f>SUM(F34:AJ34)</f>
        <v>-938.05617684730703</v>
      </c>
      <c r="AL34" s="147">
        <f>AK34/$AJ$64</f>
        <v>-9.8020499148098964E-3</v>
      </c>
      <c r="AM34" s="150">
        <f>AK34/$AJ$68</f>
        <v>-1.0220223531805584E-2</v>
      </c>
      <c r="AN34" s="172"/>
    </row>
    <row r="35" spans="1:41" ht="14.5" x14ac:dyDescent="0.35">
      <c r="A35" s="173" t="s">
        <v>36</v>
      </c>
      <c r="B35" s="163">
        <v>1212.4870000000001</v>
      </c>
      <c r="C35" s="163">
        <v>1347.961</v>
      </c>
      <c r="D35" s="163">
        <v>1454.3820000000001</v>
      </c>
      <c r="E35" s="163">
        <v>1575.309</v>
      </c>
      <c r="F35" s="163">
        <f>'Gov outlays'!C11</f>
        <v>1666</v>
      </c>
      <c r="G35" s="163">
        <f>'Gov outlays'!D11</f>
        <v>1769</v>
      </c>
      <c r="H35" s="163">
        <f>'Gov outlays'!E11</f>
        <v>1875</v>
      </c>
      <c r="I35" s="163">
        <f>'Gov outlays'!F11</f>
        <v>1979</v>
      </c>
      <c r="J35" s="163">
        <f>'Gov outlays'!G11</f>
        <v>2083</v>
      </c>
      <c r="K35" s="163">
        <f>'Gov outlays'!H11</f>
        <v>2190</v>
      </c>
      <c r="L35" s="163">
        <f>'Gov outlays'!I11</f>
        <v>2298</v>
      </c>
      <c r="M35" s="163">
        <f>'Gov outlays'!J11</f>
        <v>2409</v>
      </c>
      <c r="N35" s="163">
        <f>'Gov outlays'!K11</f>
        <v>2519</v>
      </c>
      <c r="O35" s="163">
        <f>'Gov outlays'!L11</f>
        <v>2632</v>
      </c>
      <c r="P35" s="163">
        <f>'Gov outlays'!M11</f>
        <v>2747</v>
      </c>
      <c r="Q35" s="164">
        <f t="shared" ref="Q35:Y35" si="49">P35*1.0361</f>
        <v>2846.1667000000002</v>
      </c>
      <c r="R35" s="164">
        <f t="shared" si="49"/>
        <v>2948.9133178700004</v>
      </c>
      <c r="S35" s="164">
        <f t="shared" si="49"/>
        <v>3055.3690886451072</v>
      </c>
      <c r="T35" s="164">
        <f t="shared" si="49"/>
        <v>3165.6679127451957</v>
      </c>
      <c r="U35" s="164">
        <f t="shared" si="49"/>
        <v>3279.9485243952972</v>
      </c>
      <c r="V35" s="164">
        <f t="shared" si="49"/>
        <v>3398.3546661259675</v>
      </c>
      <c r="W35" s="164">
        <f t="shared" si="49"/>
        <v>3521.0352695731149</v>
      </c>
      <c r="X35" s="164">
        <f t="shared" si="49"/>
        <v>3648.1446428047043</v>
      </c>
      <c r="Y35" s="164">
        <f t="shared" si="49"/>
        <v>3779.8426644099541</v>
      </c>
      <c r="Z35" s="164">
        <f>Z$64*0.058</f>
        <v>3915</v>
      </c>
      <c r="AA35" s="164">
        <f t="shared" ref="AA35:AJ35" si="50">Z35*1.0373</f>
        <v>4061.0295000000006</v>
      </c>
      <c r="AB35" s="164">
        <f t="shared" si="50"/>
        <v>4212.505900350001</v>
      </c>
      <c r="AC35" s="164">
        <f t="shared" si="50"/>
        <v>4369.6323704330562</v>
      </c>
      <c r="AD35" s="164">
        <f t="shared" si="50"/>
        <v>4532.6196578502095</v>
      </c>
      <c r="AE35" s="164">
        <f t="shared" si="50"/>
        <v>4701.6863710880225</v>
      </c>
      <c r="AF35" s="164">
        <f t="shared" si="50"/>
        <v>4877.0592727296062</v>
      </c>
      <c r="AG35" s="164">
        <f t="shared" si="50"/>
        <v>5058.9735836024211</v>
      </c>
      <c r="AH35" s="164">
        <f t="shared" si="50"/>
        <v>5247.6732982707917</v>
      </c>
      <c r="AI35" s="159">
        <f t="shared" si="50"/>
        <v>5443.411512296293</v>
      </c>
      <c r="AJ35" s="159">
        <f t="shared" si="50"/>
        <v>5646.4507617049458</v>
      </c>
      <c r="AK35" s="190"/>
      <c r="AL35" s="161"/>
      <c r="AM35" s="170"/>
      <c r="AN35" s="162">
        <f>AI35+AK36+AK37</f>
        <v>-7646.4717533399189</v>
      </c>
      <c r="AO35" s="108"/>
    </row>
    <row r="36" spans="1:41" ht="14.5" x14ac:dyDescent="0.35">
      <c r="A36" s="173" t="s">
        <v>37</v>
      </c>
      <c r="B36" s="163"/>
      <c r="C36" s="163"/>
      <c r="D36" s="163"/>
      <c r="E36" s="163"/>
      <c r="F36" s="163"/>
      <c r="G36" s="163">
        <v>-1</v>
      </c>
      <c r="H36" s="163">
        <v>-2</v>
      </c>
      <c r="I36" s="163">
        <v>-5</v>
      </c>
      <c r="J36" s="163">
        <v>-8</v>
      </c>
      <c r="K36" s="163">
        <v>-13</v>
      </c>
      <c r="L36" s="163">
        <v>-20</v>
      </c>
      <c r="M36" s="163">
        <v>-29</v>
      </c>
      <c r="N36" s="163">
        <v>-39</v>
      </c>
      <c r="O36" s="163">
        <f>N36*1.28</f>
        <v>-49.92</v>
      </c>
      <c r="P36" s="163">
        <f>O36*1.28</f>
        <v>-63.897600000000004</v>
      </c>
      <c r="Q36" s="163">
        <f>P36*1.28</f>
        <v>-81.788928000000013</v>
      </c>
      <c r="R36" s="163">
        <f>Q36*1.28</f>
        <v>-104.68982784000002</v>
      </c>
      <c r="S36" s="163">
        <f>R36*1.2</f>
        <v>-125.62779340800002</v>
      </c>
      <c r="T36" s="163">
        <f>S36*1.2</f>
        <v>-150.75335208960001</v>
      </c>
      <c r="U36" s="163">
        <f>T36*1.2</f>
        <v>-180.90402250752001</v>
      </c>
      <c r="V36" s="163">
        <f>U36*1.2</f>
        <v>-217.084827009024</v>
      </c>
      <c r="W36" s="163">
        <f>V36*1.15</f>
        <v>-249.64755106037757</v>
      </c>
      <c r="X36" s="163">
        <f>W36*1.15</f>
        <v>-287.09468371943416</v>
      </c>
      <c r="Y36" s="163">
        <f>X36*1.15</f>
        <v>-330.15888627734927</v>
      </c>
      <c r="Z36" s="163">
        <f>Y36*1.15</f>
        <v>-379.6827192189516</v>
      </c>
      <c r="AA36" s="163">
        <f>Z36*1.1</f>
        <v>-417.65099114084677</v>
      </c>
      <c r="AB36" s="163">
        <f>AA36*1.1</f>
        <v>-459.41609025493148</v>
      </c>
      <c r="AC36" s="163">
        <f>AB36*1.1</f>
        <v>-505.35769928042464</v>
      </c>
      <c r="AD36" s="163">
        <f>AC36*1.1</f>
        <v>-555.8934692084672</v>
      </c>
      <c r="AE36" s="163">
        <f t="shared" ref="AE36:AJ36" si="51">AD36*1.07</f>
        <v>-594.80601205305993</v>
      </c>
      <c r="AF36" s="163">
        <f t="shared" si="51"/>
        <v>-636.44243289677411</v>
      </c>
      <c r="AG36" s="163">
        <f t="shared" si="51"/>
        <v>-680.99340319954831</v>
      </c>
      <c r="AH36" s="163">
        <f t="shared" si="51"/>
        <v>-728.66294142351671</v>
      </c>
      <c r="AI36" s="163">
        <f t="shared" si="51"/>
        <v>-779.66934732316292</v>
      </c>
      <c r="AJ36" s="163">
        <f t="shared" si="51"/>
        <v>-834.24620163578436</v>
      </c>
      <c r="AK36" s="189">
        <f>SUM(F36:AJ36)</f>
        <v>-8531.3887795467726</v>
      </c>
      <c r="AL36" s="147">
        <f>AK36/$AJ$64</f>
        <v>-8.9147218177082266E-2</v>
      </c>
      <c r="AM36" s="150">
        <f>AK36/$AJ$68</f>
        <v>-9.2950403734614412E-2</v>
      </c>
      <c r="AN36" s="172"/>
    </row>
    <row r="37" spans="1:41" ht="14.5" x14ac:dyDescent="0.35">
      <c r="A37" s="173" t="s">
        <v>28</v>
      </c>
      <c r="B37" s="163"/>
      <c r="C37" s="163"/>
      <c r="D37" s="163"/>
      <c r="E37" s="163"/>
      <c r="F37" s="163">
        <f>-2.9-0.8</f>
        <v>-3.7</v>
      </c>
      <c r="G37" s="163">
        <f>-7.2-1.9</f>
        <v>-9.1</v>
      </c>
      <c r="H37" s="163">
        <f>-11.8-3.1</f>
        <v>-14.9</v>
      </c>
      <c r="I37" s="163">
        <f>-16.6-4.4</f>
        <v>-21</v>
      </c>
      <c r="J37" s="163">
        <f>-21.9-5.4</f>
        <v>-27.299999999999997</v>
      </c>
      <c r="K37" s="163">
        <f>-27.3-6.7</f>
        <v>-34</v>
      </c>
      <c r="L37" s="163">
        <f>-33-8</f>
        <v>-41</v>
      </c>
      <c r="M37" s="163">
        <f>-38.8-9.4</f>
        <v>-48.199999999999996</v>
      </c>
      <c r="N37" s="163">
        <f>-44.7-10.8</f>
        <v>-55.5</v>
      </c>
      <c r="O37" s="163">
        <f t="shared" ref="O37:W37" si="52">N37*1.13</f>
        <v>-62.714999999999996</v>
      </c>
      <c r="P37" s="163">
        <f t="shared" si="52"/>
        <v>-70.867949999999993</v>
      </c>
      <c r="Q37" s="163">
        <f t="shared" si="52"/>
        <v>-80.080783499999981</v>
      </c>
      <c r="R37" s="163">
        <f t="shared" si="52"/>
        <v>-90.491285354999974</v>
      </c>
      <c r="S37" s="163">
        <f t="shared" si="52"/>
        <v>-102.25515245114997</v>
      </c>
      <c r="T37" s="163">
        <f t="shared" si="52"/>
        <v>-115.54832226979946</v>
      </c>
      <c r="U37" s="163">
        <f t="shared" si="52"/>
        <v>-130.56960416487337</v>
      </c>
      <c r="V37" s="163">
        <f t="shared" si="52"/>
        <v>-147.54365270630689</v>
      </c>
      <c r="W37" s="163">
        <f t="shared" si="52"/>
        <v>-166.72432755812676</v>
      </c>
      <c r="X37" s="163">
        <f t="shared" ref="X37:AJ37" si="53">W37*1.06</f>
        <v>-176.72778721161438</v>
      </c>
      <c r="Y37" s="163">
        <f t="shared" si="53"/>
        <v>-187.33145444431125</v>
      </c>
      <c r="Z37" s="163">
        <f t="shared" si="53"/>
        <v>-198.57134171096993</v>
      </c>
      <c r="AA37" s="163">
        <f t="shared" si="53"/>
        <v>-210.48562221362815</v>
      </c>
      <c r="AB37" s="163">
        <f t="shared" si="53"/>
        <v>-223.11475954644584</v>
      </c>
      <c r="AC37" s="163">
        <f t="shared" si="53"/>
        <v>-236.50164511923259</v>
      </c>
      <c r="AD37" s="163">
        <f t="shared" si="53"/>
        <v>-250.69174382638656</v>
      </c>
      <c r="AE37" s="163">
        <f t="shared" si="53"/>
        <v>-265.73324845596977</v>
      </c>
      <c r="AF37" s="163">
        <f t="shared" si="53"/>
        <v>-281.67724336332799</v>
      </c>
      <c r="AG37" s="163">
        <f t="shared" si="53"/>
        <v>-298.5778779651277</v>
      </c>
      <c r="AH37" s="163">
        <f t="shared" si="53"/>
        <v>-316.49255064303537</v>
      </c>
      <c r="AI37" s="163">
        <f t="shared" si="53"/>
        <v>-335.4821036816175</v>
      </c>
      <c r="AJ37" s="163">
        <f t="shared" si="53"/>
        <v>-355.61102990251459</v>
      </c>
      <c r="AK37" s="189">
        <f>SUM(F37:AJ37)</f>
        <v>-4558.4944860894393</v>
      </c>
      <c r="AL37" s="147">
        <f>AK37/$AJ$64</f>
        <v>-4.7633171223505112E-2</v>
      </c>
      <c r="AM37" s="150">
        <f>AK37/$AJ$68</f>
        <v>-4.9665290593700583E-2</v>
      </c>
      <c r="AN37" s="161">
        <f>AL25+AL34+AL37</f>
        <v>-5.8283110629699791E-2</v>
      </c>
    </row>
    <row r="38" spans="1:41" ht="14.5" x14ac:dyDescent="0.35">
      <c r="A38" s="173"/>
      <c r="B38" s="163"/>
      <c r="C38" s="163"/>
      <c r="D38" s="163"/>
      <c r="E38" s="163"/>
      <c r="F38" s="163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87"/>
      <c r="AL38" s="161"/>
      <c r="AM38" s="170"/>
      <c r="AN38" s="166">
        <f>-AM25--AM34--AM37</f>
        <v>-5.9001452096896362E-2</v>
      </c>
    </row>
    <row r="39" spans="1:41" ht="14.5" x14ac:dyDescent="0.35">
      <c r="A39" s="173" t="s">
        <v>38</v>
      </c>
      <c r="B39" s="163">
        <v>1858.7660000000001</v>
      </c>
      <c r="C39" s="163">
        <v>1123.2719999999999</v>
      </c>
      <c r="D39" s="163">
        <v>1299.7429999999999</v>
      </c>
      <c r="E39" s="163">
        <v>1114.0449999999998</v>
      </c>
      <c r="F39" s="163">
        <f>'Gov outlays'!C14</f>
        <v>1281</v>
      </c>
      <c r="G39" s="163">
        <f>'Gov outlays'!D14</f>
        <v>1327</v>
      </c>
      <c r="H39" s="163">
        <f>'Gov outlays'!E14</f>
        <v>1284</v>
      </c>
      <c r="I39" s="163">
        <f>'Gov outlays'!F14</f>
        <v>1326</v>
      </c>
      <c r="J39" s="163">
        <f>'Gov outlays'!G14</f>
        <v>1371</v>
      </c>
      <c r="K39" s="163">
        <f>'Gov outlays'!H14</f>
        <v>1377</v>
      </c>
      <c r="L39" s="163">
        <f>'Gov outlays'!I14</f>
        <v>1400</v>
      </c>
      <c r="M39" s="163">
        <f>'Gov outlays'!J14</f>
        <v>1466</v>
      </c>
      <c r="N39" s="163">
        <f>'Gov outlays'!K14</f>
        <v>1472</v>
      </c>
      <c r="O39" s="163">
        <f>'Gov outlays'!L14</f>
        <v>1458</v>
      </c>
      <c r="P39" s="163">
        <f>'Gov outlays'!M14</f>
        <v>1555</v>
      </c>
      <c r="Q39" s="164">
        <f t="shared" ref="Q39:Z39" si="54">Q$64*0.024</f>
        <v>1163.1323457599999</v>
      </c>
      <c r="R39" s="164">
        <f t="shared" si="54"/>
        <v>1206.7498087260001</v>
      </c>
      <c r="S39" s="164">
        <f t="shared" si="54"/>
        <v>1252.0029265532253</v>
      </c>
      <c r="T39" s="164">
        <f t="shared" si="54"/>
        <v>1298.9530362989713</v>
      </c>
      <c r="U39" s="164">
        <f t="shared" si="54"/>
        <v>1347.6637751601829</v>
      </c>
      <c r="V39" s="164">
        <f t="shared" si="54"/>
        <v>1398.2011667286899</v>
      </c>
      <c r="W39" s="164">
        <f t="shared" si="54"/>
        <v>1450.6337104810159</v>
      </c>
      <c r="X39" s="164">
        <f t="shared" si="54"/>
        <v>1505.0324746240542</v>
      </c>
      <c r="Y39" s="164">
        <f t="shared" si="54"/>
        <v>1561.4711924224564</v>
      </c>
      <c r="Z39" s="164">
        <f t="shared" si="54"/>
        <v>1620</v>
      </c>
      <c r="AA39" s="164">
        <f t="shared" ref="AA39:AJ39" si="55">AA$64*0.023</f>
        <v>1607.61375</v>
      </c>
      <c r="AB39" s="164">
        <f t="shared" si="55"/>
        <v>1664.6840381250001</v>
      </c>
      <c r="AC39" s="164">
        <f t="shared" si="55"/>
        <v>1723.7803214784378</v>
      </c>
      <c r="AD39" s="164">
        <f t="shared" si="55"/>
        <v>1784.9745228909228</v>
      </c>
      <c r="AE39" s="164">
        <f t="shared" si="55"/>
        <v>1848.3411184535505</v>
      </c>
      <c r="AF39" s="164">
        <f t="shared" si="55"/>
        <v>1913.9572281586518</v>
      </c>
      <c r="AG39" s="164">
        <f t="shared" si="55"/>
        <v>1981.9027097582839</v>
      </c>
      <c r="AH39" s="164">
        <f t="shared" si="55"/>
        <v>2052.2602559547031</v>
      </c>
      <c r="AI39" s="159">
        <f t="shared" si="55"/>
        <v>2125.1154950410955</v>
      </c>
      <c r="AJ39" s="159">
        <f t="shared" si="55"/>
        <v>2201.1</v>
      </c>
      <c r="AK39" s="187"/>
      <c r="AL39" s="161"/>
      <c r="AM39" s="170"/>
      <c r="AN39" s="159">
        <f>AI39+AK40</f>
        <v>-1588.8845049589045</v>
      </c>
    </row>
    <row r="40" spans="1:41" ht="14.5" x14ac:dyDescent="0.35">
      <c r="A40" s="173" t="s">
        <v>39</v>
      </c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87">
        <v>-3714</v>
      </c>
      <c r="AL40" s="147">
        <f>AK40/$AJ$64</f>
        <v>-3.8808777429467083E-2</v>
      </c>
      <c r="AM40" s="150">
        <f>AK40/$AJ$68</f>
        <v>-4.0464431804817777E-2</v>
      </c>
      <c r="AN40" s="172"/>
    </row>
    <row r="41" spans="1:41" ht="14.5" x14ac:dyDescent="0.35">
      <c r="A41" s="173" t="s">
        <v>40</v>
      </c>
      <c r="B41" s="163"/>
      <c r="C41" s="163"/>
      <c r="D41" s="163"/>
      <c r="E41" s="163">
        <f>'Gov outlays'!B15</f>
        <v>-370</v>
      </c>
      <c r="F41" s="163">
        <f>'Gov outlays'!C15</f>
        <v>-412</v>
      </c>
      <c r="G41" s="163">
        <f>'Gov outlays'!D15</f>
        <v>-413</v>
      </c>
      <c r="H41" s="163">
        <f>'Gov outlays'!E15</f>
        <v>-434</v>
      </c>
      <c r="I41" s="163">
        <f>'Gov outlays'!F15</f>
        <v>-462</v>
      </c>
      <c r="J41" s="163">
        <f>'Gov outlays'!G15</f>
        <v>-504</v>
      </c>
      <c r="K41" s="163">
        <f>'Gov outlays'!H15</f>
        <v>-541</v>
      </c>
      <c r="L41" s="163">
        <f>'Gov outlays'!I15</f>
        <v>-564</v>
      </c>
      <c r="M41" s="163">
        <f>'Gov outlays'!J15</f>
        <v>-591</v>
      </c>
      <c r="N41" s="163">
        <f>'Gov outlays'!K15</f>
        <v>-613</v>
      </c>
      <c r="O41" s="163">
        <f>'Gov outlays'!L15</f>
        <v>-642</v>
      </c>
      <c r="P41" s="163">
        <f>'Gov outlays'!M15</f>
        <v>-675</v>
      </c>
      <c r="Q41" s="163">
        <f t="shared" ref="Q41:AJ41" si="56">P41*1.0437</f>
        <v>-704.49750000000006</v>
      </c>
      <c r="R41" s="163">
        <f t="shared" si="56"/>
        <v>-735.28404075000014</v>
      </c>
      <c r="S41" s="163">
        <f t="shared" si="56"/>
        <v>-767.41595333077521</v>
      </c>
      <c r="T41" s="163">
        <f t="shared" si="56"/>
        <v>-800.95203049133011</v>
      </c>
      <c r="U41" s="163">
        <f t="shared" si="56"/>
        <v>-835.95363422380126</v>
      </c>
      <c r="V41" s="163">
        <f t="shared" si="56"/>
        <v>-872.48480803938139</v>
      </c>
      <c r="W41" s="163">
        <f t="shared" si="56"/>
        <v>-910.61239415070247</v>
      </c>
      <c r="X41" s="163">
        <f t="shared" si="56"/>
        <v>-950.40615577508822</v>
      </c>
      <c r="Y41" s="163">
        <f t="shared" si="56"/>
        <v>-991.93890478245964</v>
      </c>
      <c r="Z41" s="163">
        <f t="shared" si="56"/>
        <v>-1035.2866349214532</v>
      </c>
      <c r="AA41" s="163">
        <f t="shared" si="56"/>
        <v>-1080.5286608675208</v>
      </c>
      <c r="AB41" s="163">
        <f t="shared" si="56"/>
        <v>-1127.7477633474316</v>
      </c>
      <c r="AC41" s="163">
        <f t="shared" si="56"/>
        <v>-1177.0303406057144</v>
      </c>
      <c r="AD41" s="163">
        <f t="shared" si="56"/>
        <v>-1228.4665664901843</v>
      </c>
      <c r="AE41" s="163">
        <f t="shared" si="56"/>
        <v>-1282.1505554458054</v>
      </c>
      <c r="AF41" s="163">
        <f t="shared" si="56"/>
        <v>-1338.1805347187872</v>
      </c>
      <c r="AG41" s="163">
        <f t="shared" si="56"/>
        <v>-1396.6590240859982</v>
      </c>
      <c r="AH41" s="163">
        <f t="shared" si="56"/>
        <v>-1457.6930234385563</v>
      </c>
      <c r="AI41" s="163">
        <f t="shared" si="56"/>
        <v>-1521.3942085628214</v>
      </c>
      <c r="AJ41" s="163">
        <f t="shared" si="56"/>
        <v>-1587.8791354770169</v>
      </c>
      <c r="AK41" s="188"/>
      <c r="AL41" s="161"/>
      <c r="AM41" s="170"/>
      <c r="AN41" s="172"/>
    </row>
    <row r="42" spans="1:41" ht="14.5" x14ac:dyDescent="0.35">
      <c r="A42" s="172" t="s">
        <v>41</v>
      </c>
      <c r="B42" s="162">
        <f t="shared" ref="B42:P42" si="57">SUM(B43,B49)</f>
        <v>1664.52</v>
      </c>
      <c r="C42" s="162">
        <f t="shared" si="57"/>
        <v>1718.1390000000001</v>
      </c>
      <c r="D42" s="162">
        <f t="shared" si="57"/>
        <v>1810.1750000000002</v>
      </c>
      <c r="E42" s="162">
        <f t="shared" si="57"/>
        <v>1872.377</v>
      </c>
      <c r="F42" s="162">
        <f t="shared" si="57"/>
        <v>1881</v>
      </c>
      <c r="G42" s="162">
        <f t="shared" si="57"/>
        <v>1882</v>
      </c>
      <c r="H42" s="162">
        <f t="shared" si="57"/>
        <v>1929</v>
      </c>
      <c r="I42" s="162">
        <f t="shared" si="57"/>
        <v>1948</v>
      </c>
      <c r="J42" s="162">
        <f t="shared" si="57"/>
        <v>1989</v>
      </c>
      <c r="K42" s="162">
        <f t="shared" si="57"/>
        <v>2025</v>
      </c>
      <c r="L42" s="162">
        <f t="shared" si="57"/>
        <v>2063</v>
      </c>
      <c r="M42" s="162">
        <f t="shared" si="57"/>
        <v>2110</v>
      </c>
      <c r="N42" s="162">
        <f t="shared" si="57"/>
        <v>2147</v>
      </c>
      <c r="O42" s="162">
        <f t="shared" si="57"/>
        <v>2187</v>
      </c>
      <c r="P42" s="162">
        <f t="shared" si="57"/>
        <v>2244</v>
      </c>
      <c r="Q42" s="159">
        <f t="shared" ref="Q42:Z42" si="58">Q$64*0.047</f>
        <v>2277.8008437799999</v>
      </c>
      <c r="R42" s="159">
        <f t="shared" si="58"/>
        <v>2363.2183754217504</v>
      </c>
      <c r="S42" s="159">
        <f t="shared" si="58"/>
        <v>2451.8390645000659</v>
      </c>
      <c r="T42" s="159">
        <f t="shared" si="58"/>
        <v>2543.7830294188188</v>
      </c>
      <c r="U42" s="159">
        <f t="shared" si="58"/>
        <v>2639.1748930220247</v>
      </c>
      <c r="V42" s="159">
        <f t="shared" si="58"/>
        <v>2738.1439515103507</v>
      </c>
      <c r="W42" s="159">
        <f t="shared" si="58"/>
        <v>2840.8243496919895</v>
      </c>
      <c r="X42" s="159">
        <f t="shared" si="58"/>
        <v>2947.3552628054395</v>
      </c>
      <c r="Y42" s="159">
        <f t="shared" si="58"/>
        <v>3057.8810851606436</v>
      </c>
      <c r="Z42" s="159">
        <f t="shared" si="58"/>
        <v>3172.5</v>
      </c>
      <c r="AA42" s="159">
        <f t="shared" ref="AA42:AJ42" si="59">AA$64*0.046</f>
        <v>3215.2275</v>
      </c>
      <c r="AB42" s="159">
        <f t="shared" si="59"/>
        <v>3329.3680762500003</v>
      </c>
      <c r="AC42" s="159">
        <f t="shared" si="59"/>
        <v>3447.5606429568757</v>
      </c>
      <c r="AD42" s="159">
        <f t="shared" si="59"/>
        <v>3569.9490457818456</v>
      </c>
      <c r="AE42" s="159">
        <f t="shared" si="59"/>
        <v>3696.682236907101</v>
      </c>
      <c r="AF42" s="159">
        <f t="shared" si="59"/>
        <v>3827.9144563173036</v>
      </c>
      <c r="AG42" s="159">
        <f t="shared" si="59"/>
        <v>3963.8054195165678</v>
      </c>
      <c r="AH42" s="159">
        <f t="shared" si="59"/>
        <v>4104.5205119094062</v>
      </c>
      <c r="AI42" s="159">
        <f t="shared" si="59"/>
        <v>4250.2309900821911</v>
      </c>
      <c r="AJ42" s="159">
        <f t="shared" si="59"/>
        <v>4402.2</v>
      </c>
      <c r="AK42" s="187"/>
      <c r="AL42" s="161"/>
      <c r="AM42" s="170"/>
      <c r="AN42" s="162">
        <f>AI43+SUM(AK44:AK48)</f>
        <v>-1313.8351461350917</v>
      </c>
    </row>
    <row r="43" spans="1:41" ht="14.5" x14ac:dyDescent="0.35">
      <c r="A43" s="173" t="s">
        <v>42</v>
      </c>
      <c r="B43" s="168">
        <v>752.1</v>
      </c>
      <c r="C43" s="168">
        <v>806.2</v>
      </c>
      <c r="D43" s="168">
        <v>850.7</v>
      </c>
      <c r="E43" s="168">
        <v>892.5</v>
      </c>
      <c r="F43" s="168">
        <f>'Gov outlays'!C19</f>
        <v>885</v>
      </c>
      <c r="G43" s="168">
        <f>'Gov outlays'!D19</f>
        <v>901</v>
      </c>
      <c r="H43" s="168">
        <f>'Gov outlays'!E19</f>
        <v>928</v>
      </c>
      <c r="I43" s="168">
        <f>'Gov outlays'!F19</f>
        <v>938</v>
      </c>
      <c r="J43" s="168">
        <f>'Gov outlays'!G19</f>
        <v>966</v>
      </c>
      <c r="K43" s="168">
        <f>'Gov outlays'!H19</f>
        <v>986</v>
      </c>
      <c r="L43" s="168">
        <f>'Gov outlays'!I19</f>
        <v>1006</v>
      </c>
      <c r="M43" s="168">
        <f>'Gov outlays'!J19</f>
        <v>1034</v>
      </c>
      <c r="N43" s="168">
        <f>'Gov outlays'!K19</f>
        <v>1051</v>
      </c>
      <c r="O43" s="168">
        <f>'Gov outlays'!L19</f>
        <v>1068</v>
      </c>
      <c r="P43" s="168">
        <f>'Gov outlays'!M19</f>
        <v>1100</v>
      </c>
      <c r="Q43" s="168">
        <f t="shared" ref="Q43:AI43" si="60">Q42*0.49</f>
        <v>1116.1224134521999</v>
      </c>
      <c r="R43" s="168">
        <f t="shared" si="60"/>
        <v>1157.9770039566577</v>
      </c>
      <c r="S43" s="168">
        <f t="shared" si="60"/>
        <v>1201.4011416050323</v>
      </c>
      <c r="T43" s="168">
        <f t="shared" si="60"/>
        <v>1246.4536844152212</v>
      </c>
      <c r="U43" s="168">
        <f t="shared" si="60"/>
        <v>1293.1956975807921</v>
      </c>
      <c r="V43" s="168">
        <f t="shared" si="60"/>
        <v>1341.6905362400719</v>
      </c>
      <c r="W43" s="168">
        <f t="shared" si="60"/>
        <v>1392.0039313490747</v>
      </c>
      <c r="X43" s="168">
        <f t="shared" si="60"/>
        <v>1444.2040787746653</v>
      </c>
      <c r="Y43" s="168">
        <f t="shared" si="60"/>
        <v>1498.3617317287153</v>
      </c>
      <c r="Z43" s="168">
        <f t="shared" si="60"/>
        <v>1554.5249999999999</v>
      </c>
      <c r="AA43" s="168">
        <f t="shared" si="60"/>
        <v>1575.4614750000001</v>
      </c>
      <c r="AB43" s="168">
        <f t="shared" si="60"/>
        <v>1631.3903573625</v>
      </c>
      <c r="AC43" s="168">
        <f t="shared" si="60"/>
        <v>1689.304715048869</v>
      </c>
      <c r="AD43" s="168">
        <f t="shared" si="60"/>
        <v>1749.2750324331043</v>
      </c>
      <c r="AE43" s="168">
        <f>AE42*0.49</f>
        <v>1811.3742960844795</v>
      </c>
      <c r="AF43" s="168">
        <f t="shared" si="60"/>
        <v>1875.6780835954787</v>
      </c>
      <c r="AG43" s="168">
        <f t="shared" si="60"/>
        <v>1942.2646555631181</v>
      </c>
      <c r="AH43" s="168">
        <f t="shared" si="60"/>
        <v>2011.215050835609</v>
      </c>
      <c r="AI43" s="180">
        <f t="shared" si="60"/>
        <v>2082.6131851402738</v>
      </c>
      <c r="AJ43" s="180">
        <f t="shared" ref="AJ43" si="61">AJ42*0.49</f>
        <v>2157.078</v>
      </c>
      <c r="AK43" s="188"/>
      <c r="AL43" s="161"/>
      <c r="AM43" s="170"/>
      <c r="AN43" s="172"/>
    </row>
    <row r="44" spans="1:41" ht="14.5" x14ac:dyDescent="0.35">
      <c r="A44" s="173" t="s">
        <v>43</v>
      </c>
      <c r="B44" s="168"/>
      <c r="C44" s="168"/>
      <c r="D44" s="168"/>
      <c r="E44" s="168"/>
      <c r="F44" s="168">
        <f>-0.2+0.1</f>
        <v>-0.1</v>
      </c>
      <c r="G44" s="168">
        <f>-0.7+0.4</f>
        <v>-0.29999999999999993</v>
      </c>
      <c r="H44" s="168">
        <f>-1.3+0.7</f>
        <v>-0.60000000000000009</v>
      </c>
      <c r="I44" s="168">
        <f>-1.9+1</f>
        <v>-0.89999999999999991</v>
      </c>
      <c r="J44" s="168">
        <f>-2.3+1.2</f>
        <v>-1.0999999999999999</v>
      </c>
      <c r="K44" s="168">
        <f>-2.5+1.2</f>
        <v>-1.3</v>
      </c>
      <c r="L44" s="168">
        <f>-2.6+1.2</f>
        <v>-1.4000000000000001</v>
      </c>
      <c r="M44" s="168">
        <f>-2.7+1.2</f>
        <v>-1.5000000000000002</v>
      </c>
      <c r="N44" s="168">
        <f>-2.9+1.2</f>
        <v>-1.7</v>
      </c>
      <c r="O44" s="168">
        <v>-2</v>
      </c>
      <c r="P44" s="168">
        <f t="shared" ref="P44:AJ44" si="62">O44-0.12</f>
        <v>-2.12</v>
      </c>
      <c r="Q44" s="168">
        <f t="shared" si="62"/>
        <v>-2.2400000000000002</v>
      </c>
      <c r="R44" s="168">
        <f t="shared" si="62"/>
        <v>-2.3600000000000003</v>
      </c>
      <c r="S44" s="168">
        <f t="shared" si="62"/>
        <v>-2.4800000000000004</v>
      </c>
      <c r="T44" s="168">
        <f t="shared" si="62"/>
        <v>-2.6000000000000005</v>
      </c>
      <c r="U44" s="168">
        <f t="shared" si="62"/>
        <v>-2.7200000000000006</v>
      </c>
      <c r="V44" s="168">
        <f t="shared" si="62"/>
        <v>-2.8400000000000007</v>
      </c>
      <c r="W44" s="168">
        <f t="shared" si="62"/>
        <v>-2.9600000000000009</v>
      </c>
      <c r="X44" s="168">
        <f t="shared" si="62"/>
        <v>-3.080000000000001</v>
      </c>
      <c r="Y44" s="168">
        <f t="shared" si="62"/>
        <v>-3.2000000000000011</v>
      </c>
      <c r="Z44" s="168">
        <f t="shared" si="62"/>
        <v>-3.3200000000000012</v>
      </c>
      <c r="AA44" s="168">
        <f t="shared" si="62"/>
        <v>-3.4400000000000013</v>
      </c>
      <c r="AB44" s="168">
        <f t="shared" si="62"/>
        <v>-3.5600000000000014</v>
      </c>
      <c r="AC44" s="168">
        <f t="shared" si="62"/>
        <v>-3.6800000000000015</v>
      </c>
      <c r="AD44" s="168">
        <f t="shared" si="62"/>
        <v>-3.8000000000000016</v>
      </c>
      <c r="AE44" s="168">
        <f t="shared" si="62"/>
        <v>-3.9200000000000017</v>
      </c>
      <c r="AF44" s="168">
        <f t="shared" si="62"/>
        <v>-4.0400000000000018</v>
      </c>
      <c r="AG44" s="168">
        <f t="shared" si="62"/>
        <v>-4.1600000000000019</v>
      </c>
      <c r="AH44" s="168">
        <f t="shared" si="62"/>
        <v>-4.280000000000002</v>
      </c>
      <c r="AI44" s="168">
        <f t="shared" si="62"/>
        <v>-4.4000000000000021</v>
      </c>
      <c r="AJ44" s="168">
        <f t="shared" si="62"/>
        <v>-4.5200000000000022</v>
      </c>
      <c r="AK44" s="189">
        <f>SUM(F44:AJ44)</f>
        <v>-80.620000000000019</v>
      </c>
      <c r="AL44" s="147">
        <f>AK44/$AJ$64</f>
        <v>-8.4242424242424261E-4</v>
      </c>
      <c r="AM44" s="150">
        <f>AK44/$AJ$68</f>
        <v>-8.7836362199903329E-4</v>
      </c>
      <c r="AN44" s="172"/>
    </row>
    <row r="45" spans="1:41" ht="14.5" x14ac:dyDescent="0.35">
      <c r="A45" s="173" t="s">
        <v>44</v>
      </c>
      <c r="B45" s="168"/>
      <c r="C45" s="168"/>
      <c r="D45" s="168"/>
      <c r="E45" s="168"/>
      <c r="F45" s="168">
        <v>-9.3000000000000007</v>
      </c>
      <c r="G45" s="168">
        <v>-9.3000000000000007</v>
      </c>
      <c r="H45" s="168">
        <v>-9.3000000000000007</v>
      </c>
      <c r="I45" s="168">
        <v>-9.3000000000000007</v>
      </c>
      <c r="J45" s="168">
        <v>-9.3000000000000007</v>
      </c>
      <c r="K45" s="168">
        <v>-9.3000000000000007</v>
      </c>
      <c r="L45" s="168">
        <v>-9.3000000000000007</v>
      </c>
      <c r="M45" s="168">
        <v>-9.3000000000000007</v>
      </c>
      <c r="N45" s="168">
        <v>-9.3000000000000007</v>
      </c>
      <c r="O45" s="168">
        <v>-9.3000000000000007</v>
      </c>
      <c r="P45" s="168">
        <v>-9.3000000000000007</v>
      </c>
      <c r="Q45" s="168">
        <v>-9.3000000000000007</v>
      </c>
      <c r="R45" s="168">
        <v>-9.3000000000000007</v>
      </c>
      <c r="S45" s="168">
        <v>-9.3000000000000007</v>
      </c>
      <c r="T45" s="168">
        <v>-9.3000000000000007</v>
      </c>
      <c r="U45" s="168">
        <v>-9.3000000000000007</v>
      </c>
      <c r="V45" s="168">
        <v>-9.3000000000000007</v>
      </c>
      <c r="W45" s="168">
        <v>-9.3000000000000007</v>
      </c>
      <c r="X45" s="168">
        <v>-9.3000000000000007</v>
      </c>
      <c r="Y45" s="168">
        <v>-9.3000000000000007</v>
      </c>
      <c r="Z45" s="168">
        <v>-9.3000000000000007</v>
      </c>
      <c r="AA45" s="168">
        <v>-9.3000000000000007</v>
      </c>
      <c r="AB45" s="168">
        <v>-9.3000000000000007</v>
      </c>
      <c r="AC45" s="168">
        <v>-9.3000000000000007</v>
      </c>
      <c r="AD45" s="168">
        <v>-9.3000000000000007</v>
      </c>
      <c r="AE45" s="168">
        <v>-9.3000000000000007</v>
      </c>
      <c r="AF45" s="168">
        <v>-9.3000000000000007</v>
      </c>
      <c r="AG45" s="168">
        <v>-9.3000000000000007</v>
      </c>
      <c r="AH45" s="168">
        <v>-9.3000000000000007</v>
      </c>
      <c r="AI45" s="168">
        <v>-9.3000000000000007</v>
      </c>
      <c r="AJ45" s="168">
        <v>-9.3000000000000007</v>
      </c>
      <c r="AK45" s="189">
        <f>SUM(F45:AJ45)</f>
        <v>-288.30000000000018</v>
      </c>
      <c r="AL45" s="147">
        <f>AK45/$AJ$64</f>
        <v>-3.0125391849529799E-3</v>
      </c>
      <c r="AM45" s="150">
        <f>AK45/$AJ$68</f>
        <v>-3.1410596901801217E-3</v>
      </c>
      <c r="AN45" s="172"/>
    </row>
    <row r="46" spans="1:41" ht="14.5" x14ac:dyDescent="0.35">
      <c r="A46" s="173" t="s">
        <v>45</v>
      </c>
      <c r="B46" s="168"/>
      <c r="C46" s="168"/>
      <c r="D46" s="168"/>
      <c r="E46" s="168"/>
      <c r="F46" s="168">
        <v>-1.2</v>
      </c>
      <c r="G46" s="168">
        <v>-1.2</v>
      </c>
      <c r="H46" s="168">
        <v>-1.2</v>
      </c>
      <c r="I46" s="168">
        <v>-1.2</v>
      </c>
      <c r="J46" s="168">
        <v>-1.2</v>
      </c>
      <c r="K46" s="168">
        <v>-1.2</v>
      </c>
      <c r="L46" s="168">
        <v>-1.2</v>
      </c>
      <c r="M46" s="168">
        <v>-1.2</v>
      </c>
      <c r="N46" s="168">
        <v>-1.2</v>
      </c>
      <c r="O46" s="168">
        <v>-1.2</v>
      </c>
      <c r="P46" s="168">
        <v>-1.2</v>
      </c>
      <c r="Q46" s="168">
        <v>-1.2</v>
      </c>
      <c r="R46" s="168">
        <v>-1.2</v>
      </c>
      <c r="S46" s="168">
        <v>-1.2</v>
      </c>
      <c r="T46" s="168">
        <v>-1.2</v>
      </c>
      <c r="U46" s="168">
        <v>-1.2</v>
      </c>
      <c r="V46" s="168">
        <v>-1.2</v>
      </c>
      <c r="W46" s="168">
        <v>-1.2</v>
      </c>
      <c r="X46" s="168">
        <v>-1.2</v>
      </c>
      <c r="Y46" s="168">
        <v>-1.2</v>
      </c>
      <c r="Z46" s="168">
        <v>-1.2</v>
      </c>
      <c r="AA46" s="168">
        <v>-1.2</v>
      </c>
      <c r="AB46" s="168">
        <v>-1.2</v>
      </c>
      <c r="AC46" s="168">
        <v>-1.2</v>
      </c>
      <c r="AD46" s="168">
        <v>-1.2</v>
      </c>
      <c r="AE46" s="168">
        <v>-1.2</v>
      </c>
      <c r="AF46" s="168">
        <v>-1.2</v>
      </c>
      <c r="AG46" s="168">
        <v>-1.2</v>
      </c>
      <c r="AH46" s="168">
        <v>-1.2</v>
      </c>
      <c r="AI46" s="168">
        <v>-1.2</v>
      </c>
      <c r="AJ46" s="168">
        <v>-1.2</v>
      </c>
      <c r="AK46" s="189">
        <f>SUM(F46:AJ46)</f>
        <v>-37.200000000000003</v>
      </c>
      <c r="AL46" s="147">
        <f>AK46/$AJ$64</f>
        <v>-3.8871473354231979E-4</v>
      </c>
      <c r="AM46" s="150">
        <f>AK46/$AJ$68</f>
        <v>-4.0529802453937033E-4</v>
      </c>
      <c r="AN46" s="172"/>
    </row>
    <row r="47" spans="1:41" ht="14.5" x14ac:dyDescent="0.35">
      <c r="A47" s="173" t="s">
        <v>46</v>
      </c>
      <c r="B47" s="168"/>
      <c r="C47" s="168"/>
      <c r="D47" s="168"/>
      <c r="E47" s="168"/>
      <c r="F47" s="168">
        <v>-13</v>
      </c>
      <c r="G47" s="168">
        <v>-30</v>
      </c>
      <c r="H47" s="168">
        <v>-36</v>
      </c>
      <c r="I47" s="168">
        <v>-39</v>
      </c>
      <c r="J47" s="168">
        <v>-41</v>
      </c>
      <c r="K47" s="168">
        <v>-43</v>
      </c>
      <c r="L47" s="168">
        <v>-44</v>
      </c>
      <c r="M47" s="168">
        <v>-46</v>
      </c>
      <c r="N47" s="168">
        <v>-47</v>
      </c>
      <c r="O47" s="168">
        <f t="shared" ref="O47:AJ47" si="63">N47*1.023</f>
        <v>-48.080999999999996</v>
      </c>
      <c r="P47" s="168">
        <f t="shared" si="63"/>
        <v>-49.186862999999988</v>
      </c>
      <c r="Q47" s="168">
        <f t="shared" si="63"/>
        <v>-50.31816084899998</v>
      </c>
      <c r="R47" s="168">
        <f t="shared" si="63"/>
        <v>-51.475478548526972</v>
      </c>
      <c r="S47" s="168">
        <f t="shared" si="63"/>
        <v>-52.659414555143087</v>
      </c>
      <c r="T47" s="168">
        <f t="shared" si="63"/>
        <v>-53.870581089911376</v>
      </c>
      <c r="U47" s="168">
        <f t="shared" si="63"/>
        <v>-55.109604454979333</v>
      </c>
      <c r="V47" s="168">
        <f t="shared" si="63"/>
        <v>-56.377125357443852</v>
      </c>
      <c r="W47" s="168">
        <f t="shared" si="63"/>
        <v>-57.673799240665055</v>
      </c>
      <c r="X47" s="168">
        <f t="shared" si="63"/>
        <v>-59.000296623200349</v>
      </c>
      <c r="Y47" s="168">
        <f t="shared" si="63"/>
        <v>-60.357303445533951</v>
      </c>
      <c r="Z47" s="168">
        <f t="shared" si="63"/>
        <v>-61.745521424781224</v>
      </c>
      <c r="AA47" s="168">
        <f t="shared" si="63"/>
        <v>-63.165668417551188</v>
      </c>
      <c r="AB47" s="168">
        <f t="shared" si="63"/>
        <v>-64.618478791154857</v>
      </c>
      <c r="AC47" s="168">
        <f t="shared" si="63"/>
        <v>-66.104703803351413</v>
      </c>
      <c r="AD47" s="168">
        <f t="shared" si="63"/>
        <v>-67.625111990828486</v>
      </c>
      <c r="AE47" s="168">
        <f t="shared" si="63"/>
        <v>-69.180489566617538</v>
      </c>
      <c r="AF47" s="168">
        <f t="shared" si="63"/>
        <v>-70.77164082664973</v>
      </c>
      <c r="AG47" s="168">
        <f t="shared" si="63"/>
        <v>-72.399388565662662</v>
      </c>
      <c r="AH47" s="168">
        <f t="shared" si="63"/>
        <v>-74.064574502672897</v>
      </c>
      <c r="AI47" s="168">
        <f t="shared" si="63"/>
        <v>-75.768059716234362</v>
      </c>
      <c r="AJ47" s="168">
        <f t="shared" si="63"/>
        <v>-77.510725089707748</v>
      </c>
      <c r="AK47" s="189">
        <f>SUM(F47:AJ47)</f>
        <v>-1696.0639898596157</v>
      </c>
      <c r="AL47" s="147">
        <f>AK47/$AJ$64</f>
        <v>-1.7722716717446352E-2</v>
      </c>
      <c r="AM47" s="150">
        <f>AK47/$AJ$68</f>
        <v>-1.8478800660818945E-2</v>
      </c>
      <c r="AN47" s="172"/>
    </row>
    <row r="48" spans="1:41" ht="14.5" x14ac:dyDescent="0.35">
      <c r="A48" s="173" t="s">
        <v>47</v>
      </c>
      <c r="B48" s="168"/>
      <c r="C48" s="168"/>
      <c r="D48" s="168"/>
      <c r="E48" s="168"/>
      <c r="F48" s="168">
        <f>-F43*0.17*0.25/1.4</f>
        <v>-26.866071428571434</v>
      </c>
      <c r="G48" s="168">
        <f t="shared" ref="G48:AI48" si="64">-G43*0.17*0.25/1.4</f>
        <v>-27.351785714285718</v>
      </c>
      <c r="H48" s="168">
        <f t="shared" si="64"/>
        <v>-28.171428571428578</v>
      </c>
      <c r="I48" s="168">
        <f t="shared" si="64"/>
        <v>-28.475000000000005</v>
      </c>
      <c r="J48" s="168">
        <f t="shared" si="64"/>
        <v>-29.325000000000003</v>
      </c>
      <c r="K48" s="168">
        <f t="shared" si="64"/>
        <v>-29.93214285714286</v>
      </c>
      <c r="L48" s="168">
        <f t="shared" si="64"/>
        <v>-30.539285714285718</v>
      </c>
      <c r="M48" s="168">
        <f t="shared" si="64"/>
        <v>-31.389285714285716</v>
      </c>
      <c r="N48" s="168">
        <f t="shared" si="64"/>
        <v>-31.905357142857149</v>
      </c>
      <c r="O48" s="168">
        <f t="shared" si="64"/>
        <v>-32.421428571428571</v>
      </c>
      <c r="P48" s="168">
        <f t="shared" si="64"/>
        <v>-33.392857142857146</v>
      </c>
      <c r="Q48" s="168">
        <f t="shared" si="64"/>
        <v>-33.882287551227499</v>
      </c>
      <c r="R48" s="168">
        <f t="shared" si="64"/>
        <v>-35.152873334398542</v>
      </c>
      <c r="S48" s="168">
        <f t="shared" si="64"/>
        <v>-36.471106084438489</v>
      </c>
      <c r="T48" s="168">
        <f t="shared" si="64"/>
        <v>-37.838772562604937</v>
      </c>
      <c r="U48" s="168">
        <f t="shared" si="64"/>
        <v>-39.257726533702623</v>
      </c>
      <c r="V48" s="168">
        <f t="shared" si="64"/>
        <v>-40.729891278716472</v>
      </c>
      <c r="W48" s="168">
        <f t="shared" si="64"/>
        <v>-42.257262201668347</v>
      </c>
      <c r="X48" s="168">
        <f t="shared" si="64"/>
        <v>-43.841909534230922</v>
      </c>
      <c r="Y48" s="168">
        <f t="shared" si="64"/>
        <v>-45.485981141764576</v>
      </c>
      <c r="Z48" s="168">
        <f t="shared" si="64"/>
        <v>-47.190937500000004</v>
      </c>
      <c r="AA48" s="168">
        <f t="shared" si="64"/>
        <v>-47.826509062500001</v>
      </c>
      <c r="AB48" s="168">
        <f t="shared" si="64"/>
        <v>-49.524350134218757</v>
      </c>
      <c r="AC48" s="168">
        <f t="shared" si="64"/>
        <v>-51.282464563983531</v>
      </c>
      <c r="AD48" s="168">
        <f t="shared" si="64"/>
        <v>-53.102992056004958</v>
      </c>
      <c r="AE48" s="168">
        <f t="shared" si="64"/>
        <v>-54.98814827399314</v>
      </c>
      <c r="AF48" s="168">
        <f t="shared" si="64"/>
        <v>-56.940227537719899</v>
      </c>
      <c r="AG48" s="168">
        <f t="shared" si="64"/>
        <v>-58.961605615308954</v>
      </c>
      <c r="AH48" s="168">
        <f t="shared" si="64"/>
        <v>-61.054742614652419</v>
      </c>
      <c r="AI48" s="168">
        <f t="shared" si="64"/>
        <v>-63.222185977472606</v>
      </c>
      <c r="AJ48" s="168">
        <f t="shared" ref="AJ48" si="65">-AJ43*0.17*0.25/1.4</f>
        <v>-65.482725000000002</v>
      </c>
      <c r="AK48" s="189">
        <f>SUM(F48:AJ48)</f>
        <v>-1294.2643414157499</v>
      </c>
      <c r="AL48" s="147">
        <f>AK48/$AJ$64</f>
        <v>-1.3524183295880354E-2</v>
      </c>
      <c r="AM48" s="150">
        <f>AK48/$AJ$68</f>
        <v>-1.41011500217084E-2</v>
      </c>
      <c r="AN48" s="172"/>
    </row>
    <row r="49" spans="1:41" ht="14.5" x14ac:dyDescent="0.35">
      <c r="A49" s="173" t="s">
        <v>48</v>
      </c>
      <c r="B49" s="163">
        <v>912.42</v>
      </c>
      <c r="C49" s="163">
        <v>911.93899999999996</v>
      </c>
      <c r="D49" s="163">
        <v>959.47500000000002</v>
      </c>
      <c r="E49" s="163">
        <v>979.87699999999995</v>
      </c>
      <c r="F49" s="168">
        <f>'Gov outlays'!C20</f>
        <v>996</v>
      </c>
      <c r="G49" s="168">
        <f>'Gov outlays'!D20</f>
        <v>981</v>
      </c>
      <c r="H49" s="168">
        <f>'Gov outlays'!E20</f>
        <v>1001</v>
      </c>
      <c r="I49" s="168">
        <f>'Gov outlays'!F20</f>
        <v>1010</v>
      </c>
      <c r="J49" s="168">
        <f>'Gov outlays'!G20</f>
        <v>1023</v>
      </c>
      <c r="K49" s="168">
        <f>'Gov outlays'!H20</f>
        <v>1039</v>
      </c>
      <c r="L49" s="168">
        <f>'Gov outlays'!I20</f>
        <v>1057</v>
      </c>
      <c r="M49" s="168">
        <f>'Gov outlays'!J20</f>
        <v>1076</v>
      </c>
      <c r="N49" s="168">
        <f>'Gov outlays'!K20</f>
        <v>1096</v>
      </c>
      <c r="O49" s="168">
        <f>'Gov outlays'!L20</f>
        <v>1119</v>
      </c>
      <c r="P49" s="168">
        <f>'Gov outlays'!M20</f>
        <v>1144</v>
      </c>
      <c r="Q49" s="168">
        <f t="shared" ref="Q49:AI49" si="66">Q42-Q43</f>
        <v>1161.6784303278</v>
      </c>
      <c r="R49" s="168">
        <f t="shared" si="66"/>
        <v>1205.2413714650927</v>
      </c>
      <c r="S49" s="168">
        <f t="shared" si="66"/>
        <v>1250.4379228950336</v>
      </c>
      <c r="T49" s="168">
        <f t="shared" si="66"/>
        <v>1297.3293450035976</v>
      </c>
      <c r="U49" s="168">
        <f t="shared" si="66"/>
        <v>1345.9791954412326</v>
      </c>
      <c r="V49" s="168">
        <f t="shared" si="66"/>
        <v>1396.4534152702788</v>
      </c>
      <c r="W49" s="168">
        <f t="shared" si="66"/>
        <v>1448.8204183429148</v>
      </c>
      <c r="X49" s="168">
        <f t="shared" si="66"/>
        <v>1503.1511840307742</v>
      </c>
      <c r="Y49" s="168">
        <f t="shared" si="66"/>
        <v>1559.5193534319283</v>
      </c>
      <c r="Z49" s="168">
        <f t="shared" si="66"/>
        <v>1617.9750000000001</v>
      </c>
      <c r="AA49" s="168">
        <f t="shared" si="66"/>
        <v>1639.7660249999999</v>
      </c>
      <c r="AB49" s="168">
        <f t="shared" si="66"/>
        <v>1697.9777188875003</v>
      </c>
      <c r="AC49" s="168">
        <f t="shared" si="66"/>
        <v>1758.2559279080067</v>
      </c>
      <c r="AD49" s="168">
        <f t="shared" si="66"/>
        <v>1820.6740133487413</v>
      </c>
      <c r="AE49" s="168">
        <f>AE42-AE43</f>
        <v>1885.3079408226215</v>
      </c>
      <c r="AF49" s="168">
        <f t="shared" si="66"/>
        <v>1952.2363727218249</v>
      </c>
      <c r="AG49" s="168">
        <f t="shared" si="66"/>
        <v>2021.5407639534496</v>
      </c>
      <c r="AH49" s="168">
        <f t="shared" si="66"/>
        <v>2093.3054610737972</v>
      </c>
      <c r="AI49" s="180">
        <f t="shared" si="66"/>
        <v>2167.6178049419173</v>
      </c>
      <c r="AJ49" s="180">
        <f t="shared" ref="AJ49" si="67">AJ42-AJ43</f>
        <v>2245.1219999999998</v>
      </c>
      <c r="AK49" s="188"/>
      <c r="AL49" s="161"/>
      <c r="AM49" s="166"/>
      <c r="AN49" s="162">
        <f>AI49+AK50</f>
        <v>2021.4099739508731</v>
      </c>
    </row>
    <row r="50" spans="1:41" ht="14.5" x14ac:dyDescent="0.35">
      <c r="A50" s="173" t="s">
        <v>49</v>
      </c>
      <c r="B50" s="173"/>
      <c r="C50" s="173"/>
      <c r="D50" s="173"/>
      <c r="E50" s="173"/>
      <c r="F50" s="176">
        <f>-(65000+150000)*13600/1000000000</f>
        <v>-2.9239999999999999</v>
      </c>
      <c r="G50" s="176">
        <f t="shared" ref="G50:AJ50" si="68">F50*1.03</f>
        <v>-3.01172</v>
      </c>
      <c r="H50" s="176">
        <f t="shared" si="68"/>
        <v>-3.1020715999999999</v>
      </c>
      <c r="I50" s="176">
        <f t="shared" si="68"/>
        <v>-3.1951337479999999</v>
      </c>
      <c r="J50" s="176">
        <f t="shared" si="68"/>
        <v>-3.2909877604400002</v>
      </c>
      <c r="K50" s="176">
        <f t="shared" si="68"/>
        <v>-3.3897173932532003</v>
      </c>
      <c r="L50" s="176">
        <f t="shared" si="68"/>
        <v>-3.4914089150507963</v>
      </c>
      <c r="M50" s="176">
        <f t="shared" si="68"/>
        <v>-3.5961511825023202</v>
      </c>
      <c r="N50" s="176">
        <f t="shared" si="68"/>
        <v>-3.7040357179773897</v>
      </c>
      <c r="O50" s="176">
        <f t="shared" si="68"/>
        <v>-3.8151567895167116</v>
      </c>
      <c r="P50" s="176">
        <f t="shared" si="68"/>
        <v>-3.9296114932022128</v>
      </c>
      <c r="Q50" s="176">
        <f t="shared" si="68"/>
        <v>-4.0474998379982789</v>
      </c>
      <c r="R50" s="176">
        <f t="shared" si="68"/>
        <v>-4.1689248331382274</v>
      </c>
      <c r="S50" s="176">
        <f t="shared" si="68"/>
        <v>-4.2939925781323742</v>
      </c>
      <c r="T50" s="176">
        <f t="shared" si="68"/>
        <v>-4.4228123554763457</v>
      </c>
      <c r="U50" s="176">
        <f t="shared" si="68"/>
        <v>-4.5554967261406363</v>
      </c>
      <c r="V50" s="176">
        <f t="shared" si="68"/>
        <v>-4.6921616279248557</v>
      </c>
      <c r="W50" s="176">
        <f t="shared" si="68"/>
        <v>-4.8329264767626015</v>
      </c>
      <c r="X50" s="176">
        <f t="shared" si="68"/>
        <v>-4.9779142710654796</v>
      </c>
      <c r="Y50" s="176">
        <f t="shared" si="68"/>
        <v>-5.1272516991974442</v>
      </c>
      <c r="Z50" s="176">
        <f t="shared" si="68"/>
        <v>-5.2810692501733678</v>
      </c>
      <c r="AA50" s="176">
        <f t="shared" si="68"/>
        <v>-5.4395013276785686</v>
      </c>
      <c r="AB50" s="176">
        <f t="shared" si="68"/>
        <v>-5.6026863675089258</v>
      </c>
      <c r="AC50" s="176">
        <f t="shared" si="68"/>
        <v>-5.7707669585341934</v>
      </c>
      <c r="AD50" s="176">
        <f t="shared" si="68"/>
        <v>-5.943889967290219</v>
      </c>
      <c r="AE50" s="176">
        <f t="shared" si="68"/>
        <v>-6.1222066663089256</v>
      </c>
      <c r="AF50" s="176">
        <f t="shared" si="68"/>
        <v>-6.305872866298194</v>
      </c>
      <c r="AG50" s="176">
        <f t="shared" si="68"/>
        <v>-6.4950490522871398</v>
      </c>
      <c r="AH50" s="176">
        <f t="shared" si="68"/>
        <v>-6.6899005238557541</v>
      </c>
      <c r="AI50" s="176">
        <f t="shared" si="68"/>
        <v>-6.8905975395714272</v>
      </c>
      <c r="AJ50" s="176">
        <f t="shared" si="68"/>
        <v>-7.0973154657585704</v>
      </c>
      <c r="AK50" s="189">
        <f>SUM(F50:AJ50)</f>
        <v>-146.20783099104418</v>
      </c>
      <c r="AL50" s="147">
        <f>AK50/$AJ$64</f>
        <v>-1.52777252864205E-3</v>
      </c>
      <c r="AM50" s="150">
        <f>AK50/$AJ$68</f>
        <v>-1.5929501363671054E-3</v>
      </c>
      <c r="AN50" s="172"/>
    </row>
    <row r="51" spans="1:41" s="3" customFormat="1" ht="14.5" x14ac:dyDescent="0.35">
      <c r="A51" s="169" t="s">
        <v>50</v>
      </c>
      <c r="B51" s="175">
        <v>475.887</v>
      </c>
      <c r="C51" s="175">
        <v>658.26700000000005</v>
      </c>
      <c r="D51" s="175">
        <v>879.87900000000002</v>
      </c>
      <c r="E51" s="175">
        <v>969.93799999999999</v>
      </c>
      <c r="F51" s="175">
        <f>'Gov outlays'!C22</f>
        <v>1039</v>
      </c>
      <c r="G51" s="175">
        <f>'Gov outlays'!D22</f>
        <v>1108</v>
      </c>
      <c r="H51" s="175">
        <f>'Gov outlays'!E22</f>
        <v>1218</v>
      </c>
      <c r="I51" s="175">
        <f>'Gov outlays'!F22</f>
        <v>1324</v>
      </c>
      <c r="J51" s="175">
        <f>'Gov outlays'!G22</f>
        <v>1432</v>
      </c>
      <c r="K51" s="175">
        <f>'Gov outlays'!H22</f>
        <v>1548</v>
      </c>
      <c r="L51" s="175">
        <f>'Gov outlays'!I22</f>
        <v>1670</v>
      </c>
      <c r="M51" s="175">
        <f>'Gov outlays'!J22</f>
        <v>1784</v>
      </c>
      <c r="N51" s="175">
        <f>'Gov outlays'!K22</f>
        <v>1904</v>
      </c>
      <c r="O51" s="175">
        <f>'Gov outlays'!L22</f>
        <v>2019</v>
      </c>
      <c r="P51" s="175">
        <f>'Gov outlays'!M22</f>
        <v>2144</v>
      </c>
      <c r="Q51" s="175">
        <f t="shared" ref="Q51:Y51" si="69">P51*1.0493</f>
        <v>2249.6991999999996</v>
      </c>
      <c r="R51" s="175">
        <f t="shared" si="69"/>
        <v>2360.6093705599992</v>
      </c>
      <c r="S51" s="175">
        <f t="shared" si="69"/>
        <v>2476.9874125286069</v>
      </c>
      <c r="T51" s="175">
        <f t="shared" si="69"/>
        <v>2599.1028919662672</v>
      </c>
      <c r="U51" s="175">
        <f t="shared" si="69"/>
        <v>2727.2386645402039</v>
      </c>
      <c r="V51" s="175">
        <f t="shared" si="69"/>
        <v>2861.6915307020358</v>
      </c>
      <c r="W51" s="175">
        <f t="shared" si="69"/>
        <v>3002.7729231656458</v>
      </c>
      <c r="X51" s="175">
        <f t="shared" si="69"/>
        <v>3150.8096282777119</v>
      </c>
      <c r="Y51" s="175">
        <f t="shared" si="69"/>
        <v>3306.1445429518026</v>
      </c>
      <c r="Z51" s="175">
        <f>Z64*0.052</f>
        <v>3510</v>
      </c>
      <c r="AA51" s="175">
        <f t="shared" ref="AA51:AJ51" si="70">Z51*1.0573</f>
        <v>3711.1229999999996</v>
      </c>
      <c r="AB51" s="175">
        <f t="shared" si="70"/>
        <v>3923.7703478999993</v>
      </c>
      <c r="AC51" s="175">
        <f t="shared" si="70"/>
        <v>4148.602388834669</v>
      </c>
      <c r="AD51" s="175">
        <f t="shared" si="70"/>
        <v>4386.3173057148952</v>
      </c>
      <c r="AE51" s="175">
        <f t="shared" si="70"/>
        <v>4637.6532873323586</v>
      </c>
      <c r="AF51" s="175">
        <f t="shared" si="70"/>
        <v>4903.3908206965025</v>
      </c>
      <c r="AG51" s="175">
        <f t="shared" si="70"/>
        <v>5184.3551147224116</v>
      </c>
      <c r="AH51" s="175">
        <f t="shared" si="70"/>
        <v>5481.4186627960053</v>
      </c>
      <c r="AI51" s="175">
        <f t="shared" si="70"/>
        <v>5795.5039521742156</v>
      </c>
      <c r="AJ51" s="175">
        <f t="shared" si="70"/>
        <v>6127.5863286337972</v>
      </c>
      <c r="AK51" s="188"/>
      <c r="AL51" s="161"/>
      <c r="AM51" s="170"/>
      <c r="AN51" s="169"/>
    </row>
    <row r="52" spans="1:41" ht="14.5" x14ac:dyDescent="0.35">
      <c r="A52" s="177" t="s">
        <v>51</v>
      </c>
      <c r="B52" s="163"/>
      <c r="C52" s="167">
        <f>(C51-B51)/B51</f>
        <v>0.38324224027973036</v>
      </c>
      <c r="D52" s="167">
        <f>(D51-C51)/C51</f>
        <v>0.33665974445020019</v>
      </c>
      <c r="E52" s="167">
        <f>(E51-D51)/D51</f>
        <v>0.1023538463811501</v>
      </c>
      <c r="F52" s="167">
        <f t="shared" ref="F52:P52" si="71">(F51-E51)/E51</f>
        <v>7.1202489231270469E-2</v>
      </c>
      <c r="G52" s="167">
        <f t="shared" si="71"/>
        <v>6.6410009624639083E-2</v>
      </c>
      <c r="H52" s="167">
        <f t="shared" si="71"/>
        <v>9.9277978339350176E-2</v>
      </c>
      <c r="I52" s="167">
        <f t="shared" si="71"/>
        <v>8.7027914614121515E-2</v>
      </c>
      <c r="J52" s="167">
        <f t="shared" si="71"/>
        <v>8.1570996978851965E-2</v>
      </c>
      <c r="K52" s="167">
        <f t="shared" si="71"/>
        <v>8.1005586592178769E-2</v>
      </c>
      <c r="L52" s="167">
        <f t="shared" si="71"/>
        <v>7.8811369509043924E-2</v>
      </c>
      <c r="M52" s="167">
        <f t="shared" si="71"/>
        <v>6.8263473053892215E-2</v>
      </c>
      <c r="N52" s="167">
        <f t="shared" si="71"/>
        <v>6.726457399103139E-2</v>
      </c>
      <c r="O52" s="167">
        <f t="shared" si="71"/>
        <v>6.0399159663865547E-2</v>
      </c>
      <c r="P52" s="167">
        <f t="shared" si="71"/>
        <v>6.1911837543338288E-2</v>
      </c>
      <c r="Q52" s="167">
        <f t="shared" ref="Q52" si="72">(Q51-P51)/P51</f>
        <v>4.9299999999999795E-2</v>
      </c>
      <c r="R52" s="167">
        <f t="shared" ref="R52" si="73">(R51-Q51)/Q51</f>
        <v>4.9299999999999851E-2</v>
      </c>
      <c r="S52" s="167">
        <f t="shared" ref="S52" si="74">(S51-R51)/R51</f>
        <v>4.9299999999999893E-2</v>
      </c>
      <c r="T52" s="167">
        <f t="shared" ref="T52" si="75">(T51-S51)/S51</f>
        <v>4.9299999999999983E-2</v>
      </c>
      <c r="U52" s="167">
        <f t="shared" ref="U52" si="76">(U51-T51)/T51</f>
        <v>4.9299999999999906E-2</v>
      </c>
      <c r="V52" s="167">
        <f t="shared" ref="V52" si="77">(V51-U51)/U51</f>
        <v>4.9299999999999955E-2</v>
      </c>
      <c r="W52" s="167">
        <f t="shared" ref="W52" si="78">(W51-V51)/V51</f>
        <v>4.9299999999999865E-2</v>
      </c>
      <c r="X52" s="167">
        <f t="shared" ref="X52" si="79">(X51-W51)/W51</f>
        <v>4.929999999999992E-2</v>
      </c>
      <c r="Y52" s="167">
        <f t="shared" ref="Y52" si="80">(Y51-X51)/X51</f>
        <v>4.929999999999983E-2</v>
      </c>
      <c r="Z52" s="167">
        <f t="shared" ref="Z52" si="81">(Z51-Y51)/Y51</f>
        <v>6.1659571866809711E-2</v>
      </c>
      <c r="AA52" s="167">
        <f t="shared" ref="AA52" si="82">(AA51-Z51)/Z51</f>
        <v>5.7299999999999886E-2</v>
      </c>
      <c r="AB52" s="167">
        <f>(AB51-AA51)/AA51</f>
        <v>5.7299999999999914E-2</v>
      </c>
      <c r="AC52" s="167">
        <f t="shared" ref="AC52" si="83">(AC51-AB51)/AB51</f>
        <v>5.7299999999999948E-2</v>
      </c>
      <c r="AD52" s="167">
        <f t="shared" ref="AD52" si="84">(AD51-AC51)/AC51</f>
        <v>5.7299999999999907E-2</v>
      </c>
      <c r="AE52" s="167">
        <f t="shared" ref="AE52" si="85">(AE51-AD51)/AD51</f>
        <v>5.7299999999999983E-2</v>
      </c>
      <c r="AF52" s="167">
        <f t="shared" ref="AF52" si="86">(AF51-AE51)/AE51</f>
        <v>5.7299999999999955E-2</v>
      </c>
      <c r="AG52" s="167">
        <f t="shared" ref="AG52" si="87">(AG51-AF51)/AF51</f>
        <v>5.72999999999999E-2</v>
      </c>
      <c r="AH52" s="167">
        <f t="shared" ref="AH52" si="88">(AH51-AG51)/AG51</f>
        <v>5.72999999999999E-2</v>
      </c>
      <c r="AI52" s="167">
        <f t="shared" ref="AI52" si="89">(AI51-AH51)/AH51</f>
        <v>5.7299999999999851E-2</v>
      </c>
      <c r="AJ52" s="167"/>
      <c r="AK52" s="191">
        <f>AVERAGE(F52:AJ52)</f>
        <v>6.1473498700279711E-2</v>
      </c>
      <c r="AL52" s="161"/>
      <c r="AM52" s="170"/>
      <c r="AN52" s="172"/>
    </row>
    <row r="53" spans="1:41" ht="14.5" x14ac:dyDescent="0.35">
      <c r="A53" s="44"/>
      <c r="B53" s="47"/>
      <c r="C53" s="45"/>
      <c r="D53" s="45"/>
      <c r="E53" s="45"/>
    </row>
    <row r="54" spans="1:41" s="103" customFormat="1" ht="14.5" x14ac:dyDescent="0.35">
      <c r="A54" s="101" t="s">
        <v>52</v>
      </c>
      <c r="B54" s="102">
        <f t="shared" ref="B54:AI54" si="90">B3-B28</f>
        <v>-1880.8589999999995</v>
      </c>
      <c r="C54" s="102">
        <f t="shared" si="90"/>
        <v>-2038.3340000000007</v>
      </c>
      <c r="D54" s="102">
        <f t="shared" si="90"/>
        <v>-2187.3819999999996</v>
      </c>
      <c r="E54" s="102">
        <f t="shared" si="90"/>
        <v>-1775.46</v>
      </c>
      <c r="F54" s="102">
        <f t="shared" si="90"/>
        <v>-2063.2779999999993</v>
      </c>
      <c r="G54" s="102">
        <f t="shared" si="90"/>
        <v>-2098.3535000000002</v>
      </c>
      <c r="H54" s="102">
        <f t="shared" si="90"/>
        <v>-2291.3269999999993</v>
      </c>
      <c r="I54" s="102">
        <f t="shared" si="90"/>
        <v>-2227.9399999999987</v>
      </c>
      <c r="J54" s="102">
        <f t="shared" si="90"/>
        <v>-2408.2145</v>
      </c>
      <c r="K54" s="102">
        <f t="shared" si="90"/>
        <v>-2489.1279999999997</v>
      </c>
      <c r="L54" s="102">
        <f t="shared" si="90"/>
        <v>-2632.9714999999978</v>
      </c>
      <c r="M54" s="102">
        <f t="shared" si="90"/>
        <v>-2970.6775000000007</v>
      </c>
      <c r="N54" s="102">
        <f t="shared" si="90"/>
        <v>-3008.8730000000005</v>
      </c>
      <c r="O54" s="102">
        <f t="shared" si="90"/>
        <v>-2973.1859999999988</v>
      </c>
      <c r="P54" s="102">
        <f t="shared" si="90"/>
        <v>-3317.4229999999989</v>
      </c>
      <c r="Q54" s="102">
        <f t="shared" si="90"/>
        <v>-2973.9682955497992</v>
      </c>
      <c r="R54" s="102">
        <f t="shared" si="90"/>
        <v>-3084.3445912710395</v>
      </c>
      <c r="S54" s="102">
        <f t="shared" si="90"/>
        <v>-3199.0872332206491</v>
      </c>
      <c r="T54" s="102">
        <f t="shared" si="90"/>
        <v>-3318.3819262979378</v>
      </c>
      <c r="U54" s="102">
        <f t="shared" si="90"/>
        <v>-3442.4228336971064</v>
      </c>
      <c r="V54" s="102">
        <f t="shared" si="90"/>
        <v>-3571.4129836092452</v>
      </c>
      <c r="W54" s="102">
        <f t="shared" si="90"/>
        <v>-3705.5646962035753</v>
      </c>
      <c r="X54" s="102">
        <f t="shared" si="90"/>
        <v>-3845.1000319204268</v>
      </c>
      <c r="Y54" s="102">
        <f t="shared" si="90"/>
        <v>-3990.2512621613459</v>
      </c>
      <c r="Z54" s="102">
        <f t="shared" si="90"/>
        <v>-4180.4383650785476</v>
      </c>
      <c r="AA54" s="102">
        <f t="shared" si="90"/>
        <v>-4195.164014132477</v>
      </c>
      <c r="AB54" s="102">
        <f t="shared" si="90"/>
        <v>-4436.9864094455697</v>
      </c>
      <c r="AC54" s="102">
        <f t="shared" si="90"/>
        <v>-4692.680059467677</v>
      </c>
      <c r="AD54" s="102">
        <f t="shared" si="90"/>
        <v>-4963.0371360413828</v>
      </c>
      <c r="AE54" s="102">
        <f t="shared" si="90"/>
        <v>-5248.8948971186455</v>
      </c>
      <c r="AF54" s="102">
        <f t="shared" si="90"/>
        <v>-5551.1382468650281</v>
      </c>
      <c r="AG54" s="102">
        <f t="shared" si="90"/>
        <v>-5870.7024409379137</v>
      </c>
      <c r="AH54" s="102">
        <f t="shared" si="90"/>
        <v>-6208.5759451665945</v>
      </c>
      <c r="AI54" s="102">
        <f t="shared" si="90"/>
        <v>-6565.8034563282927</v>
      </c>
      <c r="AJ54" s="102">
        <f t="shared" ref="AJ54" si="91">AJ3-AJ28</f>
        <v>-6943.1609908200262</v>
      </c>
      <c r="AK54" s="192"/>
      <c r="AL54" s="148"/>
      <c r="AM54" s="157"/>
      <c r="AN54" s="101"/>
    </row>
    <row r="55" spans="1:41" ht="14.5" x14ac:dyDescent="0.35">
      <c r="A55" s="44" t="s">
        <v>51</v>
      </c>
      <c r="C55" s="45">
        <f>(C54-B54)/B54</f>
        <v>8.3725042653384069E-2</v>
      </c>
      <c r="D55" s="45">
        <f>(D54-C54)/C54</f>
        <v>7.3122461775155009E-2</v>
      </c>
      <c r="E55" s="45">
        <f>(E54-D54)/D54</f>
        <v>-0.18831735837636027</v>
      </c>
      <c r="F55" s="45">
        <f t="shared" ref="F55:P55" si="92">(F54-E54)/E54</f>
        <v>0.16210897457560255</v>
      </c>
      <c r="G55" s="45">
        <f t="shared" si="92"/>
        <v>1.6999890465560549E-2</v>
      </c>
      <c r="H55" s="45">
        <f t="shared" si="92"/>
        <v>9.1964247206201971E-2</v>
      </c>
      <c r="I55" s="45">
        <f t="shared" si="92"/>
        <v>-2.7663882108490252E-2</v>
      </c>
      <c r="J55" s="45">
        <f t="shared" si="92"/>
        <v>8.0915329856280443E-2</v>
      </c>
      <c r="K55" s="45">
        <f t="shared" si="92"/>
        <v>3.3598958896726039E-2</v>
      </c>
      <c r="L55" s="45">
        <f t="shared" si="92"/>
        <v>5.7788711548782602E-2</v>
      </c>
      <c r="M55" s="45">
        <f t="shared" si="92"/>
        <v>0.12826040843966718</v>
      </c>
      <c r="N55" s="45">
        <f t="shared" si="92"/>
        <v>1.2857504727456885E-2</v>
      </c>
      <c r="O55" s="45">
        <f t="shared" si="92"/>
        <v>-1.1860587003838883E-2</v>
      </c>
      <c r="P55" s="45">
        <f t="shared" si="92"/>
        <v>0.11578051289088548</v>
      </c>
      <c r="Q55" s="45">
        <f t="shared" ref="Q55" si="93">(Q54-P54)/P54</f>
        <v>-0.1035305731135884</v>
      </c>
      <c r="R55" s="45">
        <f t="shared" ref="R55" si="94">(R54-Q54)/Q54</f>
        <v>3.7114146740032716E-2</v>
      </c>
      <c r="S55" s="45">
        <f t="shared" ref="S55" si="95">(S54-R54)/R54</f>
        <v>3.7201628596993074E-2</v>
      </c>
      <c r="T55" s="45">
        <f t="shared" ref="T55" si="96">(T54-S54)/S54</f>
        <v>3.7290228237130608E-2</v>
      </c>
      <c r="U55" s="45">
        <f t="shared" ref="U55" si="97">(U54-T54)/T54</f>
        <v>3.7379937015734506E-2</v>
      </c>
      <c r="V55" s="45">
        <f t="shared" ref="V55" si="98">(V54-U54)/U54</f>
        <v>3.7470745502116445E-2</v>
      </c>
      <c r="W55" s="45">
        <f t="shared" ref="W55" si="99">(W54-V54)/V54</f>
        <v>3.7562643471928385E-2</v>
      </c>
      <c r="X55" s="45">
        <f t="shared" ref="X55" si="100">(X54-W54)/W54</f>
        <v>3.7655619900472441E-2</v>
      </c>
      <c r="Y55" s="45">
        <f t="shared" ref="Y55" si="101">(Y54-X54)/X54</f>
        <v>3.7749662956993009E-2</v>
      </c>
      <c r="Z55" s="45">
        <f t="shared" ref="Z55" si="102">(Z54-Y54)/Y54</f>
        <v>4.7662939103786044E-2</v>
      </c>
      <c r="AA55" s="45">
        <f t="shared" ref="AA55" si="103">(AA54-Z54)/Z54</f>
        <v>3.5225131356894646E-3</v>
      </c>
      <c r="AB55" s="45">
        <f t="shared" ref="AB55" si="104">(AB54-AA54)/AA54</f>
        <v>5.7643132544628183E-2</v>
      </c>
      <c r="AC55" s="45">
        <f t="shared" ref="AC55" si="105">(AC54-AB54)/AB54</f>
        <v>5.7627773994930451E-2</v>
      </c>
      <c r="AD55" s="45">
        <f t="shared" ref="AD55" si="106">(AD54-AC54)/AC54</f>
        <v>5.7612509940508136E-2</v>
      </c>
      <c r="AE55" s="45">
        <f t="shared" ref="AE55" si="107">(AE54-AD54)/AD54</f>
        <v>5.7597344779343827E-2</v>
      </c>
      <c r="AF55" s="45">
        <f t="shared" ref="AF55" si="108">(AF54-AE54)/AE54</f>
        <v>5.7582282684360386E-2</v>
      </c>
      <c r="AG55" s="45">
        <f t="shared" ref="AG55" si="109">(AG54-AF54)/AF54</f>
        <v>5.7567327611298014E-2</v>
      </c>
      <c r="AH55" s="45">
        <f t="shared" ref="AH55" si="110">(AH54-AG54)/AG54</f>
        <v>5.7552483306359078E-2</v>
      </c>
      <c r="AI55" s="45">
        <f t="shared" ref="AI55:AJ55" si="111">(AI54-AH54)/AH54</f>
        <v>5.7537753313592226E-2</v>
      </c>
      <c r="AJ55" s="45">
        <f t="shared" si="111"/>
        <v>5.7473169430319528E-2</v>
      </c>
    </row>
    <row r="56" spans="1:41" ht="14.5" x14ac:dyDescent="0.35">
      <c r="A56" s="46" t="s">
        <v>53</v>
      </c>
      <c r="E56" s="182">
        <v>-1775.46</v>
      </c>
      <c r="F56" s="182">
        <f t="shared" ref="F56:AI56" si="112">SUM(F3:F25)-SUM(F29:F51)</f>
        <v>-2471.9889725714274</v>
      </c>
      <c r="G56" s="182">
        <f t="shared" si="112"/>
        <v>-2339.9113914083082</v>
      </c>
      <c r="H56" s="182">
        <f t="shared" si="112"/>
        <v>-2496.9928148024064</v>
      </c>
      <c r="I56" s="182">
        <f t="shared" si="112"/>
        <v>-2176.6949421275658</v>
      </c>
      <c r="J56" s="182">
        <f t="shared" si="112"/>
        <v>-2333.2804240030491</v>
      </c>
      <c r="K56" s="182">
        <f t="shared" si="112"/>
        <v>-2193.5982803863626</v>
      </c>
      <c r="L56" s="182">
        <f t="shared" si="112"/>
        <v>-2300.0929786980887</v>
      </c>
      <c r="M56" s="182">
        <f t="shared" si="112"/>
        <v>-2803.586250104574</v>
      </c>
      <c r="N56" s="182">
        <f t="shared" si="112"/>
        <v>-2698.4969374760967</v>
      </c>
      <c r="O56" s="182">
        <f t="shared" si="112"/>
        <v>-2442.7207740656922</v>
      </c>
      <c r="P56" s="182">
        <f t="shared" si="112"/>
        <v>-3020.453892873822</v>
      </c>
      <c r="Q56" s="182">
        <f t="shared" si="112"/>
        <v>-2143.8460090014269</v>
      </c>
      <c r="R56" s="182">
        <f t="shared" si="112"/>
        <v>-2158.6643102061898</v>
      </c>
      <c r="S56" s="182">
        <f t="shared" si="112"/>
        <v>-2172.969880590812</v>
      </c>
      <c r="T56" s="182">
        <f t="shared" si="112"/>
        <v>-2180.194450065901</v>
      </c>
      <c r="U56" s="182">
        <f t="shared" si="112"/>
        <v>-2179.369690552121</v>
      </c>
      <c r="V56" s="182">
        <f t="shared" si="112"/>
        <v>-2168.7562831421019</v>
      </c>
      <c r="W56" s="182">
        <f t="shared" si="112"/>
        <v>-2155.0138666907987</v>
      </c>
      <c r="X56" s="182">
        <f t="shared" si="112"/>
        <v>-2141.8516359387286</v>
      </c>
      <c r="Y56" s="182">
        <f t="shared" si="112"/>
        <v>-2127.6352443979449</v>
      </c>
      <c r="Z56" s="182">
        <f t="shared" si="112"/>
        <v>-2141.6143436683051</v>
      </c>
      <c r="AA56" s="182">
        <f t="shared" si="112"/>
        <v>-1813.1161094901836</v>
      </c>
      <c r="AB56" s="182">
        <f t="shared" si="112"/>
        <v>-1914.6300380036955</v>
      </c>
      <c r="AC56" s="182">
        <f t="shared" si="112"/>
        <v>-2019.1049831048804</v>
      </c>
      <c r="AD56" s="182">
        <f t="shared" si="112"/>
        <v>-2126.3933485507769</v>
      </c>
      <c r="AE56" s="182">
        <f t="shared" si="112"/>
        <v>-2255.1529719090577</v>
      </c>
      <c r="AF56" s="182">
        <f t="shared" si="112"/>
        <v>-2389.7629201966556</v>
      </c>
      <c r="AG56" s="182">
        <f t="shared" si="112"/>
        <v>-2530.4193869157971</v>
      </c>
      <c r="AH56" s="182">
        <f t="shared" si="112"/>
        <v>-2677.3156584753378</v>
      </c>
      <c r="AI56" s="182">
        <f t="shared" si="112"/>
        <v>-2830.640878359809</v>
      </c>
      <c r="AJ56" s="182">
        <f t="shared" ref="AJ56" si="113">SUM(AJ3:AJ25)-SUM(AJ29:AJ51)</f>
        <v>-3153.904575061686</v>
      </c>
    </row>
    <row r="57" spans="1:41" ht="14.5" x14ac:dyDescent="0.35">
      <c r="B57" s="48"/>
    </row>
    <row r="58" spans="1:41" s="104" customFormat="1" ht="14.5" x14ac:dyDescent="0.35">
      <c r="A58" s="104" t="s">
        <v>54</v>
      </c>
      <c r="B58" s="105">
        <f>'Gov Debt'!E2/1000</f>
        <v>31419.688999999998</v>
      </c>
      <c r="C58" s="105">
        <f>'Gov Debt'!F2/1000</f>
        <v>34001.493999999999</v>
      </c>
      <c r="D58" s="105">
        <f>'Gov Debt'!G2/1000</f>
        <v>36218.605000000003</v>
      </c>
      <c r="E58" s="105">
        <f>'Gov Debt'!H2/1000</f>
        <v>37637.553</v>
      </c>
      <c r="F58" s="105">
        <f t="shared" ref="F58:AH58" si="114">F60-F54-F61</f>
        <v>32305.277999999998</v>
      </c>
      <c r="G58" s="105">
        <f t="shared" si="114"/>
        <v>34215.353499999997</v>
      </c>
      <c r="H58" s="105">
        <f t="shared" si="114"/>
        <v>36305.326999999997</v>
      </c>
      <c r="I58" s="105">
        <f t="shared" si="114"/>
        <v>38310.94</v>
      </c>
      <c r="J58" s="105">
        <f t="shared" si="114"/>
        <v>40487.214500000002</v>
      </c>
      <c r="K58" s="105">
        <f t="shared" si="114"/>
        <v>42732.127999999997</v>
      </c>
      <c r="L58" s="105">
        <f t="shared" si="114"/>
        <v>45115.9715</v>
      </c>
      <c r="M58" s="105">
        <f t="shared" si="114"/>
        <v>47833.677499999998</v>
      </c>
      <c r="N58" s="105">
        <f t="shared" si="114"/>
        <v>50583.873</v>
      </c>
      <c r="O58" s="105">
        <f t="shared" si="114"/>
        <v>53297.186000000002</v>
      </c>
      <c r="P58" s="105">
        <f t="shared" si="114"/>
        <v>56354.422999999995</v>
      </c>
      <c r="Q58" s="105">
        <f t="shared" si="114"/>
        <v>58851.178342918225</v>
      </c>
      <c r="R58" s="105">
        <f t="shared" si="114"/>
        <v>61966.318328709465</v>
      </c>
      <c r="S58" s="105">
        <f t="shared" si="114"/>
        <v>65247.18047088584</v>
      </c>
      <c r="T58" s="105">
        <f t="shared" si="114"/>
        <v>69663.883595806561</v>
      </c>
      <c r="U58" s="105">
        <f t="shared" si="114"/>
        <v>73587.315682912129</v>
      </c>
      <c r="V58" s="105">
        <f t="shared" si="114"/>
        <v>77733.022188009898</v>
      </c>
      <c r="W58" s="105">
        <f t="shared" si="114"/>
        <v>82113.646431306464</v>
      </c>
      <c r="X58" s="105">
        <f t="shared" si="114"/>
        <v>86742.552526481712</v>
      </c>
      <c r="Y58" s="105">
        <f t="shared" si="114"/>
        <v>91633.86652362204</v>
      </c>
      <c r="Z58" s="105">
        <f t="shared" si="114"/>
        <v>96839.117956336893</v>
      </c>
      <c r="AA58" s="105">
        <f t="shared" si="114"/>
        <v>102158.49607801079</v>
      </c>
      <c r="AB58" s="105">
        <f t="shared" si="114"/>
        <v>108008.39706737772</v>
      </c>
      <c r="AC58" s="105">
        <f t="shared" si="114"/>
        <v>114192.95140703354</v>
      </c>
      <c r="AD58" s="105">
        <f t="shared" si="114"/>
        <v>120731.300004688</v>
      </c>
      <c r="AE58" s="105">
        <f t="shared" si="114"/>
        <v>127643.67840185184</v>
      </c>
      <c r="AF58" s="105">
        <f t="shared" si="114"/>
        <v>134951.47936806895</v>
      </c>
      <c r="AG58" s="105">
        <f t="shared" si="114"/>
        <v>142677.31907427471</v>
      </c>
      <c r="AH58" s="105">
        <f t="shared" si="114"/>
        <v>150845.10704993026</v>
      </c>
      <c r="AI58" s="105">
        <f>AI60-AI54-AI61</f>
        <v>159480.12014028442</v>
      </c>
      <c r="AJ58" s="105">
        <f>AJ60-AJ54-AJ61</f>
        <v>168688.75258909844</v>
      </c>
      <c r="AK58" s="193"/>
      <c r="AL58" s="149"/>
      <c r="AM58" s="140"/>
    </row>
    <row r="59" spans="1:41" ht="14.5" x14ac:dyDescent="0.35">
      <c r="A59" s="44" t="s">
        <v>51</v>
      </c>
      <c r="B59" s="48"/>
      <c r="C59" s="45">
        <f>(C58-B58)/B58</f>
        <v>8.2171564460743085E-2</v>
      </c>
      <c r="D59" s="45">
        <f>(D58-C58)/C58</f>
        <v>6.5206281818087297E-2</v>
      </c>
      <c r="E59" s="45">
        <f>(E58-D58)/D58</f>
        <v>3.9177323367368691E-2</v>
      </c>
      <c r="F59" s="45">
        <f>(F58-E58)/E58</f>
        <v>-0.14167432723376042</v>
      </c>
      <c r="G59" s="45">
        <f t="shared" ref="G59:AJ59" si="115">(G58-F58)/F58</f>
        <v>5.9125802910595569E-2</v>
      </c>
      <c r="H59" s="45">
        <f t="shared" si="115"/>
        <v>6.1082914136777813E-2</v>
      </c>
      <c r="I59" s="45">
        <f t="shared" si="115"/>
        <v>5.5242939968561777E-2</v>
      </c>
      <c r="J59" s="45">
        <f t="shared" si="115"/>
        <v>5.6805562588649598E-2</v>
      </c>
      <c r="K59" s="45">
        <f t="shared" si="115"/>
        <v>5.5447467249197767E-2</v>
      </c>
      <c r="L59" s="45">
        <f t="shared" si="115"/>
        <v>5.5785742755427553E-2</v>
      </c>
      <c r="M59" s="45">
        <f t="shared" si="115"/>
        <v>6.0238224062181579E-2</v>
      </c>
      <c r="N59" s="45">
        <f t="shared" si="115"/>
        <v>5.7494962623352588E-2</v>
      </c>
      <c r="O59" s="45">
        <f t="shared" si="115"/>
        <v>5.363988241865153E-2</v>
      </c>
      <c r="P59" s="45">
        <f t="shared" si="115"/>
        <v>5.7362071611060168E-2</v>
      </c>
      <c r="Q59" s="45">
        <f t="shared" si="115"/>
        <v>4.4304514357608279E-2</v>
      </c>
      <c r="R59" s="45">
        <f t="shared" si="115"/>
        <v>5.2932499798724865E-2</v>
      </c>
      <c r="S59" s="45">
        <f t="shared" si="115"/>
        <v>5.2945894328795817E-2</v>
      </c>
      <c r="T59" s="45">
        <f t="shared" si="115"/>
        <v>6.7691861825224964E-2</v>
      </c>
      <c r="U59" s="45">
        <f t="shared" si="115"/>
        <v>5.6319456863322792E-2</v>
      </c>
      <c r="V59" s="45">
        <f t="shared" si="115"/>
        <v>5.6337243268413613E-2</v>
      </c>
      <c r="W59" s="45">
        <f t="shared" si="115"/>
        <v>5.6354739851762328E-2</v>
      </c>
      <c r="X59" s="45">
        <f t="shared" si="115"/>
        <v>5.6371946641629603E-2</v>
      </c>
      <c r="Y59" s="45">
        <f t="shared" si="115"/>
        <v>5.6388863996676315E-2</v>
      </c>
      <c r="Z59" s="45">
        <f t="shared" si="115"/>
        <v>5.680488699418796E-2</v>
      </c>
      <c r="AA59" s="45">
        <f t="shared" si="115"/>
        <v>5.4930055476881949E-2</v>
      </c>
      <c r="AB59" s="45">
        <f t="shared" si="115"/>
        <v>5.7262990489795357E-2</v>
      </c>
      <c r="AC59" s="45">
        <f t="shared" si="115"/>
        <v>5.7259940037789621E-2</v>
      </c>
      <c r="AD59" s="45">
        <f t="shared" si="115"/>
        <v>5.7257024335494511E-2</v>
      </c>
      <c r="AE59" s="45">
        <f t="shared" si="115"/>
        <v>5.7254236448173963E-2</v>
      </c>
      <c r="AF59" s="45">
        <f t="shared" si="115"/>
        <v>5.7251569820876369E-2</v>
      </c>
      <c r="AG59" s="45">
        <f t="shared" si="115"/>
        <v>5.7249018257400329E-2</v>
      </c>
      <c r="AH59" s="45">
        <f t="shared" si="115"/>
        <v>5.7246575900431487E-2</v>
      </c>
      <c r="AI59" s="45">
        <f t="shared" si="115"/>
        <v>5.7244237212785022E-2</v>
      </c>
      <c r="AJ59" s="45">
        <f t="shared" si="115"/>
        <v>5.7741569549319256E-2</v>
      </c>
    </row>
    <row r="60" spans="1:41" ht="14.5" x14ac:dyDescent="0.35">
      <c r="A60" s="48" t="s">
        <v>55</v>
      </c>
      <c r="B60" s="48"/>
      <c r="C60" s="45"/>
      <c r="D60" s="45"/>
      <c r="E60" s="41">
        <f>'Gov Debt'!B25</f>
        <v>28196</v>
      </c>
      <c r="F60" s="41">
        <f>'Gov Debt'!C25</f>
        <v>30172</v>
      </c>
      <c r="G60" s="41">
        <f>'Gov Debt'!D25</f>
        <v>32095</v>
      </c>
      <c r="H60" s="41">
        <f>'Gov Debt'!E25</f>
        <v>34005</v>
      </c>
      <c r="I60" s="41">
        <f>'Gov Debt'!F25</f>
        <v>36093</v>
      </c>
      <c r="J60" s="41">
        <f>'Gov Debt'!G25</f>
        <v>38103</v>
      </c>
      <c r="K60" s="41">
        <f>'Gov Debt'!H25</f>
        <v>40280</v>
      </c>
      <c r="L60" s="41">
        <f>'Gov Debt'!I25</f>
        <v>42528</v>
      </c>
      <c r="M60" s="41">
        <f>'Gov Debt'!J25</f>
        <v>44922</v>
      </c>
      <c r="N60" s="41">
        <f>'Gov Debt'!K25</f>
        <v>47644</v>
      </c>
      <c r="O60" s="41">
        <f>'Gov Debt'!L25</f>
        <v>50394</v>
      </c>
      <c r="P60" s="41">
        <f>'Gov Debt'!M25</f>
        <v>53103</v>
      </c>
      <c r="Q60" s="41">
        <f>P60*1.0537</f>
        <v>55954.631100000006</v>
      </c>
      <c r="R60" s="41">
        <f>Q60*1.0537</f>
        <v>58959.394790070008</v>
      </c>
      <c r="S60" s="41">
        <f>R60*1.0537</f>
        <v>62125.514290296771</v>
      </c>
      <c r="T60" s="41">
        <f>(T64*1.29)-T61+T54</f>
        <v>66422.922722140196</v>
      </c>
      <c r="U60" s="41">
        <f t="shared" ref="U60:AJ60" si="116">T60*1.0572</f>
        <v>70222.313901846603</v>
      </c>
      <c r="V60" s="41">
        <f t="shared" si="116"/>
        <v>74239.030257032224</v>
      </c>
      <c r="W60" s="41">
        <f t="shared" si="116"/>
        <v>78485.502787734455</v>
      </c>
      <c r="X60" s="41">
        <f t="shared" si="116"/>
        <v>82974.873547192852</v>
      </c>
      <c r="Y60" s="41">
        <f t="shared" si="116"/>
        <v>87721.036314092271</v>
      </c>
      <c r="Z60" s="41">
        <f t="shared" si="116"/>
        <v>92738.679591258348</v>
      </c>
      <c r="AA60" s="41">
        <f t="shared" si="116"/>
        <v>98043.332063878319</v>
      </c>
      <c r="AB60" s="41">
        <f t="shared" si="116"/>
        <v>103651.41065793215</v>
      </c>
      <c r="AC60" s="41">
        <f t="shared" si="116"/>
        <v>109580.27134756587</v>
      </c>
      <c r="AD60" s="41">
        <f t="shared" si="116"/>
        <v>115848.26286864662</v>
      </c>
      <c r="AE60" s="41">
        <f t="shared" si="116"/>
        <v>122474.78350473319</v>
      </c>
      <c r="AF60" s="41">
        <f t="shared" si="116"/>
        <v>129480.34112120392</v>
      </c>
      <c r="AG60" s="41">
        <f t="shared" si="116"/>
        <v>136886.61663333679</v>
      </c>
      <c r="AH60" s="41">
        <f t="shared" si="116"/>
        <v>144716.53110476365</v>
      </c>
      <c r="AI60" s="41">
        <f t="shared" si="116"/>
        <v>152994.31668395613</v>
      </c>
      <c r="AJ60" s="41">
        <f t="shared" si="116"/>
        <v>161745.59159827841</v>
      </c>
    </row>
    <row r="61" spans="1:41" ht="14.5" x14ac:dyDescent="0.35">
      <c r="A61" s="48" t="s">
        <v>56</v>
      </c>
      <c r="C61" s="45"/>
      <c r="D61" s="45"/>
      <c r="E61" s="41">
        <f>-'Gov Debt'!B60</f>
        <v>-201</v>
      </c>
      <c r="F61" s="41">
        <f>-'Gov Debt'!C60</f>
        <v>-70</v>
      </c>
      <c r="G61" s="41">
        <f>-'Gov Debt'!D60</f>
        <v>-22</v>
      </c>
      <c r="H61" s="41">
        <f>-'Gov Debt'!E60</f>
        <v>-9</v>
      </c>
      <c r="I61" s="41">
        <f>-'Gov Debt'!F60</f>
        <v>10</v>
      </c>
      <c r="J61" s="41">
        <f>-'Gov Debt'!G60</f>
        <v>24</v>
      </c>
      <c r="K61" s="41">
        <f>-'Gov Debt'!H60</f>
        <v>37</v>
      </c>
      <c r="L61" s="41">
        <f>-'Gov Debt'!I60</f>
        <v>45</v>
      </c>
      <c r="M61" s="41">
        <f>-'Gov Debt'!J60</f>
        <v>59</v>
      </c>
      <c r="N61" s="41">
        <f>-'Gov Debt'!K60</f>
        <v>69</v>
      </c>
      <c r="O61" s="41">
        <f>-'Gov Debt'!L60</f>
        <v>70</v>
      </c>
      <c r="P61" s="41">
        <f>-'Gov Debt'!M60</f>
        <v>66</v>
      </c>
      <c r="Q61" s="41">
        <f>'Gov Debt'!N60</f>
        <v>77.421052631578945</v>
      </c>
      <c r="R61" s="41">
        <f>'Gov Debt'!O60</f>
        <v>77.421052631578945</v>
      </c>
      <c r="S61" s="41">
        <f>'Gov Debt'!P60</f>
        <v>77.421052631578945</v>
      </c>
      <c r="T61" s="41">
        <f>'Gov Debt'!Q60</f>
        <v>77.421052631578945</v>
      </c>
      <c r="U61" s="41">
        <f>'Gov Debt'!R60</f>
        <v>77.421052631578945</v>
      </c>
      <c r="V61" s="41">
        <f>'Gov Debt'!S60</f>
        <v>77.421052631578945</v>
      </c>
      <c r="W61" s="41">
        <f>'Gov Debt'!T60</f>
        <v>77.421052631578945</v>
      </c>
      <c r="X61" s="41">
        <f>'Gov Debt'!U60</f>
        <v>77.421052631578945</v>
      </c>
      <c r="Y61" s="41">
        <f>'Gov Debt'!V60</f>
        <v>77.421052631578945</v>
      </c>
      <c r="Z61" s="41">
        <f>'Gov Debt'!W60</f>
        <v>80</v>
      </c>
      <c r="AA61" s="41">
        <f>'Gov Debt'!X60</f>
        <v>80</v>
      </c>
      <c r="AB61" s="41">
        <f>'Gov Debt'!Y60</f>
        <v>80</v>
      </c>
      <c r="AC61" s="41">
        <f>'Gov Debt'!Z60</f>
        <v>80</v>
      </c>
      <c r="AD61" s="41">
        <f>'Gov Debt'!AA60</f>
        <v>80</v>
      </c>
      <c r="AE61" s="41">
        <f>'Gov Debt'!AB60</f>
        <v>80</v>
      </c>
      <c r="AF61" s="41">
        <f>'Gov Debt'!AC60</f>
        <v>80</v>
      </c>
      <c r="AG61" s="41">
        <f>'Gov Debt'!AD60</f>
        <v>80</v>
      </c>
      <c r="AH61" s="41">
        <f>'Gov Debt'!AE60</f>
        <v>80</v>
      </c>
      <c r="AI61" s="41">
        <f>'Gov Debt'!AF60</f>
        <v>80</v>
      </c>
      <c r="AJ61" s="41">
        <f>'Gov Debt'!AG60</f>
        <v>0</v>
      </c>
    </row>
    <row r="62" spans="1:41" ht="14.5" x14ac:dyDescent="0.35">
      <c r="A62" s="46" t="s">
        <v>57</v>
      </c>
      <c r="B62" s="48"/>
      <c r="E62">
        <v>37637.553</v>
      </c>
      <c r="F62" s="182">
        <f>F60-F56-F61</f>
        <v>32713.988972571427</v>
      </c>
      <c r="G62" s="182">
        <f t="shared" ref="G62:AJ62" si="117">G60-G56-G61</f>
        <v>34456.911391408306</v>
      </c>
      <c r="H62" s="182">
        <f t="shared" si="117"/>
        <v>36510.992814802405</v>
      </c>
      <c r="I62" s="182">
        <f t="shared" si="117"/>
        <v>38259.694942127564</v>
      </c>
      <c r="J62" s="182">
        <f t="shared" si="117"/>
        <v>40412.280424003053</v>
      </c>
      <c r="K62" s="182">
        <f t="shared" si="117"/>
        <v>42436.598280386359</v>
      </c>
      <c r="L62" s="182">
        <f t="shared" si="117"/>
        <v>44783.092978698085</v>
      </c>
      <c r="M62" s="182">
        <f t="shared" si="117"/>
        <v>47666.586250104578</v>
      </c>
      <c r="N62" s="182">
        <f t="shared" si="117"/>
        <v>50273.496937476099</v>
      </c>
      <c r="O62" s="182">
        <f t="shared" si="117"/>
        <v>52766.720774065689</v>
      </c>
      <c r="P62" s="182">
        <f t="shared" si="117"/>
        <v>56057.453892873818</v>
      </c>
      <c r="Q62" s="182">
        <f t="shared" si="117"/>
        <v>58021.056056369853</v>
      </c>
      <c r="R62" s="182">
        <f t="shared" si="117"/>
        <v>61040.638047644614</v>
      </c>
      <c r="S62" s="182">
        <f t="shared" si="117"/>
        <v>64221.063118256003</v>
      </c>
      <c r="T62" s="182">
        <f t="shared" si="117"/>
        <v>68525.696119574524</v>
      </c>
      <c r="U62" s="182">
        <f t="shared" si="117"/>
        <v>72324.262539767151</v>
      </c>
      <c r="V62" s="182">
        <f t="shared" si="117"/>
        <v>76330.36548754276</v>
      </c>
      <c r="W62" s="182">
        <f t="shared" si="117"/>
        <v>80563.095601793684</v>
      </c>
      <c r="X62" s="182">
        <f t="shared" si="117"/>
        <v>85039.304130500008</v>
      </c>
      <c r="Y62" s="182">
        <f t="shared" si="117"/>
        <v>89771.250505858639</v>
      </c>
      <c r="Z62" s="182">
        <f t="shared" si="117"/>
        <v>94800.293934926653</v>
      </c>
      <c r="AA62" s="182">
        <f t="shared" si="117"/>
        <v>99776.448173368495</v>
      </c>
      <c r="AB62" s="182">
        <f t="shared" si="117"/>
        <v>105486.04069593585</v>
      </c>
      <c r="AC62" s="182">
        <f t="shared" si="117"/>
        <v>111519.37633067076</v>
      </c>
      <c r="AD62" s="182">
        <f t="shared" si="117"/>
        <v>117894.65621719739</v>
      </c>
      <c r="AE62" s="182">
        <f t="shared" si="117"/>
        <v>124649.93647664225</v>
      </c>
      <c r="AF62" s="182">
        <f t="shared" si="117"/>
        <v>131790.10404140057</v>
      </c>
      <c r="AG62" s="182">
        <f t="shared" si="117"/>
        <v>139337.03602025259</v>
      </c>
      <c r="AH62" s="182">
        <f t="shared" si="117"/>
        <v>147313.84676323898</v>
      </c>
      <c r="AI62" s="182">
        <f t="shared" si="117"/>
        <v>155744.95756231595</v>
      </c>
      <c r="AJ62" s="182">
        <f t="shared" si="117"/>
        <v>164899.4961733401</v>
      </c>
    </row>
    <row r="64" spans="1:41" s="106" customFormat="1" ht="14.5" x14ac:dyDescent="0.35">
      <c r="A64" s="104" t="s">
        <v>58</v>
      </c>
      <c r="B64" s="105">
        <f>GDP!B28</f>
        <v>25565.375</v>
      </c>
      <c r="C64" s="105">
        <f>GDP!C28</f>
        <v>27397.95</v>
      </c>
      <c r="D64" s="105">
        <f>GDP!D28</f>
        <v>28947.9</v>
      </c>
      <c r="E64" s="105">
        <f>GDP!E28</f>
        <v>30330.3289</v>
      </c>
      <c r="F64" s="105">
        <f>GDP!F28</f>
        <v>31902.005700000002</v>
      </c>
      <c r="G64" s="105">
        <f>GDP!G28</f>
        <v>33315.186999999998</v>
      </c>
      <c r="H64" s="105">
        <f>GDP!H28</f>
        <v>34665.784699999997</v>
      </c>
      <c r="I64" s="105">
        <f>GDP!I28</f>
        <v>36010.049099999997</v>
      </c>
      <c r="J64" s="105">
        <f>GDP!J28</f>
        <v>37390.672899999998</v>
      </c>
      <c r="K64" s="105">
        <f>GDP!K28</f>
        <v>38812.820599999999</v>
      </c>
      <c r="L64" s="105">
        <f>GDP!L28</f>
        <v>40276.5265</v>
      </c>
      <c r="M64" s="105">
        <f>GDP!M28</f>
        <v>41795.9303</v>
      </c>
      <c r="N64" s="105">
        <f>GDP!N28</f>
        <v>43373.322800000002</v>
      </c>
      <c r="O64" s="105">
        <f>GDP!O28</f>
        <v>45011.4997</v>
      </c>
      <c r="P64" s="105">
        <f>GDP!P28</f>
        <v>46712.142399999997</v>
      </c>
      <c r="Q64" s="105">
        <f>P64*1.0375</f>
        <v>48463.847739999997</v>
      </c>
      <c r="R64" s="105">
        <f t="shared" ref="R64:Y64" si="118">Q64*1.0375</f>
        <v>50281.242030250003</v>
      </c>
      <c r="S64" s="105">
        <f t="shared" si="118"/>
        <v>52166.788606384383</v>
      </c>
      <c r="T64" s="105">
        <f t="shared" si="118"/>
        <v>54123.043179123801</v>
      </c>
      <c r="U64" s="105">
        <f t="shared" si="118"/>
        <v>56152.65729834095</v>
      </c>
      <c r="V64" s="105">
        <f t="shared" si="118"/>
        <v>58258.381947028742</v>
      </c>
      <c r="W64" s="105">
        <f t="shared" si="118"/>
        <v>60443.071270042325</v>
      </c>
      <c r="X64" s="105">
        <f t="shared" si="118"/>
        <v>62709.686442668921</v>
      </c>
      <c r="Y64" s="105">
        <f t="shared" si="118"/>
        <v>65061.299684269012</v>
      </c>
      <c r="Z64" s="105">
        <v>67500</v>
      </c>
      <c r="AA64" s="105">
        <f>Z64*1.0355</f>
        <v>69896.25</v>
      </c>
      <c r="AB64" s="105">
        <f t="shared" ref="AB64:AH64" si="119">AA64*1.0355</f>
        <v>72377.566875000004</v>
      </c>
      <c r="AC64" s="105">
        <f t="shared" si="119"/>
        <v>74946.970499062518</v>
      </c>
      <c r="AD64" s="105">
        <f t="shared" si="119"/>
        <v>77607.587951779249</v>
      </c>
      <c r="AE64" s="105">
        <f t="shared" si="119"/>
        <v>80362.657324067419</v>
      </c>
      <c r="AF64" s="105">
        <f t="shared" si="119"/>
        <v>83215.531659071814</v>
      </c>
      <c r="AG64" s="105">
        <f t="shared" si="119"/>
        <v>86169.683032968867</v>
      </c>
      <c r="AH64" s="105">
        <f t="shared" si="119"/>
        <v>89228.706780639273</v>
      </c>
      <c r="AI64" s="105">
        <f>AH64*1.0355</f>
        <v>92396.325871351975</v>
      </c>
      <c r="AJ64" s="105">
        <v>95700</v>
      </c>
      <c r="AK64" s="194"/>
      <c r="AL64" s="149"/>
      <c r="AM64" s="140"/>
      <c r="AN64" s="104"/>
      <c r="AO64" s="104"/>
    </row>
    <row r="65" spans="1:42" ht="14.5" x14ac:dyDescent="0.35">
      <c r="A65" s="44" t="s">
        <v>51</v>
      </c>
      <c r="B65" s="45"/>
      <c r="C65" s="45">
        <f>(C64-B64)/B64</f>
        <v>7.1681913525618174E-2</v>
      </c>
      <c r="D65" s="45">
        <f t="shared" ref="D65:AJ65" si="120">(D64-C64)/C64</f>
        <v>5.6571750806173479E-2</v>
      </c>
      <c r="E65" s="45">
        <f t="shared" si="120"/>
        <v>4.7755757757902952E-2</v>
      </c>
      <c r="F65" s="45">
        <f t="shared" si="120"/>
        <v>5.1818653374378708E-2</v>
      </c>
      <c r="G65" s="45">
        <f t="shared" si="120"/>
        <v>4.4297569039679421E-2</v>
      </c>
      <c r="H65" s="45">
        <f t="shared" si="120"/>
        <v>4.0540000570910756E-2</v>
      </c>
      <c r="I65" s="45">
        <f t="shared" si="120"/>
        <v>3.8777844252866435E-2</v>
      </c>
      <c r="J65" s="45">
        <f t="shared" si="120"/>
        <v>3.8339958831103103E-2</v>
      </c>
      <c r="K65" s="45">
        <f t="shared" si="120"/>
        <v>3.8034824989736982E-2</v>
      </c>
      <c r="L65" s="45">
        <f t="shared" si="120"/>
        <v>3.7711917798625559E-2</v>
      </c>
      <c r="M65" s="45">
        <f t="shared" si="120"/>
        <v>3.7724300778519224E-2</v>
      </c>
      <c r="N65" s="45">
        <f t="shared" si="120"/>
        <v>3.7740337125598128E-2</v>
      </c>
      <c r="O65" s="45">
        <f t="shared" si="120"/>
        <v>3.77692275861327E-2</v>
      </c>
      <c r="P65" s="45">
        <f t="shared" si="120"/>
        <v>3.7782404748446907E-2</v>
      </c>
      <c r="Q65" s="45">
        <f t="shared" si="120"/>
        <v>3.7500000000000012E-2</v>
      </c>
      <c r="R65" s="45">
        <f t="shared" si="120"/>
        <v>3.7500000000000124E-2</v>
      </c>
      <c r="S65" s="45">
        <f t="shared" si="120"/>
        <v>3.7500000000000103E-2</v>
      </c>
      <c r="T65" s="45">
        <f t="shared" si="120"/>
        <v>3.7500000000000054E-2</v>
      </c>
      <c r="U65" s="45">
        <f t="shared" si="120"/>
        <v>3.7500000000000117E-2</v>
      </c>
      <c r="V65" s="45">
        <f t="shared" si="120"/>
        <v>3.7500000000000117E-2</v>
      </c>
      <c r="W65" s="45">
        <f t="shared" si="120"/>
        <v>3.7500000000000089E-2</v>
      </c>
      <c r="X65" s="45">
        <f t="shared" si="120"/>
        <v>3.7500000000000151E-2</v>
      </c>
      <c r="Y65" s="45">
        <f t="shared" si="120"/>
        <v>3.7500000000000103E-2</v>
      </c>
      <c r="Z65" s="45">
        <f t="shared" si="120"/>
        <v>3.7483117115175532E-2</v>
      </c>
      <c r="AA65" s="45">
        <f t="shared" si="120"/>
        <v>3.5499999999999997E-2</v>
      </c>
      <c r="AB65" s="45">
        <f t="shared" si="120"/>
        <v>3.5500000000000059E-2</v>
      </c>
      <c r="AC65" s="45">
        <f t="shared" si="120"/>
        <v>3.5500000000000184E-2</v>
      </c>
      <c r="AD65" s="45">
        <f t="shared" si="120"/>
        <v>3.5500000000000156E-2</v>
      </c>
      <c r="AE65" s="45">
        <f t="shared" si="120"/>
        <v>3.550000000000008E-2</v>
      </c>
      <c r="AF65" s="45">
        <f t="shared" si="120"/>
        <v>3.5500000000000025E-2</v>
      </c>
      <c r="AG65" s="45">
        <f t="shared" si="120"/>
        <v>3.5500000000000045E-2</v>
      </c>
      <c r="AH65" s="45">
        <f t="shared" si="120"/>
        <v>3.5500000000000129E-2</v>
      </c>
      <c r="AI65" s="45">
        <f t="shared" si="120"/>
        <v>3.5500000000000087E-2</v>
      </c>
      <c r="AJ65" s="45">
        <f t="shared" si="120"/>
        <v>3.5755470766747753E-2</v>
      </c>
    </row>
    <row r="66" spans="1:42" ht="14.5" x14ac:dyDescent="0.35">
      <c r="A66" t="s">
        <v>59</v>
      </c>
      <c r="F66" s="41">
        <f>(GDP!B17*(F5+F6))+(GDP!B19*(F8+F9))+(GDP!B18*(F11+F12+F13))+(GDP!B20*F19)+(GDP!B21*(F15+F16+F17+F18))+(GDP!B19+GDP!B17*(F50))</f>
        <v>588.7174399999999</v>
      </c>
      <c r="G66" s="41">
        <f>(GDP!C17*(G5+G6))+(GDP!C19*(G8+G9))+(GDP!C18*(G11+G12+G13))+(GDP!C20*G19)+(GDP!C21*(G15+G16+G17+G18))+(GDP!C19+GDP!C17*(G50))</f>
        <v>686.0073613462207</v>
      </c>
      <c r="H66" s="41">
        <f>(GDP!D17*(H5+H6))+(GDP!D19*(H8+H9))+(GDP!D18*(H11+H12+H13))+(GDP!D20*H19)+(GDP!D21*(H15+H16+H17+H18))+(GDP!D19+GDP!D17*(H50))</f>
        <v>711.15941530624968</v>
      </c>
      <c r="I66" s="41">
        <f>(GDP!E17*(I5+I6))+(GDP!E19*(I8+I9))+(GDP!E18*(I11+I12+I13))+(GDP!E20*I19)+(GDP!E21*(I15+I16+I17+I18))+(GDP!E19+GDP!E17*(I50))</f>
        <v>412.22204007906117</v>
      </c>
      <c r="J66" s="41">
        <f>(GDP!F17*(J5+J6))+(GDP!F19*(J8+J9))+(GDP!F18*(J11+J12+J13))+(GDP!F20*J19)+(GDP!F21*(J15+J16+J17+J18))+(GDP!F19+GDP!F17*(J50))</f>
        <v>426.50479451097954</v>
      </c>
      <c r="K66" s="41">
        <f>(GDP!G17*(K5+K6))+(GDP!G19*(K8+K9))+(GDP!G18*(K11+K12+K13))+(GDP!G20*K19)+(GDP!G21*(K15+K16+K17+K18))+(GDP!G19+GDP!G17*(K50))</f>
        <v>552.10212860198214</v>
      </c>
      <c r="L66" s="41">
        <f>(GDP!H17*(L5+L6))+(GDP!H19*(L8+L9))+(GDP!H18*(L11+L12+L13))+(GDP!H20*L19)+(GDP!H21*(L15+L16+L17+L18))+(GDP!H19+GDP!H17*(L50))</f>
        <v>169.75132487034688</v>
      </c>
      <c r="M66" s="41">
        <f>(GDP!I17*(M5+M6))+(GDP!I19*(M8+M9))+(GDP!I18*(M11+M12+M13))+(GDP!I20*M19)+(GDP!I21*(M15+M16+M17+M18))+(GDP!I19+GDP!I17*(M50))</f>
        <v>175.10871409871379</v>
      </c>
      <c r="N66" s="41">
        <f>(GDP!J17*(N5+N6))+(GDP!J19*(N8+N9))+(GDP!J18*(N11+N12+N13))+(GDP!J20*N19)+(GDP!J21*(N15+N16+N17+N18))+(GDP!J19+GDP!J17*(N50))</f>
        <v>180.44706713059824</v>
      </c>
      <c r="O66" s="41">
        <f>(GDP!K17*(O5+O6))+(GDP!K19*(O8+O9))+(GDP!K18*(O11+O12+O13))+(GDP!K20*O19)+(GDP!K21*(O15+O16+O17+O18))+(GDP!K19+GDP!K17*(O50))</f>
        <v>632.56867868622385</v>
      </c>
      <c r="P66" s="41">
        <f>(GDP!L17*(P5+P6))+(GDP!L19*(P8+P9))+(GDP!L18*(P11+P12+P13))+(GDP!L20*P19)+(GDP!L21*(P15+P16+P17+P18))+(GDP!L19+GDP!L17*(P50))</f>
        <v>582.36390873957021</v>
      </c>
      <c r="Q66" s="41">
        <f>(GDP!M17*(Q5+Q6))+(GDP!M19*(Q8+Q9))+(GDP!M18*(Q11+Q12+Q13))+(GDP!M20*Q19)+(GDP!M21*(Q15+Q16+Q17+Q18))+(GDP!M19+GDP!M17*(Q50))</f>
        <v>605.07281863490311</v>
      </c>
      <c r="R66" s="41">
        <f>(GDP!N17*(R5+R6))+(GDP!N19*(R8+R9))+(GDP!N18*(R11+R12+R13))+(GDP!N20*R19)+(GDP!N21*(R15+R16+R17+R18))+(GDP!N19+GDP!N17*(R50))</f>
        <v>628.74877353393515</v>
      </c>
      <c r="S66" s="41">
        <f>(GDP!O17*(S5+S6))+(GDP!O19*(S8+S9))+(GDP!O18*(S11+S12+S13))+(GDP!O20*S19)+(GDP!O21*(S15+S16+S17+S18))+(GDP!O19+GDP!O17*(S50))</f>
        <v>1159.613674408979</v>
      </c>
      <c r="T66" s="41">
        <f>(GDP!P17*(T5+T6))+(GDP!P19*(T8+T9))+(GDP!P18*(T11+T12+T13))+(GDP!P20*T19)+(GDP!P21*(T15+T16+T17+T18))+(GDP!P19+GDP!P17*(T50))</f>
        <v>1205.8959825694692</v>
      </c>
      <c r="U66" s="41">
        <f>(GDP!Q17*(U5+U6))+(GDP!Q19*(U8+U9))+(GDP!Q18*(U11+U12+U13))+(GDP!Q20*U19)+(GDP!Q21*(U15+U16+U17+U18))+(GDP!Q19+GDP!Q17*(U50))</f>
        <v>1253.8713373870426</v>
      </c>
      <c r="V66" s="41">
        <f>(GDP!R17*(V5+V6))+(GDP!R19*(V8+V9))+(GDP!R18*(V11+V12+V13))+(GDP!R20*V19)+(GDP!R21*(V15+V16+V17+V18))+(GDP!R19+GDP!R17*(V50))</f>
        <v>733.79248706353883</v>
      </c>
      <c r="W66" s="41">
        <f>(GDP!S17*(W5+W6))+(GDP!S19*(W8+W9))+(GDP!S18*(W11+W12+W13))+(GDP!S20*W19)+(GDP!S21*(W15+W16+W17+W18))+(GDP!S19+GDP!S17*(W50))</f>
        <v>762.82889158645435</v>
      </c>
      <c r="X66" s="41">
        <f>(GDP!T17*(X5+X6))+(GDP!T19*(X8+X9))+(GDP!T18*(X11+X12+X13))+(GDP!T20*X19)+(GDP!T21*(X15+X16+X17+X18))+(GDP!T19+GDP!T17*(X50))</f>
        <v>793.13332542493515</v>
      </c>
      <c r="Y66" s="41">
        <f>(GDP!U17*(Y5+Y6))+(GDP!U19*(Y8+Y9))+(GDP!U18*(Y11+Y12+Y13))+(GDP!U20*Y19)+(GDP!U21*(Y15+Y16+Y17+Y18))+(GDP!U19+GDP!U17*(Y50))</f>
        <v>229.67273013421473</v>
      </c>
      <c r="Z66" s="41">
        <f>(GDP!V17*(Z5+Z6))+(GDP!V19*(Z8+Z9))+(GDP!V18*(Z11+Z12+Z13))+(GDP!V20*Z19)+(GDP!V21*(Z15+Z16+Z17+Z18))+(GDP!V19+GDP!V17*(Z50))</f>
        <v>238.68381504642738</v>
      </c>
      <c r="AA66" s="41">
        <f>(GDP!W17*(AA5+AA6))+(GDP!W19*(AA8+AA9))+(GDP!W18*(AA11+AA12+AA13))+(GDP!W20*AA19)+(GDP!W21*(AA15+AA16+AA17+AA18))+(GDP!W19+GDP!W17*(AA50))</f>
        <v>248.19861444592962</v>
      </c>
      <c r="AB66" s="41">
        <f>(GDP!X17*(AB5+AB6))+(GDP!X19*(AB8+AB9))+(GDP!X18*(AB11+AB12+AB13))+(GDP!X20*AB19)+(GDP!X21*(AB15+AB16+AB17+AB18))+(GDP!X19+GDP!X17*(AB50))</f>
        <v>928.5175684793287</v>
      </c>
      <c r="AC66" s="41">
        <f>(GDP!Y17*(AC5+AC6))+(GDP!Y19*(AC8+AC9))+(GDP!Y18*(AC11+AC12+AC13))+(GDP!Y20*AC19)+(GDP!Y21*(AC15+AC16+AC17+AC18))+(GDP!Y19+GDP!Y17*(AC50))</f>
        <v>966.39714166068688</v>
      </c>
      <c r="AD66" s="41">
        <f>(GDP!Z17*(AD5+AD6))+(GDP!Z19*(AD8+AD9))+(GDP!Z18*(AD11+AD12+AD13))+(GDP!Z20*AD19)+(GDP!Z21*(AD15+AD16+AD17+AD18))+(GDP!Z19+GDP!Z17*(AD50))</f>
        <v>1006.1495229318343</v>
      </c>
      <c r="AE66" s="41">
        <f>(GDP!AA17*(AE5+AE6))+(GDP!AA19*(AE8+AE9))+(GDP!AA18*(AE11+AE12+AE13))+(GDP!AA20*AE19)+(GDP!AA21*(AE15+AE16+AE17+AE18))+(GDP!AA19+GDP!AA17*(AE50))</f>
        <v>1046.1840801043872</v>
      </c>
      <c r="AF66" s="41">
        <f>(GDP!AB17*(AF5+AF6))+(GDP!AB19*(AF8+AF9))+(GDP!AB18*(AF11+AF12+AF13))+(GDP!AB20*AF19)+(GDP!AB21*(AF15+AF16+AF17+AF18))+(GDP!AB19+GDP!AB17*(AF50))</f>
        <v>1936.4850459818997</v>
      </c>
      <c r="AG66" s="41">
        <f>(GDP!AC17*(AG5+AG6))+(GDP!AC19*(AG8+AG9))+(GDP!AC18*(AG11+AG12+AG13))+(GDP!AC20*AG19)+(GDP!AC21*(AG15+AG16+AG17+AG18))+(GDP!AC19+GDP!AC17*(AG50))</f>
        <v>2014.2894141332788</v>
      </c>
      <c r="AH66" s="41">
        <f>(GDP!AD17*(AH5+AH6))+(GDP!AD19*(AH8+AH9))+(GDP!AD18*(AH11+AH12+AH13))+(GDP!AD20*AH19)+(GDP!AD21*(AH15+AH16+AH17+AH18))+(GDP!AD19+GDP!AD17*(AH50))</f>
        <v>2095.3418846484592</v>
      </c>
      <c r="AI66" s="41">
        <f>(GDP!AE17*(AI5+AI6))+(GDP!AE19*(AI8+AI9))+(GDP!AE18*(AI11+AI12+AI13))+(GDP!AE20*AI19)+(GDP!AE21*(AI15+AI16+AI17+AI18))+(GDP!AE19+GDP!AE17*(AI50))</f>
        <v>1223.8666078727404</v>
      </c>
      <c r="AJ66" s="41">
        <f>(GDP!AF17*(AJ5+AJ6))+(GDP!AF19*(AJ8+AJ9))+(GDP!AF18*(AJ11+AJ12+AJ13))+(GDP!AF20*AJ19)+(GDP!AF21*(AJ15+AJ16+AJ17+AJ18))+(GDP!AF19+GDP!AF17*(AJ50))</f>
        <v>1221.9452820590191</v>
      </c>
    </row>
    <row r="67" spans="1:42" ht="14.5" x14ac:dyDescent="0.35">
      <c r="A67" t="s">
        <v>60</v>
      </c>
      <c r="F67" s="41">
        <f>(SUM(F31,F32,F34,F36,F37,F44:F48, F50)*GDP!B16)</f>
        <v>-212.06165485714288</v>
      </c>
      <c r="G67" s="41">
        <f>(SUM(G31,G32,G34,G36,G37,G44:G48, G50)*GDP!C16)</f>
        <v>-303.13964827301589</v>
      </c>
      <c r="H67" s="41">
        <f>(SUM(H31,H32,H34,H36,H37,H44:H48, H50)*GDP!D16)</f>
        <v>-485.45516588476943</v>
      </c>
      <c r="I67" s="41">
        <f>(SUM(I31,I32,I34,I36,I37,I44:I48, I50)*GDP!E16)</f>
        <v>-309.32129197236213</v>
      </c>
      <c r="J67" s="41">
        <f>(SUM(J31,J32,J34,J36,J37,J44:J48, J50)*GDP!F16)</f>
        <v>-382.07281748217565</v>
      </c>
      <c r="K67" s="41">
        <f>(SUM(K31,K32,K34,K36,K37,K44:K48, K50)*GDP!G16)</f>
        <v>-404.96738598306951</v>
      </c>
      <c r="L67" s="41">
        <f>(SUM(L31,L32,L34,L36,L37,L44:L48, L50)*GDP!H16)</f>
        <v>-216.3952819858203</v>
      </c>
      <c r="M67" s="41">
        <f>(SUM(M31,M32,M34,M36,M37,M44:M48, M50)*GDP!I16)</f>
        <v>-230.53507305980366</v>
      </c>
      <c r="N67" s="41">
        <f>(SUM(N31,N32,N34,N36,N37,N44:N48, N50)*GDP!J16)</f>
        <v>-246.51168207354621</v>
      </c>
      <c r="O67" s="41">
        <f>(SUM(O31,O32,O34,O36,O37,O44:O48, O50)*GDP!K16)</f>
        <v>-528.3238705532616</v>
      </c>
      <c r="P67" s="41">
        <f>(SUM(P31,P32,P34,P36,P37,P44:P48, P50)*GDP!L16)</f>
        <v>-570.06954764059958</v>
      </c>
      <c r="Q67" s="41">
        <f>(SUM(Q31,Q32,Q34,Q36,Q37,Q44:Q48, Q50)*GDP!M16)</f>
        <v>-618.65171483130189</v>
      </c>
      <c r="R67" s="41">
        <f>(SUM(R31,R32,R34,R36,R37,R44:R48, R50)*GDP!N16)</f>
        <v>-676.75867462802523</v>
      </c>
      <c r="S67" s="41">
        <f>(SUM(S31,S32,S34,S36,S37,S44:S48, S50)*GDP!O16)</f>
        <v>-1474.110404312245</v>
      </c>
      <c r="T67" s="41">
        <f>(SUM(T31,T32,T34,T36,T37,T44:T48, T50)*GDP!P16)</f>
        <v>-1612.222623607207</v>
      </c>
      <c r="U67" s="41">
        <f>(SUM(U31,U32,U34,U36,U37,U44:U48, U50)*GDP!Q16)</f>
        <v>-1770.47444985283</v>
      </c>
      <c r="V67" s="41">
        <f>(SUM(V31,V32,V34,V36,V37,V44:V48, V50)*GDP!R16)</f>
        <v>-975.97106645335464</v>
      </c>
      <c r="W67" s="41">
        <f>(SUM(W31,W32,W34,W36,W37,W44:W48, W50)*GDP!S16)</f>
        <v>-1071.6743036840289</v>
      </c>
      <c r="X67" s="41">
        <f>(SUM(X31,X32,X34,X36,X37,X44:X48, X50)*GDP!T16)</f>
        <v>-1168.6548009533008</v>
      </c>
      <c r="Y67" s="41">
        <f>(SUM(Y31,Y32,Y34,Y36,Y37,Y44:Y48, Y50)*GDP!U16)</f>
        <v>-634.27943981736007</v>
      </c>
      <c r="Z67" s="41">
        <f>(SUM(Z31,Z32,Z34,Z36,Z37,Z44:Z48, Z50)*GDP!V16)</f>
        <v>-689.81699770693888</v>
      </c>
      <c r="AA67" s="41">
        <f>(SUM(AA31,AA32,AA34,AA36,AA37,AA44:AA48, AA50)*GDP!W16)</f>
        <v>-741.53818773725322</v>
      </c>
      <c r="AB67" s="41">
        <f>(SUM(AB31,AB32,AB34,AB36,AB37,AB44:AB48, AB50)*GDP!X16)</f>
        <v>-1596.7393402579096</v>
      </c>
      <c r="AC67" s="41">
        <f>(SUM(AC31,AC32,AC34,AC36,AC37,AC44:AC48, AC50)*GDP!Y16)</f>
        <v>-1720.3995371108795</v>
      </c>
      <c r="AD67" s="41">
        <f>(SUM(AD31,AD32,AD34,AD36,AD37,AD44:AD48, AD50)*GDP!Z16)</f>
        <v>-1854.9076582368596</v>
      </c>
      <c r="AE67" s="41">
        <f>(SUM(AE31,AE32,AE34,AE36,AE37,AE44:AE48, AE50)*GDP!AA16)</f>
        <v>-1984.5138088734775</v>
      </c>
      <c r="AF67" s="41">
        <f>(SUM(AF31,AF32,AF34,AF36,AF37,AF44:AF48, AF50)*GDP!AB16)</f>
        <v>-4248.1393368477775</v>
      </c>
      <c r="AG67" s="41">
        <f>(SUM(AG31,AG32,AG34,AG36,AG37,AG44:AG48, AG50)*GDP!AC16)</f>
        <v>-4548.6207973836063</v>
      </c>
      <c r="AH67" s="41">
        <f>(SUM(AH31,AH32,AH34,AH36,AH37,AH44:AH48, AH50)*GDP!AD16)</f>
        <v>-4872.0549621907448</v>
      </c>
      <c r="AI67" s="41">
        <f>(SUM(AI31,AI32,AI34,AI36,AI37,AI44:AI48, AI50)*GDP!AE16)</f>
        <v>-2610.0729462600593</v>
      </c>
      <c r="AJ67" s="41">
        <f>(SUM(AJ31,AJ32,AJ34,AJ36,AJ37,AJ44:AJ48, AJ50)*GDP!AF16)</f>
        <v>-2693.743550180955</v>
      </c>
      <c r="AK67" s="195"/>
    </row>
    <row r="68" spans="1:42" s="151" customFormat="1" ht="14.5" x14ac:dyDescent="0.35">
      <c r="A68" s="151" t="s">
        <v>61</v>
      </c>
      <c r="F68" s="152">
        <f t="shared" ref="F68:AI68" si="121">F64-F66+F67</f>
        <v>31101.22660514286</v>
      </c>
      <c r="G68" s="152">
        <f t="shared" si="121"/>
        <v>32326.039990380763</v>
      </c>
      <c r="H68" s="152">
        <f t="shared" si="121"/>
        <v>33469.170118808979</v>
      </c>
      <c r="I68" s="152">
        <f t="shared" si="121"/>
        <v>35288.505767948576</v>
      </c>
      <c r="J68" s="152">
        <f t="shared" si="121"/>
        <v>36582.095288006843</v>
      </c>
      <c r="K68" s="152">
        <f t="shared" si="121"/>
        <v>37855.751085414944</v>
      </c>
      <c r="L68" s="152">
        <f t="shared" si="121"/>
        <v>39890.379893143836</v>
      </c>
      <c r="M68" s="152">
        <f t="shared" si="121"/>
        <v>41390.286512841485</v>
      </c>
      <c r="N68" s="152">
        <f t="shared" si="121"/>
        <v>42946.364050795855</v>
      </c>
      <c r="O68" s="152">
        <f t="shared" si="121"/>
        <v>43850.607150760516</v>
      </c>
      <c r="P68" s="152">
        <f t="shared" si="121"/>
        <v>45559.708943619829</v>
      </c>
      <c r="Q68" s="152">
        <f t="shared" si="121"/>
        <v>47240.123206533797</v>
      </c>
      <c r="R68" s="152">
        <f t="shared" si="121"/>
        <v>48975.734582088036</v>
      </c>
      <c r="S68" s="152">
        <f t="shared" si="121"/>
        <v>49533.064527663155</v>
      </c>
      <c r="T68" s="152">
        <f t="shared" si="121"/>
        <v>51304.924572947122</v>
      </c>
      <c r="U68" s="152">
        <f t="shared" si="121"/>
        <v>53128.311511101077</v>
      </c>
      <c r="V68" s="152">
        <f t="shared" si="121"/>
        <v>56548.618393511846</v>
      </c>
      <c r="W68" s="152">
        <f t="shared" si="121"/>
        <v>58608.568074771843</v>
      </c>
      <c r="X68" s="152">
        <f t="shared" si="121"/>
        <v>60747.898316290688</v>
      </c>
      <c r="Y68" s="152">
        <f t="shared" si="121"/>
        <v>64197.347514317436</v>
      </c>
      <c r="Z68" s="152">
        <f t="shared" si="121"/>
        <v>66571.499187246634</v>
      </c>
      <c r="AA68" s="152">
        <f t="shared" si="121"/>
        <v>68906.513197816821</v>
      </c>
      <c r="AB68" s="152">
        <f t="shared" si="121"/>
        <v>69852.309966262765</v>
      </c>
      <c r="AC68" s="152">
        <f t="shared" si="121"/>
        <v>72260.173820290962</v>
      </c>
      <c r="AD68" s="152">
        <f t="shared" si="121"/>
        <v>74746.530770610552</v>
      </c>
      <c r="AE68" s="152">
        <f t="shared" si="121"/>
        <v>77331.95943508955</v>
      </c>
      <c r="AF68" s="152">
        <f t="shared" si="121"/>
        <v>77030.907276242142</v>
      </c>
      <c r="AG68" s="152">
        <f t="shared" si="121"/>
        <v>79606.772821451974</v>
      </c>
      <c r="AH68" s="152">
        <f t="shared" si="121"/>
        <v>82261.309933800076</v>
      </c>
      <c r="AI68" s="152">
        <f t="shared" si="121"/>
        <v>88562.386317219178</v>
      </c>
      <c r="AJ68" s="152">
        <f t="shared" ref="AJ68" si="122">AJ64-AJ66+AJ67</f>
        <v>91784.311167760025</v>
      </c>
      <c r="AK68" s="196"/>
      <c r="AL68" s="148"/>
      <c r="AM68" s="157"/>
      <c r="AN68" s="153"/>
    </row>
    <row r="69" spans="1:42" ht="14.5" x14ac:dyDescent="0.35">
      <c r="AN69" s="142" t="s">
        <v>62</v>
      </c>
      <c r="AO69" s="146" t="s">
        <v>63</v>
      </c>
      <c r="AP69" s="146"/>
    </row>
    <row r="70" spans="1:42" ht="14.5" x14ac:dyDescent="0.35">
      <c r="A70" s="51" t="s">
        <v>64</v>
      </c>
      <c r="B70" s="68">
        <f t="shared" ref="B70:AJ70" si="123">(B58/B64)*100</f>
        <v>122.89938637708229</v>
      </c>
      <c r="C70" s="68">
        <f t="shared" si="123"/>
        <v>124.10232882387184</v>
      </c>
      <c r="D70" s="68">
        <f t="shared" si="123"/>
        <v>125.11651967845683</v>
      </c>
      <c r="E70" s="68">
        <f>(E58/E64)*100</f>
        <v>124.09213604010736</v>
      </c>
      <c r="F70" s="68">
        <f t="shared" si="123"/>
        <v>101.26409700942406</v>
      </c>
      <c r="G70" s="68">
        <f t="shared" si="123"/>
        <v>102.70197042568003</v>
      </c>
      <c r="H70" s="68">
        <f t="shared" si="123"/>
        <v>104.72956926891663</v>
      </c>
      <c r="I70" s="68">
        <f t="shared" si="123"/>
        <v>106.38958001309697</v>
      </c>
      <c r="J70" s="68">
        <f t="shared" si="123"/>
        <v>108.28158832092055</v>
      </c>
      <c r="K70" s="68">
        <f t="shared" si="123"/>
        <v>110.09797108123598</v>
      </c>
      <c r="L70" s="68">
        <f t="shared" si="123"/>
        <v>112.01554707057473</v>
      </c>
      <c r="M70" s="68">
        <f t="shared" si="123"/>
        <v>114.44577775075867</v>
      </c>
      <c r="N70" s="68">
        <f t="shared" si="123"/>
        <v>116.62438968129966</v>
      </c>
      <c r="O70" s="68">
        <f t="shared" si="123"/>
        <v>118.40793209562845</v>
      </c>
      <c r="P70" s="68">
        <f t="shared" si="123"/>
        <v>120.64191472408253</v>
      </c>
      <c r="Q70" s="68">
        <f t="shared" si="123"/>
        <v>121.4331529321494</v>
      </c>
      <c r="R70" s="68">
        <f t="shared" si="123"/>
        <v>123.23943448220618</v>
      </c>
      <c r="S70" s="68">
        <f t="shared" si="123"/>
        <v>125.07417499512444</v>
      </c>
      <c r="T70" s="68">
        <f t="shared" si="123"/>
        <v>128.7139072451069</v>
      </c>
      <c r="U70" s="68">
        <f t="shared" si="123"/>
        <v>131.04867912473003</v>
      </c>
      <c r="V70" s="68">
        <f t="shared" si="123"/>
        <v>133.42804861743056</v>
      </c>
      <c r="W70" s="68">
        <f t="shared" si="123"/>
        <v>135.85286899874134</v>
      </c>
      <c r="X70" s="68">
        <f t="shared" si="123"/>
        <v>138.32400933113317</v>
      </c>
      <c r="Y70" s="68">
        <f t="shared" si="123"/>
        <v>140.84235477665678</v>
      </c>
      <c r="Z70" s="68">
        <f t="shared" si="123"/>
        <v>143.4653599353139</v>
      </c>
      <c r="AA70" s="68">
        <f t="shared" si="123"/>
        <v>146.15733473256546</v>
      </c>
      <c r="AB70" s="68">
        <f t="shared" si="123"/>
        <v>149.22910748563032</v>
      </c>
      <c r="AC70" s="68">
        <f t="shared" si="123"/>
        <v>152.36499974133301</v>
      </c>
      <c r="AD70" s="68">
        <f t="shared" si="123"/>
        <v>155.56636044365052</v>
      </c>
      <c r="AE70" s="68">
        <f t="shared" si="123"/>
        <v>158.83456651653611</v>
      </c>
      <c r="AF70" s="68">
        <f t="shared" si="123"/>
        <v>162.17102345864433</v>
      </c>
      <c r="AG70" s="68">
        <f t="shared" si="123"/>
        <v>165.57716595021685</v>
      </c>
      <c r="AH70" s="68">
        <f t="shared" si="123"/>
        <v>169.05445847239426</v>
      </c>
      <c r="AI70" s="68">
        <f t="shared" si="123"/>
        <v>172.60439593922442</v>
      </c>
      <c r="AJ70" s="68">
        <f t="shared" si="123"/>
        <v>176.26828901682177</v>
      </c>
      <c r="AK70" s="194">
        <f>SUM(AK3:AK27)-SUM(AK28:AK51)</f>
        <v>74432.978316762368</v>
      </c>
      <c r="AL70" s="144">
        <f>SUM(AL3:AL27)-SUM(AL28:AL51)</f>
        <v>0.77777406809574057</v>
      </c>
      <c r="AM70" s="141">
        <f>SUM(AM5:AM25)-SUM(AM31:AM50)</f>
        <v>0.81095535140767683</v>
      </c>
      <c r="AN70" s="145">
        <f>-(AJ70-95)/100</f>
        <v>-0.81268289016821771</v>
      </c>
      <c r="AO70" s="146">
        <f>AN70+AL70</f>
        <v>-3.4908822072477141E-2</v>
      </c>
      <c r="AP70" s="146">
        <f>AN70+AM70</f>
        <v>-1.727538760540881E-3</v>
      </c>
    </row>
    <row r="71" spans="1:42" ht="14.5" x14ac:dyDescent="0.35"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97"/>
      <c r="AM71" s="178">
        <f>(AJ70/100)-AM70</f>
        <v>0.95172753876054084</v>
      </c>
      <c r="AN71" s="143">
        <f>AN70*AI64</f>
        <v>-75088.913150054796</v>
      </c>
      <c r="AO71" s="67">
        <f>AO70*AI64</f>
        <v>-3225.4468999936425</v>
      </c>
      <c r="AP71" s="67">
        <f>AP70*AI64</f>
        <v>-159.61823427432674</v>
      </c>
    </row>
    <row r="74" spans="1:42" ht="14.5" x14ac:dyDescent="0.35">
      <c r="D74" t="s">
        <v>65</v>
      </c>
      <c r="E74" t="s">
        <v>66</v>
      </c>
      <c r="F74">
        <f>-0.2+0.1</f>
        <v>-0.1</v>
      </c>
      <c r="G74">
        <f>-0.7+0.4</f>
        <v>-0.29999999999999993</v>
      </c>
      <c r="H74">
        <f>-1.3+0.7</f>
        <v>-0.60000000000000009</v>
      </c>
      <c r="I74">
        <f>-1.9+1</f>
        <v>-0.89999999999999991</v>
      </c>
      <c r="J74">
        <f>-2.3+1.2</f>
        <v>-1.0999999999999999</v>
      </c>
      <c r="K74">
        <f>-2.5+1.2</f>
        <v>-1.3</v>
      </c>
      <c r="L74">
        <f>-2.6+1.2</f>
        <v>-1.4000000000000001</v>
      </c>
      <c r="M74">
        <f>-2.7+1.2</f>
        <v>-1.5000000000000002</v>
      </c>
      <c r="N74">
        <f>-2.9+1.2</f>
        <v>-1.7</v>
      </c>
      <c r="O74">
        <v>-2</v>
      </c>
      <c r="P74">
        <f>O74-0.12</f>
        <v>-2.12</v>
      </c>
      <c r="Q74">
        <f t="shared" ref="Q74:AI74" si="124">P74-0.12</f>
        <v>-2.2400000000000002</v>
      </c>
      <c r="R74">
        <f t="shared" si="124"/>
        <v>-2.3600000000000003</v>
      </c>
      <c r="S74">
        <f t="shared" si="124"/>
        <v>-2.4800000000000004</v>
      </c>
      <c r="T74">
        <f t="shared" si="124"/>
        <v>-2.6000000000000005</v>
      </c>
      <c r="U74">
        <f t="shared" si="124"/>
        <v>-2.7200000000000006</v>
      </c>
      <c r="V74">
        <f t="shared" si="124"/>
        <v>-2.8400000000000007</v>
      </c>
      <c r="W74">
        <f t="shared" si="124"/>
        <v>-2.9600000000000009</v>
      </c>
      <c r="X74">
        <f t="shared" si="124"/>
        <v>-3.080000000000001</v>
      </c>
      <c r="Y74">
        <f t="shared" si="124"/>
        <v>-3.2000000000000011</v>
      </c>
      <c r="Z74">
        <f t="shared" si="124"/>
        <v>-3.3200000000000012</v>
      </c>
      <c r="AA74">
        <f t="shared" si="124"/>
        <v>-3.4400000000000013</v>
      </c>
      <c r="AB74">
        <f t="shared" si="124"/>
        <v>-3.5600000000000014</v>
      </c>
      <c r="AC74">
        <f t="shared" si="124"/>
        <v>-3.6800000000000015</v>
      </c>
      <c r="AD74">
        <f t="shared" si="124"/>
        <v>-3.8000000000000016</v>
      </c>
      <c r="AE74">
        <f t="shared" si="124"/>
        <v>-3.9200000000000017</v>
      </c>
      <c r="AF74">
        <f t="shared" si="124"/>
        <v>-4.0400000000000018</v>
      </c>
      <c r="AG74">
        <f t="shared" si="124"/>
        <v>-4.1600000000000019</v>
      </c>
      <c r="AH74">
        <f t="shared" si="124"/>
        <v>-4.280000000000002</v>
      </c>
      <c r="AI74">
        <f t="shared" si="124"/>
        <v>-4.4000000000000021</v>
      </c>
      <c r="AK74" s="195">
        <f>SUM(F74:AI74)</f>
        <v>-76.100000000000023</v>
      </c>
    </row>
    <row r="75" spans="1:42" ht="14.5" x14ac:dyDescent="0.35">
      <c r="E75" t="s">
        <v>67</v>
      </c>
      <c r="F75">
        <v>-0.1</v>
      </c>
      <c r="G75">
        <v>-0.3</v>
      </c>
      <c r="H75">
        <f>-0.8-0.1</f>
        <v>-0.9</v>
      </c>
      <c r="I75">
        <f>-1.2-0.2</f>
        <v>-1.4</v>
      </c>
      <c r="J75">
        <f>-1.7-0.3</f>
        <v>-2</v>
      </c>
      <c r="K75">
        <f>-2.3-0.4</f>
        <v>-2.6999999999999997</v>
      </c>
      <c r="L75">
        <f>-2.8-0.6</f>
        <v>-3.4</v>
      </c>
      <c r="M75">
        <f>-3.4-0.8</f>
        <v>-4.2</v>
      </c>
      <c r="N75">
        <f>-4-0.8</f>
        <v>-4.8</v>
      </c>
      <c r="O75">
        <v>-5</v>
      </c>
      <c r="P75">
        <v>-5</v>
      </c>
      <c r="Q75">
        <v>-5</v>
      </c>
      <c r="R75">
        <v>-5</v>
      </c>
      <c r="S75">
        <v>-5</v>
      </c>
      <c r="T75">
        <v>-5</v>
      </c>
      <c r="U75">
        <v>-5</v>
      </c>
      <c r="V75">
        <v>-5</v>
      </c>
      <c r="W75">
        <v>-5</v>
      </c>
      <c r="X75">
        <v>-5</v>
      </c>
      <c r="Y75">
        <v>-5</v>
      </c>
      <c r="Z75">
        <v>-5</v>
      </c>
      <c r="AA75">
        <v>-5</v>
      </c>
      <c r="AB75">
        <v>-5</v>
      </c>
      <c r="AC75">
        <v>-5</v>
      </c>
      <c r="AD75">
        <v>-5</v>
      </c>
      <c r="AE75">
        <v>-5</v>
      </c>
      <c r="AF75">
        <v>-5</v>
      </c>
      <c r="AG75">
        <v>-5</v>
      </c>
      <c r="AH75">
        <v>-5</v>
      </c>
      <c r="AI75">
        <v>-5</v>
      </c>
      <c r="AK75" s="195">
        <f>SUM(F75:AI75)</f>
        <v>-124.8</v>
      </c>
    </row>
    <row r="76" spans="1:42" ht="14.5" x14ac:dyDescent="0.35">
      <c r="E76" t="s">
        <v>68</v>
      </c>
      <c r="F76">
        <v>-9.3000000000000007</v>
      </c>
      <c r="G76">
        <v>-9.3000000000000007</v>
      </c>
      <c r="H76">
        <v>-9.3000000000000007</v>
      </c>
      <c r="I76">
        <v>-9.3000000000000007</v>
      </c>
      <c r="J76">
        <v>-9.3000000000000007</v>
      </c>
      <c r="K76">
        <v>-9.3000000000000007</v>
      </c>
      <c r="L76">
        <v>-9.3000000000000007</v>
      </c>
      <c r="M76">
        <v>-9.3000000000000007</v>
      </c>
      <c r="N76">
        <v>-9.3000000000000007</v>
      </c>
      <c r="O76">
        <v>-9.3000000000000007</v>
      </c>
      <c r="P76">
        <v>-9.3000000000000007</v>
      </c>
      <c r="Q76">
        <v>-9.3000000000000007</v>
      </c>
      <c r="R76">
        <v>-9.3000000000000007</v>
      </c>
      <c r="S76">
        <v>-9.3000000000000007</v>
      </c>
      <c r="T76">
        <v>-9.3000000000000007</v>
      </c>
      <c r="U76">
        <v>-9.3000000000000007</v>
      </c>
      <c r="V76">
        <v>-9.3000000000000007</v>
      </c>
      <c r="W76">
        <v>-9.3000000000000007</v>
      </c>
      <c r="X76">
        <v>-9.3000000000000007</v>
      </c>
      <c r="Y76">
        <v>-9.3000000000000007</v>
      </c>
      <c r="Z76">
        <v>-9.3000000000000007</v>
      </c>
      <c r="AA76">
        <v>-9.3000000000000007</v>
      </c>
      <c r="AB76">
        <v>-9.3000000000000007</v>
      </c>
      <c r="AC76">
        <v>-9.3000000000000007</v>
      </c>
      <c r="AD76">
        <v>-9.3000000000000007</v>
      </c>
      <c r="AE76">
        <v>-9.3000000000000007</v>
      </c>
      <c r="AF76">
        <v>-9.3000000000000007</v>
      </c>
      <c r="AG76">
        <v>-9.3000000000000007</v>
      </c>
      <c r="AH76">
        <v>-9.3000000000000007</v>
      </c>
      <c r="AI76">
        <v>-9.3000000000000007</v>
      </c>
      <c r="AK76" s="195">
        <f t="shared" ref="AK76:AK79" si="125">SUM(F76:AI76)</f>
        <v>-279.00000000000017</v>
      </c>
    </row>
    <row r="77" spans="1:42" ht="14.5" x14ac:dyDescent="0.35">
      <c r="E77" t="s">
        <v>69</v>
      </c>
      <c r="F77">
        <v>-1.2</v>
      </c>
      <c r="G77">
        <v>-1.2</v>
      </c>
      <c r="H77">
        <v>-1.2</v>
      </c>
      <c r="I77">
        <v>-1.2</v>
      </c>
      <c r="J77">
        <v>-1.2</v>
      </c>
      <c r="K77">
        <v>-1.2</v>
      </c>
      <c r="L77">
        <v>-1.2</v>
      </c>
      <c r="M77">
        <v>-1.2</v>
      </c>
      <c r="N77">
        <v>-1.2</v>
      </c>
      <c r="O77">
        <v>-1.2</v>
      </c>
      <c r="P77">
        <v>-1.2</v>
      </c>
      <c r="Q77">
        <v>-1.2</v>
      </c>
      <c r="R77">
        <v>-1.2</v>
      </c>
      <c r="S77">
        <v>-1.2</v>
      </c>
      <c r="T77">
        <v>-1.2</v>
      </c>
      <c r="U77">
        <v>-1.2</v>
      </c>
      <c r="V77">
        <v>-1.2</v>
      </c>
      <c r="W77">
        <v>-1.2</v>
      </c>
      <c r="X77">
        <v>-1.2</v>
      </c>
      <c r="Y77">
        <v>-1.2</v>
      </c>
      <c r="Z77">
        <v>-1.2</v>
      </c>
      <c r="AA77">
        <v>-1.2</v>
      </c>
      <c r="AB77">
        <v>-1.2</v>
      </c>
      <c r="AC77">
        <v>-1.2</v>
      </c>
      <c r="AD77">
        <v>-1.2</v>
      </c>
      <c r="AE77">
        <v>-1.2</v>
      </c>
      <c r="AF77">
        <v>-1.2</v>
      </c>
      <c r="AG77">
        <v>-1.2</v>
      </c>
      <c r="AH77">
        <v>-1.2</v>
      </c>
      <c r="AI77">
        <v>-1.2</v>
      </c>
      <c r="AK77" s="195">
        <f t="shared" si="125"/>
        <v>-36</v>
      </c>
    </row>
    <row r="78" spans="1:42" ht="14.5" x14ac:dyDescent="0.35">
      <c r="E78" t="s">
        <v>70</v>
      </c>
      <c r="F78">
        <v>-13</v>
      </c>
      <c r="G78">
        <v>-30</v>
      </c>
      <c r="H78">
        <v>-36</v>
      </c>
      <c r="I78">
        <v>-39</v>
      </c>
      <c r="J78">
        <v>-41</v>
      </c>
      <c r="K78">
        <v>-43</v>
      </c>
      <c r="L78">
        <v>-44</v>
      </c>
      <c r="M78">
        <v>-46</v>
      </c>
      <c r="N78">
        <v>-47</v>
      </c>
      <c r="O78" s="124">
        <f t="shared" ref="O78:AI78" si="126">N78*1.023</f>
        <v>-48.080999999999996</v>
      </c>
      <c r="P78" s="124">
        <f t="shared" si="126"/>
        <v>-49.186862999999988</v>
      </c>
      <c r="Q78" s="124">
        <f t="shared" si="126"/>
        <v>-50.31816084899998</v>
      </c>
      <c r="R78" s="124">
        <f t="shared" si="126"/>
        <v>-51.475478548526972</v>
      </c>
      <c r="S78" s="124">
        <f t="shared" si="126"/>
        <v>-52.659414555143087</v>
      </c>
      <c r="T78" s="124">
        <f t="shared" si="126"/>
        <v>-53.870581089911376</v>
      </c>
      <c r="U78" s="124">
        <f t="shared" si="126"/>
        <v>-55.109604454979333</v>
      </c>
      <c r="V78" s="124">
        <f t="shared" si="126"/>
        <v>-56.377125357443852</v>
      </c>
      <c r="W78" s="124">
        <f t="shared" si="126"/>
        <v>-57.673799240665055</v>
      </c>
      <c r="X78" s="124">
        <f t="shared" si="126"/>
        <v>-59.000296623200349</v>
      </c>
      <c r="Y78" s="124">
        <f t="shared" si="126"/>
        <v>-60.357303445533951</v>
      </c>
      <c r="Z78" s="124">
        <f t="shared" si="126"/>
        <v>-61.745521424781224</v>
      </c>
      <c r="AA78" s="124">
        <f t="shared" si="126"/>
        <v>-63.165668417551188</v>
      </c>
      <c r="AB78" s="124">
        <f t="shared" si="126"/>
        <v>-64.618478791154857</v>
      </c>
      <c r="AC78" s="124">
        <f t="shared" si="126"/>
        <v>-66.104703803351413</v>
      </c>
      <c r="AD78" s="124">
        <f t="shared" si="126"/>
        <v>-67.625111990828486</v>
      </c>
      <c r="AE78" s="124">
        <f t="shared" si="126"/>
        <v>-69.180489566617538</v>
      </c>
      <c r="AF78" s="124">
        <f t="shared" si="126"/>
        <v>-70.77164082664973</v>
      </c>
      <c r="AG78" s="124">
        <f t="shared" si="126"/>
        <v>-72.399388565662662</v>
      </c>
      <c r="AH78" s="124">
        <f t="shared" si="126"/>
        <v>-74.064574502672897</v>
      </c>
      <c r="AI78" s="124">
        <f t="shared" si="126"/>
        <v>-75.768059716234362</v>
      </c>
      <c r="AJ78" s="124"/>
      <c r="AK78" s="195">
        <f t="shared" si="125"/>
        <v>-1618.5532647699081</v>
      </c>
    </row>
    <row r="79" spans="1:42" ht="14.5" x14ac:dyDescent="0.35">
      <c r="E79" t="s">
        <v>71</v>
      </c>
      <c r="F79" s="124">
        <f>-1250*0.17*0.25/1.4</f>
        <v>-37.946428571428577</v>
      </c>
      <c r="G79" s="124">
        <f>-1500*0.17*0.25/1.4</f>
        <v>-45.535714285714292</v>
      </c>
      <c r="H79" s="124">
        <f>G79*1.04</f>
        <v>-47.357142857142868</v>
      </c>
      <c r="I79" s="124">
        <f t="shared" ref="I79:AI79" si="127">H79*1.04</f>
        <v>-49.251428571428583</v>
      </c>
      <c r="J79" s="124">
        <f t="shared" si="127"/>
        <v>-51.221485714285727</v>
      </c>
      <c r="K79" s="124">
        <f t="shared" si="127"/>
        <v>-53.27034514285716</v>
      </c>
      <c r="L79" s="124">
        <f t="shared" si="127"/>
        <v>-55.40115894857145</v>
      </c>
      <c r="M79" s="124">
        <f t="shared" si="127"/>
        <v>-57.617205306514307</v>
      </c>
      <c r="N79" s="124">
        <f t="shared" si="127"/>
        <v>-59.92189351877488</v>
      </c>
      <c r="O79" s="124">
        <f t="shared" si="127"/>
        <v>-62.31876925952588</v>
      </c>
      <c r="P79" s="124">
        <f t="shared" si="127"/>
        <v>-64.811520029906916</v>
      </c>
      <c r="Q79" s="124">
        <f t="shared" si="127"/>
        <v>-67.403980831103198</v>
      </c>
      <c r="R79" s="124">
        <f t="shared" si="127"/>
        <v>-70.100140064347329</v>
      </c>
      <c r="S79" s="124">
        <f t="shared" si="127"/>
        <v>-72.904145666921224</v>
      </c>
      <c r="T79" s="124">
        <f t="shared" si="127"/>
        <v>-75.820311493598069</v>
      </c>
      <c r="U79" s="124">
        <f t="shared" si="127"/>
        <v>-78.853123953341992</v>
      </c>
      <c r="V79" s="124">
        <f t="shared" si="127"/>
        <v>-82.007248911475671</v>
      </c>
      <c r="W79" s="124">
        <f t="shared" si="127"/>
        <v>-85.2875388679347</v>
      </c>
      <c r="X79" s="124">
        <f t="shared" si="127"/>
        <v>-88.699040422652089</v>
      </c>
      <c r="Y79" s="124">
        <f t="shared" si="127"/>
        <v>-92.247002039558183</v>
      </c>
      <c r="Z79" s="124">
        <f t="shared" si="127"/>
        <v>-95.936882121140513</v>
      </c>
      <c r="AA79" s="124">
        <f t="shared" si="127"/>
        <v>-99.774357405986137</v>
      </c>
      <c r="AB79" s="124">
        <f t="shared" si="127"/>
        <v>-103.76533170222558</v>
      </c>
      <c r="AC79" s="124">
        <f t="shared" si="127"/>
        <v>-107.91594497031461</v>
      </c>
      <c r="AD79" s="124">
        <f t="shared" si="127"/>
        <v>-112.23258276912721</v>
      </c>
      <c r="AE79" s="124">
        <f t="shared" si="127"/>
        <v>-116.7218860798923</v>
      </c>
      <c r="AF79" s="124">
        <f t="shared" si="127"/>
        <v>-121.390761523088</v>
      </c>
      <c r="AG79" s="124">
        <f t="shared" si="127"/>
        <v>-126.24639198401152</v>
      </c>
      <c r="AH79" s="124">
        <f t="shared" si="127"/>
        <v>-131.29624766337199</v>
      </c>
      <c r="AI79" s="124">
        <f t="shared" si="127"/>
        <v>-136.54809756990687</v>
      </c>
      <c r="AJ79" s="124"/>
      <c r="AK79" s="195">
        <f t="shared" si="125"/>
        <v>-2449.8041082461482</v>
      </c>
    </row>
    <row r="80" spans="1:42" ht="14.5" x14ac:dyDescent="0.35">
      <c r="O80" s="124"/>
      <c r="AK80" s="195"/>
    </row>
    <row r="81" spans="4:37" ht="14.5" x14ac:dyDescent="0.35">
      <c r="D81" t="s">
        <v>72</v>
      </c>
      <c r="E81" t="s">
        <v>73</v>
      </c>
      <c r="F81">
        <v>-6.6</v>
      </c>
      <c r="G81">
        <v>-8.9</v>
      </c>
      <c r="H81">
        <v>-9.4</v>
      </c>
      <c r="I81">
        <v>-9.8000000000000007</v>
      </c>
      <c r="J81">
        <v>-10.199999999999999</v>
      </c>
      <c r="K81">
        <v>-10.6</v>
      </c>
      <c r="L81">
        <v>-11</v>
      </c>
      <c r="M81">
        <v>-11.5</v>
      </c>
      <c r="N81">
        <v>-11.9</v>
      </c>
      <c r="O81">
        <v>-12.4</v>
      </c>
      <c r="P81">
        <f>O81-0.4</f>
        <v>-12.8</v>
      </c>
      <c r="Q81">
        <f t="shared" ref="Q81:AI81" si="128">P81-0.4</f>
        <v>-13.200000000000001</v>
      </c>
      <c r="R81">
        <f t="shared" si="128"/>
        <v>-13.600000000000001</v>
      </c>
      <c r="S81">
        <f t="shared" si="128"/>
        <v>-14.000000000000002</v>
      </c>
      <c r="T81">
        <f t="shared" si="128"/>
        <v>-14.400000000000002</v>
      </c>
      <c r="U81">
        <f t="shared" si="128"/>
        <v>-14.800000000000002</v>
      </c>
      <c r="V81">
        <f t="shared" si="128"/>
        <v>-15.200000000000003</v>
      </c>
      <c r="W81">
        <f t="shared" si="128"/>
        <v>-15.600000000000003</v>
      </c>
      <c r="X81">
        <f t="shared" si="128"/>
        <v>-16.000000000000004</v>
      </c>
      <c r="Y81">
        <f t="shared" si="128"/>
        <v>-16.400000000000002</v>
      </c>
      <c r="Z81">
        <f t="shared" si="128"/>
        <v>-16.8</v>
      </c>
      <c r="AA81">
        <f t="shared" si="128"/>
        <v>-17.2</v>
      </c>
      <c r="AB81">
        <f t="shared" si="128"/>
        <v>-17.599999999999998</v>
      </c>
      <c r="AC81">
        <f t="shared" si="128"/>
        <v>-17.999999999999996</v>
      </c>
      <c r="AD81">
        <f t="shared" si="128"/>
        <v>-18.399999999999995</v>
      </c>
      <c r="AE81">
        <f t="shared" si="128"/>
        <v>-18.799999999999994</v>
      </c>
      <c r="AF81">
        <f t="shared" si="128"/>
        <v>-19.199999999999992</v>
      </c>
      <c r="AG81">
        <f t="shared" si="128"/>
        <v>-19.599999999999991</v>
      </c>
      <c r="AH81">
        <f t="shared" si="128"/>
        <v>-19.999999999999989</v>
      </c>
      <c r="AI81">
        <f t="shared" si="128"/>
        <v>-20.399999999999988</v>
      </c>
      <c r="AK81" s="195">
        <f>SUM(F81:AI81)</f>
        <v>-434.29999999999995</v>
      </c>
    </row>
    <row r="82" spans="4:37" ht="14.5" x14ac:dyDescent="0.35">
      <c r="E82" t="s">
        <v>74</v>
      </c>
      <c r="F82">
        <v>-3.1</v>
      </c>
      <c r="G82">
        <v>-4.4000000000000004</v>
      </c>
      <c r="H82">
        <f>-4.7-0.1</f>
        <v>-4.8</v>
      </c>
      <c r="I82">
        <f>-4.9-0.1</f>
        <v>-5</v>
      </c>
      <c r="J82">
        <f>-5.2-0.1</f>
        <v>-5.3</v>
      </c>
      <c r="K82">
        <f>-5.4-0.1</f>
        <v>-5.5</v>
      </c>
      <c r="L82">
        <f>-5.7-0.1</f>
        <v>-5.8</v>
      </c>
      <c r="M82">
        <f>-5.8-0.1</f>
        <v>-5.8999999999999995</v>
      </c>
      <c r="N82">
        <f>-5.9-0.1</f>
        <v>-6</v>
      </c>
      <c r="O82">
        <f>-5.8-0.1</f>
        <v>-5.8999999999999995</v>
      </c>
      <c r="P82">
        <f>O82+0.1</f>
        <v>-5.8</v>
      </c>
      <c r="Q82">
        <f t="shared" ref="Q82:AI82" si="129">P82+0.1</f>
        <v>-5.7</v>
      </c>
      <c r="R82">
        <f t="shared" si="129"/>
        <v>-5.6000000000000005</v>
      </c>
      <c r="S82">
        <f t="shared" si="129"/>
        <v>-5.5000000000000009</v>
      </c>
      <c r="T82">
        <f t="shared" si="129"/>
        <v>-5.4000000000000012</v>
      </c>
      <c r="U82">
        <f t="shared" si="129"/>
        <v>-5.3000000000000016</v>
      </c>
      <c r="V82">
        <f t="shared" si="129"/>
        <v>-5.200000000000002</v>
      </c>
      <c r="W82">
        <f t="shared" si="129"/>
        <v>-5.1000000000000023</v>
      </c>
      <c r="X82">
        <f t="shared" si="129"/>
        <v>-5.0000000000000027</v>
      </c>
      <c r="Y82">
        <f t="shared" si="129"/>
        <v>-4.900000000000003</v>
      </c>
      <c r="Z82">
        <f t="shared" si="129"/>
        <v>-4.8000000000000034</v>
      </c>
      <c r="AA82">
        <f t="shared" si="129"/>
        <v>-4.7000000000000037</v>
      </c>
      <c r="AB82">
        <f t="shared" si="129"/>
        <v>-4.6000000000000041</v>
      </c>
      <c r="AC82">
        <f t="shared" si="129"/>
        <v>-4.5000000000000044</v>
      </c>
      <c r="AD82">
        <f t="shared" si="129"/>
        <v>-4.4000000000000048</v>
      </c>
      <c r="AE82">
        <f t="shared" si="129"/>
        <v>-4.3000000000000052</v>
      </c>
      <c r="AF82">
        <f t="shared" si="129"/>
        <v>-4.2000000000000055</v>
      </c>
      <c r="AG82">
        <f t="shared" si="129"/>
        <v>-4.1000000000000059</v>
      </c>
      <c r="AH82">
        <f t="shared" si="129"/>
        <v>-4.0000000000000062</v>
      </c>
      <c r="AI82">
        <f t="shared" si="129"/>
        <v>-3.9000000000000061</v>
      </c>
      <c r="AK82" s="195">
        <f>SUM(F82:AI82)</f>
        <v>-148.70000000000005</v>
      </c>
    </row>
    <row r="83" spans="4:37" ht="14.5" x14ac:dyDescent="0.35">
      <c r="E83" t="s">
        <v>75</v>
      </c>
      <c r="F83">
        <v>-14.6</v>
      </c>
      <c r="G83">
        <v>-20.5</v>
      </c>
      <c r="H83">
        <v>-20.9</v>
      </c>
      <c r="I83">
        <v>-21.3</v>
      </c>
      <c r="J83">
        <v>-21.7</v>
      </c>
      <c r="K83">
        <v>-22.1</v>
      </c>
      <c r="L83">
        <v>-22.3</v>
      </c>
      <c r="M83">
        <v>-22.5</v>
      </c>
      <c r="N83">
        <v>-22.7</v>
      </c>
      <c r="O83">
        <v>-22.9</v>
      </c>
      <c r="P83" s="123">
        <f>O83+0.5725</f>
        <v>-22.327499999999997</v>
      </c>
      <c r="Q83" s="123">
        <f t="shared" ref="Q83:AI83" si="130">P83+0.5725</f>
        <v>-21.754999999999995</v>
      </c>
      <c r="R83" s="123">
        <f t="shared" si="130"/>
        <v>-21.182499999999994</v>
      </c>
      <c r="S83" s="123">
        <f t="shared" si="130"/>
        <v>-20.609999999999992</v>
      </c>
      <c r="T83" s="123">
        <f t="shared" si="130"/>
        <v>-20.037499999999991</v>
      </c>
      <c r="U83" s="123">
        <f t="shared" si="130"/>
        <v>-19.464999999999989</v>
      </c>
      <c r="V83" s="123">
        <f t="shared" si="130"/>
        <v>-18.892499999999988</v>
      </c>
      <c r="W83" s="123">
        <f t="shared" si="130"/>
        <v>-18.319999999999986</v>
      </c>
      <c r="X83" s="123">
        <f t="shared" si="130"/>
        <v>-17.747499999999985</v>
      </c>
      <c r="Y83" s="123">
        <f t="shared" si="130"/>
        <v>-17.174999999999983</v>
      </c>
      <c r="Z83" s="123">
        <f t="shared" si="130"/>
        <v>-16.602499999999981</v>
      </c>
      <c r="AA83" s="123">
        <f t="shared" si="130"/>
        <v>-16.02999999999998</v>
      </c>
      <c r="AB83" s="123">
        <f t="shared" si="130"/>
        <v>-15.45749999999998</v>
      </c>
      <c r="AC83" s="123">
        <f t="shared" si="130"/>
        <v>-14.88499999999998</v>
      </c>
      <c r="AD83" s="123">
        <f t="shared" si="130"/>
        <v>-14.31249999999998</v>
      </c>
      <c r="AE83" s="123">
        <f t="shared" si="130"/>
        <v>-13.739999999999981</v>
      </c>
      <c r="AF83" s="123">
        <f t="shared" si="130"/>
        <v>-13.167499999999981</v>
      </c>
      <c r="AG83" s="123">
        <f t="shared" si="130"/>
        <v>-12.594999999999981</v>
      </c>
      <c r="AH83" s="123">
        <f t="shared" si="130"/>
        <v>-12.022499999999981</v>
      </c>
      <c r="AI83" s="123">
        <f t="shared" si="130"/>
        <v>-11.449999999999982</v>
      </c>
      <c r="AJ83" s="123"/>
      <c r="AK83" s="195">
        <f>SUM(F83:AI83)</f>
        <v>-549.27499999999986</v>
      </c>
    </row>
    <row r="84" spans="4:37" ht="14.5" x14ac:dyDescent="0.35">
      <c r="E84" t="s">
        <v>76</v>
      </c>
      <c r="F84">
        <v>0</v>
      </c>
      <c r="G84">
        <v>0</v>
      </c>
      <c r="H84">
        <v>0</v>
      </c>
      <c r="I84">
        <v>0</v>
      </c>
      <c r="J84" s="2">
        <f>J85*0.075</f>
        <v>0.25516499999999998</v>
      </c>
      <c r="K84" s="2">
        <f t="shared" ref="K84:AI84" si="131">K85*0.075</f>
        <v>0.33171449999999997</v>
      </c>
      <c r="L84" s="2">
        <f t="shared" si="131"/>
        <v>0.43122885000000005</v>
      </c>
      <c r="M84" s="2">
        <f t="shared" si="131"/>
        <v>0.56059750500000005</v>
      </c>
      <c r="N84" s="2">
        <f t="shared" si="131"/>
        <v>0.72877675650000018</v>
      </c>
      <c r="O84" s="2">
        <f t="shared" si="131"/>
        <v>0.94740978345000015</v>
      </c>
      <c r="P84" s="2">
        <f t="shared" si="131"/>
        <v>1.2316327184850004</v>
      </c>
      <c r="Q84" s="2">
        <f t="shared" si="131"/>
        <v>1.6011225340305006</v>
      </c>
      <c r="R84" s="2">
        <f t="shared" si="131"/>
        <v>2.081459294239651</v>
      </c>
      <c r="S84" s="2">
        <f t="shared" si="131"/>
        <v>2.7058970825115463</v>
      </c>
      <c r="T84" s="2">
        <f t="shared" si="131"/>
        <v>3.5176662072650102</v>
      </c>
      <c r="U84" s="2">
        <f t="shared" si="131"/>
        <v>4.2211994487180124</v>
      </c>
      <c r="V84" s="2">
        <f t="shared" si="131"/>
        <v>5.0654393384616148</v>
      </c>
      <c r="W84" s="2">
        <f t="shared" si="131"/>
        <v>6.0785272061539377</v>
      </c>
      <c r="X84" s="2">
        <f t="shared" si="131"/>
        <v>7.2942326473847245</v>
      </c>
      <c r="Y84" s="2">
        <f t="shared" si="131"/>
        <v>8.7530791768616698</v>
      </c>
      <c r="Z84" s="2">
        <f t="shared" si="131"/>
        <v>10.503695012234003</v>
      </c>
      <c r="AA84" s="2">
        <f t="shared" si="131"/>
        <v>12.604434014680804</v>
      </c>
      <c r="AB84" s="2">
        <f t="shared" si="131"/>
        <v>15.125320817616963</v>
      </c>
      <c r="AC84" s="2">
        <f t="shared" si="131"/>
        <v>18.150384981140355</v>
      </c>
      <c r="AD84" s="2">
        <f t="shared" si="131"/>
        <v>21.780461977368425</v>
      </c>
      <c r="AE84" s="2">
        <f t="shared" si="131"/>
        <v>23.958508175105273</v>
      </c>
      <c r="AF84" s="2">
        <f t="shared" si="131"/>
        <v>26.354358992615801</v>
      </c>
      <c r="AG84" s="2">
        <f t="shared" si="131"/>
        <v>28.989794891877381</v>
      </c>
      <c r="AH84" s="2">
        <f t="shared" si="131"/>
        <v>31.888774381065122</v>
      </c>
      <c r="AI84" s="2">
        <f t="shared" si="131"/>
        <v>35.077651819171635</v>
      </c>
      <c r="AJ84" s="2"/>
      <c r="AK84" s="195">
        <f>SUM(F84:AI84)</f>
        <v>270.23853311193744</v>
      </c>
    </row>
    <row r="85" spans="4:37" ht="14.5" x14ac:dyDescent="0.35">
      <c r="J85">
        <f>3.4022</f>
        <v>3.4022000000000001</v>
      </c>
      <c r="K85" s="2">
        <f>J85*1.3</f>
        <v>4.42286</v>
      </c>
      <c r="L85" s="2">
        <f t="shared" ref="L85:T85" si="132">K85*1.3</f>
        <v>5.7497180000000006</v>
      </c>
      <c r="M85" s="2">
        <f t="shared" si="132"/>
        <v>7.474633400000001</v>
      </c>
      <c r="N85" s="2">
        <f t="shared" si="132"/>
        <v>9.7170234200000021</v>
      </c>
      <c r="O85" s="2">
        <f t="shared" si="132"/>
        <v>12.632130446000003</v>
      </c>
      <c r="P85" s="2">
        <f t="shared" si="132"/>
        <v>16.421769579800007</v>
      </c>
      <c r="Q85" s="2">
        <f t="shared" si="132"/>
        <v>21.348300453740009</v>
      </c>
      <c r="R85" s="2">
        <f t="shared" si="132"/>
        <v>27.752790589862013</v>
      </c>
      <c r="S85" s="2">
        <f t="shared" si="132"/>
        <v>36.078627766820617</v>
      </c>
      <c r="T85" s="2">
        <f t="shared" si="132"/>
        <v>46.902216096866802</v>
      </c>
      <c r="U85" s="2">
        <f>T85*1.2</f>
        <v>56.282659316240164</v>
      </c>
      <c r="V85" s="2">
        <f t="shared" ref="V85:AD85" si="133">U85*1.2</f>
        <v>67.539191179488199</v>
      </c>
      <c r="W85" s="2">
        <f t="shared" si="133"/>
        <v>81.047029415385836</v>
      </c>
      <c r="X85" s="2">
        <f t="shared" si="133"/>
        <v>97.256435298463003</v>
      </c>
      <c r="Y85" s="2">
        <f t="shared" si="133"/>
        <v>116.70772235815559</v>
      </c>
      <c r="Z85" s="2">
        <f t="shared" si="133"/>
        <v>140.04926682978672</v>
      </c>
      <c r="AA85" s="2">
        <f t="shared" si="133"/>
        <v>168.05912019574404</v>
      </c>
      <c r="AB85" s="2">
        <f t="shared" si="133"/>
        <v>201.67094423489286</v>
      </c>
      <c r="AC85" s="2">
        <f t="shared" si="133"/>
        <v>242.00513308187141</v>
      </c>
      <c r="AD85" s="2">
        <f t="shared" si="133"/>
        <v>290.40615969824569</v>
      </c>
      <c r="AE85" s="2">
        <f>AD85*1.1</f>
        <v>319.4467756680703</v>
      </c>
      <c r="AF85" s="2">
        <f t="shared" ref="AF85:AI85" si="134">AE85*1.1</f>
        <v>351.39145323487736</v>
      </c>
      <c r="AG85" s="2">
        <f t="shared" si="134"/>
        <v>386.53059855836511</v>
      </c>
      <c r="AH85" s="2">
        <f t="shared" si="134"/>
        <v>425.18365841420166</v>
      </c>
      <c r="AI85" s="2">
        <f t="shared" si="134"/>
        <v>467.70202425562184</v>
      </c>
      <c r="AJ85" s="2"/>
      <c r="AK85" s="195"/>
    </row>
    <row r="86" spans="4:37" ht="14.5" x14ac:dyDescent="0.35">
      <c r="E86" t="s">
        <v>77</v>
      </c>
      <c r="F86" s="123">
        <f>-F87*F88*0.02</f>
        <v>-1.1361999999999999</v>
      </c>
      <c r="G86" s="123">
        <f t="shared" ref="G86:AI86" si="135">-G87*G88*0.02</f>
        <v>-2.4807844551839997</v>
      </c>
      <c r="H86" s="123">
        <f t="shared" si="135"/>
        <v>-3.8613522552079997</v>
      </c>
      <c r="I86" s="123">
        <f t="shared" si="135"/>
        <v>-5.2779034000719989</v>
      </c>
      <c r="J86" s="123">
        <f t="shared" si="135"/>
        <v>-6.7304378897759989</v>
      </c>
      <c r="K86" s="123">
        <f t="shared" si="135"/>
        <v>-8.2189557243199971</v>
      </c>
      <c r="L86" s="123">
        <f t="shared" si="135"/>
        <v>-9.7434569037039971</v>
      </c>
      <c r="M86" s="123">
        <f t="shared" si="135"/>
        <v>-11.303941427927995</v>
      </c>
      <c r="N86" s="123">
        <f t="shared" si="135"/>
        <v>-12.900409296991997</v>
      </c>
      <c r="O86" s="123">
        <f t="shared" si="135"/>
        <v>-14.532860510895997</v>
      </c>
      <c r="P86" s="123">
        <f t="shared" si="135"/>
        <v>-16.201295069639997</v>
      </c>
      <c r="Q86" s="123">
        <f t="shared" si="135"/>
        <v>-17.905712973223999</v>
      </c>
      <c r="R86" s="123">
        <f t="shared" si="135"/>
        <v>-19.646114221647998</v>
      </c>
      <c r="S86" s="123">
        <f t="shared" si="135"/>
        <v>-21.422498814911997</v>
      </c>
      <c r="T86" s="123">
        <f t="shared" si="135"/>
        <v>-23.234866753015996</v>
      </c>
      <c r="U86" s="123">
        <f t="shared" si="135"/>
        <v>-25.083218035959995</v>
      </c>
      <c r="V86" s="123">
        <f t="shared" si="135"/>
        <v>-26.967552663743994</v>
      </c>
      <c r="W86" s="123">
        <f t="shared" si="135"/>
        <v>-28.887870636368</v>
      </c>
      <c r="X86" s="123">
        <f t="shared" si="135"/>
        <v>-30.844171953831996</v>
      </c>
      <c r="Y86" s="123">
        <f t="shared" si="135"/>
        <v>-32.83645661613599</v>
      </c>
      <c r="Z86" s="123">
        <f t="shared" si="135"/>
        <v>-34.864724623279997</v>
      </c>
      <c r="AA86" s="123">
        <f t="shared" si="135"/>
        <v>-36.928975975263995</v>
      </c>
      <c r="AB86" s="123">
        <f t="shared" si="135"/>
        <v>-39.029210672087991</v>
      </c>
      <c r="AC86" s="123">
        <f t="shared" si="135"/>
        <v>-41.165428713751993</v>
      </c>
      <c r="AD86" s="123">
        <f t="shared" si="135"/>
        <v>-43.337630100255993</v>
      </c>
      <c r="AE86" s="123">
        <f t="shared" si="135"/>
        <v>-45.545814831599991</v>
      </c>
      <c r="AF86" s="123">
        <f t="shared" si="135"/>
        <v>-47.789982907783987</v>
      </c>
      <c r="AG86" s="123">
        <f t="shared" si="135"/>
        <v>-50.070134328807988</v>
      </c>
      <c r="AH86" s="123">
        <f t="shared" si="135"/>
        <v>-52.386269094671988</v>
      </c>
      <c r="AI86" s="123">
        <f t="shared" si="135"/>
        <v>-54.738387205375986</v>
      </c>
      <c r="AJ86" s="123"/>
      <c r="AK86" s="195">
        <f>SUM(F86:AI86)</f>
        <v>-765.07261805543965</v>
      </c>
    </row>
    <row r="87" spans="4:37" ht="14.5" x14ac:dyDescent="0.35">
      <c r="F87" s="2">
        <v>6.4999999999999997E-3</v>
      </c>
      <c r="G87" s="2">
        <f>F87+0.0075</f>
        <v>1.3999999999999999E-2</v>
      </c>
      <c r="H87" s="2">
        <f t="shared" ref="H87:AI87" si="136">G87+0.0075</f>
        <v>2.1499999999999998E-2</v>
      </c>
      <c r="I87" s="2">
        <f t="shared" si="136"/>
        <v>2.8999999999999998E-2</v>
      </c>
      <c r="J87" s="2">
        <f t="shared" si="136"/>
        <v>3.6499999999999998E-2</v>
      </c>
      <c r="K87" s="2">
        <f t="shared" si="136"/>
        <v>4.3999999999999997E-2</v>
      </c>
      <c r="L87" s="2">
        <f t="shared" si="136"/>
        <v>5.1499999999999997E-2</v>
      </c>
      <c r="M87" s="2">
        <f t="shared" si="136"/>
        <v>5.8999999999999997E-2</v>
      </c>
      <c r="N87" s="2">
        <f t="shared" si="136"/>
        <v>6.6500000000000004E-2</v>
      </c>
      <c r="O87" s="2">
        <f t="shared" si="136"/>
        <v>7.400000000000001E-2</v>
      </c>
      <c r="P87" s="2">
        <f t="shared" si="136"/>
        <v>8.1500000000000017E-2</v>
      </c>
      <c r="Q87" s="2">
        <f t="shared" si="136"/>
        <v>8.9000000000000024E-2</v>
      </c>
      <c r="R87" s="2">
        <f t="shared" si="136"/>
        <v>9.650000000000003E-2</v>
      </c>
      <c r="S87" s="2">
        <f t="shared" si="136"/>
        <v>0.10400000000000004</v>
      </c>
      <c r="T87" s="2">
        <f t="shared" si="136"/>
        <v>0.11150000000000004</v>
      </c>
      <c r="U87" s="2">
        <f t="shared" si="136"/>
        <v>0.11900000000000005</v>
      </c>
      <c r="V87" s="2">
        <f t="shared" si="136"/>
        <v>0.12650000000000006</v>
      </c>
      <c r="W87" s="2">
        <f t="shared" si="136"/>
        <v>0.13400000000000006</v>
      </c>
      <c r="X87" s="2">
        <f t="shared" si="136"/>
        <v>0.14150000000000007</v>
      </c>
      <c r="Y87" s="2">
        <f t="shared" si="136"/>
        <v>0.14900000000000008</v>
      </c>
      <c r="Z87" s="2">
        <f t="shared" si="136"/>
        <v>0.15650000000000008</v>
      </c>
      <c r="AA87" s="2">
        <f t="shared" si="136"/>
        <v>0.16400000000000009</v>
      </c>
      <c r="AB87" s="2">
        <f t="shared" si="136"/>
        <v>0.1715000000000001</v>
      </c>
      <c r="AC87" s="2">
        <f t="shared" si="136"/>
        <v>0.1790000000000001</v>
      </c>
      <c r="AD87" s="2">
        <f t="shared" si="136"/>
        <v>0.18650000000000011</v>
      </c>
      <c r="AE87" s="2">
        <f t="shared" si="136"/>
        <v>0.19400000000000012</v>
      </c>
      <c r="AF87" s="2">
        <f t="shared" si="136"/>
        <v>0.20150000000000012</v>
      </c>
      <c r="AG87" s="2">
        <f t="shared" si="136"/>
        <v>0.20900000000000013</v>
      </c>
      <c r="AH87" s="2">
        <f t="shared" si="136"/>
        <v>0.21650000000000014</v>
      </c>
      <c r="AI87" s="2">
        <f t="shared" si="136"/>
        <v>0.22400000000000014</v>
      </c>
      <c r="AJ87" s="2"/>
    </row>
    <row r="88" spans="4:37" ht="14.5" x14ac:dyDescent="0.35">
      <c r="F88" s="2">
        <v>8740</v>
      </c>
      <c r="G88" s="2">
        <f>F88+119.9444828</f>
        <v>8859.9444827999996</v>
      </c>
      <c r="H88" s="2">
        <f t="shared" ref="H88:AI88" si="137">G88+119.9444828</f>
        <v>8979.8889655999992</v>
      </c>
      <c r="I88" s="2">
        <f t="shared" si="137"/>
        <v>9099.8334483999988</v>
      </c>
      <c r="J88" s="2">
        <f t="shared" si="137"/>
        <v>9219.7779311999984</v>
      </c>
      <c r="K88" s="2">
        <f t="shared" si="137"/>
        <v>9339.722413999998</v>
      </c>
      <c r="L88" s="2">
        <f t="shared" si="137"/>
        <v>9459.6668967999976</v>
      </c>
      <c r="M88" s="2">
        <f t="shared" si="137"/>
        <v>9579.6113795999972</v>
      </c>
      <c r="N88" s="2">
        <f t="shared" si="137"/>
        <v>9699.5558623999968</v>
      </c>
      <c r="O88" s="2">
        <f t="shared" si="137"/>
        <v>9819.5003451999964</v>
      </c>
      <c r="P88" s="2">
        <f t="shared" si="137"/>
        <v>9939.4448279999961</v>
      </c>
      <c r="Q88" s="2">
        <f t="shared" si="137"/>
        <v>10059.389310799996</v>
      </c>
      <c r="R88" s="2">
        <f t="shared" si="137"/>
        <v>10179.333793599995</v>
      </c>
      <c r="S88" s="2">
        <f t="shared" si="137"/>
        <v>10299.278276399995</v>
      </c>
      <c r="T88" s="2">
        <f t="shared" si="137"/>
        <v>10419.222759199994</v>
      </c>
      <c r="U88" s="2">
        <f t="shared" si="137"/>
        <v>10539.167241999994</v>
      </c>
      <c r="V88" s="2">
        <f t="shared" si="137"/>
        <v>10659.111724799994</v>
      </c>
      <c r="W88" s="2">
        <f t="shared" si="137"/>
        <v>10779.056207599993</v>
      </c>
      <c r="X88" s="2">
        <f t="shared" si="137"/>
        <v>10899.000690399993</v>
      </c>
      <c r="Y88" s="2">
        <f t="shared" si="137"/>
        <v>11018.945173199992</v>
      </c>
      <c r="Z88" s="2">
        <f t="shared" si="137"/>
        <v>11138.889655999992</v>
      </c>
      <c r="AA88" s="2">
        <f t="shared" si="137"/>
        <v>11258.834138799992</v>
      </c>
      <c r="AB88" s="2">
        <f t="shared" si="137"/>
        <v>11378.778621599991</v>
      </c>
      <c r="AC88" s="2">
        <f t="shared" si="137"/>
        <v>11498.723104399991</v>
      </c>
      <c r="AD88" s="2">
        <f t="shared" si="137"/>
        <v>11618.667587199991</v>
      </c>
      <c r="AE88" s="2">
        <f t="shared" si="137"/>
        <v>11738.61206999999</v>
      </c>
      <c r="AF88" s="2">
        <f t="shared" si="137"/>
        <v>11858.55655279999</v>
      </c>
      <c r="AG88" s="2">
        <f t="shared" si="137"/>
        <v>11978.501035599989</v>
      </c>
      <c r="AH88" s="2">
        <f t="shared" si="137"/>
        <v>12098.445518399989</v>
      </c>
      <c r="AI88" s="2">
        <f t="shared" si="137"/>
        <v>12218.390001199989</v>
      </c>
      <c r="AJ88" s="2"/>
      <c r="AK88" s="195"/>
    </row>
    <row r="89" spans="4:37" ht="14.5" x14ac:dyDescent="0.35">
      <c r="E89" t="s">
        <v>78</v>
      </c>
      <c r="F89" s="2" t="s">
        <v>79</v>
      </c>
      <c r="G89" s="2" t="s">
        <v>79</v>
      </c>
      <c r="H89" s="2" t="s">
        <v>79</v>
      </c>
      <c r="I89" s="2" t="s">
        <v>79</v>
      </c>
      <c r="J89" s="2" t="s">
        <v>79</v>
      </c>
      <c r="K89" s="2" t="s">
        <v>79</v>
      </c>
      <c r="L89" s="2" t="s">
        <v>79</v>
      </c>
      <c r="M89" s="2" t="s">
        <v>79</v>
      </c>
      <c r="N89" s="2" t="s">
        <v>79</v>
      </c>
      <c r="O89" s="2" t="s">
        <v>79</v>
      </c>
      <c r="P89" s="2" t="s">
        <v>79</v>
      </c>
      <c r="Q89" s="2" t="s">
        <v>79</v>
      </c>
      <c r="R89" s="2" t="s">
        <v>79</v>
      </c>
      <c r="S89" s="2" t="s">
        <v>79</v>
      </c>
      <c r="T89" s="2" t="s">
        <v>79</v>
      </c>
      <c r="U89" s="2" t="s">
        <v>79</v>
      </c>
      <c r="V89" s="2" t="s">
        <v>79</v>
      </c>
      <c r="W89" s="2" t="s">
        <v>79</v>
      </c>
      <c r="X89" s="2" t="s">
        <v>79</v>
      </c>
      <c r="Y89" s="2" t="s">
        <v>79</v>
      </c>
      <c r="Z89" s="2" t="s">
        <v>79</v>
      </c>
      <c r="AA89" s="2" t="s">
        <v>79</v>
      </c>
      <c r="AB89" s="2" t="s">
        <v>79</v>
      </c>
      <c r="AC89" s="2" t="s">
        <v>79</v>
      </c>
      <c r="AD89" s="2" t="s">
        <v>79</v>
      </c>
      <c r="AE89" s="2" t="s">
        <v>79</v>
      </c>
      <c r="AF89" s="2" t="s">
        <v>79</v>
      </c>
      <c r="AG89" s="2" t="s">
        <v>79</v>
      </c>
      <c r="AH89" s="2" t="s">
        <v>79</v>
      </c>
      <c r="AI89" s="2" t="s">
        <v>79</v>
      </c>
      <c r="AJ89" s="2"/>
      <c r="AK89" s="195">
        <f>-E109</f>
        <v>-3713.8794309999998</v>
      </c>
    </row>
    <row r="90" spans="4:37" ht="14.5" x14ac:dyDescent="0.35">
      <c r="E90" t="s">
        <v>49</v>
      </c>
      <c r="F90" s="2">
        <f>-(65000+150000)*13600/1000000000</f>
        <v>-2.9239999999999999</v>
      </c>
      <c r="G90" s="2">
        <f>F90*1.03</f>
        <v>-3.01172</v>
      </c>
      <c r="H90" s="2">
        <f t="shared" ref="H90:AI90" si="138">G90*1.03</f>
        <v>-3.1020715999999999</v>
      </c>
      <c r="I90" s="2">
        <f t="shared" si="138"/>
        <v>-3.1951337479999999</v>
      </c>
      <c r="J90" s="2">
        <f t="shared" si="138"/>
        <v>-3.2909877604400002</v>
      </c>
      <c r="K90" s="2">
        <f t="shared" si="138"/>
        <v>-3.3897173932532003</v>
      </c>
      <c r="L90" s="2">
        <f t="shared" si="138"/>
        <v>-3.4914089150507963</v>
      </c>
      <c r="M90" s="2">
        <f t="shared" si="138"/>
        <v>-3.5961511825023202</v>
      </c>
      <c r="N90" s="2">
        <f t="shared" si="138"/>
        <v>-3.7040357179773897</v>
      </c>
      <c r="O90" s="2">
        <f t="shared" si="138"/>
        <v>-3.8151567895167116</v>
      </c>
      <c r="P90" s="2">
        <f t="shared" si="138"/>
        <v>-3.9296114932022128</v>
      </c>
      <c r="Q90" s="2">
        <f t="shared" si="138"/>
        <v>-4.0474998379982789</v>
      </c>
      <c r="R90" s="2">
        <f t="shared" si="138"/>
        <v>-4.1689248331382274</v>
      </c>
      <c r="S90" s="2">
        <f t="shared" si="138"/>
        <v>-4.2939925781323742</v>
      </c>
      <c r="T90" s="2">
        <f t="shared" si="138"/>
        <v>-4.4228123554763457</v>
      </c>
      <c r="U90" s="2">
        <f t="shared" si="138"/>
        <v>-4.5554967261406363</v>
      </c>
      <c r="V90" s="2">
        <f t="shared" si="138"/>
        <v>-4.6921616279248557</v>
      </c>
      <c r="W90" s="2">
        <f t="shared" si="138"/>
        <v>-4.8329264767626015</v>
      </c>
      <c r="X90" s="2">
        <f t="shared" si="138"/>
        <v>-4.9779142710654796</v>
      </c>
      <c r="Y90" s="2">
        <f t="shared" si="138"/>
        <v>-5.1272516991974442</v>
      </c>
      <c r="Z90" s="2">
        <f t="shared" si="138"/>
        <v>-5.2810692501733678</v>
      </c>
      <c r="AA90" s="2">
        <f t="shared" si="138"/>
        <v>-5.4395013276785686</v>
      </c>
      <c r="AB90" s="2">
        <f t="shared" si="138"/>
        <v>-5.6026863675089258</v>
      </c>
      <c r="AC90" s="2">
        <f t="shared" si="138"/>
        <v>-5.7707669585341934</v>
      </c>
      <c r="AD90" s="2">
        <f t="shared" si="138"/>
        <v>-5.943889967290219</v>
      </c>
      <c r="AE90" s="2">
        <f t="shared" si="138"/>
        <v>-6.1222066663089256</v>
      </c>
      <c r="AF90" s="2">
        <f t="shared" si="138"/>
        <v>-6.305872866298194</v>
      </c>
      <c r="AG90" s="2">
        <f t="shared" si="138"/>
        <v>-6.4950490522871398</v>
      </c>
      <c r="AH90" s="2">
        <f t="shared" si="138"/>
        <v>-6.6899005238557541</v>
      </c>
      <c r="AI90" s="2">
        <f t="shared" si="138"/>
        <v>-6.8905975395714272</v>
      </c>
      <c r="AJ90" s="2"/>
      <c r="AK90" s="195">
        <f>SUM(F90:AI90)</f>
        <v>-139.11051552528559</v>
      </c>
    </row>
    <row r="91" spans="4:37" ht="14.5" x14ac:dyDescent="0.35">
      <c r="E91" t="s">
        <v>80</v>
      </c>
      <c r="F91" t="s">
        <v>81</v>
      </c>
      <c r="G91" t="s">
        <v>82</v>
      </c>
      <c r="AK91" s="195"/>
    </row>
    <row r="92" spans="4:37" ht="14.5" x14ac:dyDescent="0.35">
      <c r="E92">
        <v>2024</v>
      </c>
      <c r="F92" t="s">
        <v>83</v>
      </c>
      <c r="G92" t="s">
        <v>84</v>
      </c>
      <c r="H92" t="s">
        <v>85</v>
      </c>
      <c r="I92" t="s">
        <v>86</v>
      </c>
      <c r="J92" t="s">
        <v>83</v>
      </c>
      <c r="K92" t="s">
        <v>87</v>
      </c>
      <c r="L92" t="s">
        <v>88</v>
      </c>
      <c r="N92" t="s">
        <v>89</v>
      </c>
      <c r="O92" t="s">
        <v>90</v>
      </c>
      <c r="P92">
        <v>2400</v>
      </c>
      <c r="W92" s="2"/>
    </row>
    <row r="93" spans="4:37" ht="14.5" x14ac:dyDescent="0.35">
      <c r="E93">
        <v>0.05</v>
      </c>
      <c r="F93">
        <v>0.626</v>
      </c>
      <c r="G93">
        <v>9.7000000000000003E-3</v>
      </c>
      <c r="H93">
        <v>40</v>
      </c>
      <c r="I93">
        <v>3.6</v>
      </c>
      <c r="J93">
        <v>403</v>
      </c>
      <c r="K93">
        <v>286</v>
      </c>
      <c r="L93">
        <v>1600</v>
      </c>
      <c r="O93" t="s">
        <v>91</v>
      </c>
      <c r="P93">
        <v>4100</v>
      </c>
      <c r="Q93" t="s">
        <v>92</v>
      </c>
      <c r="R93">
        <v>2000</v>
      </c>
      <c r="S93">
        <v>2100</v>
      </c>
      <c r="X93">
        <f>(AI88-F88)/29</f>
        <v>119.94448279999961</v>
      </c>
    </row>
    <row r="94" spans="4:37" ht="14.5" x14ac:dyDescent="0.35">
      <c r="E94">
        <v>0.02</v>
      </c>
      <c r="F94">
        <v>7.1999999999999998E-3</v>
      </c>
      <c r="G94">
        <v>1E-3</v>
      </c>
      <c r="H94">
        <v>145.9</v>
      </c>
      <c r="J94">
        <v>135</v>
      </c>
    </row>
    <row r="95" spans="4:37" ht="14.5" x14ac:dyDescent="0.35">
      <c r="E95">
        <v>0.03</v>
      </c>
      <c r="F95">
        <v>7.0000000000000007E-2</v>
      </c>
      <c r="G95">
        <v>5.0000000000000001E-4</v>
      </c>
      <c r="N95" t="s">
        <v>93</v>
      </c>
      <c r="O95" t="s">
        <v>94</v>
      </c>
      <c r="P95">
        <v>824</v>
      </c>
    </row>
    <row r="96" spans="4:37" ht="14.5" x14ac:dyDescent="0.35">
      <c r="E96">
        <v>0.1</v>
      </c>
      <c r="F96">
        <v>1.2E-2</v>
      </c>
      <c r="G96">
        <v>1.9300000000000001E-2</v>
      </c>
      <c r="O96" t="s">
        <v>83</v>
      </c>
      <c r="P96">
        <v>4400</v>
      </c>
    </row>
    <row r="97" spans="5:16" ht="14.5" x14ac:dyDescent="0.35">
      <c r="E97">
        <v>0.16300000000000001</v>
      </c>
      <c r="F97">
        <v>6.6E-3</v>
      </c>
      <c r="G97">
        <v>2.2700000000000001E-2</v>
      </c>
      <c r="O97" t="s">
        <v>95</v>
      </c>
      <c r="P97">
        <f>6000-P95-P96</f>
        <v>776</v>
      </c>
    </row>
    <row r="98" spans="5:16" ht="14.5" x14ac:dyDescent="0.35">
      <c r="E98">
        <v>0.25</v>
      </c>
      <c r="G98">
        <v>4.0099999999999997E-2</v>
      </c>
    </row>
    <row r="99" spans="5:16" ht="14.5" x14ac:dyDescent="0.35">
      <c r="E99">
        <v>0.32800000000000001</v>
      </c>
      <c r="G99">
        <v>3.3E-3</v>
      </c>
    </row>
    <row r="100" spans="5:16" ht="14.5" x14ac:dyDescent="0.35">
      <c r="E100">
        <v>0.45</v>
      </c>
      <c r="G100">
        <v>2.31E-4</v>
      </c>
    </row>
    <row r="101" spans="5:16" ht="14.5" x14ac:dyDescent="0.35">
      <c r="E101">
        <v>0.25</v>
      </c>
      <c r="G101">
        <v>3.5000000000000003E-2</v>
      </c>
    </row>
    <row r="102" spans="5:16" ht="14.5" x14ac:dyDescent="0.35">
      <c r="E102">
        <v>0.23400000000000001</v>
      </c>
      <c r="G102">
        <v>5.0000000000000001E-3</v>
      </c>
    </row>
    <row r="103" spans="5:16" ht="14.5" x14ac:dyDescent="0.35">
      <c r="E103">
        <v>8</v>
      </c>
      <c r="G103">
        <v>2.76E-2</v>
      </c>
    </row>
    <row r="104" spans="5:16" ht="14.5" x14ac:dyDescent="0.35">
      <c r="G104">
        <v>0.14000000000000001</v>
      </c>
    </row>
    <row r="106" spans="5:16" ht="14.5" x14ac:dyDescent="0.35">
      <c r="E106">
        <f>SUM(E93:E103)</f>
        <v>9.875</v>
      </c>
      <c r="F106">
        <f>SUM(F93:F97)</f>
        <v>0.72180000000000011</v>
      </c>
      <c r="G106">
        <f>SUM(G93:G104)</f>
        <v>0.30443100000000001</v>
      </c>
      <c r="H106">
        <f>SUM(H93:H94)</f>
        <v>185.9</v>
      </c>
      <c r="I106">
        <f>SUM(I93)</f>
        <v>3.6</v>
      </c>
      <c r="J106">
        <f>SUM(J93:J94)</f>
        <v>538</v>
      </c>
      <c r="K106">
        <v>286</v>
      </c>
    </row>
    <row r="107" spans="5:16" ht="14.5" x14ac:dyDescent="0.35">
      <c r="E107">
        <f>293+224.9+11.4</f>
        <v>529.29999999999995</v>
      </c>
      <c r="K107">
        <v>381</v>
      </c>
    </row>
    <row r="109" spans="5:16" ht="14.5" x14ac:dyDescent="0.35">
      <c r="E109" s="124">
        <f>E106+L93+I106+R93-H106+G106+K106</f>
        <v>3713.8794309999998</v>
      </c>
      <c r="F109">
        <f>SUM(P92:P97,H106)-R93-K106-L93-I106-G106-E106</f>
        <v>8786.1205689999988</v>
      </c>
      <c r="G109">
        <f>SUM(P92:P97)</f>
        <v>12500</v>
      </c>
    </row>
    <row r="110" spans="5:16" ht="14.5" x14ac:dyDescent="0.35">
      <c r="E110" t="s">
        <v>96</v>
      </c>
      <c r="F110" t="s">
        <v>97</v>
      </c>
      <c r="G110">
        <v>2500</v>
      </c>
    </row>
    <row r="111" spans="5:16" ht="14.5" x14ac:dyDescent="0.35">
      <c r="E111">
        <f>E109/G109</f>
        <v>0.29711035448000001</v>
      </c>
      <c r="F111">
        <f>F109/G109</f>
        <v>0.70288964551999988</v>
      </c>
    </row>
    <row r="112" spans="5:16" ht="14.5" x14ac:dyDescent="0.35"/>
    <row r="113" spans="2:37" ht="14.5" x14ac:dyDescent="0.35">
      <c r="E113" t="s">
        <v>98</v>
      </c>
      <c r="F113" t="s">
        <v>99</v>
      </c>
      <c r="G113" t="s">
        <v>100</v>
      </c>
    </row>
    <row r="114" spans="2:37" ht="14.5" x14ac:dyDescent="0.35">
      <c r="D114">
        <v>2024</v>
      </c>
      <c r="E114">
        <v>2025</v>
      </c>
      <c r="F114">
        <v>2026</v>
      </c>
      <c r="G114">
        <v>2027</v>
      </c>
      <c r="H114">
        <v>2028</v>
      </c>
      <c r="I114">
        <v>2029</v>
      </c>
      <c r="J114">
        <v>2030</v>
      </c>
      <c r="K114">
        <v>2031</v>
      </c>
      <c r="L114">
        <v>2032</v>
      </c>
      <c r="M114">
        <v>2033</v>
      </c>
      <c r="N114">
        <v>2034</v>
      </c>
      <c r="O114">
        <v>2035</v>
      </c>
      <c r="P114">
        <v>2036</v>
      </c>
      <c r="Q114">
        <v>2037</v>
      </c>
      <c r="R114">
        <v>2038</v>
      </c>
      <c r="S114">
        <v>2039</v>
      </c>
      <c r="T114">
        <v>2040</v>
      </c>
      <c r="U114">
        <v>2041</v>
      </c>
      <c r="V114">
        <v>2042</v>
      </c>
      <c r="W114">
        <v>2043</v>
      </c>
      <c r="X114">
        <v>2044</v>
      </c>
      <c r="Y114">
        <v>2045</v>
      </c>
      <c r="Z114">
        <v>2046</v>
      </c>
      <c r="AA114">
        <v>2047</v>
      </c>
      <c r="AB114">
        <v>2048</v>
      </c>
      <c r="AC114">
        <v>2049</v>
      </c>
      <c r="AD114">
        <v>2050</v>
      </c>
      <c r="AE114">
        <v>2051</v>
      </c>
      <c r="AF114">
        <v>2052</v>
      </c>
      <c r="AG114">
        <v>2053</v>
      </c>
      <c r="AH114">
        <v>2054</v>
      </c>
      <c r="AI114">
        <v>2055</v>
      </c>
      <c r="AK114" s="198"/>
    </row>
    <row r="115" spans="2:37" ht="14.5" x14ac:dyDescent="0.35">
      <c r="B115" t="s">
        <v>101</v>
      </c>
    </row>
    <row r="116" spans="2:37" ht="14.5" x14ac:dyDescent="0.35">
      <c r="B116" t="s">
        <v>102</v>
      </c>
      <c r="D116">
        <v>31</v>
      </c>
      <c r="E116">
        <v>41</v>
      </c>
      <c r="F116">
        <v>53</v>
      </c>
      <c r="G116">
        <v>59</v>
      </c>
      <c r="H116">
        <v>65</v>
      </c>
      <c r="I116">
        <v>72</v>
      </c>
      <c r="J116">
        <v>79</v>
      </c>
      <c r="K116">
        <v>86</v>
      </c>
      <c r="L116">
        <v>94</v>
      </c>
      <c r="M116">
        <v>101</v>
      </c>
      <c r="N116">
        <v>108</v>
      </c>
      <c r="O116">
        <f>N116+7</f>
        <v>115</v>
      </c>
      <c r="P116">
        <f t="shared" ref="P116:AI116" si="139">O116+7</f>
        <v>122</v>
      </c>
      <c r="Q116">
        <f t="shared" si="139"/>
        <v>129</v>
      </c>
      <c r="R116">
        <f t="shared" si="139"/>
        <v>136</v>
      </c>
      <c r="S116">
        <f t="shared" si="139"/>
        <v>143</v>
      </c>
      <c r="T116">
        <f t="shared" si="139"/>
        <v>150</v>
      </c>
      <c r="U116">
        <f t="shared" si="139"/>
        <v>157</v>
      </c>
      <c r="V116">
        <f t="shared" si="139"/>
        <v>164</v>
      </c>
      <c r="W116">
        <f t="shared" si="139"/>
        <v>171</v>
      </c>
      <c r="X116">
        <f t="shared" si="139"/>
        <v>178</v>
      </c>
      <c r="Y116">
        <f t="shared" si="139"/>
        <v>185</v>
      </c>
      <c r="Z116">
        <f t="shared" si="139"/>
        <v>192</v>
      </c>
      <c r="AA116">
        <f t="shared" si="139"/>
        <v>199</v>
      </c>
      <c r="AB116">
        <f t="shared" si="139"/>
        <v>206</v>
      </c>
      <c r="AC116">
        <f t="shared" si="139"/>
        <v>213</v>
      </c>
      <c r="AD116">
        <f t="shared" si="139"/>
        <v>220</v>
      </c>
      <c r="AE116">
        <f t="shared" si="139"/>
        <v>227</v>
      </c>
      <c r="AF116">
        <f t="shared" si="139"/>
        <v>234</v>
      </c>
      <c r="AG116">
        <f t="shared" si="139"/>
        <v>241</v>
      </c>
      <c r="AH116">
        <f t="shared" si="139"/>
        <v>248</v>
      </c>
      <c r="AI116">
        <f t="shared" si="139"/>
        <v>255</v>
      </c>
      <c r="AK116" s="184">
        <f>SUM(D116:AI116)</f>
        <v>4674</v>
      </c>
    </row>
    <row r="117" spans="2:37" ht="14.5" x14ac:dyDescent="0.35">
      <c r="B117" t="s">
        <v>103</v>
      </c>
      <c r="D117">
        <v>11</v>
      </c>
      <c r="E117">
        <v>13</v>
      </c>
      <c r="F117">
        <v>18</v>
      </c>
      <c r="G117">
        <v>27</v>
      </c>
      <c r="H117">
        <v>33</v>
      </c>
      <c r="I117">
        <v>36</v>
      </c>
      <c r="J117">
        <v>40</v>
      </c>
      <c r="K117">
        <v>45</v>
      </c>
      <c r="L117">
        <v>49</v>
      </c>
      <c r="M117">
        <v>54</v>
      </c>
      <c r="N117">
        <v>60</v>
      </c>
      <c r="O117">
        <f>N117+5</f>
        <v>65</v>
      </c>
      <c r="P117">
        <f t="shared" ref="P117:AI117" si="140">O117+5</f>
        <v>70</v>
      </c>
      <c r="Q117">
        <f t="shared" si="140"/>
        <v>75</v>
      </c>
      <c r="R117">
        <f t="shared" si="140"/>
        <v>80</v>
      </c>
      <c r="S117">
        <f t="shared" si="140"/>
        <v>85</v>
      </c>
      <c r="T117">
        <f t="shared" si="140"/>
        <v>90</v>
      </c>
      <c r="U117">
        <f t="shared" si="140"/>
        <v>95</v>
      </c>
      <c r="V117">
        <f t="shared" si="140"/>
        <v>100</v>
      </c>
      <c r="W117">
        <f t="shared" si="140"/>
        <v>105</v>
      </c>
      <c r="X117">
        <f t="shared" si="140"/>
        <v>110</v>
      </c>
      <c r="Y117">
        <f t="shared" si="140"/>
        <v>115</v>
      </c>
      <c r="Z117">
        <f t="shared" si="140"/>
        <v>120</v>
      </c>
      <c r="AA117">
        <f t="shared" si="140"/>
        <v>125</v>
      </c>
      <c r="AB117">
        <f t="shared" si="140"/>
        <v>130</v>
      </c>
      <c r="AC117">
        <f t="shared" si="140"/>
        <v>135</v>
      </c>
      <c r="AD117">
        <f t="shared" si="140"/>
        <v>140</v>
      </c>
      <c r="AE117">
        <f t="shared" si="140"/>
        <v>145</v>
      </c>
      <c r="AF117">
        <f t="shared" si="140"/>
        <v>150</v>
      </c>
      <c r="AG117">
        <f t="shared" si="140"/>
        <v>155</v>
      </c>
      <c r="AH117">
        <f t="shared" si="140"/>
        <v>160</v>
      </c>
      <c r="AI117">
        <f t="shared" si="140"/>
        <v>165</v>
      </c>
      <c r="AK117" s="184">
        <f t="shared" ref="AK117:AK127" si="141">SUM(D117:AI117)</f>
        <v>2801</v>
      </c>
    </row>
    <row r="118" spans="2:37" ht="14.5" x14ac:dyDescent="0.35">
      <c r="B118" t="s">
        <v>2</v>
      </c>
      <c r="D118">
        <f>D116+D117</f>
        <v>42</v>
      </c>
      <c r="E118">
        <f t="shared" ref="E118:AI118" si="142">E116+E117</f>
        <v>54</v>
      </c>
      <c r="F118">
        <f t="shared" si="142"/>
        <v>71</v>
      </c>
      <c r="G118">
        <f t="shared" si="142"/>
        <v>86</v>
      </c>
      <c r="H118">
        <f t="shared" si="142"/>
        <v>98</v>
      </c>
      <c r="I118">
        <f t="shared" si="142"/>
        <v>108</v>
      </c>
      <c r="J118">
        <f t="shared" si="142"/>
        <v>119</v>
      </c>
      <c r="K118">
        <f t="shared" si="142"/>
        <v>131</v>
      </c>
      <c r="L118">
        <f t="shared" si="142"/>
        <v>143</v>
      </c>
      <c r="M118">
        <f t="shared" si="142"/>
        <v>155</v>
      </c>
      <c r="N118">
        <f t="shared" si="142"/>
        <v>168</v>
      </c>
      <c r="O118">
        <f t="shared" si="142"/>
        <v>180</v>
      </c>
      <c r="P118">
        <f t="shared" si="142"/>
        <v>192</v>
      </c>
      <c r="Q118">
        <f t="shared" si="142"/>
        <v>204</v>
      </c>
      <c r="R118">
        <f t="shared" si="142"/>
        <v>216</v>
      </c>
      <c r="S118">
        <f t="shared" si="142"/>
        <v>228</v>
      </c>
      <c r="T118">
        <f t="shared" si="142"/>
        <v>240</v>
      </c>
      <c r="U118">
        <f t="shared" si="142"/>
        <v>252</v>
      </c>
      <c r="V118">
        <f t="shared" si="142"/>
        <v>264</v>
      </c>
      <c r="W118">
        <f t="shared" si="142"/>
        <v>276</v>
      </c>
      <c r="X118">
        <f t="shared" si="142"/>
        <v>288</v>
      </c>
      <c r="Y118">
        <f t="shared" si="142"/>
        <v>300</v>
      </c>
      <c r="Z118">
        <f t="shared" si="142"/>
        <v>312</v>
      </c>
      <c r="AA118">
        <f t="shared" si="142"/>
        <v>324</v>
      </c>
      <c r="AB118">
        <f t="shared" si="142"/>
        <v>336</v>
      </c>
      <c r="AC118">
        <f t="shared" si="142"/>
        <v>348</v>
      </c>
      <c r="AD118">
        <f t="shared" si="142"/>
        <v>360</v>
      </c>
      <c r="AE118">
        <f t="shared" si="142"/>
        <v>372</v>
      </c>
      <c r="AF118">
        <f t="shared" si="142"/>
        <v>384</v>
      </c>
      <c r="AG118">
        <f t="shared" si="142"/>
        <v>396</v>
      </c>
      <c r="AH118">
        <f t="shared" si="142"/>
        <v>408</v>
      </c>
      <c r="AI118">
        <f t="shared" si="142"/>
        <v>420</v>
      </c>
      <c r="AK118" s="184">
        <f t="shared" si="141"/>
        <v>7475</v>
      </c>
    </row>
    <row r="120" spans="2:37" ht="14.5" x14ac:dyDescent="0.35">
      <c r="B120" t="s">
        <v>104</v>
      </c>
    </row>
    <row r="121" spans="2:37" ht="14.5" x14ac:dyDescent="0.35">
      <c r="B121" t="s">
        <v>105</v>
      </c>
      <c r="D121">
        <v>7</v>
      </c>
      <c r="E121">
        <v>11</v>
      </c>
      <c r="F121">
        <v>13</v>
      </c>
      <c r="G121">
        <v>14</v>
      </c>
      <c r="H121">
        <v>15</v>
      </c>
      <c r="I121">
        <v>16</v>
      </c>
      <c r="J121">
        <v>17</v>
      </c>
      <c r="K121">
        <v>19</v>
      </c>
      <c r="L121">
        <v>20</v>
      </c>
      <c r="M121">
        <v>21</v>
      </c>
      <c r="N121">
        <v>23</v>
      </c>
      <c r="O121">
        <f>N121+1</f>
        <v>24</v>
      </c>
      <c r="P121">
        <f t="shared" ref="P121:AI121" si="143">O121+1</f>
        <v>25</v>
      </c>
      <c r="Q121">
        <f t="shared" si="143"/>
        <v>26</v>
      </c>
      <c r="R121">
        <f t="shared" si="143"/>
        <v>27</v>
      </c>
      <c r="S121">
        <f t="shared" si="143"/>
        <v>28</v>
      </c>
      <c r="T121">
        <f t="shared" si="143"/>
        <v>29</v>
      </c>
      <c r="U121">
        <f t="shared" si="143"/>
        <v>30</v>
      </c>
      <c r="V121">
        <f t="shared" si="143"/>
        <v>31</v>
      </c>
      <c r="W121">
        <f t="shared" si="143"/>
        <v>32</v>
      </c>
      <c r="X121">
        <f t="shared" si="143"/>
        <v>33</v>
      </c>
      <c r="Y121">
        <f t="shared" si="143"/>
        <v>34</v>
      </c>
      <c r="Z121">
        <f t="shared" si="143"/>
        <v>35</v>
      </c>
      <c r="AA121">
        <f t="shared" si="143"/>
        <v>36</v>
      </c>
      <c r="AB121">
        <f t="shared" si="143"/>
        <v>37</v>
      </c>
      <c r="AC121">
        <f t="shared" si="143"/>
        <v>38</v>
      </c>
      <c r="AD121">
        <f t="shared" si="143"/>
        <v>39</v>
      </c>
      <c r="AE121">
        <f t="shared" si="143"/>
        <v>40</v>
      </c>
      <c r="AF121">
        <f t="shared" si="143"/>
        <v>41</v>
      </c>
      <c r="AG121">
        <f t="shared" si="143"/>
        <v>42</v>
      </c>
      <c r="AH121">
        <f t="shared" si="143"/>
        <v>43</v>
      </c>
      <c r="AI121">
        <f t="shared" si="143"/>
        <v>44</v>
      </c>
      <c r="AK121" s="184">
        <f t="shared" si="141"/>
        <v>890</v>
      </c>
    </row>
    <row r="122" spans="2:37" ht="14.5" x14ac:dyDescent="0.35">
      <c r="B122" t="s">
        <v>103</v>
      </c>
      <c r="D122">
        <v>-1</v>
      </c>
      <c r="E122">
        <v>-2</v>
      </c>
      <c r="F122">
        <v>-2</v>
      </c>
      <c r="G122" t="s">
        <v>106</v>
      </c>
      <c r="H122">
        <v>1</v>
      </c>
      <c r="I122">
        <v>3</v>
      </c>
      <c r="J122">
        <v>9</v>
      </c>
      <c r="K122">
        <v>16</v>
      </c>
      <c r="L122">
        <v>23</v>
      </c>
      <c r="M122">
        <v>27</v>
      </c>
      <c r="N122">
        <v>27</v>
      </c>
      <c r="O122">
        <f>N122+7</f>
        <v>34</v>
      </c>
      <c r="P122">
        <f t="shared" ref="P122:AI122" si="144">O122+7</f>
        <v>41</v>
      </c>
      <c r="Q122">
        <f t="shared" si="144"/>
        <v>48</v>
      </c>
      <c r="R122">
        <f t="shared" si="144"/>
        <v>55</v>
      </c>
      <c r="S122">
        <f t="shared" si="144"/>
        <v>62</v>
      </c>
      <c r="T122">
        <f t="shared" si="144"/>
        <v>69</v>
      </c>
      <c r="U122">
        <f t="shared" si="144"/>
        <v>76</v>
      </c>
      <c r="V122">
        <f t="shared" si="144"/>
        <v>83</v>
      </c>
      <c r="W122">
        <f t="shared" si="144"/>
        <v>90</v>
      </c>
      <c r="X122">
        <f t="shared" si="144"/>
        <v>97</v>
      </c>
      <c r="Y122">
        <f t="shared" si="144"/>
        <v>104</v>
      </c>
      <c r="Z122">
        <f t="shared" si="144"/>
        <v>111</v>
      </c>
      <c r="AA122">
        <f t="shared" si="144"/>
        <v>118</v>
      </c>
      <c r="AB122">
        <f t="shared" si="144"/>
        <v>125</v>
      </c>
      <c r="AC122">
        <f t="shared" si="144"/>
        <v>132</v>
      </c>
      <c r="AD122">
        <f t="shared" si="144"/>
        <v>139</v>
      </c>
      <c r="AE122">
        <f t="shared" si="144"/>
        <v>146</v>
      </c>
      <c r="AF122">
        <f t="shared" si="144"/>
        <v>153</v>
      </c>
      <c r="AG122">
        <f t="shared" si="144"/>
        <v>160</v>
      </c>
      <c r="AH122">
        <f t="shared" si="144"/>
        <v>167</v>
      </c>
      <c r="AI122">
        <f t="shared" si="144"/>
        <v>174</v>
      </c>
      <c r="AK122" s="184">
        <f t="shared" si="141"/>
        <v>2285</v>
      </c>
    </row>
    <row r="123" spans="2:37" ht="14.5" x14ac:dyDescent="0.35">
      <c r="B123" t="s">
        <v>2</v>
      </c>
      <c r="D123">
        <f>SUM(D121:D122)</f>
        <v>6</v>
      </c>
      <c r="E123">
        <f t="shared" ref="E123:AI123" si="145">SUM(E121:E122)</f>
        <v>9</v>
      </c>
      <c r="F123">
        <f t="shared" si="145"/>
        <v>11</v>
      </c>
      <c r="G123">
        <f t="shared" si="145"/>
        <v>14</v>
      </c>
      <c r="H123">
        <f t="shared" si="145"/>
        <v>16</v>
      </c>
      <c r="I123">
        <f t="shared" si="145"/>
        <v>19</v>
      </c>
      <c r="J123">
        <f t="shared" si="145"/>
        <v>26</v>
      </c>
      <c r="K123">
        <f t="shared" si="145"/>
        <v>35</v>
      </c>
      <c r="L123">
        <f t="shared" si="145"/>
        <v>43</v>
      </c>
      <c r="M123">
        <f t="shared" si="145"/>
        <v>48</v>
      </c>
      <c r="N123">
        <f t="shared" si="145"/>
        <v>50</v>
      </c>
      <c r="O123">
        <f t="shared" si="145"/>
        <v>58</v>
      </c>
      <c r="P123">
        <f t="shared" si="145"/>
        <v>66</v>
      </c>
      <c r="Q123">
        <f t="shared" si="145"/>
        <v>74</v>
      </c>
      <c r="R123">
        <f t="shared" si="145"/>
        <v>82</v>
      </c>
      <c r="S123">
        <f t="shared" si="145"/>
        <v>90</v>
      </c>
      <c r="T123">
        <f t="shared" si="145"/>
        <v>98</v>
      </c>
      <c r="U123">
        <f t="shared" si="145"/>
        <v>106</v>
      </c>
      <c r="V123">
        <f t="shared" si="145"/>
        <v>114</v>
      </c>
      <c r="W123">
        <f t="shared" si="145"/>
        <v>122</v>
      </c>
      <c r="X123">
        <f t="shared" si="145"/>
        <v>130</v>
      </c>
      <c r="Y123">
        <f t="shared" si="145"/>
        <v>138</v>
      </c>
      <c r="Z123">
        <f t="shared" si="145"/>
        <v>146</v>
      </c>
      <c r="AA123">
        <f t="shared" si="145"/>
        <v>154</v>
      </c>
      <c r="AB123">
        <f t="shared" si="145"/>
        <v>162</v>
      </c>
      <c r="AC123">
        <f t="shared" si="145"/>
        <v>170</v>
      </c>
      <c r="AD123">
        <f t="shared" si="145"/>
        <v>178</v>
      </c>
      <c r="AE123">
        <f t="shared" si="145"/>
        <v>186</v>
      </c>
      <c r="AF123">
        <f t="shared" si="145"/>
        <v>194</v>
      </c>
      <c r="AG123">
        <f t="shared" si="145"/>
        <v>202</v>
      </c>
      <c r="AH123">
        <f t="shared" si="145"/>
        <v>210</v>
      </c>
      <c r="AI123">
        <f t="shared" si="145"/>
        <v>218</v>
      </c>
      <c r="AK123" s="184">
        <f>SUM(AK121:AK122)</f>
        <v>3175</v>
      </c>
    </row>
    <row r="125" spans="2:37" ht="14.5" x14ac:dyDescent="0.35">
      <c r="B125" t="s">
        <v>107</v>
      </c>
    </row>
    <row r="126" spans="2:37" ht="14.5" x14ac:dyDescent="0.35">
      <c r="B126" t="s">
        <v>108</v>
      </c>
      <c r="D126">
        <v>-24</v>
      </c>
      <c r="E126">
        <v>-30</v>
      </c>
      <c r="F126">
        <v>-39</v>
      </c>
      <c r="G126">
        <v>-45</v>
      </c>
      <c r="H126">
        <v>-50</v>
      </c>
      <c r="I126">
        <v>-56</v>
      </c>
      <c r="J126">
        <v>-61</v>
      </c>
      <c r="K126">
        <v>-68</v>
      </c>
      <c r="L126">
        <v>-74</v>
      </c>
      <c r="M126">
        <v>-79</v>
      </c>
      <c r="N126">
        <v>-85</v>
      </c>
      <c r="O126">
        <f>-(O116-O121)</f>
        <v>-91</v>
      </c>
      <c r="P126">
        <f t="shared" ref="P126:AI126" si="146">-(P116-P121)</f>
        <v>-97</v>
      </c>
      <c r="Q126">
        <f t="shared" si="146"/>
        <v>-103</v>
      </c>
      <c r="R126">
        <f t="shared" si="146"/>
        <v>-109</v>
      </c>
      <c r="S126">
        <f t="shared" si="146"/>
        <v>-115</v>
      </c>
      <c r="T126">
        <f t="shared" si="146"/>
        <v>-121</v>
      </c>
      <c r="U126">
        <f t="shared" si="146"/>
        <v>-127</v>
      </c>
      <c r="V126">
        <f t="shared" si="146"/>
        <v>-133</v>
      </c>
      <c r="W126">
        <f t="shared" si="146"/>
        <v>-139</v>
      </c>
      <c r="X126">
        <f t="shared" si="146"/>
        <v>-145</v>
      </c>
      <c r="Y126">
        <f t="shared" si="146"/>
        <v>-151</v>
      </c>
      <c r="Z126">
        <f t="shared" si="146"/>
        <v>-157</v>
      </c>
      <c r="AA126">
        <f t="shared" si="146"/>
        <v>-163</v>
      </c>
      <c r="AB126">
        <f t="shared" si="146"/>
        <v>-169</v>
      </c>
      <c r="AC126">
        <f t="shared" si="146"/>
        <v>-175</v>
      </c>
      <c r="AD126">
        <f t="shared" si="146"/>
        <v>-181</v>
      </c>
      <c r="AE126">
        <f t="shared" si="146"/>
        <v>-187</v>
      </c>
      <c r="AF126">
        <f t="shared" si="146"/>
        <v>-193</v>
      </c>
      <c r="AG126">
        <f t="shared" si="146"/>
        <v>-199</v>
      </c>
      <c r="AH126">
        <f t="shared" si="146"/>
        <v>-205</v>
      </c>
      <c r="AI126">
        <f t="shared" si="146"/>
        <v>-211</v>
      </c>
      <c r="AK126" s="184">
        <f t="shared" si="141"/>
        <v>-3782</v>
      </c>
    </row>
    <row r="127" spans="2:37" ht="14.5" x14ac:dyDescent="0.35">
      <c r="B127" t="s">
        <v>103</v>
      </c>
      <c r="D127">
        <v>-12</v>
      </c>
      <c r="E127">
        <v>-16</v>
      </c>
      <c r="F127">
        <v>-20</v>
      </c>
      <c r="G127">
        <v>-26</v>
      </c>
      <c r="H127">
        <v>-33</v>
      </c>
      <c r="I127">
        <v>-33</v>
      </c>
      <c r="J127">
        <v>-31</v>
      </c>
      <c r="K127">
        <v>-29</v>
      </c>
      <c r="L127">
        <v>-26</v>
      </c>
      <c r="M127">
        <v>-27</v>
      </c>
      <c r="N127">
        <v>-33</v>
      </c>
      <c r="O127">
        <f>-(O117-O122)</f>
        <v>-31</v>
      </c>
      <c r="P127">
        <f t="shared" ref="P127:AI127" si="147">-(P117-P122)</f>
        <v>-29</v>
      </c>
      <c r="Q127">
        <f t="shared" si="147"/>
        <v>-27</v>
      </c>
      <c r="R127">
        <f t="shared" si="147"/>
        <v>-25</v>
      </c>
      <c r="S127">
        <f t="shared" si="147"/>
        <v>-23</v>
      </c>
      <c r="T127">
        <f t="shared" si="147"/>
        <v>-21</v>
      </c>
      <c r="U127">
        <f t="shared" si="147"/>
        <v>-19</v>
      </c>
      <c r="V127">
        <f t="shared" si="147"/>
        <v>-17</v>
      </c>
      <c r="W127">
        <f t="shared" si="147"/>
        <v>-15</v>
      </c>
      <c r="X127">
        <f t="shared" si="147"/>
        <v>-13</v>
      </c>
      <c r="Y127">
        <f t="shared" si="147"/>
        <v>-11</v>
      </c>
      <c r="Z127">
        <f t="shared" si="147"/>
        <v>-9</v>
      </c>
      <c r="AA127">
        <f t="shared" si="147"/>
        <v>-7</v>
      </c>
      <c r="AB127">
        <f t="shared" si="147"/>
        <v>-5</v>
      </c>
      <c r="AC127">
        <f t="shared" si="147"/>
        <v>-3</v>
      </c>
      <c r="AD127">
        <f t="shared" si="147"/>
        <v>-1</v>
      </c>
      <c r="AE127">
        <f t="shared" si="147"/>
        <v>1</v>
      </c>
      <c r="AF127">
        <f t="shared" si="147"/>
        <v>3</v>
      </c>
      <c r="AG127">
        <f t="shared" si="147"/>
        <v>5</v>
      </c>
      <c r="AH127">
        <f t="shared" si="147"/>
        <v>7</v>
      </c>
      <c r="AI127">
        <f t="shared" si="147"/>
        <v>9</v>
      </c>
      <c r="AK127" s="184">
        <f t="shared" si="141"/>
        <v>-517</v>
      </c>
    </row>
    <row r="128" spans="2:37" ht="14.5" x14ac:dyDescent="0.35">
      <c r="B128" t="s">
        <v>2</v>
      </c>
      <c r="D128">
        <f>SUM(D126:D127)</f>
        <v>-36</v>
      </c>
      <c r="E128">
        <f t="shared" ref="E128:AI128" si="148">SUM(E126:E127)</f>
        <v>-46</v>
      </c>
      <c r="F128">
        <f t="shared" si="148"/>
        <v>-59</v>
      </c>
      <c r="G128">
        <f t="shared" si="148"/>
        <v>-71</v>
      </c>
      <c r="H128">
        <f t="shared" si="148"/>
        <v>-83</v>
      </c>
      <c r="I128">
        <f t="shared" si="148"/>
        <v>-89</v>
      </c>
      <c r="J128">
        <f t="shared" si="148"/>
        <v>-92</v>
      </c>
      <c r="K128">
        <f t="shared" si="148"/>
        <v>-97</v>
      </c>
      <c r="L128">
        <f t="shared" si="148"/>
        <v>-100</v>
      </c>
      <c r="M128">
        <f t="shared" si="148"/>
        <v>-106</v>
      </c>
      <c r="N128">
        <f t="shared" si="148"/>
        <v>-118</v>
      </c>
      <c r="O128">
        <f t="shared" si="148"/>
        <v>-122</v>
      </c>
      <c r="P128">
        <f t="shared" si="148"/>
        <v>-126</v>
      </c>
      <c r="Q128">
        <f t="shared" si="148"/>
        <v>-130</v>
      </c>
      <c r="R128">
        <f t="shared" si="148"/>
        <v>-134</v>
      </c>
      <c r="S128">
        <f t="shared" si="148"/>
        <v>-138</v>
      </c>
      <c r="T128">
        <f t="shared" si="148"/>
        <v>-142</v>
      </c>
      <c r="U128">
        <f t="shared" si="148"/>
        <v>-146</v>
      </c>
      <c r="V128">
        <f t="shared" si="148"/>
        <v>-150</v>
      </c>
      <c r="W128">
        <f t="shared" si="148"/>
        <v>-154</v>
      </c>
      <c r="X128">
        <f t="shared" si="148"/>
        <v>-158</v>
      </c>
      <c r="Y128">
        <f t="shared" si="148"/>
        <v>-162</v>
      </c>
      <c r="Z128">
        <f t="shared" si="148"/>
        <v>-166</v>
      </c>
      <c r="AA128">
        <f t="shared" si="148"/>
        <v>-170</v>
      </c>
      <c r="AB128">
        <f t="shared" si="148"/>
        <v>-174</v>
      </c>
      <c r="AC128">
        <f t="shared" si="148"/>
        <v>-178</v>
      </c>
      <c r="AD128">
        <f t="shared" si="148"/>
        <v>-182</v>
      </c>
      <c r="AE128">
        <f t="shared" si="148"/>
        <v>-186</v>
      </c>
      <c r="AF128">
        <f t="shared" si="148"/>
        <v>-190</v>
      </c>
      <c r="AG128">
        <f t="shared" si="148"/>
        <v>-194</v>
      </c>
      <c r="AH128">
        <f t="shared" si="148"/>
        <v>-198</v>
      </c>
      <c r="AI128">
        <f t="shared" si="148"/>
        <v>-202</v>
      </c>
      <c r="AK128" s="184">
        <f>SUM(AK126:AK127)</f>
        <v>-4299</v>
      </c>
    </row>
    <row r="129" ht="14.5" x14ac:dyDescent="0.35"/>
  </sheetData>
  <hyperlinks>
    <hyperlink ref="A26" r:id="rId1" xr:uid="{8132F32F-5224-4008-B9EE-E728C1850C24}"/>
    <hyperlink ref="A56" r:id="rId2" xr:uid="{3270422D-4486-064F-AD44-B81F341311DE}"/>
    <hyperlink ref="A62" r:id="rId3" xr:uid="{373DE880-8C77-5D4D-AA03-73615F63BF3E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6CFA-6720-48C9-A142-62BED8F803AF}">
  <dimension ref="B2:AG57"/>
  <sheetViews>
    <sheetView workbookViewId="0">
      <selection activeCell="AG52" sqref="AG52"/>
    </sheetView>
  </sheetViews>
  <sheetFormatPr defaultRowHeight="14.5" x14ac:dyDescent="0.35"/>
  <cols>
    <col min="2" max="2" width="21.453125" bestFit="1" customWidth="1"/>
  </cols>
  <sheetData>
    <row r="2" spans="2:4" x14ac:dyDescent="0.35">
      <c r="B2" t="s">
        <v>7</v>
      </c>
      <c r="C2" s="42">
        <v>2656.0439999999999</v>
      </c>
      <c r="D2" s="42">
        <v>21755.448653382355</v>
      </c>
    </row>
    <row r="3" spans="2:4" x14ac:dyDescent="0.35">
      <c r="B3" t="s">
        <v>10</v>
      </c>
      <c r="C3" s="42">
        <v>1748.2939999999999</v>
      </c>
      <c r="D3" s="42">
        <v>17833.423752030991</v>
      </c>
    </row>
    <row r="4" spans="2:4" x14ac:dyDescent="0.35">
      <c r="B4" t="s">
        <v>13</v>
      </c>
      <c r="C4" s="42">
        <v>452.089</v>
      </c>
      <c r="D4" s="42">
        <v>6295.5815298381822</v>
      </c>
    </row>
    <row r="5" spans="2:4" x14ac:dyDescent="0.35">
      <c r="B5" t="s">
        <v>17</v>
      </c>
      <c r="C5" s="42">
        <v>105.93600000000001</v>
      </c>
      <c r="D5" s="42">
        <v>2435.5354961942976</v>
      </c>
    </row>
    <row r="6" spans="2:4" x14ac:dyDescent="0.35">
      <c r="B6" t="s">
        <v>25</v>
      </c>
      <c r="C6" s="42">
        <v>195</v>
      </c>
      <c r="D6" s="42">
        <v>230.99081467837993</v>
      </c>
    </row>
    <row r="7" spans="2:4" x14ac:dyDescent="0.35">
      <c r="B7" t="s">
        <v>95</v>
      </c>
      <c r="C7" s="42">
        <v>77</v>
      </c>
      <c r="D7" s="42">
        <v>639</v>
      </c>
    </row>
    <row r="10" spans="2:4" x14ac:dyDescent="0.35">
      <c r="B10" s="173" t="s">
        <v>109</v>
      </c>
      <c r="C10" s="42">
        <v>1848.106</v>
      </c>
      <c r="D10" s="42">
        <v>-9241.947733793817</v>
      </c>
    </row>
    <row r="11" spans="2:4" x14ac:dyDescent="0.35">
      <c r="B11" s="173" t="s">
        <v>36</v>
      </c>
      <c r="C11" s="42">
        <v>1575.309</v>
      </c>
      <c r="D11" s="42">
        <v>-6456.614521801619</v>
      </c>
    </row>
    <row r="12" spans="2:4" x14ac:dyDescent="0.35">
      <c r="B12" s="173" t="s">
        <v>38</v>
      </c>
      <c r="C12" s="42">
        <v>1114.0449999999998</v>
      </c>
      <c r="D12" s="42">
        <v>-1588.8845049589045</v>
      </c>
    </row>
    <row r="13" spans="2:4" x14ac:dyDescent="0.35">
      <c r="B13" s="173" t="s">
        <v>42</v>
      </c>
      <c r="C13" s="42">
        <v>892.5</v>
      </c>
      <c r="D13" s="42">
        <v>-1280.6216960453844</v>
      </c>
    </row>
    <row r="14" spans="2:4" x14ac:dyDescent="0.35">
      <c r="B14" s="173" t="s">
        <v>48</v>
      </c>
      <c r="C14" s="42">
        <v>979.87699999999995</v>
      </c>
      <c r="D14" s="42">
        <v>2028.5072894166317</v>
      </c>
    </row>
    <row r="51" spans="2:33" x14ac:dyDescent="0.35">
      <c r="B51">
        <v>2025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115</v>
      </c>
      <c r="I51" t="s">
        <v>116</v>
      </c>
      <c r="J51" t="s">
        <v>117</v>
      </c>
      <c r="K51" t="s">
        <v>118</v>
      </c>
      <c r="L51" t="s">
        <v>119</v>
      </c>
      <c r="M51" t="s">
        <v>120</v>
      </c>
      <c r="N51" t="s">
        <v>121</v>
      </c>
      <c r="O51" t="s">
        <v>122</v>
      </c>
      <c r="P51" t="s">
        <v>123</v>
      </c>
      <c r="Q51" t="s">
        <v>124</v>
      </c>
      <c r="R51" t="s">
        <v>125</v>
      </c>
      <c r="S51" t="s">
        <v>126</v>
      </c>
      <c r="T51" t="s">
        <v>127</v>
      </c>
      <c r="U51" t="s">
        <v>128</v>
      </c>
      <c r="V51" t="s">
        <v>129</v>
      </c>
      <c r="W51" t="s">
        <v>130</v>
      </c>
      <c r="X51" t="s">
        <v>131</v>
      </c>
      <c r="Y51" t="s">
        <v>132</v>
      </c>
      <c r="Z51" t="s">
        <v>133</v>
      </c>
      <c r="AA51" t="s">
        <v>134</v>
      </c>
      <c r="AB51" t="s">
        <v>135</v>
      </c>
      <c r="AC51" t="s">
        <v>136</v>
      </c>
      <c r="AD51" t="s">
        <v>137</v>
      </c>
      <c r="AE51" t="s">
        <v>138</v>
      </c>
      <c r="AF51" t="s">
        <v>139</v>
      </c>
      <c r="AG51" t="s">
        <v>1</v>
      </c>
    </row>
    <row r="52" spans="2:33" x14ac:dyDescent="0.35">
      <c r="B52">
        <v>-1775.46</v>
      </c>
      <c r="C52">
        <v>-2063.2779999999993</v>
      </c>
      <c r="D52">
        <v>-2098.3535000000002</v>
      </c>
      <c r="E52">
        <v>-2291.3269999999993</v>
      </c>
      <c r="F52">
        <v>-2227.9399999999987</v>
      </c>
      <c r="G52">
        <v>-2408.2145</v>
      </c>
      <c r="H52">
        <v>-2489.1279999999997</v>
      </c>
      <c r="I52">
        <v>-2632.9714999999978</v>
      </c>
      <c r="J52">
        <v>-2970.6775000000007</v>
      </c>
      <c r="K52">
        <v>-3008.8730000000005</v>
      </c>
      <c r="L52">
        <v>-2973.1859999999988</v>
      </c>
      <c r="M52">
        <v>-3317.4229999999989</v>
      </c>
      <c r="N52">
        <v>-2998.2002194197994</v>
      </c>
      <c r="O52">
        <v>-3109.4852122861648</v>
      </c>
      <c r="P52">
        <v>-3225.1706275238412</v>
      </c>
      <c r="Q52">
        <v>-3345.443447887501</v>
      </c>
      <c r="R52">
        <v>-3470.4991623462774</v>
      </c>
      <c r="S52">
        <v>-3600.5421745827607</v>
      </c>
      <c r="T52">
        <v>-3735.7862318385978</v>
      </c>
      <c r="U52">
        <v>-3876.4548751417606</v>
      </c>
      <c r="V52">
        <v>-4022.7819120034801</v>
      </c>
      <c r="W52">
        <v>-4214.1883650785476</v>
      </c>
      <c r="X52">
        <v>-4230.1121391324759</v>
      </c>
      <c r="Y52">
        <v>-4473.175192883069</v>
      </c>
      <c r="Z52">
        <v>-4730.1535447172082</v>
      </c>
      <c r="AA52">
        <v>-5001.8409300172734</v>
      </c>
      <c r="AB52">
        <v>-5289.0762257806782</v>
      </c>
      <c r="AC52">
        <v>-5592.7460126945643</v>
      </c>
      <c r="AD52">
        <v>-5913.7872824543974</v>
      </c>
      <c r="AE52">
        <v>-6253.1902985569141</v>
      </c>
      <c r="AF52">
        <v>-6612.0016192639669</v>
      </c>
      <c r="AG52">
        <v>-6943.1609908200262</v>
      </c>
    </row>
    <row r="53" spans="2:33" x14ac:dyDescent="0.35">
      <c r="B53">
        <v>-1775.46</v>
      </c>
      <c r="C53">
        <v>-2471.9889725714274</v>
      </c>
      <c r="D53">
        <v>-2339.9113914083082</v>
      </c>
      <c r="E53">
        <v>-2496.9928148024064</v>
      </c>
      <c r="F53">
        <v>-2176.6949421275658</v>
      </c>
      <c r="G53">
        <v>-2333.2804240030491</v>
      </c>
      <c r="H53">
        <v>-2193.5982803863626</v>
      </c>
      <c r="I53">
        <v>-2300.0929786980887</v>
      </c>
      <c r="J53">
        <v>-2803.586250104574</v>
      </c>
      <c r="K53">
        <v>-2698.4969374760967</v>
      </c>
      <c r="L53">
        <v>-2442.7207740656922</v>
      </c>
      <c r="M53">
        <v>-3020.453892873822</v>
      </c>
      <c r="N53">
        <v>-2192.3098567414272</v>
      </c>
      <c r="O53">
        <v>-2208.9455522364369</v>
      </c>
      <c r="P53">
        <v>-2225.1366691971962</v>
      </c>
      <c r="Q53">
        <v>-2234.3174932450238</v>
      </c>
      <c r="R53">
        <v>-2235.5223478504631</v>
      </c>
      <c r="S53">
        <v>-2227.0146650891329</v>
      </c>
      <c r="T53">
        <v>-2215.4569379608402</v>
      </c>
      <c r="U53">
        <v>-2204.5613223813998</v>
      </c>
      <c r="V53">
        <v>-2192.6965440822169</v>
      </c>
      <c r="W53">
        <v>-2209.1143436683051</v>
      </c>
      <c r="X53">
        <v>-1883.0123594901852</v>
      </c>
      <c r="Y53">
        <v>-1987.0076048786941</v>
      </c>
      <c r="Z53">
        <v>-2094.0519536039428</v>
      </c>
      <c r="AA53">
        <v>-2204.0009365025544</v>
      </c>
      <c r="AB53">
        <v>-2335.5156292331267</v>
      </c>
      <c r="AC53">
        <v>-2472.9784518557244</v>
      </c>
      <c r="AD53">
        <v>-2616.5890699487572</v>
      </c>
      <c r="AE53">
        <v>-2766.5443652559698</v>
      </c>
      <c r="AF53">
        <v>-2923.0372042311574</v>
      </c>
      <c r="AG53">
        <v>-3153.904575061686</v>
      </c>
    </row>
    <row r="55" spans="2:33" x14ac:dyDescent="0.35">
      <c r="B55">
        <v>2025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115</v>
      </c>
      <c r="I55" t="s">
        <v>116</v>
      </c>
      <c r="J55" t="s">
        <v>117</v>
      </c>
      <c r="K55" t="s">
        <v>118</v>
      </c>
      <c r="L55" t="s">
        <v>119</v>
      </c>
      <c r="M55" t="s">
        <v>120</v>
      </c>
      <c r="N55" t="s">
        <v>121</v>
      </c>
      <c r="O55" t="s">
        <v>122</v>
      </c>
      <c r="P55" t="s">
        <v>123</v>
      </c>
      <c r="Q55" t="s">
        <v>124</v>
      </c>
      <c r="R55" t="s">
        <v>125</v>
      </c>
      <c r="S55" t="s">
        <v>126</v>
      </c>
      <c r="T55" t="s">
        <v>127</v>
      </c>
      <c r="U55" t="s">
        <v>128</v>
      </c>
      <c r="V55" t="s">
        <v>129</v>
      </c>
      <c r="W55" t="s">
        <v>130</v>
      </c>
      <c r="X55" t="s">
        <v>131</v>
      </c>
      <c r="Y55" t="s">
        <v>132</v>
      </c>
      <c r="Z55" t="s">
        <v>133</v>
      </c>
      <c r="AA55" t="s">
        <v>134</v>
      </c>
      <c r="AB55" t="s">
        <v>135</v>
      </c>
      <c r="AC55" t="s">
        <v>136</v>
      </c>
      <c r="AD55" t="s">
        <v>137</v>
      </c>
      <c r="AE55" t="s">
        <v>138</v>
      </c>
      <c r="AF55" t="s">
        <v>139</v>
      </c>
    </row>
    <row r="56" spans="2:33" x14ac:dyDescent="0.35">
      <c r="B56">
        <v>37637.553</v>
      </c>
      <c r="C56">
        <v>32305.277999999998</v>
      </c>
      <c r="D56">
        <v>34215.353499999997</v>
      </c>
      <c r="E56">
        <v>36305.326999999997</v>
      </c>
      <c r="F56">
        <v>38310.94</v>
      </c>
      <c r="G56">
        <v>40487.214500000002</v>
      </c>
      <c r="H56">
        <v>42732.127999999997</v>
      </c>
      <c r="I56">
        <v>45115.9715</v>
      </c>
      <c r="J56">
        <v>47833.677499999998</v>
      </c>
      <c r="K56">
        <v>50583.873</v>
      </c>
      <c r="L56">
        <v>53297.186000000002</v>
      </c>
      <c r="M56">
        <v>56354.422999999995</v>
      </c>
      <c r="N56">
        <v>58875.410266788225</v>
      </c>
      <c r="O56">
        <v>61991.458949724591</v>
      </c>
      <c r="P56">
        <v>65273.26386518903</v>
      </c>
      <c r="Q56">
        <v>69663.883595806561</v>
      </c>
      <c r="R56">
        <v>73586.782570936834</v>
      </c>
      <c r="S56">
        <v>77731.905478355213</v>
      </c>
      <c r="T56">
        <v>82111.892000797365</v>
      </c>
      <c r="U56">
        <v>86740.102378295487</v>
      </c>
      <c r="V56">
        <v>91630.65853654813</v>
      </c>
      <c r="W56">
        <v>96835.085069389243</v>
      </c>
      <c r="X56">
        <v>102153.50013492974</v>
      </c>
      <c r="Y56">
        <v>108002.35698203993</v>
      </c>
      <c r="Z56">
        <v>114185.78053221383</v>
      </c>
      <c r="AA56">
        <v>120722.9057811987</v>
      </c>
      <c r="AB56">
        <v>127633.96198644966</v>
      </c>
      <c r="AC56">
        <v>134940.33523887381</v>
      </c>
      <c r="AD56">
        <v>142664.6346123711</v>
      </c>
      <c r="AE56">
        <v>150830.76209574481</v>
      </c>
      <c r="AF56">
        <v>159463.98652325099</v>
      </c>
    </row>
    <row r="57" spans="2:33" x14ac:dyDescent="0.35">
      <c r="B57">
        <v>37637.553</v>
      </c>
      <c r="C57">
        <v>32713.988972571427</v>
      </c>
      <c r="D57">
        <v>34456.911391408306</v>
      </c>
      <c r="E57">
        <v>36510.992814802405</v>
      </c>
      <c r="F57">
        <v>38259.694942127564</v>
      </c>
      <c r="G57">
        <v>40412.280424003053</v>
      </c>
      <c r="H57">
        <v>42436.598280386359</v>
      </c>
      <c r="I57">
        <v>44783.092978698085</v>
      </c>
      <c r="J57">
        <v>47666.586250104578</v>
      </c>
      <c r="K57">
        <v>50273.496937476099</v>
      </c>
      <c r="L57">
        <v>52766.720774065689</v>
      </c>
      <c r="M57">
        <v>56057.453892873818</v>
      </c>
      <c r="N57">
        <v>58069.519904109853</v>
      </c>
      <c r="O57">
        <v>61090.919289674865</v>
      </c>
      <c r="P57">
        <v>64273.229906862391</v>
      </c>
      <c r="Q57">
        <v>68552.757641164077</v>
      </c>
      <c r="R57">
        <v>72351.805756441012</v>
      </c>
      <c r="S57">
        <v>76358.377968861576</v>
      </c>
      <c r="T57">
        <v>80591.562706919605</v>
      </c>
      <c r="U57">
        <v>85068.208825535126</v>
      </c>
      <c r="V57">
        <v>89800.57316862687</v>
      </c>
      <c r="W57">
        <v>94830.011047979002</v>
      </c>
      <c r="X57">
        <v>99806.400355287449</v>
      </c>
      <c r="Y57">
        <v>105516.18939403555</v>
      </c>
      <c r="Z57">
        <v>111549.67894110057</v>
      </c>
      <c r="AA57">
        <v>117925.06578768397</v>
      </c>
      <c r="AB57">
        <v>124680.40138990211</v>
      </c>
      <c r="AC57">
        <v>131820.56767803497</v>
      </c>
      <c r="AD57">
        <v>139367.43639986546</v>
      </c>
      <c r="AE57">
        <v>147344.11616244388</v>
      </c>
      <c r="AF57">
        <v>155775.0221082182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B4D9-93FF-A141-B186-6E333C43E482}">
  <dimension ref="A1:BJ68"/>
  <sheetViews>
    <sheetView topLeftCell="V1" workbookViewId="0">
      <selection activeCell="AH25" sqref="AH25"/>
    </sheetView>
  </sheetViews>
  <sheetFormatPr defaultColWidth="11.453125" defaultRowHeight="14.5" x14ac:dyDescent="0.35"/>
  <cols>
    <col min="1" max="1" width="34" customWidth="1"/>
    <col min="28" max="28" width="11.453125" style="73"/>
  </cols>
  <sheetData>
    <row r="1" spans="1:62" x14ac:dyDescent="0.35">
      <c r="A1" s="7"/>
      <c r="B1" s="7">
        <v>1996</v>
      </c>
      <c r="C1" s="7">
        <v>1997</v>
      </c>
      <c r="D1" s="7">
        <v>1998</v>
      </c>
      <c r="E1" s="7">
        <v>1999</v>
      </c>
      <c r="F1" s="7">
        <v>2000</v>
      </c>
      <c r="G1" s="7">
        <v>2001</v>
      </c>
      <c r="H1" s="7">
        <v>2002</v>
      </c>
      <c r="I1" s="7">
        <v>2003</v>
      </c>
      <c r="J1" s="7">
        <v>2004</v>
      </c>
      <c r="K1" s="7">
        <v>2005</v>
      </c>
      <c r="L1" s="7">
        <v>2006</v>
      </c>
      <c r="M1" s="7">
        <v>2007</v>
      </c>
      <c r="N1" s="7">
        <v>2008</v>
      </c>
      <c r="O1" s="7">
        <v>2009</v>
      </c>
      <c r="P1" s="7">
        <v>2010</v>
      </c>
      <c r="Q1" s="7">
        <v>2011</v>
      </c>
      <c r="R1" s="7">
        <v>2012</v>
      </c>
      <c r="S1" s="7">
        <v>2013</v>
      </c>
      <c r="T1" s="7">
        <v>2014</v>
      </c>
      <c r="U1" s="7">
        <v>2015</v>
      </c>
      <c r="V1" s="7">
        <v>2016</v>
      </c>
      <c r="W1" s="7">
        <v>2017</v>
      </c>
      <c r="X1" s="7">
        <v>2018</v>
      </c>
      <c r="Y1" s="7">
        <v>2019</v>
      </c>
      <c r="Z1" s="7">
        <v>2020</v>
      </c>
      <c r="AA1" s="7">
        <v>2021</v>
      </c>
      <c r="AB1" s="70">
        <v>2022</v>
      </c>
      <c r="AC1" s="7">
        <v>2023</v>
      </c>
      <c r="AD1" s="7">
        <v>2024</v>
      </c>
      <c r="AE1" s="7">
        <v>2025</v>
      </c>
      <c r="AF1" s="7">
        <v>2026</v>
      </c>
      <c r="AG1" s="7">
        <v>2027</v>
      </c>
      <c r="AH1" s="7">
        <v>2028</v>
      </c>
      <c r="AI1" s="7">
        <v>2029</v>
      </c>
      <c r="AJ1" s="7">
        <v>2030</v>
      </c>
      <c r="AK1" s="7">
        <v>2031</v>
      </c>
      <c r="AL1" s="7">
        <v>2032</v>
      </c>
      <c r="AM1" s="7">
        <v>2033</v>
      </c>
      <c r="AN1" s="7">
        <v>2034</v>
      </c>
      <c r="AO1" s="7">
        <v>2035</v>
      </c>
      <c r="AP1" s="7">
        <v>2036</v>
      </c>
      <c r="AQ1" s="7">
        <v>2037</v>
      </c>
      <c r="AR1" s="7">
        <v>2038</v>
      </c>
      <c r="AS1" s="7">
        <v>2039</v>
      </c>
      <c r="AT1" s="7">
        <v>2040</v>
      </c>
      <c r="AU1" s="7">
        <v>2041</v>
      </c>
      <c r="AV1" s="7">
        <v>2042</v>
      </c>
      <c r="AW1" s="7">
        <v>2043</v>
      </c>
      <c r="AX1" s="7">
        <v>2044</v>
      </c>
      <c r="AY1" s="7">
        <v>2045</v>
      </c>
      <c r="AZ1" s="7">
        <v>2046</v>
      </c>
      <c r="BA1" s="7">
        <v>2047</v>
      </c>
      <c r="BB1" s="7">
        <v>2048</v>
      </c>
      <c r="BC1" s="7">
        <v>2049</v>
      </c>
      <c r="BD1" s="7">
        <v>2050</v>
      </c>
      <c r="BE1" s="7">
        <v>2051</v>
      </c>
      <c r="BF1" s="7">
        <v>2052</v>
      </c>
      <c r="BG1" s="7">
        <v>2053</v>
      </c>
      <c r="BH1" s="7">
        <v>2054</v>
      </c>
      <c r="BI1" s="7">
        <v>2055</v>
      </c>
      <c r="BJ1" s="7">
        <v>2056</v>
      </c>
    </row>
    <row r="2" spans="1:62" x14ac:dyDescent="0.35">
      <c r="A2" s="9" t="s">
        <v>140</v>
      </c>
      <c r="B2" s="40">
        <v>11.8436</v>
      </c>
      <c r="C2" s="40">
        <v>12.3703</v>
      </c>
      <c r="D2" s="40">
        <v>12.924899999999999</v>
      </c>
      <c r="E2" s="40">
        <v>13.543799999999999</v>
      </c>
      <c r="F2" s="40">
        <v>14.096</v>
      </c>
      <c r="G2" s="40">
        <v>14.230700000000001</v>
      </c>
      <c r="H2" s="40">
        <v>14.4727</v>
      </c>
      <c r="I2" s="40">
        <v>14.8773</v>
      </c>
      <c r="J2" s="40">
        <v>15.4498</v>
      </c>
      <c r="K2" s="40">
        <v>15.988</v>
      </c>
      <c r="L2" s="40">
        <v>16.433199999999999</v>
      </c>
      <c r="M2" s="40">
        <v>16.762499999999999</v>
      </c>
      <c r="N2" s="40">
        <v>16.781500000000001</v>
      </c>
      <c r="O2" s="40">
        <v>16.3491</v>
      </c>
      <c r="P2" s="40">
        <v>16.7898</v>
      </c>
      <c r="Q2" s="40">
        <v>17.052399999999999</v>
      </c>
      <c r="R2" s="40">
        <v>17.442799999999998</v>
      </c>
      <c r="S2" s="40">
        <v>17.812200000000001</v>
      </c>
      <c r="T2" s="40">
        <v>18.261700000000001</v>
      </c>
      <c r="U2" s="40">
        <v>18.799600000000002</v>
      </c>
      <c r="V2" s="40">
        <v>19.1417</v>
      </c>
      <c r="W2" s="40">
        <v>19.612100000000002</v>
      </c>
      <c r="X2" s="40">
        <v>20.193899999999999</v>
      </c>
      <c r="Y2" s="40">
        <v>20.715699999999998</v>
      </c>
      <c r="Z2" s="40">
        <v>20.284500000000001</v>
      </c>
      <c r="AA2" s="40">
        <v>21.532399999999999</v>
      </c>
      <c r="AB2" s="71">
        <v>22.075900000000001</v>
      </c>
      <c r="AC2" s="40">
        <v>22.723700000000001</v>
      </c>
      <c r="AD2" s="40">
        <v>23.3584</v>
      </c>
      <c r="AE2" s="40">
        <v>23.830300000000001</v>
      </c>
      <c r="AF2" s="40">
        <v>24.393799999999999</v>
      </c>
      <c r="AG2" s="40">
        <v>24.8477</v>
      </c>
      <c r="AH2" s="40">
        <v>25.296299999999999</v>
      </c>
      <c r="AI2" s="40">
        <v>25.740200000000002</v>
      </c>
      <c r="AJ2" s="40">
        <v>26.199400000000001</v>
      </c>
      <c r="AK2" s="40">
        <v>26.6647</v>
      </c>
      <c r="AL2" s="40">
        <v>27.134</v>
      </c>
      <c r="AM2" s="40">
        <v>27.613700000000001</v>
      </c>
      <c r="AN2" s="40">
        <v>28.1022</v>
      </c>
      <c r="AO2" s="40">
        <v>28.6004</v>
      </c>
      <c r="AP2" s="40">
        <v>29.105499999999999</v>
      </c>
      <c r="AQ2" s="40">
        <v>29.614899999999999</v>
      </c>
      <c r="AR2" s="40">
        <v>30.131699999999999</v>
      </c>
      <c r="AS2" s="40">
        <v>30.653199999999998</v>
      </c>
      <c r="AT2" s="40">
        <v>31.188600000000001</v>
      </c>
      <c r="AU2" s="40">
        <v>31.729600000000001</v>
      </c>
      <c r="AV2" s="40">
        <v>32.273000000000003</v>
      </c>
      <c r="AW2" s="40">
        <v>32.823099999999997</v>
      </c>
      <c r="AX2" s="40">
        <v>33.3782</v>
      </c>
      <c r="AY2" s="40">
        <v>33.927700000000002</v>
      </c>
      <c r="AZ2" s="40">
        <v>34.4741</v>
      </c>
      <c r="BA2" s="40">
        <v>35.022799999999997</v>
      </c>
      <c r="BB2" s="40">
        <v>35.574100000000001</v>
      </c>
      <c r="BC2" s="40">
        <v>36.127800000000001</v>
      </c>
      <c r="BD2" s="40">
        <v>36.681399999999996</v>
      </c>
      <c r="BE2" s="40">
        <v>37.236800000000002</v>
      </c>
      <c r="BF2" s="40">
        <v>37.795499999999997</v>
      </c>
      <c r="BG2" s="40">
        <v>38.3596</v>
      </c>
      <c r="BH2" s="40">
        <v>38.929600000000001</v>
      </c>
      <c r="BI2" s="40">
        <v>39.506999999999998</v>
      </c>
      <c r="BJ2" s="40">
        <v>40.093499999999999</v>
      </c>
    </row>
    <row r="3" spans="1:62" s="1" customFormat="1" x14ac:dyDescent="0.35">
      <c r="A3" s="15" t="s">
        <v>141</v>
      </c>
      <c r="B3" s="55">
        <v>8.0731000000000002</v>
      </c>
      <c r="C3" s="55">
        <v>8.5776000000000003</v>
      </c>
      <c r="D3" s="55">
        <v>9.0627999999999993</v>
      </c>
      <c r="E3" s="55">
        <v>9.6311999999999998</v>
      </c>
      <c r="F3" s="55">
        <v>10.250999999999999</v>
      </c>
      <c r="G3" s="55">
        <v>10.581899999999999</v>
      </c>
      <c r="H3" s="55">
        <v>10.9291</v>
      </c>
      <c r="I3" s="55">
        <v>11.4565</v>
      </c>
      <c r="J3" s="55">
        <v>12.2172</v>
      </c>
      <c r="K3" s="55">
        <v>13.039199999999999</v>
      </c>
      <c r="L3" s="55">
        <v>13.8156</v>
      </c>
      <c r="M3" s="55">
        <v>14.474299999999999</v>
      </c>
      <c r="N3" s="55">
        <v>14.7699</v>
      </c>
      <c r="O3" s="55">
        <v>14.4781</v>
      </c>
      <c r="P3" s="55">
        <v>15.048999999999999</v>
      </c>
      <c r="Q3" s="55">
        <v>15.5997</v>
      </c>
      <c r="R3" s="55">
        <v>16.254000000000001</v>
      </c>
      <c r="S3" s="55">
        <v>16.880700000000001</v>
      </c>
      <c r="T3" s="55">
        <v>17.6081</v>
      </c>
      <c r="U3" s="55">
        <v>18.295000000000002</v>
      </c>
      <c r="V3" s="55">
        <v>18.8049</v>
      </c>
      <c r="W3" s="55">
        <v>19.612100000000002</v>
      </c>
      <c r="X3" s="55">
        <v>20.656500000000001</v>
      </c>
      <c r="Y3" s="55">
        <v>21.54</v>
      </c>
      <c r="Z3" s="55">
        <v>21.375299999999999</v>
      </c>
      <c r="AA3" s="55">
        <v>23.7257</v>
      </c>
      <c r="AB3" s="72">
        <v>26.054600000000001</v>
      </c>
      <c r="AC3" s="55">
        <v>27.811499999999999</v>
      </c>
      <c r="AD3" s="55">
        <v>29.297999999999998</v>
      </c>
      <c r="AE3" s="55">
        <v>30.705200000000001</v>
      </c>
      <c r="AF3" s="55">
        <v>32.2742</v>
      </c>
      <c r="AG3" s="55">
        <v>33.651499999999999</v>
      </c>
      <c r="AH3" s="55">
        <v>35.001899999999999</v>
      </c>
      <c r="AI3" s="55">
        <v>36.350700000000003</v>
      </c>
      <c r="AJ3" s="55">
        <v>37.7425</v>
      </c>
      <c r="AK3" s="55">
        <v>39.174799999999998</v>
      </c>
      <c r="AL3" s="55">
        <v>40.650399999999998</v>
      </c>
      <c r="AM3" s="55">
        <v>42.185400000000001</v>
      </c>
      <c r="AN3" s="55">
        <v>43.776600000000002</v>
      </c>
      <c r="AO3" s="55">
        <v>45.430900000000001</v>
      </c>
      <c r="AP3" s="55">
        <v>47.146700000000003</v>
      </c>
      <c r="AQ3" s="55">
        <v>48.923499999999997</v>
      </c>
      <c r="AR3" s="55">
        <v>50.769599999999997</v>
      </c>
      <c r="AS3" s="55">
        <v>52.680700000000002</v>
      </c>
      <c r="AT3" s="55">
        <v>54.673900000000003</v>
      </c>
      <c r="AU3" s="55">
        <v>56.736600000000003</v>
      </c>
      <c r="AV3" s="55">
        <v>58.863900000000001</v>
      </c>
      <c r="AW3" s="55">
        <v>61.066099999999999</v>
      </c>
      <c r="AX3" s="55">
        <v>63.341999999999999</v>
      </c>
      <c r="AY3" s="55">
        <v>65.672799999999995</v>
      </c>
      <c r="AZ3" s="55">
        <v>68.064499999999995</v>
      </c>
      <c r="BA3" s="55">
        <v>70.530199999999994</v>
      </c>
      <c r="BB3" s="55">
        <v>73.0732</v>
      </c>
      <c r="BC3" s="55">
        <v>75.694999999999993</v>
      </c>
      <c r="BD3" s="55">
        <v>78.392600000000002</v>
      </c>
      <c r="BE3" s="55">
        <v>81.172200000000004</v>
      </c>
      <c r="BF3" s="55">
        <v>84.04</v>
      </c>
      <c r="BG3" s="55">
        <v>87.003699999999995</v>
      </c>
      <c r="BH3" s="55">
        <v>90.0672</v>
      </c>
      <c r="BI3" s="55">
        <v>93.237799999999993</v>
      </c>
      <c r="BJ3" s="55">
        <v>96.521600000000007</v>
      </c>
    </row>
    <row r="4" spans="1:62" x14ac:dyDescent="0.35">
      <c r="A4" s="25" t="s">
        <v>142</v>
      </c>
      <c r="B4" s="40">
        <v>1.8280000000000001</v>
      </c>
      <c r="C4" s="40">
        <v>1.7330000000000001</v>
      </c>
      <c r="D4" s="40">
        <v>1.101</v>
      </c>
      <c r="E4" s="40">
        <v>1.401</v>
      </c>
      <c r="F4" s="40">
        <v>2.2850000000000001</v>
      </c>
      <c r="G4" s="40">
        <v>2.3050000000000002</v>
      </c>
      <c r="H4" s="40">
        <v>1.498</v>
      </c>
      <c r="I4" s="40">
        <v>2.0019999999999998</v>
      </c>
      <c r="J4" s="40">
        <v>2.6709999999999998</v>
      </c>
      <c r="K4" s="40">
        <v>3.121</v>
      </c>
      <c r="L4" s="40">
        <v>3.1110000000000002</v>
      </c>
      <c r="M4" s="40">
        <v>2.7080000000000002</v>
      </c>
      <c r="N4" s="40">
        <v>1.8819999999999999</v>
      </c>
      <c r="O4" s="40">
        <v>0.65800000000000003</v>
      </c>
      <c r="P4" s="40">
        <v>1.1990000000000001</v>
      </c>
      <c r="Q4" s="40">
        <v>2.0609999999999999</v>
      </c>
      <c r="R4" s="40">
        <v>1.869</v>
      </c>
      <c r="S4" s="40">
        <v>1.7270000000000001</v>
      </c>
      <c r="T4" s="40">
        <v>1.7410000000000001</v>
      </c>
      <c r="U4" s="40">
        <v>0.871</v>
      </c>
      <c r="V4" s="40">
        <v>0.95699999999999996</v>
      </c>
      <c r="W4" s="40">
        <v>1.8240000000000001</v>
      </c>
      <c r="X4" s="40">
        <v>2.29</v>
      </c>
      <c r="Y4" s="40">
        <v>1.653</v>
      </c>
      <c r="Z4" s="40">
        <v>1.3620000000000001</v>
      </c>
      <c r="AA4" s="40">
        <v>4.54</v>
      </c>
      <c r="AB4" s="71">
        <v>7.125</v>
      </c>
      <c r="AC4" s="40">
        <v>3.6880000000000002</v>
      </c>
      <c r="AD4" s="40">
        <v>2.4849999999999999</v>
      </c>
      <c r="AE4" s="40">
        <v>2.726</v>
      </c>
      <c r="AF4" s="40">
        <v>2.6760000000000002</v>
      </c>
      <c r="AG4" s="40">
        <v>2.363</v>
      </c>
      <c r="AH4" s="40">
        <v>2.1680000000000001</v>
      </c>
      <c r="AI4" s="40">
        <v>2.0619999999999998</v>
      </c>
      <c r="AJ4" s="40">
        <v>2.0089999999999999</v>
      </c>
      <c r="AK4" s="40">
        <v>1.9830000000000001</v>
      </c>
      <c r="AL4" s="40">
        <v>1.972</v>
      </c>
      <c r="AM4" s="40">
        <v>1.9730000000000001</v>
      </c>
      <c r="AN4" s="40">
        <v>1.9670000000000001</v>
      </c>
      <c r="AO4" s="40">
        <v>1.9710000000000001</v>
      </c>
      <c r="AP4" s="40">
        <v>1.9750000000000001</v>
      </c>
      <c r="AQ4" s="40">
        <v>1.9830000000000001</v>
      </c>
      <c r="AR4" s="40">
        <v>1.9930000000000001</v>
      </c>
      <c r="AS4" s="40">
        <v>1.998</v>
      </c>
      <c r="AT4" s="40">
        <v>2.0009999999999999</v>
      </c>
      <c r="AU4" s="40">
        <v>2.0030000000000001</v>
      </c>
      <c r="AV4" s="40">
        <v>2.0019999999999998</v>
      </c>
      <c r="AW4" s="40">
        <v>2.0019999999999998</v>
      </c>
      <c r="AX4" s="40">
        <v>2.0019999999999998</v>
      </c>
      <c r="AY4" s="40">
        <v>2</v>
      </c>
      <c r="AZ4" s="40">
        <v>1.9990000000000001</v>
      </c>
      <c r="BA4" s="40">
        <v>1.9990000000000001</v>
      </c>
      <c r="BB4" s="40">
        <v>1.9990000000000001</v>
      </c>
      <c r="BC4" s="40">
        <v>2</v>
      </c>
      <c r="BD4" s="40">
        <v>2</v>
      </c>
      <c r="BE4" s="40">
        <v>2.0009999999999999</v>
      </c>
      <c r="BF4" s="40">
        <v>2.0019999999999998</v>
      </c>
      <c r="BG4" s="40">
        <v>2.004</v>
      </c>
      <c r="BH4" s="40">
        <v>2.0049999999999999</v>
      </c>
      <c r="BI4" s="40">
        <v>2.0070000000000001</v>
      </c>
      <c r="BJ4" s="40">
        <v>2.0070000000000001</v>
      </c>
    </row>
    <row r="5" spans="1:62" x14ac:dyDescent="0.35">
      <c r="A5" t="s">
        <v>143</v>
      </c>
      <c r="B5">
        <f t="shared" ref="B5:AA5" si="0">B3/(1+B4/100)</f>
        <v>7.9281729976038022</v>
      </c>
      <c r="C5">
        <f t="shared" si="0"/>
        <v>8.4314824098375158</v>
      </c>
      <c r="D5">
        <f t="shared" si="0"/>
        <v>8.9641052017289642</v>
      </c>
      <c r="E5">
        <f t="shared" si="0"/>
        <v>9.498131182138243</v>
      </c>
      <c r="F5">
        <f t="shared" si="0"/>
        <v>10.02199736031676</v>
      </c>
      <c r="G5">
        <f t="shared" si="0"/>
        <v>10.343482723229558</v>
      </c>
      <c r="H5">
        <f t="shared" si="0"/>
        <v>10.767798380263651</v>
      </c>
      <c r="I5">
        <f t="shared" si="0"/>
        <v>11.231642516813396</v>
      </c>
      <c r="J5">
        <f t="shared" si="0"/>
        <v>11.899367883823086</v>
      </c>
      <c r="K5">
        <f t="shared" si="0"/>
        <v>12.644563183056798</v>
      </c>
      <c r="L5">
        <f t="shared" si="0"/>
        <v>13.398764438323749</v>
      </c>
      <c r="M5">
        <f t="shared" si="0"/>
        <v>14.092670483311913</v>
      </c>
      <c r="N5">
        <f t="shared" si="0"/>
        <v>14.497065232327593</v>
      </c>
      <c r="O5">
        <f t="shared" si="0"/>
        <v>14.383456853901329</v>
      </c>
      <c r="P5">
        <f t="shared" si="0"/>
        <v>14.870700303362682</v>
      </c>
      <c r="Q5">
        <f t="shared" si="0"/>
        <v>15.284682689763965</v>
      </c>
      <c r="R5">
        <f t="shared" si="0"/>
        <v>15.955786353061285</v>
      </c>
      <c r="S5">
        <f t="shared" si="0"/>
        <v>16.594119555280312</v>
      </c>
      <c r="T5">
        <f t="shared" si="0"/>
        <v>17.306788806872355</v>
      </c>
      <c r="U5">
        <f t="shared" si="0"/>
        <v>18.137026499192039</v>
      </c>
      <c r="V5">
        <f t="shared" si="0"/>
        <v>18.626643026238892</v>
      </c>
      <c r="W5">
        <f t="shared" si="0"/>
        <v>19.260783312382152</v>
      </c>
      <c r="X5">
        <f t="shared" si="0"/>
        <v>20.194056114967253</v>
      </c>
      <c r="Y5">
        <f t="shared" si="0"/>
        <v>21.189733701907471</v>
      </c>
      <c r="Z5">
        <f t="shared" si="0"/>
        <v>21.088080345691679</v>
      </c>
      <c r="AA5">
        <f t="shared" si="0"/>
        <v>22.695331930361583</v>
      </c>
      <c r="AB5" s="73">
        <v>26.770513999999999</v>
      </c>
      <c r="AC5">
        <v>28.424721999999999</v>
      </c>
      <c r="AD5">
        <v>29.825182000000002</v>
      </c>
      <c r="AE5">
        <v>31.490069999999999</v>
      </c>
      <c r="AF5">
        <f t="shared" ref="AF5:BJ5" si="1">AF3/(1+AF4/100)</f>
        <v>31.433051540769025</v>
      </c>
      <c r="AG5">
        <f t="shared" si="1"/>
        <v>32.874671512167481</v>
      </c>
      <c r="AH5">
        <f t="shared" si="1"/>
        <v>34.259161381254408</v>
      </c>
      <c r="AI5">
        <f t="shared" si="1"/>
        <v>35.61629205776881</v>
      </c>
      <c r="AJ5">
        <f t="shared" si="1"/>
        <v>36.999186346302778</v>
      </c>
      <c r="AK5">
        <f t="shared" si="1"/>
        <v>38.413068844807462</v>
      </c>
      <c r="AL5">
        <f t="shared" si="1"/>
        <v>39.864276468050051</v>
      </c>
      <c r="AM5">
        <f t="shared" si="1"/>
        <v>41.369185960989675</v>
      </c>
      <c r="AN5">
        <f t="shared" si="1"/>
        <v>42.932125099296833</v>
      </c>
      <c r="AO5">
        <f t="shared" si="1"/>
        <v>44.552765001814244</v>
      </c>
      <c r="AP5">
        <f t="shared" si="1"/>
        <v>46.233586663397894</v>
      </c>
      <c r="AQ5">
        <f t="shared" si="1"/>
        <v>47.972211054783635</v>
      </c>
      <c r="AR5">
        <f t="shared" si="1"/>
        <v>49.77753375231633</v>
      </c>
      <c r="AS5">
        <f t="shared" si="1"/>
        <v>51.648757818780759</v>
      </c>
      <c r="AT5">
        <f t="shared" si="1"/>
        <v>53.601337241791747</v>
      </c>
      <c r="AU5">
        <f t="shared" si="1"/>
        <v>55.622481691714952</v>
      </c>
      <c r="AV5">
        <f t="shared" si="1"/>
        <v>57.708574341679579</v>
      </c>
      <c r="AW5">
        <f t="shared" si="1"/>
        <v>59.867551616634969</v>
      </c>
      <c r="AX5">
        <f t="shared" si="1"/>
        <v>62.098782376816146</v>
      </c>
      <c r="AY5">
        <f t="shared" si="1"/>
        <v>64.385098039215677</v>
      </c>
      <c r="AZ5">
        <f t="shared" si="1"/>
        <v>66.730556181923347</v>
      </c>
      <c r="BA5">
        <f t="shared" si="1"/>
        <v>69.147932822870814</v>
      </c>
      <c r="BB5">
        <f t="shared" si="1"/>
        <v>71.641094520534523</v>
      </c>
      <c r="BC5">
        <f t="shared" si="1"/>
        <v>74.210784313725483</v>
      </c>
      <c r="BD5">
        <f t="shared" si="1"/>
        <v>76.855490196078435</v>
      </c>
      <c r="BE5">
        <f t="shared" si="1"/>
        <v>79.579808041097635</v>
      </c>
      <c r="BF5">
        <f t="shared" si="1"/>
        <v>82.390541361934098</v>
      </c>
      <c r="BG5">
        <f t="shared" si="1"/>
        <v>85.294400219599225</v>
      </c>
      <c r="BH5">
        <f t="shared" si="1"/>
        <v>88.296848193716002</v>
      </c>
      <c r="BI5">
        <f t="shared" si="1"/>
        <v>91.403335065240611</v>
      </c>
      <c r="BJ5">
        <f t="shared" si="1"/>
        <v>94.622525905084942</v>
      </c>
    </row>
    <row r="6" spans="1:62" x14ac:dyDescent="0.35">
      <c r="A6" s="43" t="s">
        <v>144</v>
      </c>
      <c r="B6" s="43"/>
      <c r="C6" s="43">
        <f t="shared" ref="C6:AH6" si="2">(C5-B5)/B5</f>
        <v>6.348365662376855E-2</v>
      </c>
      <c r="D6" s="43">
        <f t="shared" si="2"/>
        <v>6.317071731893853E-2</v>
      </c>
      <c r="E6" s="43">
        <f t="shared" si="2"/>
        <v>5.9573818958112833E-2</v>
      </c>
      <c r="F6" s="43">
        <f t="shared" si="2"/>
        <v>5.5154658125134794E-2</v>
      </c>
      <c r="G6" s="43">
        <f t="shared" si="2"/>
        <v>3.2077973217769493E-2</v>
      </c>
      <c r="H6" s="43">
        <f t="shared" si="2"/>
        <v>4.1022513247028304E-2</v>
      </c>
      <c r="I6" s="43">
        <f t="shared" si="2"/>
        <v>4.3076970813265579E-2</v>
      </c>
      <c r="J6" s="43">
        <f t="shared" si="2"/>
        <v>5.9450375669464768E-2</v>
      </c>
      <c r="K6" s="43">
        <f t="shared" si="2"/>
        <v>6.2624780283227308E-2</v>
      </c>
      <c r="L6" s="43">
        <f t="shared" si="2"/>
        <v>5.9646287843106348E-2</v>
      </c>
      <c r="M6" s="43">
        <f t="shared" si="2"/>
        <v>5.178880845187659E-2</v>
      </c>
      <c r="N6" s="43">
        <f t="shared" si="2"/>
        <v>2.869539520522749E-2</v>
      </c>
      <c r="O6" s="43">
        <f t="shared" si="2"/>
        <v>-7.8366467009421941E-3</v>
      </c>
      <c r="P6" s="43">
        <f t="shared" si="2"/>
        <v>3.3875267566794577E-2</v>
      </c>
      <c r="Q6" s="43">
        <f t="shared" si="2"/>
        <v>2.7838795615272419E-2</v>
      </c>
      <c r="R6" s="43">
        <f t="shared" si="2"/>
        <v>4.3906941146168034E-2</v>
      </c>
      <c r="S6" s="43">
        <f t="shared" si="2"/>
        <v>4.0006376877599378E-2</v>
      </c>
      <c r="T6" s="43">
        <f t="shared" si="2"/>
        <v>4.294709636253459E-2</v>
      </c>
      <c r="U6" s="43">
        <f t="shared" si="2"/>
        <v>4.7971793126059606E-2</v>
      </c>
      <c r="V6" s="43">
        <f t="shared" si="2"/>
        <v>2.6995413336836853E-2</v>
      </c>
      <c r="W6" s="43">
        <f t="shared" si="2"/>
        <v>3.4044797296537158E-2</v>
      </c>
      <c r="X6" s="43">
        <f t="shared" si="2"/>
        <v>4.8454561138493751E-2</v>
      </c>
      <c r="Y6" s="43">
        <f t="shared" si="2"/>
        <v>4.9305477872880143E-2</v>
      </c>
      <c r="Z6" s="43">
        <f t="shared" si="2"/>
        <v>-4.7972927666684664E-3</v>
      </c>
      <c r="AA6" s="43">
        <f t="shared" si="2"/>
        <v>7.6216116323658961E-2</v>
      </c>
      <c r="AB6" s="74">
        <f t="shared" si="2"/>
        <v>0.17956036431380318</v>
      </c>
      <c r="AC6" s="43">
        <f t="shared" si="2"/>
        <v>6.1792164319295503E-2</v>
      </c>
      <c r="AD6" s="43">
        <f t="shared" si="2"/>
        <v>4.9269083440816153E-2</v>
      </c>
      <c r="AE6" s="43">
        <f t="shared" si="2"/>
        <v>5.5821553746092732E-2</v>
      </c>
      <c r="AF6" s="43">
        <f t="shared" si="2"/>
        <v>-1.8106806123636553E-3</v>
      </c>
      <c r="AG6" s="43">
        <f t="shared" si="2"/>
        <v>4.5863188609882775E-2</v>
      </c>
      <c r="AH6" s="43">
        <f t="shared" si="2"/>
        <v>4.2114181082372297E-2</v>
      </c>
      <c r="AI6" s="43">
        <f t="shared" ref="AI6:BJ6" si="3">(AI5-AH5)/AH5</f>
        <v>3.9613657246641856E-2</v>
      </c>
      <c r="AJ6" s="43">
        <f t="shared" si="3"/>
        <v>3.8827576051177523E-2</v>
      </c>
      <c r="AK6" s="43">
        <f t="shared" si="3"/>
        <v>3.8213880847841102E-2</v>
      </c>
      <c r="AL6" s="43">
        <f t="shared" si="3"/>
        <v>3.7779007688909426E-2</v>
      </c>
      <c r="AM6" s="43">
        <f t="shared" si="3"/>
        <v>3.7750829220386375E-2</v>
      </c>
      <c r="AN6" s="43">
        <f t="shared" si="3"/>
        <v>3.7780272973729254E-2</v>
      </c>
      <c r="AO6" s="43">
        <f t="shared" si="3"/>
        <v>3.7748886149219632E-2</v>
      </c>
      <c r="AP6" s="43">
        <f t="shared" si="3"/>
        <v>3.7726539789734823E-2</v>
      </c>
      <c r="AQ6" s="43">
        <f t="shared" si="3"/>
        <v>3.7605224185692947E-2</v>
      </c>
      <c r="AR6" s="43">
        <f t="shared" si="3"/>
        <v>3.7632676456606104E-2</v>
      </c>
      <c r="AS6" s="43">
        <f t="shared" si="3"/>
        <v>3.7591739192529873E-2</v>
      </c>
      <c r="AT6" s="43">
        <f t="shared" si="3"/>
        <v>3.7804963864997002E-2</v>
      </c>
      <c r="AU6" s="43">
        <f t="shared" si="3"/>
        <v>3.7706978107765667E-2</v>
      </c>
      <c r="AV6" s="43">
        <f t="shared" si="3"/>
        <v>3.7504487151916371E-2</v>
      </c>
      <c r="AW6" s="43">
        <f t="shared" si="3"/>
        <v>3.7411724333589802E-2</v>
      </c>
      <c r="AX6" s="43">
        <f t="shared" si="3"/>
        <v>3.726945064446565E-2</v>
      </c>
      <c r="AY6" s="43">
        <f t="shared" si="3"/>
        <v>3.6817399228959762E-2</v>
      </c>
      <c r="AZ6" s="43">
        <f t="shared" si="3"/>
        <v>3.6428586957794155E-2</v>
      </c>
      <c r="BA6" s="43">
        <f t="shared" si="3"/>
        <v>3.6225932754960465E-2</v>
      </c>
      <c r="BB6" s="43">
        <f t="shared" si="3"/>
        <v>3.6055476944628066E-2</v>
      </c>
      <c r="BC6" s="43">
        <f t="shared" si="3"/>
        <v>3.5868935425803813E-2</v>
      </c>
      <c r="BD6" s="43">
        <f t="shared" si="3"/>
        <v>3.5637756787106296E-2</v>
      </c>
      <c r="BE6" s="43">
        <f t="shared" si="3"/>
        <v>3.5447276935827929E-2</v>
      </c>
      <c r="BF6" s="43">
        <f t="shared" si="3"/>
        <v>3.5319679577323272E-2</v>
      </c>
      <c r="BG6" s="43">
        <f t="shared" si="3"/>
        <v>3.5245051308847967E-2</v>
      </c>
      <c r="BH6" s="43">
        <f t="shared" si="3"/>
        <v>3.5200997561231039E-2</v>
      </c>
      <c r="BI6" s="43">
        <f t="shared" si="3"/>
        <v>3.5182307580325325E-2</v>
      </c>
      <c r="BJ6" s="43">
        <f t="shared" si="3"/>
        <v>3.5219621226584133E-2</v>
      </c>
    </row>
    <row r="7" spans="1:62" x14ac:dyDescent="0.35">
      <c r="A7" s="43" t="s">
        <v>145</v>
      </c>
      <c r="B7" s="43"/>
      <c r="C7" s="43">
        <f t="shared" ref="C7:AH7" si="4">(C3-B3)/B3</f>
        <v>6.2491484064361912E-2</v>
      </c>
      <c r="D7" s="43">
        <f t="shared" si="4"/>
        <v>5.6565939190449423E-2</v>
      </c>
      <c r="E7" s="43">
        <f t="shared" si="4"/>
        <v>6.2717923820452895E-2</v>
      </c>
      <c r="F7" s="43">
        <f t="shared" si="4"/>
        <v>6.4353351607276316E-2</v>
      </c>
      <c r="G7" s="43">
        <f t="shared" si="4"/>
        <v>3.2279777582674841E-2</v>
      </c>
      <c r="H7" s="43">
        <f t="shared" si="4"/>
        <v>3.2810742872263099E-2</v>
      </c>
      <c r="I7" s="43">
        <f t="shared" si="4"/>
        <v>4.825648955540713E-2</v>
      </c>
      <c r="J7" s="43">
        <f t="shared" si="4"/>
        <v>6.639898747435953E-2</v>
      </c>
      <c r="K7" s="43">
        <f t="shared" si="4"/>
        <v>6.7282192319025574E-2</v>
      </c>
      <c r="L7" s="43">
        <f t="shared" si="4"/>
        <v>5.9543530277931217E-2</v>
      </c>
      <c r="M7" s="43">
        <f t="shared" si="4"/>
        <v>4.7677987202872085E-2</v>
      </c>
      <c r="N7" s="43">
        <f t="shared" si="4"/>
        <v>2.0422403846818177E-2</v>
      </c>
      <c r="O7" s="43">
        <f t="shared" si="4"/>
        <v>-1.9756396454952321E-2</v>
      </c>
      <c r="P7" s="43">
        <f t="shared" si="4"/>
        <v>3.9431969664527805E-2</v>
      </c>
      <c r="Q7" s="43">
        <f t="shared" si="4"/>
        <v>3.6593793607548733E-2</v>
      </c>
      <c r="R7" s="43">
        <f t="shared" si="4"/>
        <v>4.19431142906595E-2</v>
      </c>
      <c r="S7" s="43">
        <f t="shared" si="4"/>
        <v>3.8556662975267601E-2</v>
      </c>
      <c r="T7" s="43">
        <f t="shared" si="4"/>
        <v>4.3090630127897503E-2</v>
      </c>
      <c r="U7" s="43">
        <f t="shared" si="4"/>
        <v>3.9010455415405487E-2</v>
      </c>
      <c r="V7" s="43">
        <f t="shared" si="4"/>
        <v>2.7871003006285772E-2</v>
      </c>
      <c r="W7" s="43">
        <f t="shared" si="4"/>
        <v>4.2924982318438366E-2</v>
      </c>
      <c r="X7" s="43">
        <f t="shared" si="4"/>
        <v>5.3252838808694608E-2</v>
      </c>
      <c r="Y7" s="43">
        <f t="shared" si="4"/>
        <v>4.2771040592549457E-2</v>
      </c>
      <c r="Z7" s="43">
        <f t="shared" si="4"/>
        <v>-7.6462395543175415E-3</v>
      </c>
      <c r="AA7" s="43">
        <f t="shared" si="4"/>
        <v>0.10995869063826007</v>
      </c>
      <c r="AB7" s="74">
        <f t="shared" si="4"/>
        <v>9.8159379912921466E-2</v>
      </c>
      <c r="AC7" s="43">
        <f t="shared" si="4"/>
        <v>6.7431470834324769E-2</v>
      </c>
      <c r="AD7" s="43">
        <f t="shared" si="4"/>
        <v>5.3449112777088602E-2</v>
      </c>
      <c r="AE7" s="43">
        <f t="shared" si="4"/>
        <v>4.803058229230675E-2</v>
      </c>
      <c r="AF7" s="43">
        <f t="shared" si="4"/>
        <v>5.1098836679129234E-2</v>
      </c>
      <c r="AG7" s="43">
        <f t="shared" si="4"/>
        <v>4.2674953988015137E-2</v>
      </c>
      <c r="AH7" s="43">
        <f t="shared" si="4"/>
        <v>4.0128968990981104E-2</v>
      </c>
      <c r="AI7" s="43">
        <f t="shared" ref="AI7:BJ7" si="5">(AI3-AH3)/AH3</f>
        <v>3.8535050954376884E-2</v>
      </c>
      <c r="AJ7" s="43">
        <f t="shared" si="5"/>
        <v>3.8288120999045307E-2</v>
      </c>
      <c r="AK7" s="43">
        <f t="shared" si="5"/>
        <v>3.7949261442670676E-2</v>
      </c>
      <c r="AL7" s="43">
        <f t="shared" si="5"/>
        <v>3.7667071688942892E-2</v>
      </c>
      <c r="AM7" s="43">
        <f t="shared" si="5"/>
        <v>3.776100604176106E-2</v>
      </c>
      <c r="AN7" s="43">
        <f t="shared" si="5"/>
        <v>3.7719210911832071E-2</v>
      </c>
      <c r="AO7" s="43">
        <f t="shared" si="5"/>
        <v>3.7789595354595813E-2</v>
      </c>
      <c r="AP7" s="43">
        <f t="shared" si="5"/>
        <v>3.7767246521640589E-2</v>
      </c>
      <c r="AQ7" s="43">
        <f t="shared" si="5"/>
        <v>3.7686624938754874E-2</v>
      </c>
      <c r="AR7" s="43">
        <f t="shared" si="5"/>
        <v>3.7734422107984916E-2</v>
      </c>
      <c r="AS7" s="43">
        <f t="shared" si="5"/>
        <v>3.7642605023478715E-2</v>
      </c>
      <c r="AT7" s="43">
        <f t="shared" si="5"/>
        <v>3.7835488138919973E-2</v>
      </c>
      <c r="AU7" s="43">
        <f t="shared" si="5"/>
        <v>3.7727325103934409E-2</v>
      </c>
      <c r="AV7" s="43">
        <f t="shared" si="5"/>
        <v>3.7494315838453453E-2</v>
      </c>
      <c r="AW7" s="43">
        <f t="shared" si="5"/>
        <v>3.7411724333589816E-2</v>
      </c>
      <c r="AX7" s="43">
        <f t="shared" si="5"/>
        <v>3.7269450644465588E-2</v>
      </c>
      <c r="AY7" s="43">
        <f t="shared" si="5"/>
        <v>3.6797069874648675E-2</v>
      </c>
      <c r="AZ7" s="43">
        <f t="shared" si="5"/>
        <v>3.6418425893216068E-2</v>
      </c>
      <c r="BA7" s="43">
        <f t="shared" si="5"/>
        <v>3.6225932754960347E-2</v>
      </c>
      <c r="BB7" s="43">
        <f t="shared" si="5"/>
        <v>3.6055476944628066E-2</v>
      </c>
      <c r="BC7" s="43">
        <f t="shared" si="5"/>
        <v>3.5879091103167692E-2</v>
      </c>
      <c r="BD7" s="43">
        <f t="shared" si="5"/>
        <v>3.5637756787106262E-2</v>
      </c>
      <c r="BE7" s="43">
        <f t="shared" si="5"/>
        <v>3.545742837971954E-2</v>
      </c>
      <c r="BF7" s="43">
        <f t="shared" si="5"/>
        <v>3.5329829670749373E-2</v>
      </c>
      <c r="BG7" s="43">
        <f t="shared" si="5"/>
        <v>3.5265349833412521E-2</v>
      </c>
      <c r="BH7" s="43">
        <f t="shared" si="5"/>
        <v>3.5211146192633241E-2</v>
      </c>
      <c r="BI7" s="43">
        <f t="shared" si="5"/>
        <v>3.5202604277694803E-2</v>
      </c>
      <c r="BJ7" s="43">
        <f t="shared" si="5"/>
        <v>3.5219621226584216E-2</v>
      </c>
    </row>
    <row r="9" spans="1:62" x14ac:dyDescent="0.35">
      <c r="A9" t="s">
        <v>146</v>
      </c>
      <c r="B9" t="s">
        <v>147</v>
      </c>
      <c r="D9" t="s">
        <v>148</v>
      </c>
      <c r="E9" t="s">
        <v>149</v>
      </c>
      <c r="F9" t="s">
        <v>150</v>
      </c>
      <c r="G9" t="s">
        <v>151</v>
      </c>
    </row>
    <row r="10" spans="1:62" x14ac:dyDescent="0.35">
      <c r="A10">
        <v>2</v>
      </c>
      <c r="B10">
        <v>1.5</v>
      </c>
      <c r="D10">
        <v>0.4</v>
      </c>
      <c r="E10">
        <v>1.3</v>
      </c>
      <c r="F10">
        <v>1.2</v>
      </c>
      <c r="G10">
        <v>1</v>
      </c>
    </row>
    <row r="11" spans="1:62" x14ac:dyDescent="0.35">
      <c r="A11">
        <v>1</v>
      </c>
      <c r="B11">
        <v>0.75</v>
      </c>
      <c r="D11">
        <v>0.2</v>
      </c>
      <c r="E11">
        <v>0.8</v>
      </c>
      <c r="F11">
        <v>0.85</v>
      </c>
      <c r="G11">
        <v>0.8</v>
      </c>
    </row>
    <row r="12" spans="1:62" x14ac:dyDescent="0.35">
      <c r="A12">
        <v>0.5</v>
      </c>
      <c r="B12">
        <v>0.1</v>
      </c>
      <c r="D12">
        <v>0</v>
      </c>
      <c r="E12">
        <v>0.3</v>
      </c>
      <c r="F12">
        <v>0.5</v>
      </c>
      <c r="G12">
        <v>0.6</v>
      </c>
    </row>
    <row r="14" spans="1:62" x14ac:dyDescent="0.35">
      <c r="B14">
        <v>2026</v>
      </c>
      <c r="C14">
        <v>2027</v>
      </c>
      <c r="D14">
        <v>2028</v>
      </c>
      <c r="E14">
        <v>2029</v>
      </c>
      <c r="F14">
        <v>2030</v>
      </c>
      <c r="G14">
        <v>2031</v>
      </c>
      <c r="H14">
        <v>2032</v>
      </c>
      <c r="I14">
        <v>2033</v>
      </c>
      <c r="J14">
        <v>2034</v>
      </c>
      <c r="K14">
        <v>2035</v>
      </c>
      <c r="L14">
        <v>2036</v>
      </c>
      <c r="M14">
        <v>2037</v>
      </c>
      <c r="N14">
        <v>2038</v>
      </c>
      <c r="O14">
        <v>2039</v>
      </c>
      <c r="P14">
        <v>2040</v>
      </c>
      <c r="Q14">
        <v>2041</v>
      </c>
      <c r="R14">
        <v>2042</v>
      </c>
      <c r="S14">
        <v>2043</v>
      </c>
      <c r="T14">
        <v>2044</v>
      </c>
      <c r="U14">
        <v>2045</v>
      </c>
      <c r="V14">
        <v>2046</v>
      </c>
      <c r="W14">
        <v>2047</v>
      </c>
      <c r="X14">
        <v>2048</v>
      </c>
      <c r="Y14">
        <v>2049</v>
      </c>
      <c r="Z14">
        <v>2050</v>
      </c>
      <c r="AA14">
        <v>2051</v>
      </c>
      <c r="AB14">
        <v>2052</v>
      </c>
      <c r="AC14">
        <v>2053</v>
      </c>
      <c r="AD14">
        <v>2054</v>
      </c>
      <c r="AE14">
        <v>2055</v>
      </c>
      <c r="AF14">
        <v>2056</v>
      </c>
    </row>
    <row r="15" spans="1:62" x14ac:dyDescent="0.35">
      <c r="B15" t="s">
        <v>152</v>
      </c>
      <c r="C15" t="s">
        <v>152</v>
      </c>
      <c r="D15" t="s">
        <v>152</v>
      </c>
      <c r="E15" t="s">
        <v>153</v>
      </c>
      <c r="F15" t="s">
        <v>153</v>
      </c>
      <c r="G15" t="s">
        <v>153</v>
      </c>
      <c r="H15" t="s">
        <v>154</v>
      </c>
      <c r="I15" t="s">
        <v>154</v>
      </c>
      <c r="J15" t="s">
        <v>154</v>
      </c>
      <c r="K15" t="s">
        <v>153</v>
      </c>
      <c r="L15" t="s">
        <v>153</v>
      </c>
      <c r="M15" t="s">
        <v>153</v>
      </c>
      <c r="N15" t="s">
        <v>153</v>
      </c>
      <c r="O15" t="s">
        <v>152</v>
      </c>
      <c r="P15" t="s">
        <v>152</v>
      </c>
      <c r="Q15" t="s">
        <v>152</v>
      </c>
      <c r="R15" t="s">
        <v>153</v>
      </c>
      <c r="S15" t="s">
        <v>153</v>
      </c>
      <c r="T15" t="s">
        <v>153</v>
      </c>
      <c r="U15" t="s">
        <v>154</v>
      </c>
      <c r="V15" t="s">
        <v>154</v>
      </c>
      <c r="W15" t="s">
        <v>154</v>
      </c>
      <c r="X15" t="s">
        <v>153</v>
      </c>
      <c r="Y15" t="s">
        <v>153</v>
      </c>
      <c r="Z15" t="s">
        <v>153</v>
      </c>
      <c r="AA15" t="s">
        <v>153</v>
      </c>
      <c r="AB15" t="s">
        <v>152</v>
      </c>
      <c r="AC15" t="s">
        <v>152</v>
      </c>
      <c r="AD15" t="s">
        <v>152</v>
      </c>
      <c r="AE15" t="s">
        <v>153</v>
      </c>
      <c r="AF15" t="s">
        <v>153</v>
      </c>
    </row>
    <row r="16" spans="1:62" x14ac:dyDescent="0.35">
      <c r="A16" t="s">
        <v>146</v>
      </c>
      <c r="B16" cm="1">
        <f t="array" ref="B16">_xlfn.IFS(B$15="bad", $A$10, B$15="normal", $A$11, B$15="good", $A$12)</f>
        <v>2</v>
      </c>
      <c r="C16" cm="1">
        <f t="array" ref="C16">_xlfn.IFS(C$15="bad", $A$10, C$15="normal", $A$11, C$15="good", $A$12)</f>
        <v>2</v>
      </c>
      <c r="D16" cm="1">
        <f t="array" ref="D16">_xlfn.IFS(D$15="bad", $A$10, D$15="normal", $A$11, D$15="good", $A$12)</f>
        <v>2</v>
      </c>
      <c r="E16" cm="1">
        <f t="array" ref="E16">_xlfn.IFS(E$15="bad", $A$10, E$15="normal", $A$11, E$15="good", $A$12)</f>
        <v>1</v>
      </c>
      <c r="F16" cm="1">
        <f t="array" ref="F16">_xlfn.IFS(F$15="bad", $A$10, F$15="normal", $A$11, F$15="good", $A$12)</f>
        <v>1</v>
      </c>
      <c r="G16" cm="1">
        <f t="array" ref="G16">_xlfn.IFS(G$15="bad", $A$10, G$15="normal", $A$11, G$15="good", $A$12)</f>
        <v>1</v>
      </c>
      <c r="H16" cm="1">
        <f t="array" ref="H16">_xlfn.IFS(H$15="bad", $A$10, H$15="normal", $A$11, H$15="good", $A$12)</f>
        <v>0.5</v>
      </c>
      <c r="I16" cm="1">
        <f t="array" ref="I16">_xlfn.IFS(I$15="bad", $A$10, I$15="normal", $A$11, I$15="good", $A$12)</f>
        <v>0.5</v>
      </c>
      <c r="J16" cm="1">
        <f t="array" ref="J16">_xlfn.IFS(J$15="bad", $A$10, J$15="normal", $A$11, J$15="good", $A$12)</f>
        <v>0.5</v>
      </c>
      <c r="K16" cm="1">
        <f t="array" ref="K16">_xlfn.IFS(K$15="bad", $A$10, K$15="normal", $A$11, K$15="good", $A$12)</f>
        <v>1</v>
      </c>
      <c r="L16" cm="1">
        <f t="array" ref="L16">_xlfn.IFS(L$15="bad", $A$10, L$15="normal", $A$11, L$15="good", $A$12)</f>
        <v>1</v>
      </c>
      <c r="M16" cm="1">
        <f t="array" ref="M16">_xlfn.IFS(M$15="bad", $A$10, M$15="normal", $A$11, M$15="good", $A$12)</f>
        <v>1</v>
      </c>
      <c r="N16" cm="1">
        <f t="array" ref="N16">_xlfn.IFS(N$15="bad", $A$10, N$15="normal", $A$11, N$15="good", $A$12)</f>
        <v>1</v>
      </c>
      <c r="O16" cm="1">
        <f t="array" ref="O16">_xlfn.IFS(O$15="bad", $A$10, O$15="normal", $A$11, O$15="good", $A$12)</f>
        <v>2</v>
      </c>
      <c r="P16" cm="1">
        <f t="array" ref="P16">_xlfn.IFS(P$15="bad", $A$10, P$15="normal", $A$11, P$15="good", $A$12)</f>
        <v>2</v>
      </c>
      <c r="Q16" cm="1">
        <f t="array" ref="Q16">_xlfn.IFS(Q$15="bad", $A$10, Q$15="normal", $A$11, Q$15="good", $A$12)</f>
        <v>2</v>
      </c>
      <c r="R16" cm="1">
        <f t="array" ref="R16">_xlfn.IFS(R$15="bad", $A$10, R$15="normal", $A$11, R$15="good", $A$12)</f>
        <v>1</v>
      </c>
      <c r="S16" cm="1">
        <f t="array" ref="S16">_xlfn.IFS(S$15="bad", $A$10, S$15="normal", $A$11, S$15="good", $A$12)</f>
        <v>1</v>
      </c>
      <c r="T16" cm="1">
        <f t="array" ref="T16">_xlfn.IFS(T$15="bad", $A$10, T$15="normal", $A$11, T$15="good", $A$12)</f>
        <v>1</v>
      </c>
      <c r="U16" cm="1">
        <f t="array" ref="U16">_xlfn.IFS(U$15="bad", $A$10, U$15="normal", $A$11, U$15="good", $A$12)</f>
        <v>0.5</v>
      </c>
      <c r="V16" cm="1">
        <f t="array" ref="V16">_xlfn.IFS(V$15="bad", $A$10, V$15="normal", $A$11, V$15="good", $A$12)</f>
        <v>0.5</v>
      </c>
      <c r="W16" cm="1">
        <f t="array" ref="W16">_xlfn.IFS(W$15="bad", $A$10, W$15="normal", $A$11, W$15="good", $A$12)</f>
        <v>0.5</v>
      </c>
      <c r="X16" cm="1">
        <f t="array" ref="X16">_xlfn.IFS(X$15="bad", $A$10, X$15="normal", $A$11, X$15="good", $A$12)</f>
        <v>1</v>
      </c>
      <c r="Y16" cm="1">
        <f t="array" ref="Y16">_xlfn.IFS(Y$15="bad", $A$10, Y$15="normal", $A$11, Y$15="good", $A$12)</f>
        <v>1</v>
      </c>
      <c r="Z16" cm="1">
        <f t="array" ref="Z16">_xlfn.IFS(Z$15="bad", $A$10, Z$15="normal", $A$11, Z$15="good", $A$12)</f>
        <v>1</v>
      </c>
      <c r="AA16" cm="1">
        <f t="array" ref="AA16">_xlfn.IFS(AA$15="bad", $A$10, AA$15="normal", $A$11, AA$15="good", $A$12)</f>
        <v>1</v>
      </c>
      <c r="AB16" cm="1">
        <f t="array" ref="AB16">_xlfn.IFS(AB$15="bad", $A$10, AB$15="normal", $A$11, AB$15="good", $A$12)</f>
        <v>2</v>
      </c>
      <c r="AC16" cm="1">
        <f t="array" ref="AC16">_xlfn.IFS(AC$15="bad", $A$10, AC$15="normal", $A$11, AC$15="good", $A$12)</f>
        <v>2</v>
      </c>
      <c r="AD16" cm="1">
        <f t="array" ref="AD16">_xlfn.IFS(AD$15="bad", $A$10, AD$15="normal", $A$11, AD$15="good", $A$12)</f>
        <v>2</v>
      </c>
      <c r="AE16" cm="1">
        <f t="array" ref="AE16">_xlfn.IFS(AE$15="bad", $A$10, AE$15="normal", $A$11, AE$15="good", $A$12)</f>
        <v>1</v>
      </c>
      <c r="AF16" cm="1">
        <f t="array" ref="AF16">_xlfn.IFS(AF$15="bad", $A$10, AF$15="normal", $A$11, AF$15="good", $A$12)</f>
        <v>1</v>
      </c>
    </row>
    <row r="17" spans="1:32" x14ac:dyDescent="0.35">
      <c r="A17" t="s">
        <v>147</v>
      </c>
      <c r="B17" cm="1">
        <f t="array" ref="B17">_xlfn.IFS(B$15="bad", $B$10, B$15="normal", $B$11, B$15="good", $B$12)</f>
        <v>1.5</v>
      </c>
      <c r="C17" cm="1">
        <f t="array" ref="C17">_xlfn.IFS(C$15="bad", $B$10, C$15="normal", $B$11, C$15="good", $B$12)</f>
        <v>1.5</v>
      </c>
      <c r="D17" cm="1">
        <f t="array" ref="D17">_xlfn.IFS(D$15="bad", $B$10, D$15="normal", $B$11, D$15="good", $B$12)</f>
        <v>1.5</v>
      </c>
      <c r="E17" cm="1">
        <f t="array" ref="E17">_xlfn.IFS(E$15="bad", $B$10, E$15="normal", $B$11, E$15="good", $B$12)</f>
        <v>0.75</v>
      </c>
      <c r="F17" cm="1">
        <f t="array" ref="F17">_xlfn.IFS(F$15="bad", $B$10, F$15="normal", $B$11, F$15="good", $B$12)</f>
        <v>0.75</v>
      </c>
      <c r="G17" cm="1">
        <f t="array" ref="G17">_xlfn.IFS(G$15="bad", $B$10, G$15="normal", $B$11, G$15="good", $B$12)</f>
        <v>0.75</v>
      </c>
      <c r="H17" cm="1">
        <f t="array" ref="H17">_xlfn.IFS(H$15="bad", $B$10, H$15="normal", $B$11, H$15="good", $B$12)</f>
        <v>0.1</v>
      </c>
      <c r="I17" cm="1">
        <f t="array" ref="I17">_xlfn.IFS(I$15="bad", $B$10, I$15="normal", $B$11, I$15="good", $B$12)</f>
        <v>0.1</v>
      </c>
      <c r="J17" cm="1">
        <f t="array" ref="J17">_xlfn.IFS(J$15="bad", $B$10, J$15="normal", $B$11, J$15="good", $B$12)</f>
        <v>0.1</v>
      </c>
      <c r="K17" cm="1">
        <f t="array" ref="K17">_xlfn.IFS(K$15="bad", $B$10, K$15="normal", $B$11, K$15="good", $B$12)</f>
        <v>0.75</v>
      </c>
      <c r="L17" cm="1">
        <f t="array" ref="L17">_xlfn.IFS(L$15="bad", $B$10, L$15="normal", $B$11, L$15="good", $B$12)</f>
        <v>0.75</v>
      </c>
      <c r="M17" cm="1">
        <f t="array" ref="M17">_xlfn.IFS(M$15="bad", $B$10, M$15="normal", $B$11, M$15="good", $B$12)</f>
        <v>0.75</v>
      </c>
      <c r="N17" cm="1">
        <f t="array" ref="N17">_xlfn.IFS(N$15="bad", $B$10, N$15="normal", $B$11, N$15="good", $B$12)</f>
        <v>0.75</v>
      </c>
      <c r="O17" cm="1">
        <f t="array" ref="O17">_xlfn.IFS(O$15="bad", $B$10, O$15="normal", $B$11, O$15="good", $B$12)</f>
        <v>1.5</v>
      </c>
      <c r="P17" cm="1">
        <f t="array" ref="P17">_xlfn.IFS(P$15="bad", $B$10, P$15="normal", $B$11, P$15="good", $B$12)</f>
        <v>1.5</v>
      </c>
      <c r="Q17" cm="1">
        <f t="array" ref="Q17">_xlfn.IFS(Q$15="bad", $B$10, Q$15="normal", $B$11, Q$15="good", $B$12)</f>
        <v>1.5</v>
      </c>
      <c r="R17" cm="1">
        <f t="array" ref="R17">_xlfn.IFS(R$15="bad", $B$10, R$15="normal", $B$11, R$15="good", $B$12)</f>
        <v>0.75</v>
      </c>
      <c r="S17" cm="1">
        <f t="array" ref="S17">_xlfn.IFS(S$15="bad", $B$10, S$15="normal", $B$11, S$15="good", $B$12)</f>
        <v>0.75</v>
      </c>
      <c r="T17" cm="1">
        <f t="array" ref="T17">_xlfn.IFS(T$15="bad", $B$10, T$15="normal", $B$11, T$15="good", $B$12)</f>
        <v>0.75</v>
      </c>
      <c r="U17" cm="1">
        <f t="array" ref="U17">_xlfn.IFS(U$15="bad", $B$10, U$15="normal", $B$11, U$15="good", $B$12)</f>
        <v>0.1</v>
      </c>
      <c r="V17" cm="1">
        <f t="array" ref="V17">_xlfn.IFS(V$15="bad", $B$10, V$15="normal", $B$11, V$15="good", $B$12)</f>
        <v>0.1</v>
      </c>
      <c r="W17" cm="1">
        <f t="array" ref="W17">_xlfn.IFS(W$15="bad", $B$10, W$15="normal", $B$11, W$15="good", $B$12)</f>
        <v>0.1</v>
      </c>
      <c r="X17" cm="1">
        <f t="array" ref="X17">_xlfn.IFS(X$15="bad", $B$10, X$15="normal", $B$11, X$15="good", $B$12)</f>
        <v>0.75</v>
      </c>
      <c r="Y17" cm="1">
        <f t="array" ref="Y17">_xlfn.IFS(Y$15="bad", $B$10, Y$15="normal", $B$11, Y$15="good", $B$12)</f>
        <v>0.75</v>
      </c>
      <c r="Z17" cm="1">
        <f t="array" ref="Z17">_xlfn.IFS(Z$15="bad", $B$10, Z$15="normal", $B$11, Z$15="good", $B$12)</f>
        <v>0.75</v>
      </c>
      <c r="AA17" cm="1">
        <f t="array" ref="AA17">_xlfn.IFS(AA$15="bad", $B$10, AA$15="normal", $B$11, AA$15="good", $B$12)</f>
        <v>0.75</v>
      </c>
      <c r="AB17" cm="1">
        <f t="array" ref="AB17">_xlfn.IFS(AB$15="bad", $B$10, AB$15="normal", $B$11, AB$15="good", $B$12)</f>
        <v>1.5</v>
      </c>
      <c r="AC17" cm="1">
        <f t="array" ref="AC17">_xlfn.IFS(AC$15="bad", $B$10, AC$15="normal", $B$11, AC$15="good", $B$12)</f>
        <v>1.5</v>
      </c>
      <c r="AD17" cm="1">
        <f t="array" ref="AD17">_xlfn.IFS(AD$15="bad", $B$10, AD$15="normal", $B$11, AD$15="good", $B$12)</f>
        <v>1.5</v>
      </c>
      <c r="AE17" cm="1">
        <f t="array" ref="AE17">_xlfn.IFS(AE$15="bad", $B$10, AE$15="normal", $B$11, AE$15="good", $B$12)</f>
        <v>0.75</v>
      </c>
      <c r="AF17" cm="1">
        <f t="array" ref="AF17">_xlfn.IFS(AF$15="bad", $B$10, AF$15="normal", $B$11, AF$15="good", $B$12)</f>
        <v>0.75</v>
      </c>
    </row>
    <row r="18" spans="1:32" x14ac:dyDescent="0.35">
      <c r="A18" t="s">
        <v>148</v>
      </c>
      <c r="B18" cm="1">
        <f t="array" ref="B18">_xlfn.IFS(B$15="bad", $D$10, B$15="normal", $D$11, B$15="good", $D$12)</f>
        <v>0.4</v>
      </c>
      <c r="C18" cm="1">
        <f t="array" ref="C18">_xlfn.IFS(C$15="bad", $D$10, C$15="normal", $D$11, C$15="good", $D$12)</f>
        <v>0.4</v>
      </c>
      <c r="D18" cm="1">
        <f t="array" ref="D18">_xlfn.IFS(D$15="bad", $D$10, D$15="normal", $D$11, D$15="good", $D$12)</f>
        <v>0.4</v>
      </c>
      <c r="E18" cm="1">
        <f t="array" ref="E18">_xlfn.IFS(E$15="bad", $D$10, E$15="normal", $D$11, E$15="good", $D$12)</f>
        <v>0.2</v>
      </c>
      <c r="F18" cm="1">
        <f t="array" ref="F18">_xlfn.IFS(F$15="bad", $D$10, F$15="normal", $D$11, F$15="good", $D$12)</f>
        <v>0.2</v>
      </c>
      <c r="G18" cm="1">
        <f t="array" ref="G18">_xlfn.IFS(G$15="bad", $D$10, G$15="normal", $D$11, G$15="good", $D$12)</f>
        <v>0.2</v>
      </c>
      <c r="H18" cm="1">
        <f t="array" ref="H18">_xlfn.IFS(H$15="bad", $D$10, H$15="normal", $D$11, H$15="good", $D$12)</f>
        <v>0</v>
      </c>
      <c r="I18" cm="1">
        <f t="array" ref="I18">_xlfn.IFS(I$15="bad", $D$10, I$15="normal", $D$11, I$15="good", $D$12)</f>
        <v>0</v>
      </c>
      <c r="J18" cm="1">
        <f t="array" ref="J18">_xlfn.IFS(J$15="bad", $D$10, J$15="normal", $D$11, J$15="good", $D$12)</f>
        <v>0</v>
      </c>
      <c r="K18" cm="1">
        <f t="array" ref="K18">_xlfn.IFS(K$15="bad", $D$10, K$15="normal", $D$11, K$15="good", $D$12)</f>
        <v>0.2</v>
      </c>
      <c r="L18" cm="1">
        <f t="array" ref="L18">_xlfn.IFS(L$15="bad", $D$10, L$15="normal", $D$11, L$15="good", $D$12)</f>
        <v>0.2</v>
      </c>
      <c r="M18" cm="1">
        <f t="array" ref="M18">_xlfn.IFS(M$15="bad", $D$10, M$15="normal", $D$11, M$15="good", $D$12)</f>
        <v>0.2</v>
      </c>
      <c r="N18" cm="1">
        <f t="array" ref="N18">_xlfn.IFS(N$15="bad", $D$10, N$15="normal", $D$11, N$15="good", $D$12)</f>
        <v>0.2</v>
      </c>
      <c r="O18" cm="1">
        <f t="array" ref="O18">_xlfn.IFS(O$15="bad", $D$10, O$15="normal", $D$11, O$15="good", $D$12)</f>
        <v>0.4</v>
      </c>
      <c r="P18" cm="1">
        <f t="array" ref="P18">_xlfn.IFS(P$15="bad", $D$10, P$15="normal", $D$11, P$15="good", $D$12)</f>
        <v>0.4</v>
      </c>
      <c r="Q18" cm="1">
        <f t="array" ref="Q18">_xlfn.IFS(Q$15="bad", $D$10, Q$15="normal", $D$11, Q$15="good", $D$12)</f>
        <v>0.4</v>
      </c>
      <c r="R18" cm="1">
        <f t="array" ref="R18">_xlfn.IFS(R$15="bad", $D$10, R$15="normal", $D$11, R$15="good", $D$12)</f>
        <v>0.2</v>
      </c>
      <c r="S18" cm="1">
        <f t="array" ref="S18">_xlfn.IFS(S$15="bad", $D$10, S$15="normal", $D$11, S$15="good", $D$12)</f>
        <v>0.2</v>
      </c>
      <c r="T18" cm="1">
        <f t="array" ref="T18">_xlfn.IFS(T$15="bad", $D$10, T$15="normal", $D$11, T$15="good", $D$12)</f>
        <v>0.2</v>
      </c>
      <c r="U18" cm="1">
        <f t="array" ref="U18">_xlfn.IFS(U$15="bad", $D$10, U$15="normal", $D$11, U$15="good", $D$12)</f>
        <v>0</v>
      </c>
      <c r="V18" cm="1">
        <f t="array" ref="V18">_xlfn.IFS(V$15="bad", $D$10, V$15="normal", $D$11, V$15="good", $D$12)</f>
        <v>0</v>
      </c>
      <c r="W18" cm="1">
        <f t="array" ref="W18">_xlfn.IFS(W$15="bad", $D$10, W$15="normal", $D$11, W$15="good", $D$12)</f>
        <v>0</v>
      </c>
      <c r="X18" cm="1">
        <f t="array" ref="X18">_xlfn.IFS(X$15="bad", $D$10, X$15="normal", $D$11, X$15="good", $D$12)</f>
        <v>0.2</v>
      </c>
      <c r="Y18" cm="1">
        <f t="array" ref="Y18">_xlfn.IFS(Y$15="bad", $D$10, Y$15="normal", $D$11, Y$15="good", $D$12)</f>
        <v>0.2</v>
      </c>
      <c r="Z18" cm="1">
        <f t="array" ref="Z18">_xlfn.IFS(Z$15="bad", $D$10, Z$15="normal", $D$11, Z$15="good", $D$12)</f>
        <v>0.2</v>
      </c>
      <c r="AA18" cm="1">
        <f t="array" ref="AA18">_xlfn.IFS(AA$15="bad", $D$10, AA$15="normal", $D$11, AA$15="good", $D$12)</f>
        <v>0.2</v>
      </c>
      <c r="AB18" cm="1">
        <f t="array" ref="AB18">_xlfn.IFS(AB$15="bad", $D$10, AB$15="normal", $D$11, AB$15="good", $D$12)</f>
        <v>0.4</v>
      </c>
      <c r="AC18" cm="1">
        <f t="array" ref="AC18">_xlfn.IFS(AC$15="bad", $D$10, AC$15="normal", $D$11, AC$15="good", $D$12)</f>
        <v>0.4</v>
      </c>
      <c r="AD18" cm="1">
        <f t="array" ref="AD18">_xlfn.IFS(AD$15="bad", $D$10, AD$15="normal", $D$11, AD$15="good", $D$12)</f>
        <v>0.4</v>
      </c>
      <c r="AE18" cm="1">
        <f t="array" ref="AE18">_xlfn.IFS(AE$15="bad", $D$10, AE$15="normal", $D$11, AE$15="good", $D$12)</f>
        <v>0.2</v>
      </c>
      <c r="AF18" cm="1">
        <f t="array" ref="AF18">_xlfn.IFS(AF$15="bad", $D$10, AF$15="normal", $D$11, AF$15="good", $D$12)</f>
        <v>0.2</v>
      </c>
    </row>
    <row r="19" spans="1:32" x14ac:dyDescent="0.35">
      <c r="A19" t="s">
        <v>149</v>
      </c>
      <c r="B19" cm="1">
        <f t="array" ref="B19">_xlfn.IFS(B$15="bad", $E$10, B$15="normal", $E$11, B$15="good", $E$12)</f>
        <v>1.3</v>
      </c>
      <c r="C19" cm="1">
        <f t="array" ref="C19">_xlfn.IFS(C$15="bad", $E$10, C$15="normal", $E$11, C$15="good", $E$12)</f>
        <v>1.3</v>
      </c>
      <c r="D19" cm="1">
        <f t="array" ref="D19">_xlfn.IFS(D$15="bad", $E$10, D$15="normal", $E$11, D$15="good", $E$12)</f>
        <v>1.3</v>
      </c>
      <c r="E19" cm="1">
        <f t="array" ref="E19">_xlfn.IFS(E$15="bad", $E$10, E$15="normal", $E$11, E$15="good", $E$12)</f>
        <v>0.8</v>
      </c>
      <c r="F19" cm="1">
        <f t="array" ref="F19">_xlfn.IFS(F$15="bad", $E$10, F$15="normal", $E$11, F$15="good", $E$12)</f>
        <v>0.8</v>
      </c>
      <c r="G19" cm="1">
        <f t="array" ref="G19">_xlfn.IFS(G$15="bad", $E$10, G$15="normal", $E$11, G$15="good", $E$12)</f>
        <v>0.8</v>
      </c>
      <c r="H19" cm="1">
        <f t="array" ref="H19">_xlfn.IFS(H$15="bad", $E$10, H$15="normal", $E$11, H$15="good", $E$12)</f>
        <v>0.3</v>
      </c>
      <c r="I19" cm="1">
        <f t="array" ref="I19">_xlfn.IFS(I$15="bad", $E$10, I$15="normal", $E$11, I$15="good", $E$12)</f>
        <v>0.3</v>
      </c>
      <c r="J19" cm="1">
        <f t="array" ref="J19">_xlfn.IFS(J$15="bad", $E$10, J$15="normal", $E$11, J$15="good", $E$12)</f>
        <v>0.3</v>
      </c>
      <c r="K19" cm="1">
        <f t="array" ref="K19">_xlfn.IFS(K$15="bad", $E$10, K$15="normal", $E$11, K$15="good", $E$12)</f>
        <v>0.8</v>
      </c>
      <c r="L19" cm="1">
        <f t="array" ref="L19">_xlfn.IFS(L$15="bad", $E$10, L$15="normal", $E$11, L$15="good", $E$12)</f>
        <v>0.8</v>
      </c>
      <c r="M19" cm="1">
        <f t="array" ref="M19">_xlfn.IFS(M$15="bad", $E$10, M$15="normal", $E$11, M$15="good", $E$12)</f>
        <v>0.8</v>
      </c>
      <c r="N19" cm="1">
        <f t="array" ref="N19">_xlfn.IFS(N$15="bad", $E$10, N$15="normal", $E$11, N$15="good", $E$12)</f>
        <v>0.8</v>
      </c>
      <c r="O19" cm="1">
        <f t="array" ref="O19">_xlfn.IFS(O$15="bad", $E$10, O$15="normal", $E$11, O$15="good", $E$12)</f>
        <v>1.3</v>
      </c>
      <c r="P19" cm="1">
        <f t="array" ref="P19">_xlfn.IFS(P$15="bad", $E$10, P$15="normal", $E$11, P$15="good", $E$12)</f>
        <v>1.3</v>
      </c>
      <c r="Q19" cm="1">
        <f t="array" ref="Q19">_xlfn.IFS(Q$15="bad", $E$10, Q$15="normal", $E$11, Q$15="good", $E$12)</f>
        <v>1.3</v>
      </c>
      <c r="R19" cm="1">
        <f t="array" ref="R19">_xlfn.IFS(R$15="bad", $E$10, R$15="normal", $E$11, R$15="good", $E$12)</f>
        <v>0.8</v>
      </c>
      <c r="S19" cm="1">
        <f t="array" ref="S19">_xlfn.IFS(S$15="bad", $E$10, S$15="normal", $E$11, S$15="good", $E$12)</f>
        <v>0.8</v>
      </c>
      <c r="T19" cm="1">
        <f t="array" ref="T19">_xlfn.IFS(T$15="bad", $E$10, T$15="normal", $E$11, T$15="good", $E$12)</f>
        <v>0.8</v>
      </c>
      <c r="U19" cm="1">
        <f t="array" ref="U19">_xlfn.IFS(U$15="bad", $E$10, U$15="normal", $E$11, U$15="good", $E$12)</f>
        <v>0.3</v>
      </c>
      <c r="V19" cm="1">
        <f t="array" ref="V19">_xlfn.IFS(V$15="bad", $E$10, V$15="normal", $E$11, V$15="good", $E$12)</f>
        <v>0.3</v>
      </c>
      <c r="W19" cm="1">
        <f t="array" ref="W19">_xlfn.IFS(W$15="bad", $E$10, W$15="normal", $E$11, W$15="good", $E$12)</f>
        <v>0.3</v>
      </c>
      <c r="X19" cm="1">
        <f t="array" ref="X19">_xlfn.IFS(X$15="bad", $E$10, X$15="normal", $E$11, X$15="good", $E$12)</f>
        <v>0.8</v>
      </c>
      <c r="Y19" cm="1">
        <f t="array" ref="Y19">_xlfn.IFS(Y$15="bad", $E$10, Y$15="normal", $E$11, Y$15="good", $E$12)</f>
        <v>0.8</v>
      </c>
      <c r="Z19" cm="1">
        <f t="array" ref="Z19">_xlfn.IFS(Z$15="bad", $E$10, Z$15="normal", $E$11, Z$15="good", $E$12)</f>
        <v>0.8</v>
      </c>
      <c r="AA19" cm="1">
        <f t="array" ref="AA19">_xlfn.IFS(AA$15="bad", $E$10, AA$15="normal", $E$11, AA$15="good", $E$12)</f>
        <v>0.8</v>
      </c>
      <c r="AB19" cm="1">
        <f t="array" ref="AB19">_xlfn.IFS(AB$15="bad", $E$10, AB$15="normal", $E$11, AB$15="good", $E$12)</f>
        <v>1.3</v>
      </c>
      <c r="AC19" cm="1">
        <f t="array" ref="AC19">_xlfn.IFS(AC$15="bad", $E$10, AC$15="normal", $E$11, AC$15="good", $E$12)</f>
        <v>1.3</v>
      </c>
      <c r="AD19" cm="1">
        <f t="array" ref="AD19">_xlfn.IFS(AD$15="bad", $E$10, AD$15="normal", $E$11, AD$15="good", $E$12)</f>
        <v>1.3</v>
      </c>
      <c r="AE19" cm="1">
        <f t="array" ref="AE19">_xlfn.IFS(AE$15="bad", $E$10, AE$15="normal", $E$11, AE$15="good", $E$12)</f>
        <v>0.8</v>
      </c>
      <c r="AF19" cm="1">
        <f t="array" ref="AF19">_xlfn.IFS(AF$15="bad", $E$10, AF$15="normal", $E$11, AF$15="good", $E$12)</f>
        <v>0.8</v>
      </c>
    </row>
    <row r="20" spans="1:32" x14ac:dyDescent="0.35">
      <c r="A20" t="s">
        <v>155</v>
      </c>
      <c r="B20" cm="1">
        <f t="array" ref="B20">_xlfn.IFS(B$15="bad", $F$10, B$15="normal", $F$11, B$15="good", $F$12)</f>
        <v>1.2</v>
      </c>
      <c r="C20" cm="1">
        <f t="array" ref="C20">_xlfn.IFS(C$15="bad", $F$10, C$15="normal", $F$11, C$15="good", $F$12)</f>
        <v>1.2</v>
      </c>
      <c r="D20" cm="1">
        <f t="array" ref="D20">_xlfn.IFS(D$15="bad", $F$10, D$15="normal", $F$11, D$15="good", $F$12)</f>
        <v>1.2</v>
      </c>
      <c r="E20" cm="1">
        <f t="array" ref="E20">_xlfn.IFS(E$15="bad", $F$10, E$15="normal", $F$11, E$15="good", $F$12)</f>
        <v>0.85</v>
      </c>
      <c r="F20" cm="1">
        <f t="array" ref="F20">_xlfn.IFS(F$15="bad", $F$10, F$15="normal", $F$11, F$15="good", $F$12)</f>
        <v>0.85</v>
      </c>
      <c r="G20" cm="1">
        <f t="array" ref="G20">_xlfn.IFS(G$15="bad", $F$10, G$15="normal", $F$11, G$15="good", $F$12)</f>
        <v>0.85</v>
      </c>
      <c r="H20" cm="1">
        <f t="array" ref="H20">_xlfn.IFS(H$15="bad", $F$10, H$15="normal", $F$11, H$15="good", $F$12)</f>
        <v>0.5</v>
      </c>
      <c r="I20" cm="1">
        <f t="array" ref="I20">_xlfn.IFS(I$15="bad", $F$10, I$15="normal", $F$11, I$15="good", $F$12)</f>
        <v>0.5</v>
      </c>
      <c r="J20" cm="1">
        <f t="array" ref="J20">_xlfn.IFS(J$15="bad", $F$10, J$15="normal", $F$11, J$15="good", $F$12)</f>
        <v>0.5</v>
      </c>
      <c r="K20" cm="1">
        <f t="array" ref="K20">_xlfn.IFS(K$15="bad", $F$10, K$15="normal", $F$11, K$15="good", $F$12)</f>
        <v>0.85</v>
      </c>
      <c r="L20" cm="1">
        <f t="array" ref="L20">_xlfn.IFS(L$15="bad", $F$10, L$15="normal", $F$11, L$15="good", $F$12)</f>
        <v>0.85</v>
      </c>
      <c r="M20" cm="1">
        <f t="array" ref="M20">_xlfn.IFS(M$15="bad", $F$10, M$15="normal", $F$11, M$15="good", $F$12)</f>
        <v>0.85</v>
      </c>
      <c r="N20" cm="1">
        <f t="array" ref="N20">_xlfn.IFS(N$15="bad", $F$10, N$15="normal", $F$11, N$15="good", $F$12)</f>
        <v>0.85</v>
      </c>
      <c r="O20" cm="1">
        <f t="array" ref="O20">_xlfn.IFS(O$15="bad", $F$10, O$15="normal", $F$11, O$15="good", $F$12)</f>
        <v>1.2</v>
      </c>
      <c r="P20" cm="1">
        <f t="array" ref="P20">_xlfn.IFS(P$15="bad", $F$10, P$15="normal", $F$11, P$15="good", $F$12)</f>
        <v>1.2</v>
      </c>
      <c r="Q20" cm="1">
        <f t="array" ref="Q20">_xlfn.IFS(Q$15="bad", $F$10, Q$15="normal", $F$11, Q$15="good", $F$12)</f>
        <v>1.2</v>
      </c>
      <c r="R20" cm="1">
        <f t="array" ref="R20">_xlfn.IFS(R$15="bad", $F$10, R$15="normal", $F$11, R$15="good", $F$12)</f>
        <v>0.85</v>
      </c>
      <c r="S20" cm="1">
        <f t="array" ref="S20">_xlfn.IFS(S$15="bad", $F$10, S$15="normal", $F$11, S$15="good", $F$12)</f>
        <v>0.85</v>
      </c>
      <c r="T20" cm="1">
        <f t="array" ref="T20">_xlfn.IFS(T$15="bad", $F$10, T$15="normal", $F$11, T$15="good", $F$12)</f>
        <v>0.85</v>
      </c>
      <c r="U20" cm="1">
        <f t="array" ref="U20">_xlfn.IFS(U$15="bad", $F$10, U$15="normal", $F$11, U$15="good", $F$12)</f>
        <v>0.5</v>
      </c>
      <c r="V20" cm="1">
        <f t="array" ref="V20">_xlfn.IFS(V$15="bad", $F$10, V$15="normal", $F$11, V$15="good", $F$12)</f>
        <v>0.5</v>
      </c>
      <c r="W20" cm="1">
        <f t="array" ref="W20">_xlfn.IFS(W$15="bad", $F$10, W$15="normal", $F$11, W$15="good", $F$12)</f>
        <v>0.5</v>
      </c>
      <c r="X20" cm="1">
        <f t="array" ref="X20">_xlfn.IFS(X$15="bad", $F$10, X$15="normal", $F$11, X$15="good", $F$12)</f>
        <v>0.85</v>
      </c>
      <c r="Y20" cm="1">
        <f t="array" ref="Y20">_xlfn.IFS(Y$15="bad", $F$10, Y$15="normal", $F$11, Y$15="good", $F$12)</f>
        <v>0.85</v>
      </c>
      <c r="Z20" cm="1">
        <f t="array" ref="Z20">_xlfn.IFS(Z$15="bad", $F$10, Z$15="normal", $F$11, Z$15="good", $F$12)</f>
        <v>0.85</v>
      </c>
      <c r="AA20" cm="1">
        <f t="array" ref="AA20">_xlfn.IFS(AA$15="bad", $F$10, AA$15="normal", $F$11, AA$15="good", $F$12)</f>
        <v>0.85</v>
      </c>
      <c r="AB20" cm="1">
        <f t="array" ref="AB20">_xlfn.IFS(AB$15="bad", $F$10, AB$15="normal", $F$11, AB$15="good", $F$12)</f>
        <v>1.2</v>
      </c>
      <c r="AC20" cm="1">
        <f t="array" ref="AC20">_xlfn.IFS(AC$15="bad", $F$10, AC$15="normal", $F$11, AC$15="good", $F$12)</f>
        <v>1.2</v>
      </c>
      <c r="AD20" cm="1">
        <f t="array" ref="AD20">_xlfn.IFS(AD$15="bad", $F$10, AD$15="normal", $F$11, AD$15="good", $F$12)</f>
        <v>1.2</v>
      </c>
      <c r="AE20" cm="1">
        <f t="array" ref="AE20">_xlfn.IFS(AE$15="bad", $F$10, AE$15="normal", $F$11, AE$15="good", $F$12)</f>
        <v>0.85</v>
      </c>
      <c r="AF20" cm="1">
        <f t="array" ref="AF20">_xlfn.IFS(AF$15="bad", $F$10, AF$15="normal", $F$11, AF$15="good", $F$12)</f>
        <v>0.85</v>
      </c>
    </row>
    <row r="21" spans="1:32" x14ac:dyDescent="0.35">
      <c r="A21" t="s">
        <v>156</v>
      </c>
      <c r="B21" cm="1">
        <f t="array" ref="B21">_xlfn.IFS(B$15="bad", $G$10, B$15="normal", $G$11, B$15="good", $G$12)</f>
        <v>1</v>
      </c>
      <c r="C21" cm="1">
        <f t="array" ref="C21">_xlfn.IFS(C$15="bad", $G$10, C$15="normal", $G$11, C$15="good", $G$12)</f>
        <v>1</v>
      </c>
      <c r="D21" cm="1">
        <f t="array" ref="D21">_xlfn.IFS(D$15="bad", $G$10, D$15="normal", $G$11, D$15="good", $G$12)</f>
        <v>1</v>
      </c>
      <c r="E21" cm="1">
        <f t="array" ref="E21">_xlfn.IFS(E$15="bad", $G$10, E$15="normal", $G$11, E$15="good", $G$12)</f>
        <v>0.8</v>
      </c>
      <c r="F21" cm="1">
        <f t="array" ref="F21">_xlfn.IFS(F$15="bad", $G$10, F$15="normal", $G$11, F$15="good", $G$12)</f>
        <v>0.8</v>
      </c>
      <c r="G21" cm="1">
        <f t="array" ref="G21">_xlfn.IFS(G$15="bad", $G$10, G$15="normal", $G$11, G$15="good", $G$12)</f>
        <v>0.8</v>
      </c>
      <c r="H21" cm="1">
        <f t="array" ref="H21">_xlfn.IFS(H$15="bad", $G$10, H$15="normal", $G$11, H$15="good", $G$12)</f>
        <v>0.6</v>
      </c>
      <c r="I21" cm="1">
        <f t="array" ref="I21">_xlfn.IFS(I$15="bad", $G$10, I$15="normal", $G$11, I$15="good", $G$12)</f>
        <v>0.6</v>
      </c>
      <c r="J21" cm="1">
        <f t="array" ref="J21">_xlfn.IFS(J$15="bad", $G$10, J$15="normal", $G$11, J$15="good", $G$12)</f>
        <v>0.6</v>
      </c>
      <c r="K21" cm="1">
        <f t="array" ref="K21">_xlfn.IFS(K$15="bad", $G$10, K$15="normal", $G$11, K$15="good", $G$12)</f>
        <v>0.8</v>
      </c>
      <c r="L21" cm="1">
        <f t="array" ref="L21">_xlfn.IFS(L$15="bad", $G$10, L$15="normal", $G$11, L$15="good", $G$12)</f>
        <v>0.8</v>
      </c>
      <c r="M21" cm="1">
        <f t="array" ref="M21">_xlfn.IFS(M$15="bad", $G$10, M$15="normal", $G$11, M$15="good", $G$12)</f>
        <v>0.8</v>
      </c>
      <c r="N21" cm="1">
        <f t="array" ref="N21">_xlfn.IFS(N$15="bad", $G$10, N$15="normal", $G$11, N$15="good", $G$12)</f>
        <v>0.8</v>
      </c>
      <c r="O21" cm="1">
        <f t="array" ref="O21">_xlfn.IFS(O$15="bad", $G$10, O$15="normal", $G$11, O$15="good", $G$12)</f>
        <v>1</v>
      </c>
      <c r="P21" cm="1">
        <f t="array" ref="P21">_xlfn.IFS(P$15="bad", $G$10, P$15="normal", $G$11, P$15="good", $G$12)</f>
        <v>1</v>
      </c>
      <c r="Q21" cm="1">
        <f t="array" ref="Q21">_xlfn.IFS(Q$15="bad", $G$10, Q$15="normal", $G$11, Q$15="good", $G$12)</f>
        <v>1</v>
      </c>
      <c r="R21" cm="1">
        <f t="array" ref="R21">_xlfn.IFS(R$15="bad", $G$10, R$15="normal", $G$11, R$15="good", $G$12)</f>
        <v>0.8</v>
      </c>
      <c r="S21" cm="1">
        <f t="array" ref="S21">_xlfn.IFS(S$15="bad", $G$10, S$15="normal", $G$11, S$15="good", $G$12)</f>
        <v>0.8</v>
      </c>
      <c r="T21" cm="1">
        <f t="array" ref="T21">_xlfn.IFS(T$15="bad", $G$10, T$15="normal", $G$11, T$15="good", $G$12)</f>
        <v>0.8</v>
      </c>
      <c r="U21" cm="1">
        <f t="array" ref="U21">_xlfn.IFS(U$15="bad", $G$10, U$15="normal", $G$11, U$15="good", $G$12)</f>
        <v>0.6</v>
      </c>
      <c r="V21" cm="1">
        <f t="array" ref="V21">_xlfn.IFS(V$15="bad", $G$10, V$15="normal", $G$11, V$15="good", $G$12)</f>
        <v>0.6</v>
      </c>
      <c r="W21" cm="1">
        <f t="array" ref="W21">_xlfn.IFS(W$15="bad", $G$10, W$15="normal", $G$11, W$15="good", $G$12)</f>
        <v>0.6</v>
      </c>
      <c r="X21" cm="1">
        <f t="array" ref="X21">_xlfn.IFS(X$15="bad", $G$10, X$15="normal", $G$11, X$15="good", $G$12)</f>
        <v>0.8</v>
      </c>
      <c r="Y21" cm="1">
        <f t="array" ref="Y21">_xlfn.IFS(Y$15="bad", $G$10, Y$15="normal", $G$11, Y$15="good", $G$12)</f>
        <v>0.8</v>
      </c>
      <c r="Z21" cm="1">
        <f t="array" ref="Z21">_xlfn.IFS(Z$15="bad", $G$10, Z$15="normal", $G$11, Z$15="good", $G$12)</f>
        <v>0.8</v>
      </c>
      <c r="AA21" cm="1">
        <f t="array" ref="AA21">_xlfn.IFS(AA$15="bad", $G$10, AA$15="normal", $G$11, AA$15="good", $G$12)</f>
        <v>0.8</v>
      </c>
      <c r="AB21" cm="1">
        <f t="array" ref="AB21">_xlfn.IFS(AB$15="bad", $G$10, AB$15="normal", $G$11, AB$15="good", $G$12)</f>
        <v>1</v>
      </c>
      <c r="AC21" cm="1">
        <f t="array" ref="AC21">_xlfn.IFS(AC$15="bad", $G$10, AC$15="normal", $G$11, AC$15="good", $G$12)</f>
        <v>1</v>
      </c>
      <c r="AD21" cm="1">
        <f t="array" ref="AD21">_xlfn.IFS(AD$15="bad", $G$10, AD$15="normal", $G$11, AD$15="good", $G$12)</f>
        <v>1</v>
      </c>
      <c r="AE21" cm="1">
        <f t="array" ref="AE21">_xlfn.IFS(AE$15="bad", $G$10, AE$15="normal", $G$11, AE$15="good", $G$12)</f>
        <v>0.8</v>
      </c>
      <c r="AF21" cm="1">
        <f t="array" ref="AF21">_xlfn.IFS(AF$15="bad", $G$10, AF$15="normal", $G$11, AF$15="good", $G$12)</f>
        <v>0.8</v>
      </c>
    </row>
    <row r="22" spans="1:32" x14ac:dyDescent="0.35">
      <c r="AB22"/>
    </row>
    <row r="23" spans="1:32" x14ac:dyDescent="0.35">
      <c r="AB23"/>
    </row>
    <row r="24" spans="1:32" x14ac:dyDescent="0.35">
      <c r="A24" s="46" t="s">
        <v>157</v>
      </c>
      <c r="AB24"/>
    </row>
    <row r="25" spans="1:32" x14ac:dyDescent="0.35">
      <c r="A25" s="46" t="s">
        <v>158</v>
      </c>
    </row>
    <row r="26" spans="1:32" x14ac:dyDescent="0.35">
      <c r="A26" s="46" t="s">
        <v>159</v>
      </c>
    </row>
    <row r="27" spans="1:32" ht="16" x14ac:dyDescent="0.4">
      <c r="A27" s="75" t="s">
        <v>160</v>
      </c>
      <c r="B27" s="75">
        <v>2022</v>
      </c>
      <c r="C27" s="75">
        <v>2023</v>
      </c>
      <c r="D27" s="75">
        <v>2024</v>
      </c>
      <c r="E27" s="75">
        <v>2025</v>
      </c>
      <c r="F27" s="75">
        <v>2026</v>
      </c>
      <c r="G27" s="75">
        <v>2027</v>
      </c>
      <c r="H27" s="75">
        <v>2028</v>
      </c>
      <c r="I27" s="75">
        <v>2029</v>
      </c>
      <c r="J27" s="75">
        <v>2030</v>
      </c>
      <c r="K27" s="75">
        <v>2031</v>
      </c>
      <c r="L27" s="75">
        <v>2032</v>
      </c>
      <c r="M27" s="75">
        <v>2033</v>
      </c>
      <c r="N27" s="75">
        <v>2034</v>
      </c>
      <c r="O27" s="75">
        <v>2035</v>
      </c>
      <c r="P27" s="75">
        <v>2036</v>
      </c>
    </row>
    <row r="28" spans="1:32" ht="16" x14ac:dyDescent="0.4">
      <c r="A28" s="75" t="s">
        <v>58</v>
      </c>
      <c r="B28" s="75">
        <v>25565.375</v>
      </c>
      <c r="C28" s="75">
        <v>27397.95</v>
      </c>
      <c r="D28" s="75">
        <v>28947.9</v>
      </c>
      <c r="E28" s="75">
        <v>30330.3289</v>
      </c>
      <c r="F28" s="75">
        <v>31902.005700000002</v>
      </c>
      <c r="G28" s="75">
        <v>33315.186999999998</v>
      </c>
      <c r="H28" s="75">
        <v>34665.784699999997</v>
      </c>
      <c r="I28" s="75">
        <v>36010.049099999997</v>
      </c>
      <c r="J28" s="75">
        <v>37390.672899999998</v>
      </c>
      <c r="K28" s="75">
        <v>38812.820599999999</v>
      </c>
      <c r="L28" s="75">
        <v>40276.5265</v>
      </c>
      <c r="M28" s="75">
        <v>41795.9303</v>
      </c>
      <c r="N28" s="75">
        <v>43373.322800000002</v>
      </c>
      <c r="O28" s="75">
        <v>45011.4997</v>
      </c>
      <c r="P28" s="75">
        <v>46712.142399999997</v>
      </c>
    </row>
    <row r="29" spans="1:32" ht="16" x14ac:dyDescent="0.4">
      <c r="A29" s="75"/>
      <c r="B29" s="75"/>
    </row>
    <row r="30" spans="1:32" ht="16" x14ac:dyDescent="0.4">
      <c r="A30" s="75"/>
      <c r="B30" s="75"/>
    </row>
    <row r="31" spans="1:32" ht="16" customHeight="1" x14ac:dyDescent="0.35">
      <c r="A31" s="202" t="s">
        <v>161</v>
      </c>
      <c r="B31" s="202"/>
      <c r="C31" s="202"/>
      <c r="D31" s="202"/>
      <c r="E31" s="202"/>
      <c r="F31" s="202"/>
      <c r="G31" s="202"/>
    </row>
    <row r="32" spans="1:32" x14ac:dyDescent="0.35">
      <c r="A32" s="111" t="s">
        <v>162</v>
      </c>
      <c r="B32" s="111"/>
      <c r="C32" s="111"/>
      <c r="D32" s="111"/>
      <c r="E32" s="111"/>
      <c r="F32" s="111"/>
      <c r="G32" s="111"/>
    </row>
    <row r="33" spans="1:7" ht="16" customHeight="1" x14ac:dyDescent="0.35">
      <c r="A33" s="111"/>
      <c r="B33" s="111"/>
      <c r="C33" s="111"/>
      <c r="D33" s="111"/>
      <c r="E33" s="111"/>
      <c r="F33" s="203" t="s">
        <v>163</v>
      </c>
      <c r="G33" s="203"/>
    </row>
    <row r="34" spans="1:7" ht="28.5" x14ac:dyDescent="0.35">
      <c r="A34" s="117" t="s">
        <v>164</v>
      </c>
      <c r="B34" s="113" t="s">
        <v>165</v>
      </c>
      <c r="C34" s="117">
        <v>2026</v>
      </c>
      <c r="D34" s="117">
        <v>2027</v>
      </c>
      <c r="E34" s="117">
        <v>2028</v>
      </c>
      <c r="F34" s="113" t="s">
        <v>166</v>
      </c>
      <c r="G34" s="113" t="s">
        <v>167</v>
      </c>
    </row>
    <row r="35" spans="1:7" ht="16" customHeight="1" x14ac:dyDescent="0.35">
      <c r="A35" s="111"/>
      <c r="B35" s="204" t="s">
        <v>168</v>
      </c>
      <c r="C35" s="204"/>
      <c r="D35" s="204"/>
      <c r="E35" s="204"/>
      <c r="F35" s="204"/>
      <c r="G35" s="204"/>
    </row>
    <row r="36" spans="1:7" x14ac:dyDescent="0.35">
      <c r="A36" s="111" t="s">
        <v>169</v>
      </c>
      <c r="B36" s="127"/>
      <c r="C36" s="111"/>
      <c r="D36" s="111"/>
      <c r="E36" s="111"/>
      <c r="F36" s="111"/>
      <c r="G36" s="111"/>
    </row>
    <row r="37" spans="1:7" x14ac:dyDescent="0.35">
      <c r="A37" s="111" t="s">
        <v>170</v>
      </c>
      <c r="B37" s="111">
        <v>1.9</v>
      </c>
      <c r="C37" s="111">
        <v>2.2000000000000002</v>
      </c>
      <c r="D37" s="111">
        <v>1.8</v>
      </c>
      <c r="E37" s="111">
        <v>1.8</v>
      </c>
      <c r="F37" s="111">
        <v>1.8</v>
      </c>
      <c r="G37" s="111">
        <v>1.8</v>
      </c>
    </row>
    <row r="38" spans="1:7" x14ac:dyDescent="0.35">
      <c r="A38" s="111" t="s">
        <v>171</v>
      </c>
      <c r="B38" s="111">
        <v>5</v>
      </c>
      <c r="C38" s="111">
        <v>4.8</v>
      </c>
      <c r="D38" s="111">
        <v>4.0999999999999996</v>
      </c>
      <c r="E38" s="111">
        <v>3.9</v>
      </c>
      <c r="F38" s="111">
        <v>3.8</v>
      </c>
      <c r="G38" s="111">
        <v>3.8</v>
      </c>
    </row>
    <row r="39" spans="1:7" x14ac:dyDescent="0.35">
      <c r="A39" s="111" t="s">
        <v>172</v>
      </c>
      <c r="B39" s="111"/>
      <c r="C39" s="111"/>
      <c r="D39" s="111"/>
      <c r="E39" s="111"/>
      <c r="F39" s="111"/>
      <c r="G39" s="111"/>
    </row>
    <row r="40" spans="1:7" x14ac:dyDescent="0.35">
      <c r="A40" s="111" t="s">
        <v>173</v>
      </c>
      <c r="B40" s="111">
        <v>2.8</v>
      </c>
      <c r="C40" s="111">
        <v>2.7</v>
      </c>
      <c r="D40" s="111">
        <v>2.2999999999999998</v>
      </c>
      <c r="E40" s="111">
        <v>2.1</v>
      </c>
      <c r="F40" s="111">
        <v>2</v>
      </c>
      <c r="G40" s="111">
        <v>2</v>
      </c>
    </row>
    <row r="41" spans="1:7" x14ac:dyDescent="0.35">
      <c r="A41" s="111" t="s">
        <v>174</v>
      </c>
      <c r="B41" s="111">
        <v>2.9</v>
      </c>
      <c r="C41" s="111">
        <v>2.8</v>
      </c>
      <c r="D41" s="111">
        <v>2.2999999999999998</v>
      </c>
      <c r="E41" s="111">
        <v>2.2000000000000002</v>
      </c>
      <c r="F41" s="111">
        <v>2</v>
      </c>
      <c r="G41" s="111">
        <v>2</v>
      </c>
    </row>
    <row r="42" spans="1:7" x14ac:dyDescent="0.35">
      <c r="A42" s="111" t="s">
        <v>175</v>
      </c>
      <c r="B42" s="111">
        <v>3</v>
      </c>
      <c r="C42" s="111">
        <v>2.8</v>
      </c>
      <c r="D42" s="111">
        <v>2.4</v>
      </c>
      <c r="E42" s="111">
        <v>2.2999999999999998</v>
      </c>
      <c r="F42" s="111">
        <v>2.2999999999999998</v>
      </c>
      <c r="G42" s="111">
        <v>2.2999999999999998</v>
      </c>
    </row>
    <row r="43" spans="1:7" x14ac:dyDescent="0.35">
      <c r="A43" s="111" t="s">
        <v>176</v>
      </c>
      <c r="B43" s="111">
        <v>3.1</v>
      </c>
      <c r="C43" s="111">
        <v>3</v>
      </c>
      <c r="D43" s="111">
        <v>2.4</v>
      </c>
      <c r="E43" s="111">
        <v>2.2999999999999998</v>
      </c>
      <c r="F43" s="111">
        <v>2.2999999999999998</v>
      </c>
      <c r="G43" s="111">
        <v>2.2999999999999998</v>
      </c>
    </row>
    <row r="44" spans="1:7" x14ac:dyDescent="0.35">
      <c r="A44" s="111" t="s">
        <v>177</v>
      </c>
      <c r="B44" s="111">
        <v>3</v>
      </c>
      <c r="C44" s="111">
        <v>2.5</v>
      </c>
      <c r="D44" s="111">
        <v>2.2999999999999998</v>
      </c>
      <c r="E44" s="111">
        <v>2.1</v>
      </c>
      <c r="F44" s="111">
        <v>2</v>
      </c>
      <c r="G44" s="111">
        <v>2</v>
      </c>
    </row>
    <row r="45" spans="1:7" x14ac:dyDescent="0.35">
      <c r="A45" s="111" t="s">
        <v>178</v>
      </c>
      <c r="B45" s="111">
        <v>3.4</v>
      </c>
      <c r="C45" s="111">
        <v>3.5</v>
      </c>
      <c r="D45" s="111">
        <v>3.2</v>
      </c>
      <c r="E45" s="111">
        <v>3.1</v>
      </c>
      <c r="F45" s="111">
        <v>3</v>
      </c>
      <c r="G45" s="111">
        <v>2.9</v>
      </c>
    </row>
    <row r="46" spans="1:7" x14ac:dyDescent="0.35">
      <c r="A46" s="111" t="s">
        <v>179</v>
      </c>
      <c r="B46" s="111">
        <v>70</v>
      </c>
      <c r="C46" s="111">
        <v>105</v>
      </c>
      <c r="D46" s="111">
        <v>31</v>
      </c>
      <c r="E46" s="111">
        <v>42</v>
      </c>
      <c r="F46" s="111">
        <v>43</v>
      </c>
      <c r="G46" s="111">
        <v>45</v>
      </c>
    </row>
    <row r="47" spans="1:7" x14ac:dyDescent="0.35">
      <c r="A47" s="111"/>
      <c r="B47" s="201" t="s">
        <v>180</v>
      </c>
      <c r="C47" s="201"/>
      <c r="D47" s="201"/>
      <c r="E47" s="201"/>
      <c r="F47" s="201"/>
      <c r="G47" s="201"/>
    </row>
    <row r="48" spans="1:7" x14ac:dyDescent="0.35">
      <c r="A48" s="111" t="s">
        <v>181</v>
      </c>
      <c r="B48" s="111">
        <v>4.5</v>
      </c>
      <c r="C48" s="111">
        <v>4.5999999999999996</v>
      </c>
      <c r="D48" s="111">
        <v>4.5</v>
      </c>
      <c r="E48" s="111">
        <v>4.4000000000000004</v>
      </c>
      <c r="F48" s="111">
        <v>4.3</v>
      </c>
      <c r="G48" s="111">
        <v>4.2</v>
      </c>
    </row>
    <row r="49" spans="1:7" x14ac:dyDescent="0.35">
      <c r="A49" s="111"/>
      <c r="B49" s="201" t="s">
        <v>182</v>
      </c>
      <c r="C49" s="201"/>
      <c r="D49" s="201"/>
      <c r="E49" s="201"/>
      <c r="F49" s="201"/>
      <c r="G49" s="201"/>
    </row>
    <row r="50" spans="1:7" x14ac:dyDescent="0.35">
      <c r="A50" s="111" t="s">
        <v>183</v>
      </c>
      <c r="B50" s="111"/>
      <c r="C50" s="111"/>
      <c r="D50" s="111"/>
      <c r="E50" s="111"/>
      <c r="F50" s="111"/>
      <c r="G50" s="111"/>
    </row>
    <row r="51" spans="1:7" x14ac:dyDescent="0.35">
      <c r="A51" s="111" t="s">
        <v>170</v>
      </c>
      <c r="B51" s="111">
        <v>2</v>
      </c>
      <c r="C51" s="111">
        <v>2.4</v>
      </c>
      <c r="D51" s="111">
        <v>1.9</v>
      </c>
      <c r="E51" s="111">
        <v>1.8</v>
      </c>
      <c r="F51" s="111">
        <v>1.8</v>
      </c>
      <c r="G51" s="111">
        <v>1.8</v>
      </c>
    </row>
    <row r="52" spans="1:7" x14ac:dyDescent="0.35">
      <c r="A52" s="111" t="s">
        <v>171</v>
      </c>
      <c r="B52" s="111">
        <v>4.8</v>
      </c>
      <c r="C52" s="111">
        <v>5.0999999999999996</v>
      </c>
      <c r="D52" s="111">
        <v>4.3</v>
      </c>
      <c r="E52" s="111">
        <v>4</v>
      </c>
      <c r="F52" s="111">
        <v>3.8</v>
      </c>
      <c r="G52" s="111">
        <v>3.8</v>
      </c>
    </row>
    <row r="53" spans="1:7" x14ac:dyDescent="0.35">
      <c r="A53" s="111" t="s">
        <v>172</v>
      </c>
      <c r="B53" s="111"/>
      <c r="C53" s="111"/>
      <c r="D53" s="111"/>
      <c r="E53" s="111"/>
      <c r="F53" s="111"/>
      <c r="G53" s="111"/>
    </row>
    <row r="54" spans="1:7" x14ac:dyDescent="0.35">
      <c r="A54" s="111" t="s">
        <v>173</v>
      </c>
      <c r="B54" s="111">
        <v>2.6</v>
      </c>
      <c r="C54" s="111">
        <v>2.7</v>
      </c>
      <c r="D54" s="111">
        <v>2.4</v>
      </c>
      <c r="E54" s="111">
        <v>2.2000000000000002</v>
      </c>
      <c r="F54" s="111">
        <v>2.1</v>
      </c>
      <c r="G54" s="111">
        <v>2</v>
      </c>
    </row>
    <row r="55" spans="1:7" x14ac:dyDescent="0.35">
      <c r="A55" s="111" t="s">
        <v>174</v>
      </c>
      <c r="B55" s="111">
        <v>2.8</v>
      </c>
      <c r="C55" s="111">
        <v>2.9</v>
      </c>
      <c r="D55" s="111">
        <v>2.4</v>
      </c>
      <c r="E55" s="111">
        <v>2.2000000000000002</v>
      </c>
      <c r="F55" s="111">
        <v>2.1</v>
      </c>
      <c r="G55" s="111">
        <v>2</v>
      </c>
    </row>
    <row r="56" spans="1:7" x14ac:dyDescent="0.35">
      <c r="A56" s="111" t="s">
        <v>175</v>
      </c>
      <c r="B56" s="111">
        <v>2.8</v>
      </c>
      <c r="C56" s="111">
        <v>2.9</v>
      </c>
      <c r="D56" s="111">
        <v>2.5</v>
      </c>
      <c r="E56" s="111">
        <v>2.4</v>
      </c>
      <c r="F56" s="111">
        <v>2.2999999999999998</v>
      </c>
      <c r="G56" s="111">
        <v>2.2999999999999998</v>
      </c>
    </row>
    <row r="57" spans="1:7" x14ac:dyDescent="0.35">
      <c r="A57" s="111" t="s">
        <v>176</v>
      </c>
      <c r="B57" s="111">
        <v>3</v>
      </c>
      <c r="C57" s="111">
        <v>3.1</v>
      </c>
      <c r="D57" s="111">
        <v>2.6</v>
      </c>
      <c r="E57" s="111">
        <v>2.4</v>
      </c>
      <c r="F57" s="111">
        <v>2.2999999999999998</v>
      </c>
      <c r="G57" s="111">
        <v>2.2999999999999998</v>
      </c>
    </row>
    <row r="58" spans="1:7" x14ac:dyDescent="0.35">
      <c r="A58" s="111" t="s">
        <v>177</v>
      </c>
      <c r="B58" s="111">
        <v>2.7</v>
      </c>
      <c r="C58" s="111">
        <v>2.7</v>
      </c>
      <c r="D58" s="111">
        <v>2.4</v>
      </c>
      <c r="E58" s="111">
        <v>2.2000000000000002</v>
      </c>
      <c r="F58" s="111">
        <v>2</v>
      </c>
      <c r="G58" s="111">
        <v>2</v>
      </c>
    </row>
    <row r="59" spans="1:7" x14ac:dyDescent="0.35">
      <c r="A59" s="111" t="s">
        <v>178</v>
      </c>
      <c r="B59" s="111">
        <v>3.5</v>
      </c>
      <c r="C59" s="111">
        <v>3.4</v>
      </c>
      <c r="D59" s="111">
        <v>3.4</v>
      </c>
      <c r="E59" s="111">
        <v>3.1</v>
      </c>
      <c r="F59" s="111">
        <v>3</v>
      </c>
      <c r="G59" s="111">
        <v>2.9</v>
      </c>
    </row>
    <row r="60" spans="1:7" x14ac:dyDescent="0.35">
      <c r="A60" s="111"/>
      <c r="B60" s="201" t="s">
        <v>163</v>
      </c>
      <c r="C60" s="201"/>
      <c r="D60" s="201"/>
      <c r="E60" s="201"/>
      <c r="F60" s="201"/>
      <c r="G60" s="201"/>
    </row>
    <row r="61" spans="1:7" x14ac:dyDescent="0.35">
      <c r="A61" s="111" t="s">
        <v>181</v>
      </c>
      <c r="B61" s="111">
        <v>4.3</v>
      </c>
      <c r="C61" s="111">
        <v>4.5999999999999996</v>
      </c>
      <c r="D61" s="111">
        <v>4.5</v>
      </c>
      <c r="E61" s="111">
        <v>4.5</v>
      </c>
      <c r="F61" s="111">
        <v>4.3</v>
      </c>
      <c r="G61" s="111">
        <v>4.2</v>
      </c>
    </row>
    <row r="62" spans="1:7" x14ac:dyDescent="0.35">
      <c r="A62" s="111" t="s">
        <v>184</v>
      </c>
      <c r="B62" s="111"/>
      <c r="C62" s="111"/>
      <c r="D62" s="111"/>
      <c r="E62" s="111"/>
      <c r="F62" s="111"/>
      <c r="G62" s="111"/>
    </row>
    <row r="63" spans="1:7" x14ac:dyDescent="0.35">
      <c r="A63" s="111" t="s">
        <v>185</v>
      </c>
      <c r="B63" s="111">
        <v>4.2</v>
      </c>
      <c r="C63" s="111">
        <v>3.5</v>
      </c>
      <c r="D63" s="111">
        <v>3.4</v>
      </c>
      <c r="E63" s="111">
        <v>3.4</v>
      </c>
      <c r="F63" s="111">
        <v>3.4</v>
      </c>
      <c r="G63" s="111">
        <v>3.4</v>
      </c>
    </row>
    <row r="64" spans="1:7" x14ac:dyDescent="0.35">
      <c r="A64" s="111" t="s">
        <v>186</v>
      </c>
      <c r="B64" s="111">
        <v>4.0999999999999996</v>
      </c>
      <c r="C64" s="111">
        <v>3.3</v>
      </c>
      <c r="D64" s="111">
        <v>3.2</v>
      </c>
      <c r="E64" s="111">
        <v>3.2</v>
      </c>
      <c r="F64" s="111">
        <v>3.2</v>
      </c>
      <c r="G64" s="111">
        <v>3.1</v>
      </c>
    </row>
    <row r="65" spans="1:7" x14ac:dyDescent="0.35">
      <c r="A65" s="111" t="s">
        <v>187</v>
      </c>
      <c r="B65" s="111">
        <v>4.3</v>
      </c>
      <c r="C65" s="111">
        <v>4.0999999999999996</v>
      </c>
      <c r="D65" s="111">
        <v>4.3</v>
      </c>
      <c r="E65" s="111">
        <v>4.3</v>
      </c>
      <c r="F65" s="111">
        <v>4.3</v>
      </c>
      <c r="G65" s="111">
        <v>4.4000000000000004</v>
      </c>
    </row>
    <row r="66" spans="1:7" x14ac:dyDescent="0.35">
      <c r="A66" s="111" t="s">
        <v>188</v>
      </c>
      <c r="B66" s="111"/>
      <c r="C66" s="111"/>
      <c r="D66" s="111"/>
      <c r="E66" s="111"/>
      <c r="F66" s="111"/>
      <c r="G66" s="111"/>
    </row>
    <row r="67" spans="1:7" x14ac:dyDescent="0.35">
      <c r="A67" s="111" t="s">
        <v>189</v>
      </c>
      <c r="B67" s="111">
        <v>42.3</v>
      </c>
      <c r="C67" s="111">
        <v>42</v>
      </c>
      <c r="D67" s="111">
        <v>42</v>
      </c>
      <c r="E67" s="111">
        <v>42.1</v>
      </c>
      <c r="F67" s="111">
        <v>42.1</v>
      </c>
      <c r="G67" s="111">
        <v>42.1</v>
      </c>
    </row>
    <row r="68" spans="1:7" x14ac:dyDescent="0.35">
      <c r="A68" s="112" t="s">
        <v>190</v>
      </c>
      <c r="B68" s="112">
        <v>11.3</v>
      </c>
      <c r="C68" s="112">
        <v>11.1</v>
      </c>
      <c r="D68" s="112">
        <v>10.8</v>
      </c>
      <c r="E68" s="112">
        <v>10.4</v>
      </c>
      <c r="F68" s="112">
        <v>10</v>
      </c>
      <c r="G68" s="112">
        <v>10</v>
      </c>
    </row>
  </sheetData>
  <mergeCells count="6">
    <mergeCell ref="B60:G60"/>
    <mergeCell ref="A31:G31"/>
    <mergeCell ref="F33:G33"/>
    <mergeCell ref="B35:G35"/>
    <mergeCell ref="B47:G47"/>
    <mergeCell ref="B49:G49"/>
  </mergeCells>
  <conditionalFormatting sqref="C6:BJ6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A25" r:id="rId1" xr:uid="{31DD1AE9-8B8E-492E-BAD7-3A19578B70CF}"/>
    <hyperlink ref="A24" r:id="rId2" xr:uid="{89241398-9B6C-4E44-9337-3608300517A3}"/>
    <hyperlink ref="A26" r:id="rId3" xr:uid="{0767BEAA-1359-4D97-BF03-20D44A9D05F2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CA90-3A2A-4339-9839-CEF6725C45B8}">
  <dimension ref="A1:O25"/>
  <sheetViews>
    <sheetView workbookViewId="0">
      <selection activeCell="A11" sqref="A11"/>
    </sheetView>
  </sheetViews>
  <sheetFormatPr defaultColWidth="8.81640625" defaultRowHeight="14.5" x14ac:dyDescent="0.35"/>
  <cols>
    <col min="1" max="1" width="48.453125" bestFit="1" customWidth="1"/>
    <col min="2" max="12" width="9" bestFit="1" customWidth="1"/>
    <col min="13" max="13" width="9.54296875" bestFit="1" customWidth="1"/>
  </cols>
  <sheetData>
    <row r="1" spans="1:15" x14ac:dyDescent="0.35">
      <c r="A1" s="205" t="s">
        <v>191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5" x14ac:dyDescent="0.35">
      <c r="A2" s="136" t="s">
        <v>192</v>
      </c>
      <c r="B2" s="136">
        <v>2025</v>
      </c>
      <c r="C2" s="136">
        <v>2026</v>
      </c>
      <c r="D2" s="136">
        <v>2027</v>
      </c>
      <c r="E2" s="136">
        <v>2028</v>
      </c>
      <c r="F2" s="136">
        <v>2029</v>
      </c>
      <c r="G2" s="136">
        <v>2030</v>
      </c>
      <c r="H2" s="136">
        <v>2031</v>
      </c>
      <c r="I2" s="136">
        <v>2032</v>
      </c>
      <c r="J2" s="136">
        <v>2033</v>
      </c>
      <c r="K2" s="136">
        <v>2034</v>
      </c>
      <c r="L2" s="136">
        <v>2035</v>
      </c>
      <c r="M2" s="136" t="s">
        <v>193</v>
      </c>
    </row>
    <row r="3" spans="1:15" x14ac:dyDescent="0.35">
      <c r="A3" s="154" t="s">
        <v>194</v>
      </c>
      <c r="B3" s="155">
        <v>23.2</v>
      </c>
      <c r="C3" s="155">
        <v>42.8</v>
      </c>
      <c r="D3" s="155">
        <v>43.6</v>
      </c>
      <c r="E3" s="155">
        <v>45.3</v>
      </c>
      <c r="F3" s="155">
        <v>46</v>
      </c>
      <c r="G3" s="155">
        <v>47.7</v>
      </c>
      <c r="H3" s="155">
        <v>49.5</v>
      </c>
      <c r="I3" s="155">
        <v>50.9</v>
      </c>
      <c r="J3" s="155">
        <v>53.1</v>
      </c>
      <c r="K3" s="155">
        <v>54.9</v>
      </c>
      <c r="L3" s="155">
        <v>55.9</v>
      </c>
      <c r="M3" s="155">
        <v>489.6</v>
      </c>
    </row>
    <row r="4" spans="1:15" x14ac:dyDescent="0.35">
      <c r="A4" s="135" t="s">
        <v>195</v>
      </c>
      <c r="B4" s="137">
        <v>6.2</v>
      </c>
      <c r="C4" s="137">
        <v>7.3</v>
      </c>
      <c r="D4" s="137">
        <v>7.4</v>
      </c>
      <c r="E4" s="137">
        <v>7.9</v>
      </c>
      <c r="F4" s="137">
        <v>8.1</v>
      </c>
      <c r="G4" s="137">
        <v>8.4</v>
      </c>
      <c r="H4" s="137">
        <v>8.8000000000000007</v>
      </c>
      <c r="I4" s="137">
        <v>8.9</v>
      </c>
      <c r="J4" s="137">
        <v>9.5</v>
      </c>
      <c r="K4" s="137">
        <v>9.6999999999999993</v>
      </c>
      <c r="L4" s="137">
        <v>9.8000000000000007</v>
      </c>
      <c r="M4" s="137">
        <v>85.7</v>
      </c>
    </row>
    <row r="5" spans="1:15" x14ac:dyDescent="0.35">
      <c r="A5" s="135" t="s">
        <v>196</v>
      </c>
      <c r="B5" s="137">
        <v>17.100000000000001</v>
      </c>
      <c r="C5" s="137">
        <v>28.2</v>
      </c>
      <c r="D5" s="137">
        <v>28.5</v>
      </c>
      <c r="E5" s="137">
        <v>29.2</v>
      </c>
      <c r="F5" s="137">
        <v>29.7</v>
      </c>
      <c r="G5" s="137">
        <v>30.7</v>
      </c>
      <c r="H5" s="137">
        <v>31.8</v>
      </c>
      <c r="I5" s="137">
        <v>32.799999999999997</v>
      </c>
      <c r="J5" s="137">
        <v>34</v>
      </c>
      <c r="K5" s="137">
        <v>35.1</v>
      </c>
      <c r="L5" s="137">
        <v>35.9</v>
      </c>
      <c r="M5" s="137">
        <v>315.89999999999998</v>
      </c>
    </row>
    <row r="6" spans="1:15" x14ac:dyDescent="0.35">
      <c r="A6" s="135" t="s">
        <v>197</v>
      </c>
      <c r="B6" s="137">
        <v>0.3</v>
      </c>
      <c r="C6" s="137">
        <v>0.7</v>
      </c>
      <c r="D6" s="137">
        <v>0.7</v>
      </c>
      <c r="E6" s="137">
        <v>0.8</v>
      </c>
      <c r="F6" s="137">
        <v>0.8</v>
      </c>
      <c r="G6" s="137">
        <v>0.8</v>
      </c>
      <c r="H6" s="137">
        <v>0.9</v>
      </c>
      <c r="I6" s="137">
        <v>0.9</v>
      </c>
      <c r="J6" s="137">
        <v>0.9</v>
      </c>
      <c r="K6" s="137">
        <v>1</v>
      </c>
      <c r="L6" s="137">
        <v>1</v>
      </c>
      <c r="M6" s="137">
        <v>8.5</v>
      </c>
    </row>
    <row r="7" spans="1:15" x14ac:dyDescent="0.35">
      <c r="A7" s="135" t="s">
        <v>198</v>
      </c>
      <c r="B7" s="137">
        <v>0.2</v>
      </c>
      <c r="C7" s="137">
        <v>1.1000000000000001</v>
      </c>
      <c r="D7" s="137">
        <v>1.3</v>
      </c>
      <c r="E7" s="137">
        <v>1.3</v>
      </c>
      <c r="F7" s="137">
        <v>1.4</v>
      </c>
      <c r="G7" s="137">
        <v>1.4</v>
      </c>
      <c r="H7" s="137">
        <v>1.5</v>
      </c>
      <c r="I7" s="137">
        <v>1.5</v>
      </c>
      <c r="J7" s="137">
        <v>1.6</v>
      </c>
      <c r="K7" s="137">
        <v>1.7</v>
      </c>
      <c r="L7" s="137">
        <v>1.7</v>
      </c>
      <c r="M7" s="137">
        <v>14.4</v>
      </c>
      <c r="O7" t="s">
        <v>199</v>
      </c>
    </row>
    <row r="8" spans="1:15" x14ac:dyDescent="0.35">
      <c r="A8" s="135" t="s">
        <v>200</v>
      </c>
      <c r="B8" s="137">
        <v>-0.6</v>
      </c>
      <c r="C8" s="137">
        <v>5.5</v>
      </c>
      <c r="D8" s="137">
        <v>5.7</v>
      </c>
      <c r="E8" s="137">
        <v>6</v>
      </c>
      <c r="F8" s="137">
        <v>6.1</v>
      </c>
      <c r="G8" s="137">
        <v>6.4</v>
      </c>
      <c r="H8" s="137">
        <v>6.6</v>
      </c>
      <c r="I8" s="137">
        <v>6.8</v>
      </c>
      <c r="J8" s="137">
        <v>7.1</v>
      </c>
      <c r="K8" s="137">
        <v>7.4</v>
      </c>
      <c r="L8" s="137">
        <v>7.5</v>
      </c>
      <c r="M8" s="137">
        <v>65</v>
      </c>
      <c r="O8" s="156" t="s">
        <v>201</v>
      </c>
    </row>
    <row r="9" spans="1:15" x14ac:dyDescent="0.35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O9" s="139" t="s">
        <v>202</v>
      </c>
    </row>
    <row r="10" spans="1:15" x14ac:dyDescent="0.35">
      <c r="A10" s="135" t="s">
        <v>203</v>
      </c>
      <c r="B10" s="137">
        <v>0</v>
      </c>
      <c r="C10" s="137">
        <v>25.3</v>
      </c>
      <c r="D10" s="137">
        <v>0</v>
      </c>
      <c r="E10" s="137">
        <v>0</v>
      </c>
      <c r="F10" s="137">
        <v>0</v>
      </c>
      <c r="G10" s="137">
        <v>0</v>
      </c>
      <c r="H10" s="137">
        <v>0</v>
      </c>
      <c r="I10" s="137">
        <v>0</v>
      </c>
      <c r="J10" s="137">
        <v>0</v>
      </c>
      <c r="K10" s="137">
        <v>0</v>
      </c>
      <c r="L10" s="137">
        <v>0</v>
      </c>
      <c r="M10" s="137">
        <v>25.3</v>
      </c>
      <c r="O10" t="s">
        <v>204</v>
      </c>
    </row>
    <row r="11" spans="1:15" x14ac:dyDescent="0.35">
      <c r="A11" s="135" t="s">
        <v>205</v>
      </c>
      <c r="B11" s="137">
        <v>0</v>
      </c>
      <c r="C11" s="137">
        <v>33.200000000000003</v>
      </c>
      <c r="D11" s="137">
        <v>0</v>
      </c>
      <c r="E11" s="137">
        <v>0</v>
      </c>
      <c r="F11" s="137">
        <v>0</v>
      </c>
      <c r="G11" s="137">
        <v>0</v>
      </c>
      <c r="H11" s="137">
        <v>0</v>
      </c>
      <c r="I11" s="137">
        <v>0</v>
      </c>
      <c r="J11" s="137">
        <v>0</v>
      </c>
      <c r="K11" s="137">
        <v>0</v>
      </c>
      <c r="L11" s="137">
        <v>0</v>
      </c>
      <c r="M11" s="137">
        <v>33.200000000000003</v>
      </c>
      <c r="O11" t="s">
        <v>206</v>
      </c>
    </row>
    <row r="12" spans="1:15" x14ac:dyDescent="0.3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</row>
    <row r="13" spans="1:15" x14ac:dyDescent="0.35">
      <c r="A13" s="135" t="s">
        <v>2</v>
      </c>
      <c r="B13" s="137">
        <v>23.2</v>
      </c>
      <c r="C13" s="137">
        <v>76</v>
      </c>
      <c r="D13" s="137">
        <v>43.6</v>
      </c>
      <c r="E13" s="137">
        <v>45.3</v>
      </c>
      <c r="F13" s="137">
        <v>46</v>
      </c>
      <c r="G13" s="137">
        <v>47.7</v>
      </c>
      <c r="H13" s="137">
        <v>49.5</v>
      </c>
      <c r="I13" s="137">
        <v>50.9</v>
      </c>
      <c r="J13" s="137">
        <v>53.1</v>
      </c>
      <c r="K13" s="137">
        <v>54.9</v>
      </c>
      <c r="L13" s="137">
        <v>55.9</v>
      </c>
      <c r="M13" s="137">
        <v>522.79999999999995</v>
      </c>
    </row>
    <row r="14" spans="1:15" x14ac:dyDescent="0.3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</row>
    <row r="15" spans="1:15" x14ac:dyDescent="0.35">
      <c r="A15" s="154" t="s">
        <v>207</v>
      </c>
      <c r="B15" s="155">
        <v>72</v>
      </c>
      <c r="C15" s="155">
        <v>93.9</v>
      </c>
      <c r="D15" s="155">
        <v>95.7</v>
      </c>
      <c r="E15" s="155">
        <v>99.7</v>
      </c>
      <c r="F15" s="155">
        <v>101.9</v>
      </c>
      <c r="G15" s="155">
        <v>106.1</v>
      </c>
      <c r="H15" s="155">
        <v>110.3</v>
      </c>
      <c r="I15" s="155">
        <v>113.7</v>
      </c>
      <c r="J15" s="155">
        <v>118.7</v>
      </c>
      <c r="K15" s="155">
        <v>122.4</v>
      </c>
      <c r="L15" s="155">
        <v>125.1</v>
      </c>
      <c r="M15" s="155">
        <v>1087.5</v>
      </c>
    </row>
    <row r="16" spans="1:15" x14ac:dyDescent="0.35">
      <c r="A16" s="135" t="s">
        <v>208</v>
      </c>
      <c r="B16" s="137">
        <v>23.1</v>
      </c>
      <c r="C16" s="137">
        <v>19</v>
      </c>
      <c r="D16" s="137">
        <v>19.600000000000001</v>
      </c>
      <c r="E16" s="137">
        <v>20.5</v>
      </c>
      <c r="F16" s="137">
        <v>20.9</v>
      </c>
      <c r="G16" s="137">
        <v>22</v>
      </c>
      <c r="H16" s="137">
        <v>22.7</v>
      </c>
      <c r="I16" s="137">
        <v>23.4</v>
      </c>
      <c r="J16" s="137">
        <v>24.5</v>
      </c>
      <c r="K16" s="137">
        <v>25.4</v>
      </c>
      <c r="L16" s="137">
        <v>25.9</v>
      </c>
      <c r="M16" s="137">
        <v>224</v>
      </c>
    </row>
    <row r="17" spans="1:13" x14ac:dyDescent="0.35">
      <c r="A17" s="135" t="s">
        <v>209</v>
      </c>
      <c r="B17" s="137">
        <v>1.9</v>
      </c>
      <c r="C17" s="137">
        <v>2.8</v>
      </c>
      <c r="D17" s="137">
        <v>2.9</v>
      </c>
      <c r="E17" s="137">
        <v>3</v>
      </c>
      <c r="F17" s="137">
        <v>3</v>
      </c>
      <c r="G17" s="137">
        <v>3.1</v>
      </c>
      <c r="H17" s="137">
        <v>3.2</v>
      </c>
      <c r="I17" s="137">
        <v>3.2</v>
      </c>
      <c r="J17" s="137">
        <v>3.3</v>
      </c>
      <c r="K17" s="137">
        <v>3.5</v>
      </c>
      <c r="L17" s="137">
        <v>3.5</v>
      </c>
      <c r="M17" s="137">
        <v>31.6</v>
      </c>
    </row>
    <row r="18" spans="1:13" x14ac:dyDescent="0.35">
      <c r="A18" s="135" t="s">
        <v>210</v>
      </c>
      <c r="B18" s="137">
        <v>1.9</v>
      </c>
      <c r="C18" s="137">
        <v>3.1</v>
      </c>
      <c r="D18" s="137">
        <v>3.1</v>
      </c>
      <c r="E18" s="137">
        <v>3.2</v>
      </c>
      <c r="F18" s="137">
        <v>3.2</v>
      </c>
      <c r="G18" s="137">
        <v>3.3</v>
      </c>
      <c r="H18" s="137">
        <v>3.4</v>
      </c>
      <c r="I18" s="137">
        <v>3.5</v>
      </c>
      <c r="J18" s="137">
        <v>3.6</v>
      </c>
      <c r="K18" s="137">
        <v>3.7</v>
      </c>
      <c r="L18" s="137">
        <v>3.8</v>
      </c>
      <c r="M18" s="137">
        <v>33.799999999999997</v>
      </c>
    </row>
    <row r="19" spans="1:13" x14ac:dyDescent="0.35">
      <c r="A19" s="135" t="s">
        <v>211</v>
      </c>
      <c r="B19" s="137">
        <v>35.4</v>
      </c>
      <c r="C19" s="137">
        <v>47.9</v>
      </c>
      <c r="D19" s="137">
        <v>49.2</v>
      </c>
      <c r="E19" s="137">
        <v>51.1</v>
      </c>
      <c r="F19" s="137">
        <v>52.5</v>
      </c>
      <c r="G19" s="137">
        <v>54.7</v>
      </c>
      <c r="H19" s="137">
        <v>56.9</v>
      </c>
      <c r="I19" s="137">
        <v>59.1</v>
      </c>
      <c r="J19" s="137">
        <v>61.6</v>
      </c>
      <c r="K19" s="137">
        <v>63.7</v>
      </c>
      <c r="L19" s="137">
        <v>65.5</v>
      </c>
      <c r="M19" s="137">
        <v>562.29999999999995</v>
      </c>
    </row>
    <row r="20" spans="1:13" x14ac:dyDescent="0.35">
      <c r="A20" s="135" t="s">
        <v>212</v>
      </c>
      <c r="B20" s="137">
        <v>6.4</v>
      </c>
      <c r="C20" s="137">
        <v>16.600000000000001</v>
      </c>
      <c r="D20" s="137">
        <v>16.600000000000001</v>
      </c>
      <c r="E20" s="137">
        <v>17.2</v>
      </c>
      <c r="F20" s="137">
        <v>17.600000000000001</v>
      </c>
      <c r="G20" s="137">
        <v>18.2</v>
      </c>
      <c r="H20" s="137">
        <v>19</v>
      </c>
      <c r="I20" s="137">
        <v>19.5</v>
      </c>
      <c r="J20" s="137">
        <v>20.399999999999999</v>
      </c>
      <c r="K20" s="137">
        <v>21</v>
      </c>
      <c r="L20" s="137">
        <v>21.5</v>
      </c>
      <c r="M20" s="137">
        <v>187.7</v>
      </c>
    </row>
    <row r="21" spans="1:13" x14ac:dyDescent="0.35">
      <c r="A21" s="135" t="s">
        <v>213</v>
      </c>
      <c r="B21" s="137">
        <v>3.2</v>
      </c>
      <c r="C21" s="137">
        <v>4.5</v>
      </c>
      <c r="D21" s="137">
        <v>4.4000000000000004</v>
      </c>
      <c r="E21" s="137">
        <v>4.5999999999999996</v>
      </c>
      <c r="F21" s="137">
        <v>4.5999999999999996</v>
      </c>
      <c r="G21" s="137">
        <v>4.8</v>
      </c>
      <c r="H21" s="137">
        <v>5</v>
      </c>
      <c r="I21" s="137">
        <v>5</v>
      </c>
      <c r="J21" s="137">
        <v>5.3</v>
      </c>
      <c r="K21" s="137">
        <v>5.0999999999999996</v>
      </c>
      <c r="L21" s="137">
        <v>4.8</v>
      </c>
      <c r="M21" s="137">
        <v>48.2</v>
      </c>
    </row>
    <row r="22" spans="1:13" x14ac:dyDescent="0.35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</row>
    <row r="23" spans="1:13" x14ac:dyDescent="0.35">
      <c r="A23" s="135" t="s">
        <v>214</v>
      </c>
      <c r="B23" s="137">
        <v>-8.6</v>
      </c>
      <c r="C23" s="137">
        <v>-9.6</v>
      </c>
      <c r="D23" s="137">
        <v>-10.8</v>
      </c>
      <c r="E23" s="137">
        <v>-11.6</v>
      </c>
      <c r="F23" s="137">
        <v>-12.5</v>
      </c>
      <c r="G23" s="137">
        <v>-13.2</v>
      </c>
      <c r="H23" s="137">
        <v>-14</v>
      </c>
      <c r="I23" s="137">
        <v>-14.9</v>
      </c>
      <c r="J23" s="137">
        <v>-15.6</v>
      </c>
      <c r="K23" s="137">
        <v>-16.399999999999999</v>
      </c>
      <c r="L23" s="137">
        <v>-17.399999999999999</v>
      </c>
      <c r="M23" s="137">
        <v>-136</v>
      </c>
    </row>
    <row r="25" spans="1:13" x14ac:dyDescent="0.35"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</row>
  </sheetData>
  <mergeCells count="1">
    <mergeCell ref="A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F4A6-9498-45BA-A51B-C4636AB070A4}">
  <dimension ref="A1:AK65"/>
  <sheetViews>
    <sheetView workbookViewId="0">
      <pane ySplit="24" topLeftCell="A25" activePane="bottomLeft" state="frozen"/>
      <selection pane="bottomLeft" activeCell="B19" sqref="B19"/>
    </sheetView>
  </sheetViews>
  <sheetFormatPr defaultColWidth="11.453125" defaultRowHeight="14.5" x14ac:dyDescent="0.35"/>
  <cols>
    <col min="1" max="1" width="21" customWidth="1"/>
    <col min="5" max="8" width="16.81640625" bestFit="1" customWidth="1"/>
  </cols>
  <sheetData>
    <row r="1" spans="1:8" x14ac:dyDescent="0.35">
      <c r="A1" s="36" t="s">
        <v>215</v>
      </c>
      <c r="B1" s="36" t="s">
        <v>216</v>
      </c>
      <c r="D1" t="s">
        <v>160</v>
      </c>
      <c r="E1">
        <v>2022</v>
      </c>
      <c r="F1">
        <v>2023</v>
      </c>
      <c r="G1">
        <v>2024</v>
      </c>
      <c r="H1">
        <v>2025</v>
      </c>
    </row>
    <row r="2" spans="1:8" x14ac:dyDescent="0.35">
      <c r="A2" s="37">
        <v>44562</v>
      </c>
      <c r="B2" s="39">
        <v>30400960</v>
      </c>
      <c r="E2" s="38">
        <f>B5</f>
        <v>31419689</v>
      </c>
      <c r="F2" s="38">
        <f>B9</f>
        <v>34001494</v>
      </c>
      <c r="G2" s="38">
        <f>B13</f>
        <v>36218605</v>
      </c>
      <c r="H2" s="38">
        <v>37637553</v>
      </c>
    </row>
    <row r="3" spans="1:8" x14ac:dyDescent="0.35">
      <c r="A3" s="37">
        <v>44652</v>
      </c>
      <c r="B3" s="39">
        <v>30568582</v>
      </c>
    </row>
    <row r="4" spans="1:8" x14ac:dyDescent="0.35">
      <c r="A4" s="37">
        <v>44743</v>
      </c>
      <c r="B4" s="39">
        <v>30928912</v>
      </c>
    </row>
    <row r="5" spans="1:8" x14ac:dyDescent="0.35">
      <c r="A5" s="37">
        <v>44835</v>
      </c>
      <c r="B5" s="39">
        <v>31419689</v>
      </c>
    </row>
    <row r="6" spans="1:8" x14ac:dyDescent="0.35">
      <c r="A6" s="37">
        <v>44927</v>
      </c>
      <c r="B6" s="39">
        <v>31458438</v>
      </c>
    </row>
    <row r="7" spans="1:8" x14ac:dyDescent="0.35">
      <c r="A7" s="37">
        <v>45017</v>
      </c>
      <c r="B7" s="39">
        <v>32332274</v>
      </c>
    </row>
    <row r="8" spans="1:8" x14ac:dyDescent="0.35">
      <c r="A8" s="37">
        <v>45108</v>
      </c>
      <c r="B8" s="39">
        <v>33167334</v>
      </c>
    </row>
    <row r="9" spans="1:8" x14ac:dyDescent="0.35">
      <c r="A9" s="37">
        <v>45200</v>
      </c>
      <c r="B9" s="39">
        <v>34001494</v>
      </c>
    </row>
    <row r="10" spans="1:8" x14ac:dyDescent="0.35">
      <c r="A10" s="37">
        <v>45292</v>
      </c>
      <c r="B10" s="39">
        <v>34586533</v>
      </c>
    </row>
    <row r="11" spans="1:8" x14ac:dyDescent="0.35">
      <c r="A11" s="37">
        <v>45383</v>
      </c>
      <c r="B11" s="39">
        <v>34831634</v>
      </c>
    </row>
    <row r="12" spans="1:8" x14ac:dyDescent="0.35">
      <c r="A12" s="37">
        <v>45474</v>
      </c>
      <c r="B12" s="39">
        <v>35464674</v>
      </c>
    </row>
    <row r="13" spans="1:8" x14ac:dyDescent="0.35">
      <c r="A13" s="37">
        <v>45566</v>
      </c>
      <c r="B13" s="39">
        <v>36218605</v>
      </c>
    </row>
    <row r="14" spans="1:8" x14ac:dyDescent="0.35">
      <c r="A14" s="37">
        <v>45658</v>
      </c>
      <c r="B14" s="39">
        <v>36214310</v>
      </c>
    </row>
    <row r="15" spans="1:8" x14ac:dyDescent="0.35">
      <c r="A15" s="37">
        <v>45748</v>
      </c>
      <c r="B15" s="39">
        <v>36211469</v>
      </c>
    </row>
    <row r="16" spans="1:8" x14ac:dyDescent="0.35">
      <c r="A16" s="37">
        <v>45839</v>
      </c>
      <c r="B16" s="39">
        <v>37637553</v>
      </c>
    </row>
    <row r="17" spans="1:37" x14ac:dyDescent="0.35">
      <c r="A17" s="69">
        <v>45931</v>
      </c>
    </row>
    <row r="18" spans="1:37" x14ac:dyDescent="0.35">
      <c r="A18" s="69">
        <v>46023</v>
      </c>
      <c r="B18">
        <v>38514009</v>
      </c>
    </row>
    <row r="21" spans="1:37" x14ac:dyDescent="0.35">
      <c r="A21" s="206" t="s">
        <v>217</v>
      </c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</row>
    <row r="22" spans="1:37" x14ac:dyDescent="0.35">
      <c r="A22" s="112" t="s">
        <v>218</v>
      </c>
      <c r="B22" s="113" t="s">
        <v>164</v>
      </c>
      <c r="C22" s="113" t="s">
        <v>164</v>
      </c>
      <c r="D22" s="113" t="s">
        <v>164</v>
      </c>
      <c r="E22" s="117" t="s">
        <v>164</v>
      </c>
      <c r="F22" s="117" t="s">
        <v>164</v>
      </c>
      <c r="G22" s="117" t="s">
        <v>164</v>
      </c>
      <c r="H22" s="117" t="s">
        <v>164</v>
      </c>
      <c r="I22" s="117" t="s">
        <v>164</v>
      </c>
      <c r="J22" s="117" t="s">
        <v>164</v>
      </c>
      <c r="K22" s="117" t="s">
        <v>164</v>
      </c>
      <c r="L22" s="117" t="s">
        <v>164</v>
      </c>
      <c r="M22" s="117" t="s">
        <v>164</v>
      </c>
    </row>
    <row r="23" spans="1:37" x14ac:dyDescent="0.35">
      <c r="A23" s="115"/>
      <c r="B23" s="110"/>
      <c r="C23" s="110"/>
      <c r="D23" s="110"/>
      <c r="E23" s="114"/>
      <c r="F23" s="114"/>
      <c r="G23" s="114"/>
      <c r="H23" s="114"/>
      <c r="I23" s="114"/>
      <c r="J23" s="114"/>
      <c r="K23" s="114"/>
      <c r="L23" s="114"/>
      <c r="M23" s="114"/>
    </row>
    <row r="24" spans="1:37" ht="28.5" x14ac:dyDescent="0.35">
      <c r="A24" s="112" t="s">
        <v>164</v>
      </c>
      <c r="B24" s="60" t="s">
        <v>219</v>
      </c>
      <c r="C24" s="112">
        <v>2026</v>
      </c>
      <c r="D24" s="112">
        <v>2027</v>
      </c>
      <c r="E24" s="112">
        <v>2028</v>
      </c>
      <c r="F24" s="112">
        <v>2029</v>
      </c>
      <c r="G24" s="112">
        <v>2030</v>
      </c>
      <c r="H24" s="112">
        <v>2031</v>
      </c>
      <c r="I24" s="112">
        <v>2032</v>
      </c>
      <c r="J24" s="112">
        <v>2033</v>
      </c>
      <c r="K24" s="112">
        <v>2034</v>
      </c>
      <c r="L24" s="112">
        <v>2035</v>
      </c>
      <c r="M24" s="112">
        <v>2036</v>
      </c>
      <c r="N24" s="112">
        <v>2037</v>
      </c>
      <c r="O24" s="112">
        <v>2038</v>
      </c>
      <c r="P24" s="112">
        <v>2039</v>
      </c>
      <c r="Q24" s="112">
        <v>2040</v>
      </c>
      <c r="R24" s="112">
        <v>2041</v>
      </c>
      <c r="S24" s="112">
        <v>2042</v>
      </c>
      <c r="T24" s="112">
        <v>2043</v>
      </c>
      <c r="U24" s="112">
        <v>2044</v>
      </c>
      <c r="V24" s="112">
        <v>2045</v>
      </c>
      <c r="W24" s="112">
        <v>2046</v>
      </c>
      <c r="X24" s="112">
        <v>2047</v>
      </c>
      <c r="Y24" s="112">
        <v>2048</v>
      </c>
      <c r="Z24" s="112">
        <v>2049</v>
      </c>
      <c r="AA24" s="112">
        <v>2050</v>
      </c>
      <c r="AB24" s="112">
        <v>2051</v>
      </c>
      <c r="AC24" s="112">
        <v>2052</v>
      </c>
      <c r="AD24" s="112">
        <v>2053</v>
      </c>
      <c r="AE24" s="112">
        <v>2054</v>
      </c>
      <c r="AF24" s="112">
        <v>2055</v>
      </c>
      <c r="AG24" s="112"/>
      <c r="AH24" s="112"/>
      <c r="AI24" s="112"/>
      <c r="AJ24" s="112"/>
      <c r="AK24" s="112"/>
    </row>
    <row r="25" spans="1:37" ht="47.25" customHeight="1" x14ac:dyDescent="0.35">
      <c r="A25" s="120" t="s">
        <v>220</v>
      </c>
      <c r="B25" s="118">
        <v>28196</v>
      </c>
      <c r="C25" s="118">
        <v>30172</v>
      </c>
      <c r="D25" s="118">
        <v>32095</v>
      </c>
      <c r="E25" s="118">
        <v>34005</v>
      </c>
      <c r="F25" s="118">
        <v>36093</v>
      </c>
      <c r="G25" s="118">
        <v>38103</v>
      </c>
      <c r="H25" s="118">
        <v>40280</v>
      </c>
      <c r="I25" s="118">
        <v>42528</v>
      </c>
      <c r="J25" s="118">
        <v>44922</v>
      </c>
      <c r="K25" s="118">
        <v>47644</v>
      </c>
      <c r="L25" s="118">
        <v>50394</v>
      </c>
      <c r="M25" s="118">
        <v>53103</v>
      </c>
    </row>
    <row r="26" spans="1:37" x14ac:dyDescent="0.35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</row>
    <row r="27" spans="1:37" x14ac:dyDescent="0.35">
      <c r="A27" s="111" t="s">
        <v>221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</row>
    <row r="28" spans="1:37" x14ac:dyDescent="0.35">
      <c r="A28" s="121" t="s">
        <v>222</v>
      </c>
      <c r="B28" s="118">
        <v>1775</v>
      </c>
      <c r="C28" s="118">
        <v>1853</v>
      </c>
      <c r="D28" s="118">
        <v>1887</v>
      </c>
      <c r="E28" s="118">
        <v>2080</v>
      </c>
      <c r="F28" s="118">
        <v>2020</v>
      </c>
      <c r="G28" s="118">
        <v>2201</v>
      </c>
      <c r="H28" s="118">
        <v>2286</v>
      </c>
      <c r="I28" s="118">
        <v>2439</v>
      </c>
      <c r="J28" s="118">
        <v>2781</v>
      </c>
      <c r="K28" s="118">
        <v>2819</v>
      </c>
      <c r="L28" s="118">
        <v>2779</v>
      </c>
      <c r="M28" s="118">
        <v>3115</v>
      </c>
    </row>
    <row r="29" spans="1:37" x14ac:dyDescent="0.35">
      <c r="A29" s="121" t="s">
        <v>223</v>
      </c>
      <c r="B29" s="116">
        <v>201</v>
      </c>
      <c r="C29" s="116">
        <v>70</v>
      </c>
      <c r="D29" s="116">
        <v>22</v>
      </c>
      <c r="E29" s="116">
        <v>9</v>
      </c>
      <c r="F29" s="116">
        <v>-10</v>
      </c>
      <c r="G29" s="116">
        <v>-24</v>
      </c>
      <c r="H29" s="116">
        <v>-37</v>
      </c>
      <c r="I29" s="116">
        <v>-45</v>
      </c>
      <c r="J29" s="116">
        <v>-59</v>
      </c>
      <c r="K29" s="116">
        <v>-69</v>
      </c>
      <c r="L29" s="116">
        <v>-70</v>
      </c>
      <c r="M29" s="116">
        <v>-66</v>
      </c>
    </row>
    <row r="30" spans="1:37" x14ac:dyDescent="0.35">
      <c r="A30" s="121" t="s">
        <v>224</v>
      </c>
      <c r="B30" s="116"/>
      <c r="C30" s="125">
        <f t="shared" ref="C30:M30" si="0">(C29-B29)/B29</f>
        <v>-0.65174129353233834</v>
      </c>
      <c r="D30" s="125">
        <f t="shared" si="0"/>
        <v>-0.68571428571428572</v>
      </c>
      <c r="E30" s="125">
        <f t="shared" si="0"/>
        <v>-0.59090909090909094</v>
      </c>
      <c r="F30" s="125">
        <f t="shared" si="0"/>
        <v>-2.1111111111111112</v>
      </c>
      <c r="G30" s="125">
        <f t="shared" si="0"/>
        <v>1.4</v>
      </c>
      <c r="H30" s="125">
        <f t="shared" si="0"/>
        <v>0.54166666666666663</v>
      </c>
      <c r="I30" s="125">
        <f t="shared" si="0"/>
        <v>0.21621621621621623</v>
      </c>
      <c r="J30" s="125">
        <f t="shared" si="0"/>
        <v>0.31111111111111112</v>
      </c>
      <c r="K30" s="125">
        <f t="shared" si="0"/>
        <v>0.16949152542372881</v>
      </c>
      <c r="L30" s="125">
        <f t="shared" si="0"/>
        <v>1.4492753623188406E-2</v>
      </c>
      <c r="M30" s="125">
        <f t="shared" si="0"/>
        <v>-5.7142857142857141E-2</v>
      </c>
    </row>
    <row r="31" spans="1:37" x14ac:dyDescent="0.35">
      <c r="A31" s="114" t="s">
        <v>2</v>
      </c>
      <c r="B31" s="119">
        <v>1977</v>
      </c>
      <c r="C31" s="119">
        <v>1923</v>
      </c>
      <c r="D31" s="119">
        <v>1909</v>
      </c>
      <c r="E31" s="119">
        <v>2088</v>
      </c>
      <c r="F31" s="119">
        <v>2010</v>
      </c>
      <c r="G31" s="119">
        <v>2177</v>
      </c>
      <c r="H31" s="119">
        <v>2249</v>
      </c>
      <c r="I31" s="119">
        <v>2394</v>
      </c>
      <c r="J31" s="119">
        <v>2722</v>
      </c>
      <c r="K31" s="119">
        <v>2750</v>
      </c>
      <c r="L31" s="119">
        <v>2709</v>
      </c>
      <c r="M31" s="119">
        <v>3049</v>
      </c>
    </row>
    <row r="32" spans="1:37" x14ac:dyDescent="0.35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1:14" ht="48.75" customHeight="1" x14ac:dyDescent="0.35">
      <c r="A33" s="115" t="s">
        <v>225</v>
      </c>
      <c r="B33" s="118"/>
      <c r="C33" s="118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1:14" x14ac:dyDescent="0.35">
      <c r="A34" s="114" t="s">
        <v>226</v>
      </c>
      <c r="B34" s="119">
        <v>30172</v>
      </c>
      <c r="C34" s="119">
        <v>32095</v>
      </c>
      <c r="D34" s="119">
        <v>34005</v>
      </c>
      <c r="E34" s="119">
        <v>36093</v>
      </c>
      <c r="F34" s="119">
        <v>38103</v>
      </c>
      <c r="G34" s="119">
        <v>40280</v>
      </c>
      <c r="H34" s="119">
        <v>42528</v>
      </c>
      <c r="I34" s="119">
        <v>44922</v>
      </c>
      <c r="J34" s="119">
        <v>47644</v>
      </c>
      <c r="K34" s="119">
        <v>50394</v>
      </c>
      <c r="L34" s="119">
        <v>53103</v>
      </c>
      <c r="M34" s="119">
        <v>56152</v>
      </c>
    </row>
    <row r="35" spans="1:14" x14ac:dyDescent="0.35">
      <c r="A35" s="114" t="s">
        <v>227</v>
      </c>
      <c r="B35" s="114">
        <v>99.4</v>
      </c>
      <c r="C35" s="114">
        <v>100.6</v>
      </c>
      <c r="D35" s="114">
        <v>102.1</v>
      </c>
      <c r="E35" s="114">
        <v>104.1</v>
      </c>
      <c r="F35" s="114">
        <v>105.8</v>
      </c>
      <c r="G35" s="114">
        <v>107.7</v>
      </c>
      <c r="H35" s="114">
        <v>109.6</v>
      </c>
      <c r="I35" s="114">
        <v>111.5</v>
      </c>
      <c r="J35" s="114">
        <v>114</v>
      </c>
      <c r="K35" s="114">
        <v>116.2</v>
      </c>
      <c r="L35" s="114">
        <v>118</v>
      </c>
      <c r="M35" s="114">
        <v>120.2</v>
      </c>
    </row>
    <row r="36" spans="1:14" x14ac:dyDescent="0.35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</row>
    <row r="37" spans="1:14" x14ac:dyDescent="0.35">
      <c r="A37" s="114" t="s">
        <v>228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</row>
    <row r="38" spans="1:14" x14ac:dyDescent="0.35">
      <c r="A38" s="121" t="s">
        <v>229</v>
      </c>
      <c r="B38" s="118">
        <v>2259</v>
      </c>
      <c r="C38" s="118">
        <v>2329</v>
      </c>
      <c r="D38" s="118">
        <v>2351</v>
      </c>
      <c r="E38" s="118">
        <v>2360</v>
      </c>
      <c r="F38" s="118">
        <v>2350</v>
      </c>
      <c r="G38" s="118">
        <v>2327</v>
      </c>
      <c r="H38" s="118">
        <v>2290</v>
      </c>
      <c r="I38" s="118">
        <v>2244</v>
      </c>
      <c r="J38" s="118">
        <v>2185</v>
      </c>
      <c r="K38" s="118">
        <v>2116</v>
      </c>
      <c r="L38" s="118">
        <v>2047</v>
      </c>
      <c r="M38" s="118">
        <v>1981</v>
      </c>
      <c r="N38" s="47"/>
    </row>
    <row r="39" spans="1:14" x14ac:dyDescent="0.35">
      <c r="A39" s="114" t="s">
        <v>51</v>
      </c>
      <c r="B39" s="111"/>
      <c r="C39" s="122">
        <f t="shared" ref="C39:M39" si="1">(C38-B38)/B38</f>
        <v>3.0987162461266048E-2</v>
      </c>
      <c r="D39" s="122">
        <f t="shared" si="1"/>
        <v>9.446114212108201E-3</v>
      </c>
      <c r="E39" s="122">
        <f t="shared" si="1"/>
        <v>3.8281582305401958E-3</v>
      </c>
      <c r="F39" s="122">
        <f t="shared" si="1"/>
        <v>-4.2372881355932203E-3</v>
      </c>
      <c r="G39" s="122">
        <f t="shared" si="1"/>
        <v>-9.7872340425531907E-3</v>
      </c>
      <c r="H39" s="122">
        <f t="shared" si="1"/>
        <v>-1.5900300816501935E-2</v>
      </c>
      <c r="I39" s="122">
        <f t="shared" si="1"/>
        <v>-2.0087336244541485E-2</v>
      </c>
      <c r="J39" s="122">
        <f t="shared" si="1"/>
        <v>-2.6292335115864526E-2</v>
      </c>
      <c r="K39" s="122">
        <f t="shared" si="1"/>
        <v>-3.1578947368421054E-2</v>
      </c>
      <c r="L39" s="122">
        <f t="shared" si="1"/>
        <v>-3.2608695652173912E-2</v>
      </c>
      <c r="M39" s="122">
        <f t="shared" si="1"/>
        <v>-3.2242305813385441E-2</v>
      </c>
    </row>
    <row r="40" spans="1:14" x14ac:dyDescent="0.35">
      <c r="A40" s="111" t="s">
        <v>230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</row>
    <row r="41" spans="1:14" x14ac:dyDescent="0.35">
      <c r="A41" s="111" t="s">
        <v>226</v>
      </c>
      <c r="B41" s="118">
        <v>27913</v>
      </c>
      <c r="C41" s="118">
        <v>29766</v>
      </c>
      <c r="D41" s="118">
        <v>31653</v>
      </c>
      <c r="E41" s="118">
        <v>33733</v>
      </c>
      <c r="F41" s="118">
        <v>35752</v>
      </c>
      <c r="G41" s="118">
        <v>37953</v>
      </c>
      <c r="H41" s="118">
        <v>40239</v>
      </c>
      <c r="I41" s="118">
        <v>42678</v>
      </c>
      <c r="J41" s="118">
        <v>45459</v>
      </c>
      <c r="K41" s="118">
        <v>48277</v>
      </c>
      <c r="L41" s="118">
        <v>51056</v>
      </c>
      <c r="M41" s="118">
        <v>54172</v>
      </c>
    </row>
    <row r="42" spans="1:14" x14ac:dyDescent="0.35">
      <c r="A42" s="111" t="s">
        <v>227</v>
      </c>
      <c r="B42" s="111">
        <v>91.9</v>
      </c>
      <c r="C42" s="111">
        <v>93.3</v>
      </c>
      <c r="D42" s="111">
        <v>95</v>
      </c>
      <c r="E42" s="111">
        <v>97.3</v>
      </c>
      <c r="F42" s="111">
        <v>99.3</v>
      </c>
      <c r="G42" s="111">
        <v>101.5</v>
      </c>
      <c r="H42" s="111">
        <v>103.7</v>
      </c>
      <c r="I42" s="111">
        <v>106</v>
      </c>
      <c r="J42" s="111">
        <v>108.8</v>
      </c>
      <c r="K42" s="111">
        <v>111.3</v>
      </c>
      <c r="L42" s="111">
        <v>113.4</v>
      </c>
      <c r="M42" s="111">
        <v>116</v>
      </c>
    </row>
    <row r="43" spans="1:14" x14ac:dyDescent="0.35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</row>
    <row r="44" spans="1:14" ht="63" customHeight="1" x14ac:dyDescent="0.35">
      <c r="A44" s="120" t="s">
        <v>231</v>
      </c>
      <c r="B44" s="118">
        <v>4201</v>
      </c>
      <c r="C44" s="118">
        <v>4540</v>
      </c>
      <c r="D44" s="118">
        <v>4973</v>
      </c>
      <c r="E44" s="118">
        <v>5484</v>
      </c>
      <c r="F44" s="118">
        <v>6048</v>
      </c>
      <c r="G44" s="118">
        <v>6595</v>
      </c>
      <c r="H44" s="118">
        <v>7067</v>
      </c>
      <c r="I44" s="118">
        <v>7537</v>
      </c>
      <c r="J44" s="118">
        <v>8004</v>
      </c>
      <c r="K44" s="118">
        <v>8496</v>
      </c>
      <c r="L44" s="118">
        <v>8981</v>
      </c>
      <c r="M44" s="118">
        <v>9466</v>
      </c>
      <c r="N44" s="47"/>
    </row>
    <row r="45" spans="1:14" x14ac:dyDescent="0.35">
      <c r="A45" s="114" t="s">
        <v>51</v>
      </c>
      <c r="B45" s="111"/>
      <c r="C45" s="122">
        <f t="shared" ref="C45:M45" si="2">(C44-B44)/B44</f>
        <v>8.0695072601761481E-2</v>
      </c>
      <c r="D45" s="122">
        <f t="shared" si="2"/>
        <v>9.5374449339207051E-2</v>
      </c>
      <c r="E45" s="122">
        <f t="shared" si="2"/>
        <v>0.10275487633219385</v>
      </c>
      <c r="F45" s="122">
        <f t="shared" si="2"/>
        <v>0.10284463894967177</v>
      </c>
      <c r="G45" s="122">
        <f t="shared" si="2"/>
        <v>9.0443121693121686E-2</v>
      </c>
      <c r="H45" s="122">
        <f t="shared" si="2"/>
        <v>7.1569370735405605E-2</v>
      </c>
      <c r="I45" s="122">
        <f t="shared" si="2"/>
        <v>6.6506296872789014E-2</v>
      </c>
      <c r="J45" s="122">
        <f t="shared" si="2"/>
        <v>6.1960992437309272E-2</v>
      </c>
      <c r="K45" s="122">
        <f t="shared" si="2"/>
        <v>6.1469265367316339E-2</v>
      </c>
      <c r="L45" s="122">
        <f t="shared" si="2"/>
        <v>5.7085687382297551E-2</v>
      </c>
      <c r="M45" s="122">
        <f t="shared" si="2"/>
        <v>5.400289500055673E-2</v>
      </c>
    </row>
    <row r="46" spans="1:14" ht="55.5" customHeight="1" x14ac:dyDescent="0.35">
      <c r="A46" s="115" t="s">
        <v>232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</row>
    <row r="47" spans="1:14" x14ac:dyDescent="0.35">
      <c r="A47" s="111" t="s">
        <v>226</v>
      </c>
      <c r="B47" s="118">
        <v>23712</v>
      </c>
      <c r="C47" s="118">
        <v>25226</v>
      </c>
      <c r="D47" s="118">
        <v>26680</v>
      </c>
      <c r="E47" s="118">
        <v>28249</v>
      </c>
      <c r="F47" s="118">
        <v>29704</v>
      </c>
      <c r="G47" s="118">
        <v>31358</v>
      </c>
      <c r="H47" s="118">
        <v>33172</v>
      </c>
      <c r="I47" s="118">
        <v>35141</v>
      </c>
      <c r="J47" s="118">
        <v>37455</v>
      </c>
      <c r="K47" s="118">
        <v>39782</v>
      </c>
      <c r="L47" s="118">
        <v>42075</v>
      </c>
      <c r="M47" s="118">
        <v>44706</v>
      </c>
    </row>
    <row r="48" spans="1:14" x14ac:dyDescent="0.35">
      <c r="A48" s="111" t="s">
        <v>227</v>
      </c>
      <c r="B48" s="111">
        <v>78.099999999999994</v>
      </c>
      <c r="C48" s="111">
        <v>79.099999999999994</v>
      </c>
      <c r="D48" s="111">
        <v>80.099999999999994</v>
      </c>
      <c r="E48" s="111">
        <v>81.5</v>
      </c>
      <c r="F48" s="111">
        <v>82.5</v>
      </c>
      <c r="G48" s="111">
        <v>83.9</v>
      </c>
      <c r="H48" s="111">
        <v>85.5</v>
      </c>
      <c r="I48" s="111">
        <v>87.2</v>
      </c>
      <c r="J48" s="111">
        <v>89.6</v>
      </c>
      <c r="K48" s="111">
        <v>91.7</v>
      </c>
      <c r="L48" s="111">
        <v>93.5</v>
      </c>
      <c r="M48" s="111">
        <v>95.7</v>
      </c>
    </row>
    <row r="49" spans="1:32" x14ac:dyDescent="0.35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</row>
    <row r="50" spans="1:32" s="1" customFormat="1" x14ac:dyDescent="0.35">
      <c r="A50" s="114" t="s">
        <v>233</v>
      </c>
      <c r="B50" s="119">
        <v>37373</v>
      </c>
      <c r="C50" s="119">
        <v>39430</v>
      </c>
      <c r="D50" s="119">
        <v>41279</v>
      </c>
      <c r="E50" s="119">
        <v>43297</v>
      </c>
      <c r="F50" s="119">
        <v>45192</v>
      </c>
      <c r="G50" s="119">
        <v>47192</v>
      </c>
      <c r="H50" s="119">
        <v>49218</v>
      </c>
      <c r="I50" s="119">
        <v>51480</v>
      </c>
      <c r="J50" s="119">
        <v>54379</v>
      </c>
      <c r="K50" s="119">
        <v>57359</v>
      </c>
      <c r="L50" s="119">
        <v>60386</v>
      </c>
      <c r="M50" s="119">
        <v>63693</v>
      </c>
    </row>
    <row r="51" spans="1:32" x14ac:dyDescent="0.35">
      <c r="A51" s="111" t="s">
        <v>234</v>
      </c>
      <c r="B51" s="118">
        <f t="shared" ref="B51:M51" si="3">B50-B34</f>
        <v>7201</v>
      </c>
      <c r="C51" s="118">
        <f t="shared" si="3"/>
        <v>7335</v>
      </c>
      <c r="D51" s="118">
        <f t="shared" si="3"/>
        <v>7274</v>
      </c>
      <c r="E51" s="118">
        <f t="shared" si="3"/>
        <v>7204</v>
      </c>
      <c r="F51" s="118">
        <f t="shared" si="3"/>
        <v>7089</v>
      </c>
      <c r="G51" s="118">
        <f t="shared" si="3"/>
        <v>6912</v>
      </c>
      <c r="H51" s="118">
        <f t="shared" si="3"/>
        <v>6690</v>
      </c>
      <c r="I51" s="118">
        <f t="shared" si="3"/>
        <v>6558</v>
      </c>
      <c r="J51" s="118">
        <f t="shared" si="3"/>
        <v>6735</v>
      </c>
      <c r="K51" s="118">
        <f t="shared" si="3"/>
        <v>6965</v>
      </c>
      <c r="L51" s="118">
        <f t="shared" si="3"/>
        <v>7283</v>
      </c>
      <c r="M51" s="118">
        <f t="shared" si="3"/>
        <v>7541</v>
      </c>
    </row>
    <row r="52" spans="1:32" x14ac:dyDescent="0.35">
      <c r="A52" s="111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</row>
    <row r="53" spans="1:32" x14ac:dyDescent="0.35">
      <c r="A53" s="111" t="s">
        <v>235</v>
      </c>
      <c r="B53" s="118">
        <v>37526</v>
      </c>
      <c r="C53" s="118">
        <v>39581</v>
      </c>
      <c r="D53" s="118">
        <v>41428</v>
      </c>
      <c r="E53" s="118">
        <v>43446</v>
      </c>
      <c r="F53" s="118">
        <v>45341</v>
      </c>
      <c r="G53" s="118">
        <v>47341</v>
      </c>
      <c r="H53" s="118">
        <v>49368</v>
      </c>
      <c r="I53" s="118">
        <v>51630</v>
      </c>
      <c r="J53" s="118">
        <v>54530</v>
      </c>
      <c r="K53" s="118">
        <v>57510</v>
      </c>
      <c r="L53" s="118">
        <v>60538</v>
      </c>
      <c r="M53" s="118">
        <v>63846</v>
      </c>
    </row>
    <row r="54" spans="1:32" x14ac:dyDescent="0.35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</row>
    <row r="55" spans="1:32" ht="42.5" x14ac:dyDescent="0.35">
      <c r="A55" s="60" t="s">
        <v>236</v>
      </c>
      <c r="B55" s="112">
        <v>3.4</v>
      </c>
      <c r="C55" s="112">
        <v>3.4</v>
      </c>
      <c r="D55" s="112">
        <v>3.4</v>
      </c>
      <c r="E55" s="112">
        <v>3.5</v>
      </c>
      <c r="F55" s="112">
        <v>3.6</v>
      </c>
      <c r="G55" s="112">
        <v>3.7</v>
      </c>
      <c r="H55" s="112">
        <v>3.8</v>
      </c>
      <c r="I55" s="112">
        <v>3.9</v>
      </c>
      <c r="J55" s="112">
        <v>3.9</v>
      </c>
      <c r="K55" s="112">
        <v>3.9</v>
      </c>
      <c r="L55" s="112">
        <v>3.9</v>
      </c>
      <c r="M55" s="112">
        <v>3.9</v>
      </c>
    </row>
    <row r="58" spans="1:32" s="1" customFormat="1" x14ac:dyDescent="0.35">
      <c r="A58" s="1" t="s">
        <v>237</v>
      </c>
      <c r="B58" s="109">
        <f t="shared" ref="B58:M58" si="4">B25</f>
        <v>28196</v>
      </c>
      <c r="C58" s="109">
        <f t="shared" si="4"/>
        <v>30172</v>
      </c>
      <c r="D58" s="109">
        <f t="shared" si="4"/>
        <v>32095</v>
      </c>
      <c r="E58" s="109">
        <f t="shared" si="4"/>
        <v>34005</v>
      </c>
      <c r="F58" s="109">
        <f t="shared" si="4"/>
        <v>36093</v>
      </c>
      <c r="G58" s="109">
        <f t="shared" si="4"/>
        <v>38103</v>
      </c>
      <c r="H58" s="109">
        <f t="shared" si="4"/>
        <v>40280</v>
      </c>
      <c r="I58" s="109">
        <f t="shared" si="4"/>
        <v>42528</v>
      </c>
      <c r="J58" s="109">
        <f t="shared" si="4"/>
        <v>44922</v>
      </c>
      <c r="K58" s="109">
        <f t="shared" si="4"/>
        <v>47644</v>
      </c>
      <c r="L58" s="109">
        <f t="shared" si="4"/>
        <v>50394</v>
      </c>
      <c r="M58" s="109">
        <f t="shared" si="4"/>
        <v>53103</v>
      </c>
    </row>
    <row r="59" spans="1:32" x14ac:dyDescent="0.35">
      <c r="A59" t="s">
        <v>51</v>
      </c>
      <c r="B59" s="47"/>
      <c r="C59" s="108">
        <f t="shared" ref="C59:M59" si="5">(C58-B58)/B58</f>
        <v>7.0080862533692723E-2</v>
      </c>
      <c r="D59" s="108">
        <f t="shared" si="5"/>
        <v>6.3734588360068942E-2</v>
      </c>
      <c r="E59" s="108">
        <f t="shared" si="5"/>
        <v>5.9510827231656023E-2</v>
      </c>
      <c r="F59" s="108">
        <f t="shared" si="5"/>
        <v>6.1402734891927657E-2</v>
      </c>
      <c r="G59" s="108">
        <f t="shared" si="5"/>
        <v>5.5689468872080455E-2</v>
      </c>
      <c r="H59" s="108">
        <f t="shared" si="5"/>
        <v>5.713460882345222E-2</v>
      </c>
      <c r="I59" s="108">
        <f t="shared" si="5"/>
        <v>5.5809334657398214E-2</v>
      </c>
      <c r="J59" s="108">
        <f t="shared" si="5"/>
        <v>5.6292325056433411E-2</v>
      </c>
      <c r="K59" s="108">
        <f t="shared" si="5"/>
        <v>6.0593918347357639E-2</v>
      </c>
      <c r="L59" s="108">
        <f t="shared" si="5"/>
        <v>5.7719754848459405E-2</v>
      </c>
      <c r="M59" s="108">
        <f t="shared" si="5"/>
        <v>5.3756399571377546E-2</v>
      </c>
    </row>
    <row r="60" spans="1:32" s="1" customFormat="1" x14ac:dyDescent="0.35">
      <c r="A60" s="1" t="s">
        <v>238</v>
      </c>
      <c r="B60" s="1">
        <f t="shared" ref="B60:M60" si="6">B29</f>
        <v>201</v>
      </c>
      <c r="C60" s="1">
        <f t="shared" si="6"/>
        <v>70</v>
      </c>
      <c r="D60" s="1">
        <f t="shared" si="6"/>
        <v>22</v>
      </c>
      <c r="E60" s="1">
        <f t="shared" si="6"/>
        <v>9</v>
      </c>
      <c r="F60" s="1">
        <f t="shared" si="6"/>
        <v>-10</v>
      </c>
      <c r="G60" s="1">
        <f t="shared" si="6"/>
        <v>-24</v>
      </c>
      <c r="H60" s="1">
        <f t="shared" si="6"/>
        <v>-37</v>
      </c>
      <c r="I60" s="1">
        <f t="shared" si="6"/>
        <v>-45</v>
      </c>
      <c r="J60" s="1">
        <f t="shared" si="6"/>
        <v>-59</v>
      </c>
      <c r="K60" s="1">
        <f t="shared" si="6"/>
        <v>-69</v>
      </c>
      <c r="L60" s="1">
        <f t="shared" si="6"/>
        <v>-70</v>
      </c>
      <c r="M60" s="1">
        <f t="shared" si="6"/>
        <v>-66</v>
      </c>
      <c r="N60" s="126">
        <f t="shared" ref="N60:V60" si="7">$A$65/19</f>
        <v>77.421052631578945</v>
      </c>
      <c r="O60" s="126">
        <f t="shared" si="7"/>
        <v>77.421052631578945</v>
      </c>
      <c r="P60" s="126">
        <f t="shared" si="7"/>
        <v>77.421052631578945</v>
      </c>
      <c r="Q60" s="126">
        <f t="shared" si="7"/>
        <v>77.421052631578945</v>
      </c>
      <c r="R60" s="126">
        <f t="shared" si="7"/>
        <v>77.421052631578945</v>
      </c>
      <c r="S60" s="126">
        <f t="shared" si="7"/>
        <v>77.421052631578945</v>
      </c>
      <c r="T60" s="126">
        <f t="shared" si="7"/>
        <v>77.421052631578945</v>
      </c>
      <c r="U60" s="126">
        <f t="shared" si="7"/>
        <v>77.421052631578945</v>
      </c>
      <c r="V60" s="126">
        <f t="shared" si="7"/>
        <v>77.421052631578945</v>
      </c>
      <c r="W60" s="126">
        <v>80</v>
      </c>
      <c r="X60" s="126">
        <v>80</v>
      </c>
      <c r="Y60" s="126">
        <v>80</v>
      </c>
      <c r="Z60" s="126">
        <v>80</v>
      </c>
      <c r="AA60" s="126">
        <v>80</v>
      </c>
      <c r="AB60" s="126">
        <v>80</v>
      </c>
      <c r="AC60" s="126">
        <v>80</v>
      </c>
      <c r="AD60" s="126">
        <v>80</v>
      </c>
      <c r="AE60" s="126">
        <v>80</v>
      </c>
      <c r="AF60" s="126">
        <v>80</v>
      </c>
    </row>
    <row r="61" spans="1:32" x14ac:dyDescent="0.35">
      <c r="A61" t="s">
        <v>51</v>
      </c>
      <c r="B61" s="47"/>
      <c r="C61" s="108">
        <f t="shared" ref="C61:M61" si="8">(C60-B60)/B60</f>
        <v>-0.65174129353233834</v>
      </c>
      <c r="D61" s="108">
        <f t="shared" si="8"/>
        <v>-0.68571428571428572</v>
      </c>
      <c r="E61" s="108">
        <f t="shared" si="8"/>
        <v>-0.59090909090909094</v>
      </c>
      <c r="F61" s="108">
        <f t="shared" si="8"/>
        <v>-2.1111111111111112</v>
      </c>
      <c r="G61" s="108">
        <f t="shared" si="8"/>
        <v>1.4</v>
      </c>
      <c r="H61" s="108">
        <f t="shared" si="8"/>
        <v>0.54166666666666663</v>
      </c>
      <c r="I61" s="108">
        <f t="shared" si="8"/>
        <v>0.21621621621621623</v>
      </c>
      <c r="J61" s="108">
        <f t="shared" si="8"/>
        <v>0.31111111111111112</v>
      </c>
      <c r="K61" s="108">
        <f t="shared" si="8"/>
        <v>0.16949152542372881</v>
      </c>
      <c r="L61" s="108">
        <f t="shared" si="8"/>
        <v>1.4492753623188406E-2</v>
      </c>
      <c r="M61" s="108">
        <f t="shared" si="8"/>
        <v>-5.7142857142857141E-2</v>
      </c>
    </row>
    <row r="62" spans="1:32" s="1" customFormat="1" x14ac:dyDescent="0.35">
      <c r="A62" s="1" t="s">
        <v>234</v>
      </c>
      <c r="B62" s="109">
        <f t="shared" ref="B62:M62" si="9">B51</f>
        <v>7201</v>
      </c>
      <c r="C62" s="109">
        <f t="shared" si="9"/>
        <v>7335</v>
      </c>
      <c r="D62" s="109">
        <f t="shared" si="9"/>
        <v>7274</v>
      </c>
      <c r="E62" s="109">
        <f t="shared" si="9"/>
        <v>7204</v>
      </c>
      <c r="F62" s="109">
        <f t="shared" si="9"/>
        <v>7089</v>
      </c>
      <c r="G62" s="109">
        <f t="shared" si="9"/>
        <v>6912</v>
      </c>
      <c r="H62" s="109">
        <f t="shared" si="9"/>
        <v>6690</v>
      </c>
      <c r="I62" s="109">
        <f t="shared" si="9"/>
        <v>6558</v>
      </c>
      <c r="J62" s="109">
        <f t="shared" si="9"/>
        <v>6735</v>
      </c>
      <c r="K62" s="109">
        <f t="shared" si="9"/>
        <v>6965</v>
      </c>
      <c r="L62" s="109">
        <f t="shared" si="9"/>
        <v>7283</v>
      </c>
      <c r="M62" s="109">
        <f t="shared" si="9"/>
        <v>7541</v>
      </c>
    </row>
    <row r="63" spans="1:32" x14ac:dyDescent="0.35">
      <c r="A63" t="s">
        <v>51</v>
      </c>
      <c r="B63" s="47"/>
      <c r="C63" s="108">
        <f t="shared" ref="C63:M63" si="10">(C62-B62)/B62</f>
        <v>1.8608526593528678E-2</v>
      </c>
      <c r="D63" s="108">
        <f t="shared" si="10"/>
        <v>-8.3162917518745747E-3</v>
      </c>
      <c r="E63" s="108">
        <f t="shared" si="10"/>
        <v>-9.6233159197140501E-3</v>
      </c>
      <c r="F63" s="108">
        <f t="shared" si="10"/>
        <v>-1.5963353692393115E-2</v>
      </c>
      <c r="G63" s="108">
        <f t="shared" si="10"/>
        <v>-2.4968260685569191E-2</v>
      </c>
      <c r="H63" s="108">
        <f t="shared" si="10"/>
        <v>-3.2118055555555552E-2</v>
      </c>
      <c r="I63" s="108">
        <f t="shared" si="10"/>
        <v>-1.9730941704035873E-2</v>
      </c>
      <c r="J63" s="108">
        <f t="shared" si="10"/>
        <v>2.6989935956084173E-2</v>
      </c>
      <c r="K63" s="108">
        <f t="shared" si="10"/>
        <v>3.4149962880475129E-2</v>
      </c>
      <c r="L63" s="108">
        <f t="shared" si="10"/>
        <v>4.5656855707106966E-2</v>
      </c>
      <c r="M63" s="108">
        <f t="shared" si="10"/>
        <v>3.5424962240834822E-2</v>
      </c>
    </row>
    <row r="65" spans="1:1" x14ac:dyDescent="0.35">
      <c r="A65">
        <f>1750+SUM(C60:M60)</f>
        <v>1471</v>
      </c>
    </row>
  </sheetData>
  <mergeCells count="1">
    <mergeCell ref="A21:M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7EDA-AB49-49BB-BD61-E3C67DAA0034}">
  <dimension ref="A1:O72"/>
  <sheetViews>
    <sheetView topLeftCell="F12" workbookViewId="0">
      <selection activeCell="AN48" sqref="AN48"/>
    </sheetView>
  </sheetViews>
  <sheetFormatPr defaultColWidth="8.81640625" defaultRowHeight="14.5" x14ac:dyDescent="0.35"/>
  <cols>
    <col min="1" max="1" width="40.453125" customWidth="1"/>
  </cols>
  <sheetData>
    <row r="1" spans="1:15" x14ac:dyDescent="0.35">
      <c r="A1" s="57" t="s">
        <v>239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x14ac:dyDescent="0.35">
      <c r="A2" s="58" t="s">
        <v>240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x14ac:dyDescent="0.3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x14ac:dyDescent="0.35">
      <c r="A5" s="207" t="s">
        <v>241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</row>
    <row r="6" spans="1:15" x14ac:dyDescent="0.3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208" t="s">
        <v>2</v>
      </c>
      <c r="O7" s="208"/>
    </row>
    <row r="8" spans="1:15" ht="28.5" x14ac:dyDescent="0.35">
      <c r="A8" s="59" t="s">
        <v>164</v>
      </c>
      <c r="B8" s="60" t="s">
        <v>219</v>
      </c>
      <c r="C8" s="61">
        <v>2026</v>
      </c>
      <c r="D8" s="61">
        <v>2027</v>
      </c>
      <c r="E8" s="61">
        <v>2028</v>
      </c>
      <c r="F8" s="61">
        <v>2029</v>
      </c>
      <c r="G8" s="61">
        <v>2030</v>
      </c>
      <c r="H8" s="61">
        <v>2031</v>
      </c>
      <c r="I8" s="61">
        <v>2032</v>
      </c>
      <c r="J8" s="61">
        <v>2033</v>
      </c>
      <c r="K8" s="61">
        <v>2034</v>
      </c>
      <c r="L8" s="61">
        <v>2035</v>
      </c>
      <c r="M8" s="61">
        <v>2036</v>
      </c>
      <c r="N8" s="60" t="s">
        <v>242</v>
      </c>
      <c r="O8" s="60" t="s">
        <v>243</v>
      </c>
    </row>
    <row r="9" spans="1:15" x14ac:dyDescent="0.35">
      <c r="A9" s="57"/>
      <c r="B9" s="209" t="s">
        <v>226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</row>
    <row r="10" spans="1:15" x14ac:dyDescent="0.35">
      <c r="A10" s="57" t="s">
        <v>93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1:15" x14ac:dyDescent="0.35">
      <c r="A11" s="57" t="s">
        <v>36</v>
      </c>
      <c r="B11" s="62">
        <v>1575</v>
      </c>
      <c r="C11" s="62">
        <v>1666</v>
      </c>
      <c r="D11" s="62">
        <v>1769</v>
      </c>
      <c r="E11" s="62">
        <v>1875</v>
      </c>
      <c r="F11" s="62">
        <v>1979</v>
      </c>
      <c r="G11" s="62">
        <v>2083</v>
      </c>
      <c r="H11" s="62">
        <v>2190</v>
      </c>
      <c r="I11" s="62">
        <v>2298</v>
      </c>
      <c r="J11" s="62">
        <v>2409</v>
      </c>
      <c r="K11" s="62">
        <v>2519</v>
      </c>
      <c r="L11" s="62">
        <v>2632</v>
      </c>
      <c r="M11" s="62">
        <v>2747</v>
      </c>
      <c r="N11" s="62">
        <v>9895</v>
      </c>
      <c r="O11" s="62">
        <v>22500</v>
      </c>
    </row>
    <row r="12" spans="1:15" x14ac:dyDescent="0.35">
      <c r="A12" s="57" t="s">
        <v>32</v>
      </c>
      <c r="B12" s="62">
        <v>1180</v>
      </c>
      <c r="C12" s="62">
        <v>1287</v>
      </c>
      <c r="D12" s="62">
        <v>1374</v>
      </c>
      <c r="E12" s="62">
        <v>1533</v>
      </c>
      <c r="F12" s="62">
        <v>1470</v>
      </c>
      <c r="G12" s="62">
        <v>1649</v>
      </c>
      <c r="H12" s="62">
        <v>1753</v>
      </c>
      <c r="I12" s="62">
        <v>1867</v>
      </c>
      <c r="J12" s="62">
        <v>2123</v>
      </c>
      <c r="K12" s="62">
        <v>2153</v>
      </c>
      <c r="L12" s="62">
        <v>2155</v>
      </c>
      <c r="M12" s="62">
        <v>2421</v>
      </c>
      <c r="N12" s="62">
        <v>7778</v>
      </c>
      <c r="O12" s="62">
        <v>18497</v>
      </c>
    </row>
    <row r="13" spans="1:15" x14ac:dyDescent="0.35">
      <c r="A13" s="57" t="s">
        <v>35</v>
      </c>
      <c r="B13" s="57">
        <v>668</v>
      </c>
      <c r="C13" s="57">
        <v>708</v>
      </c>
      <c r="D13" s="57">
        <v>726</v>
      </c>
      <c r="E13" s="57">
        <v>746</v>
      </c>
      <c r="F13" s="57">
        <v>754</v>
      </c>
      <c r="G13" s="57">
        <v>777</v>
      </c>
      <c r="H13" s="57">
        <v>804</v>
      </c>
      <c r="I13" s="57">
        <v>834</v>
      </c>
      <c r="J13" s="57">
        <v>870</v>
      </c>
      <c r="K13" s="57">
        <v>905</v>
      </c>
      <c r="L13" s="57">
        <v>941</v>
      </c>
      <c r="M13" s="57">
        <v>981</v>
      </c>
      <c r="N13" s="62">
        <v>3806</v>
      </c>
      <c r="O13" s="62">
        <v>8338</v>
      </c>
    </row>
    <row r="14" spans="1:15" x14ac:dyDescent="0.35">
      <c r="A14" s="57" t="s">
        <v>244</v>
      </c>
      <c r="B14" s="62">
        <v>1114</v>
      </c>
      <c r="C14" s="62">
        <v>1281</v>
      </c>
      <c r="D14" s="62">
        <v>1327</v>
      </c>
      <c r="E14" s="62">
        <v>1284</v>
      </c>
      <c r="F14" s="62">
        <v>1326</v>
      </c>
      <c r="G14" s="62">
        <v>1371</v>
      </c>
      <c r="H14" s="62">
        <v>1377</v>
      </c>
      <c r="I14" s="62">
        <v>1400</v>
      </c>
      <c r="J14" s="62">
        <v>1466</v>
      </c>
      <c r="K14" s="62">
        <v>1472</v>
      </c>
      <c r="L14" s="62">
        <v>1458</v>
      </c>
      <c r="M14" s="62">
        <v>1555</v>
      </c>
      <c r="N14" s="62">
        <v>6685</v>
      </c>
      <c r="O14" s="62">
        <v>14036</v>
      </c>
    </row>
    <row r="15" spans="1:15" x14ac:dyDescent="0.35">
      <c r="A15" s="57" t="s">
        <v>245</v>
      </c>
      <c r="B15" s="63">
        <v>-370</v>
      </c>
      <c r="C15" s="63">
        <v>-412</v>
      </c>
      <c r="D15" s="63">
        <v>-413</v>
      </c>
      <c r="E15" s="63">
        <v>-434</v>
      </c>
      <c r="F15" s="63">
        <v>-462</v>
      </c>
      <c r="G15" s="63">
        <v>-504</v>
      </c>
      <c r="H15" s="63">
        <v>-541</v>
      </c>
      <c r="I15" s="63">
        <v>-564</v>
      </c>
      <c r="J15" s="63">
        <v>-591</v>
      </c>
      <c r="K15" s="63">
        <v>-613</v>
      </c>
      <c r="L15" s="63">
        <v>-642</v>
      </c>
      <c r="M15" s="63">
        <v>-675</v>
      </c>
      <c r="N15" s="64">
        <v>-2353</v>
      </c>
      <c r="O15" s="64">
        <v>-5438</v>
      </c>
    </row>
    <row r="16" spans="1:15" x14ac:dyDescent="0.35">
      <c r="A16" s="57" t="s">
        <v>246</v>
      </c>
      <c r="B16" s="62">
        <v>4168</v>
      </c>
      <c r="C16" s="62">
        <v>4529</v>
      </c>
      <c r="D16" s="62">
        <v>4783</v>
      </c>
      <c r="E16" s="62">
        <v>5005</v>
      </c>
      <c r="F16" s="62">
        <v>5067</v>
      </c>
      <c r="G16" s="62">
        <v>5375</v>
      </c>
      <c r="H16" s="62">
        <v>5582</v>
      </c>
      <c r="I16" s="62">
        <v>5835</v>
      </c>
      <c r="J16" s="62">
        <v>6277</v>
      </c>
      <c r="K16" s="62">
        <v>6437</v>
      </c>
      <c r="L16" s="62">
        <v>6545</v>
      </c>
      <c r="M16" s="62">
        <v>7028</v>
      </c>
      <c r="N16" s="62">
        <v>25812</v>
      </c>
      <c r="O16" s="62">
        <v>57933</v>
      </c>
    </row>
    <row r="17" spans="1:15" x14ac:dyDescent="0.3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x14ac:dyDescent="0.35">
      <c r="A18" s="57" t="s">
        <v>89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1:15" x14ac:dyDescent="0.35">
      <c r="A19" s="57" t="s">
        <v>42</v>
      </c>
      <c r="B19" s="57">
        <v>893</v>
      </c>
      <c r="C19" s="57">
        <v>885</v>
      </c>
      <c r="D19" s="57">
        <v>901</v>
      </c>
      <c r="E19" s="57">
        <v>928</v>
      </c>
      <c r="F19" s="57">
        <v>938</v>
      </c>
      <c r="G19" s="57">
        <v>966</v>
      </c>
      <c r="H19" s="57">
        <v>986</v>
      </c>
      <c r="I19" s="62">
        <v>1006</v>
      </c>
      <c r="J19" s="62">
        <v>1034</v>
      </c>
      <c r="K19" s="62">
        <v>1051</v>
      </c>
      <c r="L19" s="62">
        <v>1068</v>
      </c>
      <c r="M19" s="62">
        <v>1100</v>
      </c>
      <c r="N19" s="62">
        <v>4719</v>
      </c>
      <c r="O19" s="62">
        <v>9979</v>
      </c>
    </row>
    <row r="20" spans="1:15" x14ac:dyDescent="0.35">
      <c r="A20" s="57" t="s">
        <v>247</v>
      </c>
      <c r="B20" s="63">
        <v>980</v>
      </c>
      <c r="C20" s="63">
        <v>996</v>
      </c>
      <c r="D20" s="63">
        <v>981</v>
      </c>
      <c r="E20" s="64">
        <v>1001</v>
      </c>
      <c r="F20" s="64">
        <v>1010</v>
      </c>
      <c r="G20" s="64">
        <v>1023</v>
      </c>
      <c r="H20" s="64">
        <v>1039</v>
      </c>
      <c r="I20" s="64">
        <v>1057</v>
      </c>
      <c r="J20" s="64">
        <v>1076</v>
      </c>
      <c r="K20" s="64">
        <v>1096</v>
      </c>
      <c r="L20" s="64">
        <v>1119</v>
      </c>
      <c r="M20" s="64">
        <v>1144</v>
      </c>
      <c r="N20" s="64">
        <v>5053</v>
      </c>
      <c r="O20" s="64">
        <v>10545</v>
      </c>
    </row>
    <row r="21" spans="1:15" x14ac:dyDescent="0.35">
      <c r="A21" s="57" t="s">
        <v>246</v>
      </c>
      <c r="B21" s="62">
        <v>1872</v>
      </c>
      <c r="C21" s="62">
        <v>1880</v>
      </c>
      <c r="D21" s="62">
        <v>1882</v>
      </c>
      <c r="E21" s="62">
        <v>1929</v>
      </c>
      <c r="F21" s="62">
        <v>1948</v>
      </c>
      <c r="G21" s="62">
        <v>1989</v>
      </c>
      <c r="H21" s="62">
        <v>2024</v>
      </c>
      <c r="I21" s="62">
        <v>2063</v>
      </c>
      <c r="J21" s="62">
        <v>2111</v>
      </c>
      <c r="K21" s="62">
        <v>2147</v>
      </c>
      <c r="L21" s="62">
        <v>2187</v>
      </c>
      <c r="M21" s="62">
        <v>2244</v>
      </c>
      <c r="N21" s="62">
        <v>9772</v>
      </c>
      <c r="O21" s="62">
        <v>20524</v>
      </c>
    </row>
    <row r="22" spans="1:15" x14ac:dyDescent="0.35">
      <c r="A22" s="57" t="s">
        <v>248</v>
      </c>
      <c r="B22" s="57">
        <v>970</v>
      </c>
      <c r="C22" s="62">
        <v>1039</v>
      </c>
      <c r="D22" s="62">
        <v>1108</v>
      </c>
      <c r="E22" s="62">
        <v>1218</v>
      </c>
      <c r="F22" s="62">
        <v>1324</v>
      </c>
      <c r="G22" s="62">
        <v>1432</v>
      </c>
      <c r="H22" s="62">
        <v>1548</v>
      </c>
      <c r="I22" s="62">
        <v>1670</v>
      </c>
      <c r="J22" s="62">
        <v>1784</v>
      </c>
      <c r="K22" s="62">
        <v>1904</v>
      </c>
      <c r="L22" s="62">
        <v>2019</v>
      </c>
      <c r="M22" s="62">
        <v>2144</v>
      </c>
      <c r="N22" s="62">
        <v>6630</v>
      </c>
      <c r="O22" s="62">
        <v>16152</v>
      </c>
    </row>
    <row r="23" spans="1:15" x14ac:dyDescent="0.3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</row>
    <row r="24" spans="1:15" x14ac:dyDescent="0.35">
      <c r="A24" s="65" t="s">
        <v>2</v>
      </c>
      <c r="B24" s="66">
        <v>7010</v>
      </c>
      <c r="C24" s="66">
        <v>7449</v>
      </c>
      <c r="D24" s="66">
        <v>7772</v>
      </c>
      <c r="E24" s="66">
        <v>8151</v>
      </c>
      <c r="F24" s="66">
        <v>8340</v>
      </c>
      <c r="G24" s="66">
        <v>8796</v>
      </c>
      <c r="H24" s="66">
        <v>9155</v>
      </c>
      <c r="I24" s="66">
        <v>9569</v>
      </c>
      <c r="J24" s="66">
        <v>10172</v>
      </c>
      <c r="K24" s="66">
        <v>10487</v>
      </c>
      <c r="L24" s="66">
        <v>10751</v>
      </c>
      <c r="M24" s="66">
        <v>11416</v>
      </c>
      <c r="N24" s="66">
        <v>42214</v>
      </c>
      <c r="O24" s="66">
        <v>94610</v>
      </c>
    </row>
    <row r="25" spans="1:15" x14ac:dyDescent="0.35">
      <c r="A25" s="57" t="s">
        <v>249</v>
      </c>
      <c r="B25" s="62">
        <v>5578</v>
      </c>
      <c r="C25" s="62">
        <v>5928</v>
      </c>
      <c r="D25" s="62">
        <v>6151</v>
      </c>
      <c r="E25" s="62">
        <v>6426</v>
      </c>
      <c r="F25" s="62">
        <v>6513</v>
      </c>
      <c r="G25" s="62">
        <v>6864</v>
      </c>
      <c r="H25" s="62">
        <v>7113</v>
      </c>
      <c r="I25" s="62">
        <v>7409</v>
      </c>
      <c r="J25" s="62">
        <v>7911</v>
      </c>
      <c r="K25" s="62">
        <v>8125</v>
      </c>
      <c r="L25" s="62">
        <v>8286</v>
      </c>
      <c r="M25" s="62">
        <v>8847</v>
      </c>
      <c r="N25" s="62">
        <v>33066</v>
      </c>
      <c r="O25" s="62">
        <v>73644</v>
      </c>
    </row>
    <row r="26" spans="1:15" x14ac:dyDescent="0.35">
      <c r="A26" s="57" t="s">
        <v>250</v>
      </c>
      <c r="B26" s="62">
        <v>1432</v>
      </c>
      <c r="C26" s="62">
        <v>1521</v>
      </c>
      <c r="D26" s="62">
        <v>1621</v>
      </c>
      <c r="E26" s="62">
        <v>1725</v>
      </c>
      <c r="F26" s="62">
        <v>1827</v>
      </c>
      <c r="G26" s="62">
        <v>1932</v>
      </c>
      <c r="H26" s="62">
        <v>2043</v>
      </c>
      <c r="I26" s="62">
        <v>2160</v>
      </c>
      <c r="J26" s="62">
        <v>2261</v>
      </c>
      <c r="K26" s="62">
        <v>2363</v>
      </c>
      <c r="L26" s="62">
        <v>2465</v>
      </c>
      <c r="M26" s="62">
        <v>2569</v>
      </c>
      <c r="N26" s="62">
        <v>9147</v>
      </c>
      <c r="O26" s="62">
        <v>20965</v>
      </c>
    </row>
    <row r="27" spans="1:15" x14ac:dyDescent="0.3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5" x14ac:dyDescent="0.35">
      <c r="A28" s="65" t="s">
        <v>228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x14ac:dyDescent="0.35">
      <c r="A29" s="57" t="s">
        <v>251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x14ac:dyDescent="0.35">
      <c r="A30" s="57" t="s">
        <v>252</v>
      </c>
      <c r="B30" s="62">
        <v>4168</v>
      </c>
      <c r="C30" s="62">
        <v>4529</v>
      </c>
      <c r="D30" s="62">
        <v>4783</v>
      </c>
      <c r="E30" s="62">
        <v>4887</v>
      </c>
      <c r="F30" s="62">
        <v>5185</v>
      </c>
      <c r="G30" s="62">
        <v>5375</v>
      </c>
      <c r="H30" s="62">
        <v>5582</v>
      </c>
      <c r="I30" s="62">
        <v>5835</v>
      </c>
      <c r="J30" s="62">
        <v>6117</v>
      </c>
      <c r="K30" s="62">
        <v>6425</v>
      </c>
      <c r="L30" s="62">
        <v>6716</v>
      </c>
      <c r="M30" s="62">
        <v>7028</v>
      </c>
      <c r="N30" s="62">
        <v>25812</v>
      </c>
      <c r="O30" s="62">
        <v>57933</v>
      </c>
    </row>
    <row r="31" spans="1:15" x14ac:dyDescent="0.35">
      <c r="A31" s="57" t="s">
        <v>253</v>
      </c>
      <c r="B31" s="62">
        <v>1872</v>
      </c>
      <c r="C31" s="62">
        <v>1880</v>
      </c>
      <c r="D31" s="62">
        <v>1882</v>
      </c>
      <c r="E31" s="62">
        <v>1923</v>
      </c>
      <c r="F31" s="62">
        <v>1954</v>
      </c>
      <c r="G31" s="62">
        <v>1989</v>
      </c>
      <c r="H31" s="62">
        <v>2024</v>
      </c>
      <c r="I31" s="62">
        <v>2063</v>
      </c>
      <c r="J31" s="62">
        <v>2105</v>
      </c>
      <c r="K31" s="62">
        <v>2147</v>
      </c>
      <c r="L31" s="62">
        <v>2194</v>
      </c>
      <c r="M31" s="62">
        <v>2244</v>
      </c>
      <c r="N31" s="62">
        <v>9772</v>
      </c>
      <c r="O31" s="62">
        <v>20524</v>
      </c>
    </row>
    <row r="32" spans="1:15" x14ac:dyDescent="0.35">
      <c r="A32" s="57" t="s">
        <v>254</v>
      </c>
      <c r="B32" s="62">
        <v>7010</v>
      </c>
      <c r="C32" s="62">
        <v>7449</v>
      </c>
      <c r="D32" s="62">
        <v>7772</v>
      </c>
      <c r="E32" s="62">
        <v>8028</v>
      </c>
      <c r="F32" s="62">
        <v>8463</v>
      </c>
      <c r="G32" s="62">
        <v>8796</v>
      </c>
      <c r="H32" s="62">
        <v>9155</v>
      </c>
      <c r="I32" s="62">
        <v>9569</v>
      </c>
      <c r="J32" s="62">
        <v>10006</v>
      </c>
      <c r="K32" s="62">
        <v>10475</v>
      </c>
      <c r="L32" s="62">
        <v>10929</v>
      </c>
      <c r="M32" s="62">
        <v>11416</v>
      </c>
      <c r="N32" s="62">
        <v>42214</v>
      </c>
      <c r="O32" s="62">
        <v>94610</v>
      </c>
    </row>
    <row r="33" spans="1:15" x14ac:dyDescent="0.35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</row>
    <row r="34" spans="1:15" x14ac:dyDescent="0.35">
      <c r="A34" s="57" t="s">
        <v>169</v>
      </c>
      <c r="B34" s="62">
        <v>30362</v>
      </c>
      <c r="C34" s="62">
        <v>31902</v>
      </c>
      <c r="D34" s="62">
        <v>33315</v>
      </c>
      <c r="E34" s="62">
        <v>34666</v>
      </c>
      <c r="F34" s="62">
        <v>36010</v>
      </c>
      <c r="G34" s="62">
        <v>37391</v>
      </c>
      <c r="H34" s="62">
        <v>38813</v>
      </c>
      <c r="I34" s="62">
        <v>40277</v>
      </c>
      <c r="J34" s="62">
        <v>41796</v>
      </c>
      <c r="K34" s="62">
        <v>43373</v>
      </c>
      <c r="L34" s="62">
        <v>45012</v>
      </c>
      <c r="M34" s="62">
        <v>46712</v>
      </c>
      <c r="N34" s="62">
        <v>180195</v>
      </c>
      <c r="O34" s="62">
        <v>397364</v>
      </c>
    </row>
    <row r="36" spans="1:15" x14ac:dyDescent="0.35">
      <c r="B36" s="108">
        <f t="shared" ref="B36:M36" si="0">B14/B34</f>
        <v>3.6690600092220541E-2</v>
      </c>
      <c r="C36" s="108">
        <f t="shared" si="0"/>
        <v>4.0154222305811546E-2</v>
      </c>
      <c r="D36" s="108">
        <f t="shared" si="0"/>
        <v>3.9831907549152036E-2</v>
      </c>
      <c r="E36" s="108">
        <f t="shared" si="0"/>
        <v>3.7039173830265969E-2</v>
      </c>
      <c r="F36" s="108">
        <f t="shared" si="0"/>
        <v>3.6823104693140797E-2</v>
      </c>
      <c r="G36" s="108">
        <f t="shared" si="0"/>
        <v>3.6666577518654223E-2</v>
      </c>
      <c r="H36" s="108">
        <f t="shared" si="0"/>
        <v>3.5477803828614124E-2</v>
      </c>
      <c r="I36" s="108">
        <f t="shared" si="0"/>
        <v>3.4759291903567795E-2</v>
      </c>
      <c r="J36" s="108">
        <f t="shared" si="0"/>
        <v>3.5075126806392957E-2</v>
      </c>
      <c r="K36" s="108">
        <f t="shared" si="0"/>
        <v>3.3938164295760034E-2</v>
      </c>
      <c r="L36" s="108">
        <f t="shared" si="0"/>
        <v>3.2391362303385761E-2</v>
      </c>
      <c r="M36" s="108">
        <f t="shared" si="0"/>
        <v>3.3289090597705087E-2</v>
      </c>
      <c r="O36" t="s">
        <v>255</v>
      </c>
    </row>
    <row r="37" spans="1:15" x14ac:dyDescent="0.35">
      <c r="B37" s="108">
        <f t="shared" ref="B37:M37" si="1">SUM(B14:B15)/B34</f>
        <v>2.4504314603781042E-2</v>
      </c>
      <c r="C37" s="108">
        <f t="shared" si="1"/>
        <v>2.7239671493950221E-2</v>
      </c>
      <c r="D37" s="108">
        <f t="shared" si="1"/>
        <v>2.7435089299114514E-2</v>
      </c>
      <c r="E37" s="108">
        <f t="shared" si="1"/>
        <v>2.4519702301967344E-2</v>
      </c>
      <c r="F37" s="108">
        <f t="shared" si="1"/>
        <v>2.3993335184670925E-2</v>
      </c>
      <c r="G37" s="108">
        <f t="shared" si="1"/>
        <v>2.3187398036960766E-2</v>
      </c>
      <c r="H37" s="108">
        <f t="shared" si="1"/>
        <v>2.1539175018679309E-2</v>
      </c>
      <c r="I37" s="108">
        <f t="shared" si="1"/>
        <v>2.0756262879559055E-2</v>
      </c>
      <c r="J37" s="108">
        <f t="shared" si="1"/>
        <v>2.0935017705043545E-2</v>
      </c>
      <c r="K37" s="108">
        <f t="shared" si="1"/>
        <v>1.9804947778571922E-2</v>
      </c>
      <c r="L37" s="108">
        <f t="shared" si="1"/>
        <v>1.812849906691549E-2</v>
      </c>
      <c r="M37" s="108">
        <f t="shared" si="1"/>
        <v>1.883884226751156E-2</v>
      </c>
    </row>
    <row r="38" spans="1:15" x14ac:dyDescent="0.35">
      <c r="C38" s="108">
        <f t="shared" ref="C38:M38" si="2">(C14-B14)/B14</f>
        <v>0.14991023339317774</v>
      </c>
      <c r="D38" s="108">
        <f t="shared" si="2"/>
        <v>3.5909445745511318E-2</v>
      </c>
      <c r="E38" s="108">
        <f t="shared" si="2"/>
        <v>-3.2403918613413712E-2</v>
      </c>
      <c r="F38" s="108">
        <f t="shared" si="2"/>
        <v>3.2710280373831772E-2</v>
      </c>
      <c r="G38" s="108">
        <f t="shared" si="2"/>
        <v>3.3936651583710405E-2</v>
      </c>
      <c r="H38" s="108">
        <f t="shared" si="2"/>
        <v>4.3763676148796497E-3</v>
      </c>
      <c r="I38" s="108">
        <f t="shared" si="2"/>
        <v>1.6702977487291212E-2</v>
      </c>
      <c r="J38" s="108">
        <f t="shared" si="2"/>
        <v>4.7142857142857146E-2</v>
      </c>
      <c r="K38" s="108">
        <f t="shared" si="2"/>
        <v>4.0927694406548429E-3</v>
      </c>
      <c r="L38" s="108">
        <f t="shared" si="2"/>
        <v>-9.5108695652173919E-3</v>
      </c>
      <c r="M38" s="108">
        <f t="shared" si="2"/>
        <v>6.6529492455418379E-2</v>
      </c>
    </row>
    <row r="39" spans="1:15" x14ac:dyDescent="0.35">
      <c r="C39" s="108">
        <f t="shared" ref="C39:M39" si="3">(C15-B15)/B15</f>
        <v>0.11351351351351352</v>
      </c>
      <c r="D39" s="108">
        <f t="shared" si="3"/>
        <v>2.4271844660194173E-3</v>
      </c>
      <c r="E39" s="108">
        <f t="shared" si="3"/>
        <v>5.0847457627118647E-2</v>
      </c>
      <c r="F39" s="108">
        <f t="shared" si="3"/>
        <v>6.4516129032258063E-2</v>
      </c>
      <c r="G39" s="108">
        <f t="shared" si="3"/>
        <v>9.0909090909090912E-2</v>
      </c>
      <c r="H39" s="108">
        <f t="shared" si="3"/>
        <v>7.3412698412698416E-2</v>
      </c>
      <c r="I39" s="108">
        <f t="shared" si="3"/>
        <v>4.2513863216266171E-2</v>
      </c>
      <c r="J39" s="108">
        <f t="shared" si="3"/>
        <v>4.7872340425531915E-2</v>
      </c>
      <c r="K39" s="108">
        <f t="shared" si="3"/>
        <v>3.7225042301184431E-2</v>
      </c>
      <c r="L39" s="108">
        <f t="shared" si="3"/>
        <v>4.730831973898858E-2</v>
      </c>
      <c r="M39" s="108">
        <f t="shared" si="3"/>
        <v>5.1401869158878503E-2</v>
      </c>
    </row>
    <row r="40" spans="1:15" x14ac:dyDescent="0.35">
      <c r="F40">
        <f>GEOMEAN(C39:M39)</f>
        <v>4.3704916689297414E-2</v>
      </c>
      <c r="G40" s="108"/>
    </row>
    <row r="69" spans="2:4" x14ac:dyDescent="0.35">
      <c r="B69" t="s">
        <v>256</v>
      </c>
      <c r="C69" s="181">
        <v>4.2000000000000003E-2</v>
      </c>
    </row>
    <row r="70" spans="2:4" x14ac:dyDescent="0.35">
      <c r="B70">
        <v>2025</v>
      </c>
      <c r="C70" s="108">
        <f>B37</f>
        <v>2.4504314603781042E-2</v>
      </c>
      <c r="D70" s="108"/>
    </row>
    <row r="71" spans="2:4" x14ac:dyDescent="0.35">
      <c r="B71">
        <v>2026</v>
      </c>
      <c r="C71" s="108">
        <f>C37</f>
        <v>2.7239671493950221E-2</v>
      </c>
    </row>
    <row r="72" spans="2:4" x14ac:dyDescent="0.35">
      <c r="B72">
        <v>2036</v>
      </c>
      <c r="C72" s="108">
        <f>M37</f>
        <v>1.883884226751156E-2</v>
      </c>
    </row>
  </sheetData>
  <mergeCells count="3">
    <mergeCell ref="A5:O5"/>
    <mergeCell ref="N7:O7"/>
    <mergeCell ref="B9:O9"/>
  </mergeCells>
  <hyperlinks>
    <hyperlink ref="A2" r:id="rId1" xr:uid="{C119B53C-6019-48E4-AFA1-3926D2EC34E7}"/>
  </hyperlinks>
  <pageMargins left="0.7" right="0.7" top="0.75" bottom="0.75" header="0.3" footer="0.3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3304-332A-4801-B80D-5CB9DC5420C7}">
  <dimension ref="A1:F48"/>
  <sheetViews>
    <sheetView workbookViewId="0">
      <selection activeCell="A22" sqref="A22"/>
    </sheetView>
  </sheetViews>
  <sheetFormatPr defaultColWidth="8.81640625" defaultRowHeight="14.5" x14ac:dyDescent="0.35"/>
  <cols>
    <col min="1" max="1" width="40.453125" bestFit="1" customWidth="1"/>
    <col min="2" max="2" width="22.1796875" bestFit="1" customWidth="1"/>
    <col min="3" max="3" width="28" bestFit="1" customWidth="1"/>
    <col min="4" max="4" width="24.81640625" bestFit="1" customWidth="1"/>
    <col min="5" max="5" width="44.453125" bestFit="1" customWidth="1"/>
    <col min="6" max="6" width="18.453125" bestFit="1" customWidth="1"/>
  </cols>
  <sheetData>
    <row r="1" spans="1:6" x14ac:dyDescent="0.35">
      <c r="A1" s="76"/>
      <c r="B1" s="76"/>
      <c r="C1" s="76"/>
      <c r="D1" s="76"/>
      <c r="E1" s="76"/>
      <c r="F1" s="76"/>
    </row>
    <row r="2" spans="1:6" x14ac:dyDescent="0.35">
      <c r="A2" s="211" t="s">
        <v>257</v>
      </c>
      <c r="B2" s="211"/>
      <c r="C2" s="211"/>
      <c r="D2" s="211"/>
      <c r="E2" s="211"/>
      <c r="F2" s="211"/>
    </row>
    <row r="3" spans="1:6" x14ac:dyDescent="0.35">
      <c r="A3" s="77" t="s">
        <v>258</v>
      </c>
      <c r="B3" s="78" t="s">
        <v>259</v>
      </c>
      <c r="C3" s="78" t="s">
        <v>260</v>
      </c>
      <c r="D3" s="78" t="s">
        <v>261</v>
      </c>
      <c r="E3" s="78" t="s">
        <v>262</v>
      </c>
      <c r="F3" s="76"/>
    </row>
    <row r="4" spans="1:6" x14ac:dyDescent="0.35">
      <c r="A4" s="79" t="s">
        <v>263</v>
      </c>
      <c r="B4" s="81">
        <v>1647</v>
      </c>
      <c r="C4" s="82" t="s">
        <v>264</v>
      </c>
      <c r="D4" s="83" t="s">
        <v>265</v>
      </c>
      <c r="E4" s="83" t="s">
        <v>266</v>
      </c>
      <c r="F4" s="76"/>
    </row>
    <row r="5" spans="1:6" x14ac:dyDescent="0.35">
      <c r="A5" s="79" t="s">
        <v>267</v>
      </c>
      <c r="B5" s="81">
        <v>2600</v>
      </c>
      <c r="C5" s="82" t="s">
        <v>264</v>
      </c>
      <c r="D5" s="83" t="s">
        <v>268</v>
      </c>
      <c r="E5" s="83" t="s">
        <v>269</v>
      </c>
      <c r="F5" s="76"/>
    </row>
    <row r="6" spans="1:6" x14ac:dyDescent="0.35">
      <c r="A6" s="79" t="s">
        <v>270</v>
      </c>
      <c r="B6" s="80">
        <v>2033</v>
      </c>
      <c r="C6" s="82" t="s">
        <v>160</v>
      </c>
      <c r="D6" s="83" t="s">
        <v>271</v>
      </c>
      <c r="E6" s="83" t="s">
        <v>272</v>
      </c>
      <c r="F6" s="76"/>
    </row>
    <row r="7" spans="1:6" x14ac:dyDescent="0.35">
      <c r="A7" s="79" t="s">
        <v>273</v>
      </c>
      <c r="B7" s="80">
        <v>2099</v>
      </c>
      <c r="C7" s="82" t="s">
        <v>160</v>
      </c>
      <c r="D7" s="83" t="s">
        <v>271</v>
      </c>
      <c r="E7" s="83" t="s">
        <v>274</v>
      </c>
      <c r="F7" s="76"/>
    </row>
    <row r="8" spans="1:6" x14ac:dyDescent="0.35">
      <c r="A8" s="79" t="s">
        <v>275</v>
      </c>
      <c r="B8" s="81">
        <v>184500</v>
      </c>
      <c r="C8" s="82" t="s">
        <v>276</v>
      </c>
      <c r="D8" s="83" t="s">
        <v>277</v>
      </c>
      <c r="E8" s="83" t="s">
        <v>278</v>
      </c>
      <c r="F8" s="76"/>
    </row>
    <row r="9" spans="1:6" x14ac:dyDescent="0.35">
      <c r="A9" s="79" t="s">
        <v>279</v>
      </c>
      <c r="B9" s="84">
        <v>0.124</v>
      </c>
      <c r="C9" s="82" t="s">
        <v>280</v>
      </c>
      <c r="D9" s="83" t="s">
        <v>281</v>
      </c>
      <c r="E9" s="83" t="s">
        <v>282</v>
      </c>
      <c r="F9" s="76"/>
    </row>
    <row r="10" spans="1:6" x14ac:dyDescent="0.35">
      <c r="A10" s="79" t="s">
        <v>283</v>
      </c>
      <c r="B10" s="84">
        <v>0.82</v>
      </c>
      <c r="C10" s="82" t="s">
        <v>280</v>
      </c>
      <c r="D10" s="83" t="s">
        <v>284</v>
      </c>
      <c r="E10" s="83" t="s">
        <v>285</v>
      </c>
      <c r="F10" s="76"/>
    </row>
    <row r="11" spans="1:6" x14ac:dyDescent="0.35">
      <c r="A11" s="79" t="s">
        <v>286</v>
      </c>
      <c r="B11" s="84">
        <v>3.7999999999999999E-2</v>
      </c>
      <c r="C11" s="82" t="s">
        <v>280</v>
      </c>
      <c r="D11" s="83" t="s">
        <v>271</v>
      </c>
      <c r="E11" s="83" t="s">
        <v>287</v>
      </c>
      <c r="F11" s="76"/>
    </row>
    <row r="12" spans="1:6" x14ac:dyDescent="0.35">
      <c r="A12" s="79" t="s">
        <v>288</v>
      </c>
      <c r="B12" s="84">
        <v>2.8000000000000001E-2</v>
      </c>
      <c r="C12" s="82" t="s">
        <v>280</v>
      </c>
      <c r="D12" s="83" t="s">
        <v>289</v>
      </c>
      <c r="E12" s="85" t="s">
        <v>290</v>
      </c>
      <c r="F12" s="76"/>
    </row>
    <row r="13" spans="1:6" x14ac:dyDescent="0.35">
      <c r="A13" s="79" t="s">
        <v>291</v>
      </c>
      <c r="B13" s="81">
        <v>1100</v>
      </c>
      <c r="C13" s="82" t="s">
        <v>264</v>
      </c>
      <c r="D13" s="83" t="s">
        <v>292</v>
      </c>
      <c r="E13" s="83" t="s">
        <v>293</v>
      </c>
      <c r="F13" s="76"/>
    </row>
    <row r="14" spans="1:6" x14ac:dyDescent="0.35">
      <c r="A14" s="76"/>
      <c r="B14" s="76"/>
      <c r="C14" s="76"/>
      <c r="D14" s="76"/>
      <c r="E14" s="76"/>
      <c r="F14" s="76"/>
    </row>
    <row r="15" spans="1:6" x14ac:dyDescent="0.35">
      <c r="A15" s="211" t="s">
        <v>294</v>
      </c>
      <c r="B15" s="211"/>
      <c r="C15" s="211"/>
      <c r="D15" s="211"/>
      <c r="E15" s="211"/>
      <c r="F15" s="211"/>
    </row>
    <row r="16" spans="1:6" ht="26.5" x14ac:dyDescent="0.35">
      <c r="A16" s="86" t="s">
        <v>295</v>
      </c>
      <c r="B16" s="87" t="s">
        <v>296</v>
      </c>
      <c r="C16" s="87" t="s">
        <v>297</v>
      </c>
      <c r="D16" s="87" t="s">
        <v>298</v>
      </c>
      <c r="E16" s="87" t="s">
        <v>299</v>
      </c>
      <c r="F16" s="87" t="s">
        <v>261</v>
      </c>
    </row>
    <row r="17" spans="1:6" ht="26.5" x14ac:dyDescent="0.35">
      <c r="A17" s="88" t="s">
        <v>300</v>
      </c>
      <c r="B17" s="81">
        <v>800</v>
      </c>
      <c r="C17" s="89">
        <v>0.2</v>
      </c>
      <c r="D17" s="90" t="s">
        <v>301</v>
      </c>
      <c r="E17" s="90" t="s">
        <v>302</v>
      </c>
      <c r="F17" s="90" t="s">
        <v>303</v>
      </c>
    </row>
    <row r="18" spans="1:6" ht="35.5" x14ac:dyDescent="0.35">
      <c r="A18" s="88" t="s">
        <v>304</v>
      </c>
      <c r="B18" s="81">
        <v>1600</v>
      </c>
      <c r="C18" s="89">
        <v>0.7</v>
      </c>
      <c r="D18" s="90" t="s">
        <v>305</v>
      </c>
      <c r="E18" s="90" t="s">
        <v>306</v>
      </c>
      <c r="F18" s="90" t="s">
        <v>307</v>
      </c>
    </row>
    <row r="19" spans="1:6" ht="26.5" x14ac:dyDescent="0.35">
      <c r="A19" s="88" t="s">
        <v>308</v>
      </c>
      <c r="B19" s="81">
        <v>3200</v>
      </c>
      <c r="C19" s="89">
        <v>0.53</v>
      </c>
      <c r="D19" s="90" t="s">
        <v>309</v>
      </c>
      <c r="E19" s="90" t="s">
        <v>310</v>
      </c>
      <c r="F19" s="90" t="s">
        <v>311</v>
      </c>
    </row>
    <row r="20" spans="1:6" ht="26.5" x14ac:dyDescent="0.35">
      <c r="A20" s="88" t="s">
        <v>312</v>
      </c>
      <c r="B20" s="80" t="s">
        <v>313</v>
      </c>
      <c r="C20" s="89">
        <v>0.73</v>
      </c>
      <c r="D20" s="90" t="s">
        <v>309</v>
      </c>
      <c r="E20" s="90" t="s">
        <v>314</v>
      </c>
      <c r="F20" s="90" t="s">
        <v>315</v>
      </c>
    </row>
    <row r="21" spans="1:6" ht="26.5" x14ac:dyDescent="0.35">
      <c r="A21" s="88" t="s">
        <v>316</v>
      </c>
      <c r="B21" s="81">
        <v>180</v>
      </c>
      <c r="C21" s="80" t="s">
        <v>317</v>
      </c>
      <c r="D21" s="90" t="s">
        <v>318</v>
      </c>
      <c r="E21" s="90" t="s">
        <v>319</v>
      </c>
      <c r="F21" s="90" t="s">
        <v>307</v>
      </c>
    </row>
    <row r="22" spans="1:6" ht="35.5" x14ac:dyDescent="0.35">
      <c r="A22" s="91" t="s">
        <v>320</v>
      </c>
      <c r="B22" s="93">
        <v>900</v>
      </c>
      <c r="C22" s="92" t="s">
        <v>317</v>
      </c>
      <c r="D22" s="94" t="s">
        <v>321</v>
      </c>
      <c r="E22" s="94" t="s">
        <v>322</v>
      </c>
      <c r="F22" s="94" t="s">
        <v>323</v>
      </c>
    </row>
    <row r="23" spans="1:6" ht="24" x14ac:dyDescent="0.35">
      <c r="A23" s="88" t="s">
        <v>324</v>
      </c>
      <c r="B23" s="81">
        <v>1300</v>
      </c>
      <c r="C23" s="80" t="s">
        <v>317</v>
      </c>
      <c r="D23" s="90" t="s">
        <v>325</v>
      </c>
      <c r="E23" s="90" t="s">
        <v>326</v>
      </c>
      <c r="F23" s="90" t="s">
        <v>327</v>
      </c>
    </row>
    <row r="24" spans="1:6" x14ac:dyDescent="0.35">
      <c r="A24" s="76"/>
      <c r="B24" s="76"/>
      <c r="C24" s="76"/>
      <c r="D24" s="76"/>
      <c r="E24" s="76"/>
      <c r="F24" s="76"/>
    </row>
    <row r="25" spans="1:6" x14ac:dyDescent="0.35">
      <c r="A25" s="212" t="s">
        <v>328</v>
      </c>
      <c r="B25" s="212"/>
      <c r="C25" s="212"/>
      <c r="D25" s="212"/>
      <c r="E25" s="212"/>
      <c r="F25" s="212"/>
    </row>
    <row r="26" spans="1:6" x14ac:dyDescent="0.35">
      <c r="A26" s="95" t="s">
        <v>295</v>
      </c>
      <c r="B26" s="96" t="s">
        <v>329</v>
      </c>
      <c r="C26" s="96" t="s">
        <v>297</v>
      </c>
      <c r="D26" s="96" t="s">
        <v>262</v>
      </c>
      <c r="E26" s="96" t="s">
        <v>164</v>
      </c>
      <c r="F26" s="96" t="s">
        <v>261</v>
      </c>
    </row>
    <row r="27" spans="1:6" ht="24.5" x14ac:dyDescent="0.35">
      <c r="A27" s="97" t="s">
        <v>330</v>
      </c>
      <c r="B27" s="80" t="s">
        <v>331</v>
      </c>
      <c r="C27" s="80" t="s">
        <v>317</v>
      </c>
      <c r="D27" s="98" t="s">
        <v>332</v>
      </c>
      <c r="E27" s="76"/>
      <c r="F27" s="99" t="s">
        <v>333</v>
      </c>
    </row>
    <row r="28" spans="1:6" s="134" customFormat="1" ht="36.5" x14ac:dyDescent="0.35">
      <c r="A28" s="128" t="s">
        <v>334</v>
      </c>
      <c r="B28" s="129">
        <v>260</v>
      </c>
      <c r="C28" s="130">
        <v>0.1</v>
      </c>
      <c r="D28" s="131" t="s">
        <v>335</v>
      </c>
      <c r="E28" s="132"/>
      <c r="F28" s="133" t="s">
        <v>336</v>
      </c>
    </row>
    <row r="29" spans="1:6" ht="24.5" x14ac:dyDescent="0.35">
      <c r="A29" s="97" t="s">
        <v>337</v>
      </c>
      <c r="B29" s="80">
        <v>150</v>
      </c>
      <c r="C29" s="89">
        <v>0.35</v>
      </c>
      <c r="D29" s="98" t="s">
        <v>338</v>
      </c>
      <c r="E29" s="76"/>
      <c r="F29" s="99" t="s">
        <v>336</v>
      </c>
    </row>
    <row r="30" spans="1:6" ht="24.5" x14ac:dyDescent="0.35">
      <c r="A30" s="97" t="s">
        <v>339</v>
      </c>
      <c r="B30" s="80">
        <v>70</v>
      </c>
      <c r="C30" s="80" t="s">
        <v>79</v>
      </c>
      <c r="D30" s="98" t="s">
        <v>340</v>
      </c>
      <c r="E30" s="76"/>
      <c r="F30" s="99" t="s">
        <v>336</v>
      </c>
    </row>
    <row r="31" spans="1:6" x14ac:dyDescent="0.35">
      <c r="A31" s="76"/>
      <c r="B31" s="76"/>
      <c r="C31" s="76"/>
      <c r="D31" s="76"/>
      <c r="E31" s="76"/>
      <c r="F31" s="76"/>
    </row>
    <row r="32" spans="1:6" x14ac:dyDescent="0.35">
      <c r="A32" s="211" t="s">
        <v>341</v>
      </c>
      <c r="B32" s="211"/>
      <c r="C32" s="211"/>
      <c r="D32" s="211"/>
      <c r="E32" s="211"/>
      <c r="F32" s="211"/>
    </row>
    <row r="33" spans="1:6" x14ac:dyDescent="0.35">
      <c r="A33" s="77" t="s">
        <v>258</v>
      </c>
      <c r="B33" s="78" t="s">
        <v>259</v>
      </c>
      <c r="C33" s="78" t="s">
        <v>260</v>
      </c>
      <c r="D33" s="78" t="s">
        <v>261</v>
      </c>
      <c r="E33" s="76"/>
      <c r="F33" s="76"/>
    </row>
    <row r="34" spans="1:6" x14ac:dyDescent="0.35">
      <c r="A34" s="79" t="s">
        <v>342</v>
      </c>
      <c r="B34" s="81">
        <v>1900</v>
      </c>
      <c r="C34" s="82" t="s">
        <v>264</v>
      </c>
      <c r="D34" s="83" t="s">
        <v>343</v>
      </c>
      <c r="E34" s="76"/>
      <c r="F34" s="76"/>
    </row>
    <row r="35" spans="1:6" x14ac:dyDescent="0.35">
      <c r="A35" s="79" t="s">
        <v>344</v>
      </c>
      <c r="B35" s="89">
        <v>1</v>
      </c>
      <c r="C35" s="82" t="s">
        <v>345</v>
      </c>
      <c r="D35" s="83" t="s">
        <v>346</v>
      </c>
      <c r="E35" s="76"/>
      <c r="F35" s="76"/>
    </row>
    <row r="36" spans="1:6" x14ac:dyDescent="0.35">
      <c r="A36" s="79" t="s">
        <v>347</v>
      </c>
      <c r="B36" s="89">
        <v>1.2</v>
      </c>
      <c r="C36" s="82" t="s">
        <v>345</v>
      </c>
      <c r="D36" s="83" t="s">
        <v>348</v>
      </c>
      <c r="E36" s="76"/>
      <c r="F36" s="76"/>
    </row>
    <row r="37" spans="1:6" x14ac:dyDescent="0.35">
      <c r="A37" s="79" t="s">
        <v>349</v>
      </c>
      <c r="B37" s="81">
        <v>2600</v>
      </c>
      <c r="C37" s="82" t="s">
        <v>264</v>
      </c>
      <c r="D37" s="83" t="s">
        <v>284</v>
      </c>
      <c r="E37" s="76"/>
      <c r="F37" s="76"/>
    </row>
    <row r="38" spans="1:6" x14ac:dyDescent="0.35">
      <c r="A38" s="79" t="s">
        <v>350</v>
      </c>
      <c r="B38" s="89">
        <v>0.23</v>
      </c>
      <c r="C38" s="82" t="s">
        <v>280</v>
      </c>
      <c r="D38" s="83" t="s">
        <v>271</v>
      </c>
      <c r="E38" s="76"/>
      <c r="F38" s="76"/>
    </row>
    <row r="39" spans="1:6" x14ac:dyDescent="0.35">
      <c r="A39" s="76"/>
      <c r="B39" s="76"/>
      <c r="C39" s="76"/>
      <c r="D39" s="76"/>
      <c r="E39" s="76"/>
      <c r="F39" s="76"/>
    </row>
    <row r="40" spans="1:6" x14ac:dyDescent="0.35">
      <c r="A40" s="211" t="s">
        <v>351</v>
      </c>
      <c r="B40" s="211"/>
      <c r="C40" s="211"/>
      <c r="D40" s="211"/>
      <c r="E40" s="211"/>
      <c r="F40" s="211"/>
    </row>
    <row r="41" spans="1:6" ht="26.5" x14ac:dyDescent="0.35">
      <c r="A41" s="86" t="s">
        <v>352</v>
      </c>
      <c r="B41" s="87" t="s">
        <v>353</v>
      </c>
      <c r="C41" s="87" t="s">
        <v>354</v>
      </c>
      <c r="D41" s="87" t="s">
        <v>355</v>
      </c>
      <c r="E41" s="87" t="s">
        <v>356</v>
      </c>
      <c r="F41" s="76"/>
    </row>
    <row r="42" spans="1:6" ht="26" x14ac:dyDescent="0.35">
      <c r="A42" s="88" t="s">
        <v>357</v>
      </c>
      <c r="B42" s="100" t="s">
        <v>358</v>
      </c>
      <c r="C42" s="100" t="s">
        <v>359</v>
      </c>
      <c r="D42" s="100" t="s">
        <v>360</v>
      </c>
      <c r="E42" s="100" t="s">
        <v>361</v>
      </c>
      <c r="F42" s="76"/>
    </row>
    <row r="43" spans="1:6" ht="38.5" x14ac:dyDescent="0.35">
      <c r="A43" s="88" t="s">
        <v>362</v>
      </c>
      <c r="B43" s="100" t="s">
        <v>363</v>
      </c>
      <c r="C43" s="100" t="s">
        <v>364</v>
      </c>
      <c r="D43" s="100" t="s">
        <v>365</v>
      </c>
      <c r="E43" s="100" t="s">
        <v>366</v>
      </c>
      <c r="F43" s="76"/>
    </row>
    <row r="44" spans="1:6" ht="51" x14ac:dyDescent="0.35">
      <c r="A44" s="88" t="s">
        <v>367</v>
      </c>
      <c r="B44" s="100" t="s">
        <v>368</v>
      </c>
      <c r="C44" s="100" t="s">
        <v>369</v>
      </c>
      <c r="D44" s="100" t="s">
        <v>370</v>
      </c>
      <c r="E44" s="100" t="s">
        <v>371</v>
      </c>
      <c r="F44" s="76"/>
    </row>
    <row r="45" spans="1:6" ht="38.5" x14ac:dyDescent="0.35">
      <c r="A45" s="88" t="s">
        <v>372</v>
      </c>
      <c r="B45" s="100" t="s">
        <v>373</v>
      </c>
      <c r="C45" s="100" t="s">
        <v>374</v>
      </c>
      <c r="D45" s="100" t="s">
        <v>375</v>
      </c>
      <c r="E45" s="100" t="s">
        <v>376</v>
      </c>
      <c r="F45" s="76"/>
    </row>
    <row r="46" spans="1:6" x14ac:dyDescent="0.35">
      <c r="A46" s="76"/>
      <c r="B46" s="76"/>
      <c r="C46" s="76"/>
      <c r="D46" s="76"/>
      <c r="E46" s="76"/>
      <c r="F46" s="76"/>
    </row>
    <row r="47" spans="1:6" x14ac:dyDescent="0.35">
      <c r="A47" s="210" t="s">
        <v>377</v>
      </c>
      <c r="B47" s="210"/>
      <c r="C47" s="210"/>
      <c r="D47" s="210"/>
      <c r="E47" s="210"/>
      <c r="F47" s="210"/>
    </row>
    <row r="48" spans="1:6" x14ac:dyDescent="0.35">
      <c r="A48" s="210" t="s">
        <v>378</v>
      </c>
      <c r="B48" s="210"/>
      <c r="C48" s="210"/>
      <c r="D48" s="210"/>
      <c r="E48" s="210"/>
      <c r="F48" s="210"/>
    </row>
  </sheetData>
  <mergeCells count="7">
    <mergeCell ref="A48:F48"/>
    <mergeCell ref="A2:F2"/>
    <mergeCell ref="A15:F15"/>
    <mergeCell ref="A25:F25"/>
    <mergeCell ref="A32:F32"/>
    <mergeCell ref="A40:F40"/>
    <mergeCell ref="A47:F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AB7E-6657-8B48-B8A9-7E4C55D123AB}">
  <dimension ref="A1:L56"/>
  <sheetViews>
    <sheetView workbookViewId="0">
      <selection activeCell="F22" sqref="F22"/>
    </sheetView>
  </sheetViews>
  <sheetFormatPr defaultColWidth="11.453125" defaultRowHeight="14.5" x14ac:dyDescent="0.35"/>
  <cols>
    <col min="1" max="1" width="70.453125" bestFit="1" customWidth="1"/>
    <col min="2" max="12" width="10.54296875" bestFit="1" customWidth="1"/>
  </cols>
  <sheetData>
    <row r="1" spans="1:12" x14ac:dyDescent="0.35">
      <c r="A1" t="s">
        <v>379</v>
      </c>
      <c r="B1" s="15">
        <v>2026</v>
      </c>
      <c r="C1" s="15">
        <v>2027</v>
      </c>
      <c r="D1" s="15">
        <v>2028</v>
      </c>
      <c r="E1" s="15">
        <v>2029</v>
      </c>
      <c r="F1" s="15">
        <v>2030</v>
      </c>
      <c r="G1" s="15">
        <v>2031</v>
      </c>
      <c r="H1" s="15">
        <v>2032</v>
      </c>
      <c r="I1" s="15">
        <v>2033</v>
      </c>
      <c r="J1" s="15">
        <v>2034</v>
      </c>
      <c r="K1" s="15">
        <v>2035</v>
      </c>
      <c r="L1" s="15">
        <v>2036</v>
      </c>
    </row>
    <row r="2" spans="1:12" x14ac:dyDescent="0.35">
      <c r="A2" s="54" t="s">
        <v>380</v>
      </c>
      <c r="B2" s="53">
        <v>1299635</v>
      </c>
      <c r="C2" s="53">
        <v>1362057</v>
      </c>
      <c r="D2" s="53">
        <v>1474176</v>
      </c>
      <c r="E2" s="53">
        <v>1576811</v>
      </c>
      <c r="F2" s="53">
        <v>1683578</v>
      </c>
      <c r="G2" s="53">
        <v>1798435</v>
      </c>
      <c r="H2" s="53">
        <v>1911616</v>
      </c>
      <c r="I2" s="53">
        <v>2023842</v>
      </c>
      <c r="J2" s="53">
        <v>2154446</v>
      </c>
      <c r="K2" s="53">
        <v>2280725</v>
      </c>
      <c r="L2" s="53">
        <v>2417026</v>
      </c>
    </row>
    <row r="3" spans="1:12" x14ac:dyDescent="0.35">
      <c r="A3" t="s">
        <v>95</v>
      </c>
      <c r="B3" s="53">
        <v>-260659</v>
      </c>
      <c r="C3" s="53">
        <v>-254342</v>
      </c>
      <c r="D3" s="53">
        <v>-256352</v>
      </c>
      <c r="E3" s="53">
        <v>-252315</v>
      </c>
      <c r="F3" s="53">
        <v>-251742</v>
      </c>
      <c r="G3" s="53">
        <v>-250052</v>
      </c>
      <c r="H3" s="53">
        <v>-241169</v>
      </c>
      <c r="I3" s="53">
        <v>-239478</v>
      </c>
      <c r="J3" s="53">
        <v>-250695</v>
      </c>
      <c r="K3" s="53">
        <v>-261653</v>
      </c>
      <c r="L3" s="53">
        <v>-272690</v>
      </c>
    </row>
    <row r="4" spans="1:12" x14ac:dyDescent="0.35">
      <c r="A4" s="199" t="s">
        <v>381</v>
      </c>
    </row>
    <row r="5" spans="1:12" x14ac:dyDescent="0.35">
      <c r="A5" s="200" t="s">
        <v>245</v>
      </c>
    </row>
    <row r="6" spans="1:12" x14ac:dyDescent="0.35">
      <c r="A6" s="199" t="s">
        <v>382</v>
      </c>
    </row>
    <row r="7" spans="1:12" x14ac:dyDescent="0.35">
      <c r="A7" s="200" t="s">
        <v>383</v>
      </c>
    </row>
    <row r="8" spans="1:12" x14ac:dyDescent="0.35">
      <c r="A8" s="199" t="s">
        <v>384</v>
      </c>
    </row>
    <row r="9" spans="1:12" x14ac:dyDescent="0.35">
      <c r="A9" s="200" t="s">
        <v>385</v>
      </c>
    </row>
    <row r="10" spans="1:12" x14ac:dyDescent="0.35">
      <c r="A10" s="199" t="s">
        <v>386</v>
      </c>
    </row>
    <row r="11" spans="1:12" x14ac:dyDescent="0.35">
      <c r="A11" s="200" t="s">
        <v>387</v>
      </c>
    </row>
    <row r="12" spans="1:12" x14ac:dyDescent="0.35">
      <c r="A12" s="199" t="s">
        <v>388</v>
      </c>
    </row>
    <row r="13" spans="1:12" x14ac:dyDescent="0.35">
      <c r="A13" s="200" t="s">
        <v>389</v>
      </c>
    </row>
    <row r="14" spans="1:12" x14ac:dyDescent="0.35">
      <c r="A14" s="199" t="s">
        <v>390</v>
      </c>
    </row>
    <row r="15" spans="1:12" x14ac:dyDescent="0.35">
      <c r="A15" s="200" t="s">
        <v>391</v>
      </c>
    </row>
    <row r="16" spans="1:12" x14ac:dyDescent="0.35">
      <c r="A16" s="199" t="s">
        <v>392</v>
      </c>
    </row>
    <row r="17" spans="1:1" x14ac:dyDescent="0.35">
      <c r="A17" s="200" t="s">
        <v>393</v>
      </c>
    </row>
    <row r="18" spans="1:1" x14ac:dyDescent="0.35">
      <c r="A18" s="199" t="s">
        <v>394</v>
      </c>
    </row>
    <row r="19" spans="1:1" x14ac:dyDescent="0.35">
      <c r="A19" s="200" t="s">
        <v>395</v>
      </c>
    </row>
    <row r="20" spans="1:1" x14ac:dyDescent="0.35">
      <c r="A20" s="199" t="s">
        <v>387</v>
      </c>
    </row>
    <row r="21" spans="1:1" x14ac:dyDescent="0.35">
      <c r="A21" s="200" t="s">
        <v>396</v>
      </c>
    </row>
    <row r="22" spans="1:1" x14ac:dyDescent="0.35">
      <c r="A22" s="199" t="s">
        <v>397</v>
      </c>
    </row>
    <row r="23" spans="1:1" x14ac:dyDescent="0.35">
      <c r="A23" s="200" t="s">
        <v>398</v>
      </c>
    </row>
    <row r="24" spans="1:1" x14ac:dyDescent="0.35">
      <c r="A24" s="199" t="s">
        <v>399</v>
      </c>
    </row>
    <row r="25" spans="1:1" x14ac:dyDescent="0.35">
      <c r="A25" s="200" t="s">
        <v>400</v>
      </c>
    </row>
    <row r="26" spans="1:1" x14ac:dyDescent="0.35">
      <c r="A26" s="199" t="s">
        <v>401</v>
      </c>
    </row>
    <row r="27" spans="1:1" x14ac:dyDescent="0.35">
      <c r="A27" s="200" t="s">
        <v>402</v>
      </c>
    </row>
    <row r="28" spans="1:1" x14ac:dyDescent="0.35">
      <c r="A28" s="199" t="s">
        <v>403</v>
      </c>
    </row>
    <row r="29" spans="1:1" x14ac:dyDescent="0.35">
      <c r="A29" s="200" t="s">
        <v>404</v>
      </c>
    </row>
    <row r="30" spans="1:1" x14ac:dyDescent="0.35">
      <c r="A30" s="199" t="s">
        <v>405</v>
      </c>
    </row>
    <row r="31" spans="1:1" x14ac:dyDescent="0.35">
      <c r="A31" s="200" t="s">
        <v>406</v>
      </c>
    </row>
    <row r="32" spans="1:1" x14ac:dyDescent="0.35">
      <c r="A32" s="199" t="s">
        <v>407</v>
      </c>
    </row>
    <row r="33" spans="1:1" x14ac:dyDescent="0.35">
      <c r="A33" s="200" t="s">
        <v>408</v>
      </c>
    </row>
    <row r="34" spans="1:1" x14ac:dyDescent="0.35">
      <c r="A34" s="199" t="s">
        <v>409</v>
      </c>
    </row>
    <row r="35" spans="1:1" x14ac:dyDescent="0.35">
      <c r="A35" s="200" t="s">
        <v>410</v>
      </c>
    </row>
    <row r="36" spans="1:1" x14ac:dyDescent="0.35">
      <c r="A36" s="199" t="s">
        <v>411</v>
      </c>
    </row>
    <row r="37" spans="1:1" x14ac:dyDescent="0.35">
      <c r="A37" s="200" t="s">
        <v>412</v>
      </c>
    </row>
    <row r="38" spans="1:1" x14ac:dyDescent="0.35">
      <c r="A38" s="199" t="s">
        <v>413</v>
      </c>
    </row>
    <row r="39" spans="1:1" x14ac:dyDescent="0.35">
      <c r="A39" s="200" t="s">
        <v>412</v>
      </c>
    </row>
    <row r="40" spans="1:1" x14ac:dyDescent="0.35">
      <c r="A40" s="199" t="s">
        <v>414</v>
      </c>
    </row>
    <row r="41" spans="1:1" x14ac:dyDescent="0.35">
      <c r="A41" s="200" t="s">
        <v>412</v>
      </c>
    </row>
    <row r="42" spans="1:1" x14ac:dyDescent="0.35">
      <c r="A42" s="199" t="s">
        <v>415</v>
      </c>
    </row>
    <row r="43" spans="1:1" x14ac:dyDescent="0.35">
      <c r="A43" s="200" t="s">
        <v>412</v>
      </c>
    </row>
    <row r="44" spans="1:1" x14ac:dyDescent="0.35">
      <c r="A44" s="199" t="s">
        <v>416</v>
      </c>
    </row>
    <row r="45" spans="1:1" x14ac:dyDescent="0.35">
      <c r="A45" s="200" t="s">
        <v>412</v>
      </c>
    </row>
    <row r="46" spans="1:1" x14ac:dyDescent="0.35">
      <c r="A46" s="199" t="s">
        <v>417</v>
      </c>
    </row>
    <row r="47" spans="1:1" x14ac:dyDescent="0.35">
      <c r="A47" s="200" t="s">
        <v>418</v>
      </c>
    </row>
    <row r="48" spans="1:1" x14ac:dyDescent="0.35">
      <c r="A48" s="199" t="s">
        <v>412</v>
      </c>
    </row>
    <row r="49" spans="1:1" x14ac:dyDescent="0.35">
      <c r="A49" s="200" t="s">
        <v>419</v>
      </c>
    </row>
    <row r="50" spans="1:1" x14ac:dyDescent="0.35">
      <c r="A50" s="199" t="s">
        <v>412</v>
      </c>
    </row>
    <row r="51" spans="1:1" x14ac:dyDescent="0.35">
      <c r="A51" s="200" t="s">
        <v>412</v>
      </c>
    </row>
    <row r="52" spans="1:1" x14ac:dyDescent="0.35">
      <c r="A52" s="199" t="s">
        <v>420</v>
      </c>
    </row>
    <row r="53" spans="1:1" x14ac:dyDescent="0.35">
      <c r="A53" s="200" t="s">
        <v>412</v>
      </c>
    </row>
    <row r="54" spans="1:1" x14ac:dyDescent="0.35">
      <c r="A54" s="199" t="s">
        <v>421</v>
      </c>
    </row>
    <row r="55" spans="1:1" x14ac:dyDescent="0.35">
      <c r="A55" s="200" t="s">
        <v>422</v>
      </c>
    </row>
    <row r="56" spans="1:1" x14ac:dyDescent="0.35">
      <c r="A56" s="199" t="s">
        <v>423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761B-04EE-4778-BA85-A2C07581F084}">
  <dimension ref="A1:Q217"/>
  <sheetViews>
    <sheetView topLeftCell="A183" workbookViewId="0">
      <selection activeCell="C189" sqref="C189"/>
    </sheetView>
  </sheetViews>
  <sheetFormatPr defaultColWidth="8.81640625" defaultRowHeight="14.5" x14ac:dyDescent="0.35"/>
  <cols>
    <col min="1" max="1" width="22.453125" customWidth="1"/>
    <col min="2" max="2" width="12.54296875" bestFit="1" customWidth="1"/>
    <col min="4" max="4" width="11.81640625" bestFit="1" customWidth="1"/>
    <col min="5" max="7" width="10.1796875" bestFit="1" customWidth="1"/>
    <col min="14" max="15" width="10.1796875" bestFit="1" customWidth="1"/>
  </cols>
  <sheetData>
    <row r="1" spans="1:17" x14ac:dyDescent="0.35">
      <c r="A1" s="5" t="s">
        <v>424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213" t="s">
        <v>2</v>
      </c>
      <c r="Q4" s="213"/>
    </row>
    <row r="5" spans="1:17" ht="28.5" x14ac:dyDescent="0.35">
      <c r="A5" s="7" t="s">
        <v>425</v>
      </c>
      <c r="B5" s="7"/>
      <c r="C5" s="7"/>
      <c r="D5" s="10" t="s">
        <v>426</v>
      </c>
      <c r="E5" s="7">
        <v>2023</v>
      </c>
      <c r="F5" s="7">
        <v>2024</v>
      </c>
      <c r="G5" s="7">
        <v>2025</v>
      </c>
      <c r="H5" s="7" t="s">
        <v>110</v>
      </c>
      <c r="I5" s="7" t="s">
        <v>111</v>
      </c>
      <c r="J5" s="7" t="s">
        <v>112</v>
      </c>
      <c r="K5" s="7" t="s">
        <v>113</v>
      </c>
      <c r="L5" s="7" t="s">
        <v>114</v>
      </c>
      <c r="M5" s="7" t="s">
        <v>115</v>
      </c>
      <c r="N5" s="7" t="s">
        <v>116</v>
      </c>
      <c r="O5" s="7" t="s">
        <v>117</v>
      </c>
      <c r="P5" s="10" t="s">
        <v>427</v>
      </c>
      <c r="Q5" s="10" t="s">
        <v>428</v>
      </c>
    </row>
    <row r="6" spans="1:17" x14ac:dyDescent="0.35">
      <c r="A6" s="9" t="s">
        <v>7</v>
      </c>
      <c r="B6" s="9"/>
      <c r="C6" s="9"/>
      <c r="D6" s="11">
        <v>2632.1460000000002</v>
      </c>
      <c r="E6" s="12">
        <v>2176.4809999999998</v>
      </c>
      <c r="F6" s="12">
        <v>2426.067</v>
      </c>
      <c r="G6" s="12">
        <v>2656.0439999999999</v>
      </c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5">
      <c r="A7" s="9" t="s">
        <v>10</v>
      </c>
      <c r="B7" s="9"/>
      <c r="C7" s="9"/>
      <c r="D7" s="11">
        <v>1483.527</v>
      </c>
      <c r="E7" s="12">
        <v>1614.4559999999999</v>
      </c>
      <c r="F7" s="12">
        <v>1708.9259999999999</v>
      </c>
      <c r="G7" s="12">
        <v>1748.2939999999999</v>
      </c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35">
      <c r="A8" s="9" t="s">
        <v>13</v>
      </c>
      <c r="B8" s="9"/>
      <c r="C8" s="9"/>
      <c r="D8" s="11">
        <v>424.86500000000001</v>
      </c>
      <c r="E8" s="12">
        <v>419.584</v>
      </c>
      <c r="F8" s="12">
        <v>529.86699999999996</v>
      </c>
      <c r="G8" s="12">
        <v>452.089</v>
      </c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35">
      <c r="A9" s="9" t="s">
        <v>429</v>
      </c>
      <c r="B9" s="9"/>
      <c r="C9" s="9"/>
      <c r="D9" s="11"/>
      <c r="E9" s="12"/>
      <c r="F9" s="12"/>
      <c r="G9" s="12">
        <v>194.86599999999999</v>
      </c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35">
      <c r="A10" s="9"/>
      <c r="B10" s="9" t="s">
        <v>17</v>
      </c>
      <c r="C10" s="9"/>
      <c r="D10" s="11">
        <v>87.727999999999994</v>
      </c>
      <c r="E10" s="12">
        <v>75.802000000000007</v>
      </c>
      <c r="F10" s="12">
        <v>101.435</v>
      </c>
      <c r="G10" s="12">
        <v>105.93600000000001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35">
      <c r="A11" s="9"/>
      <c r="B11" s="9" t="s">
        <v>24</v>
      </c>
      <c r="C11" s="9"/>
      <c r="D11" s="11">
        <v>106.67400000000001</v>
      </c>
      <c r="E11" s="12">
        <v>0.58099999999999996</v>
      </c>
      <c r="F11" s="12">
        <v>3.1309999999999998</v>
      </c>
      <c r="G11" s="12">
        <v>5.49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35">
      <c r="A12" s="9"/>
      <c r="B12" s="9" t="s">
        <v>25</v>
      </c>
      <c r="C12" s="9"/>
      <c r="D12" s="11">
        <v>99.908000000000001</v>
      </c>
      <c r="E12" s="12">
        <v>80.338000000000008</v>
      </c>
      <c r="F12" s="12">
        <v>77.037000000000006</v>
      </c>
      <c r="G12" s="12">
        <v>195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35">
      <c r="A13" s="9"/>
      <c r="B13" s="9" t="s">
        <v>26</v>
      </c>
      <c r="C13" s="9"/>
      <c r="D13" s="11">
        <v>32.549999999999997</v>
      </c>
      <c r="E13" s="12">
        <v>33.667999999999999</v>
      </c>
      <c r="F13" s="12">
        <v>31.616</v>
      </c>
      <c r="G13" s="12">
        <v>29.461999999999996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17" x14ac:dyDescent="0.6">
      <c r="A14" s="9"/>
      <c r="B14" s="9" t="s">
        <v>27</v>
      </c>
      <c r="C14" s="9"/>
      <c r="D14" s="11">
        <v>30.001000000000001</v>
      </c>
      <c r="E14" s="12">
        <v>40.036999999999999</v>
      </c>
      <c r="F14" s="12">
        <v>40.024999999999999</v>
      </c>
      <c r="G14" s="12">
        <v>42</v>
      </c>
      <c r="H14" s="14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17" x14ac:dyDescent="0.6">
      <c r="A15" s="9"/>
      <c r="B15" s="9"/>
      <c r="C15" s="9" t="s">
        <v>246</v>
      </c>
      <c r="D15" s="13">
        <v>356.86099999999999</v>
      </c>
      <c r="E15" s="13">
        <v>230</v>
      </c>
      <c r="F15" s="13">
        <v>253</v>
      </c>
      <c r="G15" s="13">
        <v>183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x14ac:dyDescent="0.35">
      <c r="A16" s="9"/>
      <c r="B16" s="15" t="s">
        <v>2</v>
      </c>
      <c r="C16" s="15"/>
      <c r="D16" s="16">
        <v>4897.3990000000003</v>
      </c>
      <c r="E16" s="17">
        <v>4440.9470000000001</v>
      </c>
      <c r="F16" s="17">
        <v>4918.1040000000003</v>
      </c>
      <c r="G16" s="17">
        <v>5234.616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35">
      <c r="A17" s="9"/>
      <c r="B17" s="9"/>
      <c r="C17" s="9" t="s">
        <v>249</v>
      </c>
      <c r="D17" s="11">
        <v>3831.4240000000004</v>
      </c>
      <c r="E17" s="12">
        <v>3247.192</v>
      </c>
      <c r="F17" s="12">
        <v>3658.221</v>
      </c>
      <c r="G17" s="12">
        <v>3950.88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35">
      <c r="A18" s="9"/>
      <c r="B18" s="9"/>
      <c r="C18" s="9" t="s">
        <v>430</v>
      </c>
      <c r="D18" s="11">
        <v>1065.9749999999999</v>
      </c>
      <c r="E18" s="12">
        <v>1193.7550000000001</v>
      </c>
      <c r="F18" s="12">
        <v>1259.883</v>
      </c>
      <c r="G18" s="12">
        <v>1283.7360000000001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35">
      <c r="A19" s="9"/>
      <c r="B19" s="9"/>
      <c r="C19" s="9"/>
      <c r="D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35">
      <c r="A20" s="15" t="s">
        <v>431</v>
      </c>
      <c r="B20" s="9"/>
      <c r="C20" s="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35">
      <c r="A21" s="9" t="s">
        <v>432</v>
      </c>
      <c r="B21" s="9"/>
      <c r="C21" s="9"/>
      <c r="D21" s="12">
        <v>25015.5</v>
      </c>
      <c r="E21" s="29">
        <v>26973.775000000001</v>
      </c>
      <c r="F21" s="29">
        <v>28823.025000000001</v>
      </c>
      <c r="G21" s="29">
        <v>30362.025000000001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35">
      <c r="A22" s="9" t="s">
        <v>433</v>
      </c>
      <c r="E22" s="29">
        <v>26569.724999999999</v>
      </c>
      <c r="F22" s="29">
        <v>29016.6</v>
      </c>
      <c r="G22" s="29">
        <v>30101.764999999999</v>
      </c>
    </row>
    <row r="23" spans="1:17" x14ac:dyDescent="0.35">
      <c r="B23" s="9"/>
      <c r="C23" s="9"/>
      <c r="D23" s="216" t="s">
        <v>434</v>
      </c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</row>
    <row r="24" spans="1:17" x14ac:dyDescent="0.35">
      <c r="A24" s="9" t="s">
        <v>7</v>
      </c>
      <c r="B24" s="9"/>
      <c r="C24" s="9"/>
      <c r="D24" s="19">
        <v>10.5</v>
      </c>
      <c r="E24" s="19">
        <v>8.0690000000000008</v>
      </c>
      <c r="F24" s="19">
        <v>8.4169999999999998</v>
      </c>
      <c r="G24" s="19">
        <v>8.7479999999999993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7" x14ac:dyDescent="0.35">
      <c r="A25" s="9" t="s">
        <v>10</v>
      </c>
      <c r="B25" s="9"/>
      <c r="C25" s="9"/>
      <c r="D25" s="19">
        <v>5.9</v>
      </c>
      <c r="E25" s="19">
        <v>5.9850000000000003</v>
      </c>
      <c r="F25" s="19">
        <v>5.9290000000000003</v>
      </c>
      <c r="G25" s="19">
        <v>5.758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spans="1:17" x14ac:dyDescent="0.35">
      <c r="A26" s="9" t="s">
        <v>13</v>
      </c>
      <c r="B26" s="9"/>
      <c r="C26" s="9"/>
      <c r="D26" s="19">
        <v>1.7</v>
      </c>
      <c r="E26" s="19">
        <v>1.556</v>
      </c>
      <c r="F26" s="19">
        <v>1.8380000000000001</v>
      </c>
      <c r="G26" s="19">
        <v>1.4890000000000001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x14ac:dyDescent="0.35">
      <c r="A27" s="9" t="s">
        <v>429</v>
      </c>
      <c r="B27" s="9"/>
      <c r="C27" s="9"/>
      <c r="D27" s="19"/>
      <c r="E27" s="19"/>
      <c r="F27" s="19"/>
      <c r="G27" s="19">
        <v>0.64200000000000002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 x14ac:dyDescent="0.35">
      <c r="A28" s="9"/>
      <c r="B28" s="9" t="s">
        <v>17</v>
      </c>
      <c r="C28" s="9"/>
      <c r="D28" s="19">
        <v>0.4</v>
      </c>
      <c r="E28" s="19">
        <v>0.28100000000000003</v>
      </c>
      <c r="F28" s="19">
        <v>0.35199999999999998</v>
      </c>
      <c r="G28" s="19">
        <v>0.34899999999999998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 x14ac:dyDescent="0.35">
      <c r="A29" s="9"/>
      <c r="B29" s="9" t="s">
        <v>24</v>
      </c>
      <c r="C29" s="9"/>
      <c r="D29" s="19">
        <v>0.4</v>
      </c>
      <c r="E29" s="19">
        <v>2E-3</v>
      </c>
      <c r="F29" s="19">
        <v>1.0999999999999999E-2</v>
      </c>
      <c r="G29" s="34">
        <v>1.7999999999999999E-2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1:17" x14ac:dyDescent="0.35">
      <c r="A30" s="9"/>
      <c r="B30" s="9" t="s">
        <v>25</v>
      </c>
      <c r="C30" s="9"/>
      <c r="D30" s="19">
        <v>0.4</v>
      </c>
      <c r="E30" s="19">
        <v>0.29799999999999999</v>
      </c>
      <c r="F30" s="19">
        <v>0.26700000000000002</v>
      </c>
      <c r="G30" s="19">
        <v>0.6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 x14ac:dyDescent="0.35">
      <c r="A31" s="9"/>
      <c r="B31" s="9" t="s">
        <v>26</v>
      </c>
      <c r="C31" s="9"/>
      <c r="D31" s="19">
        <v>0.1</v>
      </c>
      <c r="E31" s="19">
        <v>0.125</v>
      </c>
      <c r="F31" s="19">
        <v>0.11</v>
      </c>
      <c r="G31" s="19">
        <v>9.7000000000000003E-2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1:17" x14ac:dyDescent="0.35">
      <c r="A32" s="9"/>
      <c r="B32" s="9" t="s">
        <v>27</v>
      </c>
      <c r="C32" s="9"/>
      <c r="D32" s="19">
        <v>0.1</v>
      </c>
      <c r="E32" s="19">
        <v>0.14799999999999999</v>
      </c>
      <c r="F32" s="19">
        <v>0.13900000000000001</v>
      </c>
      <c r="G32" s="19">
        <v>0.1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17" x14ac:dyDescent="0.6">
      <c r="A33" s="9"/>
      <c r="B33" s="9"/>
      <c r="C33" s="9" t="s">
        <v>246</v>
      </c>
      <c r="D33" s="20">
        <v>1.4</v>
      </c>
      <c r="E33" s="20">
        <v>0.9</v>
      </c>
      <c r="F33" s="20">
        <v>0.9</v>
      </c>
      <c r="G33" s="20">
        <v>0.6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x14ac:dyDescent="0.35">
      <c r="A34" s="9"/>
      <c r="B34" s="15" t="s">
        <v>2</v>
      </c>
      <c r="C34" s="15"/>
      <c r="D34" s="21">
        <v>19.600000000000001</v>
      </c>
      <c r="E34" s="21">
        <v>16.463999999999999</v>
      </c>
      <c r="F34" s="21">
        <v>17.062999999999999</v>
      </c>
      <c r="G34" s="21">
        <v>17.241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x14ac:dyDescent="0.35">
      <c r="A35" s="9"/>
      <c r="B35" s="9"/>
      <c r="C35" s="9" t="s">
        <v>249</v>
      </c>
      <c r="D35" s="19">
        <v>15.3</v>
      </c>
      <c r="E35" s="19">
        <v>12.038</v>
      </c>
      <c r="F35" s="19">
        <v>12.692</v>
      </c>
      <c r="G35" s="19">
        <v>13.013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x14ac:dyDescent="0.35">
      <c r="A36" s="7"/>
      <c r="B36" s="7"/>
      <c r="C36" s="7" t="s">
        <v>430</v>
      </c>
      <c r="D36" s="22">
        <v>4.3</v>
      </c>
      <c r="E36" s="22">
        <v>4.4260000000000002</v>
      </c>
      <c r="F36" s="22">
        <v>4.3710000000000004</v>
      </c>
      <c r="G36" s="22">
        <v>4.2279999999999998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x14ac:dyDescent="0.35">
      <c r="A37" s="9"/>
      <c r="B37" s="9"/>
      <c r="C37" s="9"/>
      <c r="D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x14ac:dyDescent="0.35">
      <c r="A38" s="9" t="s">
        <v>435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35">
      <c r="A39" s="9"/>
      <c r="B39" s="9"/>
      <c r="C39" s="9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9"/>
      <c r="Q39" s="9"/>
    </row>
    <row r="40" spans="1:17" x14ac:dyDescent="0.35">
      <c r="A40" s="9" t="s">
        <v>436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8" spans="1:17" x14ac:dyDescent="0.35">
      <c r="A48" s="5" t="s">
        <v>424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5">
      <c r="A49" s="7" t="s">
        <v>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213" t="s">
        <v>2</v>
      </c>
      <c r="Q51" s="213"/>
    </row>
    <row r="52" spans="1:17" ht="28.5" x14ac:dyDescent="0.35">
      <c r="A52" s="7" t="s">
        <v>425</v>
      </c>
      <c r="B52" s="7"/>
      <c r="C52" s="7"/>
      <c r="D52" s="10" t="s">
        <v>426</v>
      </c>
      <c r="E52" s="7">
        <v>2023</v>
      </c>
      <c r="F52" s="7">
        <v>2024</v>
      </c>
      <c r="G52" s="7">
        <v>2025</v>
      </c>
      <c r="H52" s="7">
        <v>2026</v>
      </c>
      <c r="I52" s="7">
        <v>2027</v>
      </c>
      <c r="J52" s="7">
        <v>2028</v>
      </c>
      <c r="K52" s="7">
        <v>2029</v>
      </c>
      <c r="L52" s="7">
        <v>2030</v>
      </c>
      <c r="M52" s="7">
        <v>2031</v>
      </c>
      <c r="N52" s="7">
        <v>2032</v>
      </c>
      <c r="O52" s="7">
        <v>2033</v>
      </c>
      <c r="P52" s="10" t="s">
        <v>427</v>
      </c>
      <c r="Q52" s="10" t="s">
        <v>437</v>
      </c>
    </row>
    <row r="53" spans="1:17" x14ac:dyDescent="0.35">
      <c r="A53" s="9" t="s">
        <v>7</v>
      </c>
      <c r="B53" s="9"/>
      <c r="C53" s="9"/>
      <c r="D53" s="11">
        <v>2632.1460000000002</v>
      </c>
      <c r="E53" s="12">
        <v>2524.85</v>
      </c>
      <c r="F53" s="12">
        <v>2474.6380000000004</v>
      </c>
      <c r="G53" s="12">
        <v>2516.848</v>
      </c>
      <c r="H53" s="12">
        <v>2768.2910000000002</v>
      </c>
      <c r="I53" s="12">
        <v>3018.96</v>
      </c>
      <c r="J53" s="12">
        <v>3122.78</v>
      </c>
      <c r="K53" s="12">
        <v>3247.7030000000004</v>
      </c>
      <c r="L53" s="12">
        <v>3379.645</v>
      </c>
      <c r="M53" s="12">
        <v>3517.4789999999998</v>
      </c>
      <c r="N53" s="12">
        <v>3652.27</v>
      </c>
      <c r="O53" s="12">
        <v>3806.261</v>
      </c>
      <c r="P53" s="12">
        <v>13901.517000000002</v>
      </c>
      <c r="Q53" s="12">
        <v>31504.875</v>
      </c>
    </row>
    <row r="54" spans="1:17" x14ac:dyDescent="0.35">
      <c r="A54" s="9" t="s">
        <v>10</v>
      </c>
      <c r="B54" s="9"/>
      <c r="C54" s="9"/>
      <c r="D54" s="11">
        <v>1483.527</v>
      </c>
      <c r="E54" s="12">
        <v>1562.308</v>
      </c>
      <c r="F54" s="12">
        <v>1632.9189999999999</v>
      </c>
      <c r="G54" s="12">
        <v>1702.7949999999998</v>
      </c>
      <c r="H54" s="12">
        <v>1778.4080000000001</v>
      </c>
      <c r="I54" s="12">
        <v>1849.482</v>
      </c>
      <c r="J54" s="12">
        <v>1920.4160000000002</v>
      </c>
      <c r="K54" s="12">
        <v>1993.2159999999999</v>
      </c>
      <c r="L54" s="12">
        <v>2068.1619999999998</v>
      </c>
      <c r="M54" s="12">
        <v>2146.6519999999996</v>
      </c>
      <c r="N54" s="12">
        <v>2226.1680000000001</v>
      </c>
      <c r="O54" s="12">
        <v>2306.5329999999999</v>
      </c>
      <c r="P54" s="12">
        <v>8884.02</v>
      </c>
      <c r="Q54" s="12">
        <v>19624.751</v>
      </c>
    </row>
    <row r="55" spans="1:17" x14ac:dyDescent="0.35">
      <c r="A55" s="9" t="s">
        <v>13</v>
      </c>
      <c r="B55" s="9"/>
      <c r="C55" s="9"/>
      <c r="D55" s="11">
        <v>424.86500000000001</v>
      </c>
      <c r="E55" s="12">
        <v>475.38</v>
      </c>
      <c r="F55" s="12">
        <v>478.517</v>
      </c>
      <c r="G55" s="12">
        <v>488.59100000000001</v>
      </c>
      <c r="H55" s="12">
        <v>494.54200000000003</v>
      </c>
      <c r="I55" s="12">
        <v>494.27699999999999</v>
      </c>
      <c r="J55" s="12">
        <v>505.66600000000005</v>
      </c>
      <c r="K55" s="12">
        <v>514.1</v>
      </c>
      <c r="L55" s="12">
        <v>520.36</v>
      </c>
      <c r="M55" s="12">
        <v>526.91200000000003</v>
      </c>
      <c r="N55" s="12">
        <v>527.173</v>
      </c>
      <c r="O55" s="12">
        <v>539.30700000000002</v>
      </c>
      <c r="P55" s="12">
        <v>2461.5930000000003</v>
      </c>
      <c r="Q55" s="12">
        <v>5089.4449999999997</v>
      </c>
    </row>
    <row r="56" spans="1:17" x14ac:dyDescent="0.35">
      <c r="A56" s="9" t="s">
        <v>429</v>
      </c>
      <c r="B56" s="9"/>
      <c r="C56" s="9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x14ac:dyDescent="0.35">
      <c r="A57" s="9"/>
      <c r="B57" s="9" t="s">
        <v>17</v>
      </c>
      <c r="C57" s="9"/>
      <c r="D57" s="11">
        <v>87.727999999999994</v>
      </c>
      <c r="E57" s="12">
        <v>90.506</v>
      </c>
      <c r="F57" s="12">
        <v>101.10000000000001</v>
      </c>
      <c r="G57" s="12">
        <v>100.24799999999999</v>
      </c>
      <c r="H57" s="12">
        <v>100.895</v>
      </c>
      <c r="I57" s="12">
        <v>101.64400000000001</v>
      </c>
      <c r="J57" s="12">
        <v>102.52699999999999</v>
      </c>
      <c r="K57" s="12">
        <v>103.309</v>
      </c>
      <c r="L57" s="12">
        <v>104.26400000000001</v>
      </c>
      <c r="M57" s="12">
        <v>105.21600000000001</v>
      </c>
      <c r="N57" s="12">
        <v>106.27900000000001</v>
      </c>
      <c r="O57" s="12">
        <v>107.27</v>
      </c>
      <c r="P57" s="12">
        <v>506.41399999999999</v>
      </c>
      <c r="Q57" s="12">
        <v>1032.752</v>
      </c>
    </row>
    <row r="58" spans="1:17" x14ac:dyDescent="0.35">
      <c r="A58" s="9"/>
      <c r="B58" s="9" t="s">
        <v>24</v>
      </c>
      <c r="C58" s="9"/>
      <c r="D58" s="11">
        <v>106.67400000000001</v>
      </c>
      <c r="E58" s="12">
        <v>0.90800000000000003</v>
      </c>
      <c r="F58" s="12">
        <v>3.5609999999999999</v>
      </c>
      <c r="G58" s="12">
        <v>6.0390000000000015</v>
      </c>
      <c r="H58" s="12">
        <v>7.4690000000000012</v>
      </c>
      <c r="I58" s="12">
        <v>9.9250000000000043</v>
      </c>
      <c r="J58" s="12">
        <v>77.885000000000005</v>
      </c>
      <c r="K58" s="12">
        <v>87.552000000000007</v>
      </c>
      <c r="L58" s="12">
        <v>98.194999999999993</v>
      </c>
      <c r="M58" s="12">
        <v>109.21</v>
      </c>
      <c r="N58" s="12">
        <v>122.462</v>
      </c>
      <c r="O58" s="12">
        <v>129.75099999999998</v>
      </c>
      <c r="P58" s="12">
        <v>104.87900000000002</v>
      </c>
      <c r="Q58" s="12">
        <v>652.04899999999998</v>
      </c>
    </row>
    <row r="59" spans="1:17" x14ac:dyDescent="0.35">
      <c r="A59" s="9"/>
      <c r="B59" s="9" t="s">
        <v>25</v>
      </c>
      <c r="C59" s="9"/>
      <c r="D59" s="11">
        <v>99.908000000000001</v>
      </c>
      <c r="E59" s="12">
        <v>98.747</v>
      </c>
      <c r="F59" s="12">
        <v>96.873999999999995</v>
      </c>
      <c r="G59" s="12">
        <v>98.477999999999994</v>
      </c>
      <c r="H59" s="12">
        <v>101</v>
      </c>
      <c r="I59" s="12">
        <v>102.789</v>
      </c>
      <c r="J59" s="12">
        <v>104.211</v>
      </c>
      <c r="K59" s="12">
        <v>105.22199999999999</v>
      </c>
      <c r="L59" s="12">
        <v>106.221</v>
      </c>
      <c r="M59" s="12">
        <v>107.367</v>
      </c>
      <c r="N59" s="12">
        <v>108.505</v>
      </c>
      <c r="O59" s="12">
        <v>109.639</v>
      </c>
      <c r="P59" s="12">
        <v>503.35199999999998</v>
      </c>
      <c r="Q59" s="12">
        <v>1040.3059999999998</v>
      </c>
    </row>
    <row r="60" spans="1:17" x14ac:dyDescent="0.35">
      <c r="A60" s="9"/>
      <c r="B60" s="9" t="s">
        <v>26</v>
      </c>
      <c r="C60" s="9"/>
      <c r="D60" s="11">
        <v>32.549999999999997</v>
      </c>
      <c r="E60" s="12">
        <v>26.509</v>
      </c>
      <c r="F60" s="12">
        <v>24.765000000000001</v>
      </c>
      <c r="G60" s="12">
        <v>24.361999999999998</v>
      </c>
      <c r="H60" s="12">
        <v>25.984999999999999</v>
      </c>
      <c r="I60" s="12">
        <v>38.619</v>
      </c>
      <c r="J60" s="12">
        <v>41.993000000000002</v>
      </c>
      <c r="K60" s="12">
        <v>44.24</v>
      </c>
      <c r="L60" s="12">
        <v>46.762999999999998</v>
      </c>
      <c r="M60" s="12">
        <v>49.584000000000003</v>
      </c>
      <c r="N60" s="12">
        <v>53.131</v>
      </c>
      <c r="O60" s="12">
        <v>56.783999999999999</v>
      </c>
      <c r="P60" s="12">
        <v>155.72399999999999</v>
      </c>
      <c r="Q60" s="12">
        <v>406.226</v>
      </c>
    </row>
    <row r="61" spans="1:17" x14ac:dyDescent="0.35">
      <c r="A61" s="9"/>
      <c r="B61" s="9" t="s">
        <v>27</v>
      </c>
      <c r="C61" s="9"/>
      <c r="D61" s="11">
        <v>30.001000000000001</v>
      </c>
      <c r="E61" s="12">
        <v>35.50200000000001</v>
      </c>
      <c r="F61" s="12">
        <v>35.131999999999998</v>
      </c>
      <c r="G61" s="12">
        <v>37.1</v>
      </c>
      <c r="H61" s="12">
        <v>40.278999999999996</v>
      </c>
      <c r="I61" s="12">
        <v>42.394999999999996</v>
      </c>
      <c r="J61" s="12">
        <v>43.781999999999996</v>
      </c>
      <c r="K61" s="12">
        <v>46.91</v>
      </c>
      <c r="L61" s="12">
        <v>44.171999999999997</v>
      </c>
      <c r="M61" s="12">
        <v>44.410000000000004</v>
      </c>
      <c r="N61" s="12">
        <v>45.438000000000002</v>
      </c>
      <c r="O61" s="12">
        <v>46.722000000000001</v>
      </c>
      <c r="P61" s="12">
        <v>198.68799999999999</v>
      </c>
      <c r="Q61" s="12">
        <v>426.34</v>
      </c>
    </row>
    <row r="62" spans="1:17" ht="17" x14ac:dyDescent="0.6">
      <c r="A62" s="9"/>
      <c r="B62" s="9"/>
      <c r="C62" s="9" t="s">
        <v>246</v>
      </c>
      <c r="D62" s="13">
        <v>356.86099999999999</v>
      </c>
      <c r="E62" s="14">
        <v>252.17200000000003</v>
      </c>
      <c r="F62" s="14">
        <v>261.43200000000002</v>
      </c>
      <c r="G62" s="14">
        <v>266.22699999999998</v>
      </c>
      <c r="H62" s="14">
        <v>275.62799999999999</v>
      </c>
      <c r="I62" s="14">
        <v>295.37200000000001</v>
      </c>
      <c r="J62" s="14">
        <v>370.39799999999997</v>
      </c>
      <c r="K62" s="14">
        <v>387.23299999999995</v>
      </c>
      <c r="L62" s="14">
        <v>399.61500000000001</v>
      </c>
      <c r="M62" s="14">
        <v>415.78700000000003</v>
      </c>
      <c r="N62" s="14">
        <v>435.81499999999994</v>
      </c>
      <c r="O62" s="14">
        <v>450.16599999999994</v>
      </c>
      <c r="P62" s="14">
        <v>1469.0569999999998</v>
      </c>
      <c r="Q62" s="14">
        <v>3557.6730000000002</v>
      </c>
    </row>
    <row r="63" spans="1:17" x14ac:dyDescent="0.35">
      <c r="A63" s="9"/>
      <c r="B63" s="15" t="s">
        <v>2</v>
      </c>
      <c r="C63" s="15"/>
      <c r="D63" s="16">
        <v>4897.3990000000003</v>
      </c>
      <c r="E63" s="17">
        <v>4814.71</v>
      </c>
      <c r="F63" s="17">
        <v>4847.5060000000003</v>
      </c>
      <c r="G63" s="17">
        <v>4974.4609999999993</v>
      </c>
      <c r="H63" s="17">
        <v>5316.8690000000006</v>
      </c>
      <c r="I63" s="17">
        <v>5658.0910000000003</v>
      </c>
      <c r="J63" s="17">
        <v>5919.26</v>
      </c>
      <c r="K63" s="17">
        <v>6142.2520000000004</v>
      </c>
      <c r="L63" s="17">
        <v>6367.7819999999992</v>
      </c>
      <c r="M63" s="17">
        <v>6606.83</v>
      </c>
      <c r="N63" s="17">
        <v>6841.4259999999995</v>
      </c>
      <c r="O63" s="17">
        <v>7102.2669999999998</v>
      </c>
      <c r="P63" s="17">
        <v>26716.187000000002</v>
      </c>
      <c r="Q63" s="17">
        <v>59776.743999999999</v>
      </c>
    </row>
    <row r="64" spans="1:17" x14ac:dyDescent="0.35">
      <c r="A64" s="9"/>
      <c r="B64" s="9"/>
      <c r="C64" s="9" t="s">
        <v>249</v>
      </c>
      <c r="D64" s="11">
        <v>3831.4240000000004</v>
      </c>
      <c r="E64" s="12">
        <v>3681.4710000000009</v>
      </c>
      <c r="F64" s="12">
        <v>3651.9610000000002</v>
      </c>
      <c r="G64" s="12">
        <v>3719.0079999999994</v>
      </c>
      <c r="H64" s="12">
        <v>4005.6539999999995</v>
      </c>
      <c r="I64" s="12">
        <v>4295.0860000000002</v>
      </c>
      <c r="J64" s="12">
        <v>4504.2100000000009</v>
      </c>
      <c r="K64" s="12">
        <v>4674.2080000000005</v>
      </c>
      <c r="L64" s="12">
        <v>4845.5489999999991</v>
      </c>
      <c r="M64" s="12">
        <v>5027.2610000000004</v>
      </c>
      <c r="N64" s="12">
        <v>5204.1100000000006</v>
      </c>
      <c r="O64" s="12">
        <v>5406.9150000000009</v>
      </c>
      <c r="P64" s="12">
        <v>20175.919000000002</v>
      </c>
      <c r="Q64" s="12">
        <v>45333.962</v>
      </c>
    </row>
    <row r="65" spans="1:17" x14ac:dyDescent="0.35">
      <c r="A65" s="9"/>
      <c r="B65" s="9"/>
      <c r="C65" s="9" t="s">
        <v>430</v>
      </c>
      <c r="D65" s="11">
        <v>1065.9749999999999</v>
      </c>
      <c r="E65" s="12">
        <v>1133.239</v>
      </c>
      <c r="F65" s="12">
        <v>1195.5450000000001</v>
      </c>
      <c r="G65" s="12">
        <v>1255.453</v>
      </c>
      <c r="H65" s="12">
        <v>1311.2149999999999</v>
      </c>
      <c r="I65" s="12">
        <v>1363.0050000000001</v>
      </c>
      <c r="J65" s="12">
        <v>1415.05</v>
      </c>
      <c r="K65" s="12">
        <v>1468.0440000000001</v>
      </c>
      <c r="L65" s="12">
        <v>1522.2329999999999</v>
      </c>
      <c r="M65" s="12">
        <v>1579.569</v>
      </c>
      <c r="N65" s="12">
        <v>1637.316</v>
      </c>
      <c r="O65" s="12">
        <v>1695.3520000000001</v>
      </c>
      <c r="P65" s="12">
        <v>6540.268</v>
      </c>
      <c r="Q65" s="12">
        <v>14442.782000000001</v>
      </c>
    </row>
    <row r="66" spans="1:17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x14ac:dyDescent="0.35">
      <c r="A67" s="15" t="s">
        <v>431</v>
      </c>
      <c r="B67" s="9"/>
      <c r="C67" s="9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35">
      <c r="A68" s="9" t="s">
        <v>432</v>
      </c>
      <c r="B68" s="9"/>
      <c r="C68" s="9"/>
      <c r="D68" s="12">
        <v>25015.5</v>
      </c>
      <c r="E68" s="12">
        <v>26237.919999999998</v>
      </c>
      <c r="F68" s="12">
        <v>27266.205000000002</v>
      </c>
      <c r="G68" s="12">
        <v>28610.078000000001</v>
      </c>
      <c r="H68" s="12">
        <v>29932.297999999999</v>
      </c>
      <c r="I68" s="12">
        <v>31251.275000000001</v>
      </c>
      <c r="J68" s="12">
        <v>32525.38</v>
      </c>
      <c r="K68" s="12">
        <v>33810.781999999999</v>
      </c>
      <c r="L68" s="12">
        <v>35132.682000000001</v>
      </c>
      <c r="M68" s="12">
        <v>36487.811999999998</v>
      </c>
      <c r="N68" s="12">
        <v>37874.165000000001</v>
      </c>
      <c r="O68" s="12">
        <v>39288.07</v>
      </c>
      <c r="P68" s="12">
        <v>149585.236</v>
      </c>
      <c r="Q68" s="12">
        <v>332178.74700000003</v>
      </c>
    </row>
    <row r="69" spans="1:17" x14ac:dyDescent="0.35">
      <c r="F69" s="18"/>
    </row>
    <row r="70" spans="1:17" x14ac:dyDescent="0.35">
      <c r="B70" s="9"/>
      <c r="C70" s="9"/>
      <c r="D70" s="216" t="s">
        <v>434</v>
      </c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</row>
    <row r="71" spans="1:17" x14ac:dyDescent="0.35">
      <c r="A71" s="9" t="s">
        <v>7</v>
      </c>
      <c r="B71" s="9"/>
      <c r="C71" s="9"/>
      <c r="D71" s="19">
        <v>10.5</v>
      </c>
      <c r="E71" s="19">
        <v>9.6</v>
      </c>
      <c r="F71" s="19">
        <v>9.1</v>
      </c>
      <c r="G71" s="19">
        <v>8.8000000000000007</v>
      </c>
      <c r="H71" s="19">
        <v>9.1999999999999993</v>
      </c>
      <c r="I71" s="19">
        <v>9.6999999999999993</v>
      </c>
      <c r="J71" s="19">
        <v>9.6</v>
      </c>
      <c r="K71" s="19">
        <v>9.6</v>
      </c>
      <c r="L71" s="19">
        <v>9.6</v>
      </c>
      <c r="M71" s="19">
        <v>9.6</v>
      </c>
      <c r="N71" s="19">
        <v>9.6</v>
      </c>
      <c r="O71" s="19">
        <v>9.6999999999999993</v>
      </c>
      <c r="P71" s="19">
        <v>9.3000000000000007</v>
      </c>
      <c r="Q71" s="19">
        <v>9.5</v>
      </c>
    </row>
    <row r="72" spans="1:17" x14ac:dyDescent="0.35">
      <c r="A72" s="9" t="s">
        <v>10</v>
      </c>
      <c r="B72" s="9"/>
      <c r="C72" s="9"/>
      <c r="D72" s="19">
        <v>5.9</v>
      </c>
      <c r="E72" s="19">
        <v>6</v>
      </c>
      <c r="F72" s="19">
        <v>6</v>
      </c>
      <c r="G72" s="19">
        <v>6</v>
      </c>
      <c r="H72" s="19">
        <v>5.9</v>
      </c>
      <c r="I72" s="19">
        <v>5.9</v>
      </c>
      <c r="J72" s="19">
        <v>5.9</v>
      </c>
      <c r="K72" s="19">
        <v>5.9</v>
      </c>
      <c r="L72" s="19">
        <v>5.9</v>
      </c>
      <c r="M72" s="19">
        <v>5.9</v>
      </c>
      <c r="N72" s="19">
        <v>5.9</v>
      </c>
      <c r="O72" s="19">
        <v>5.9</v>
      </c>
      <c r="P72" s="19">
        <v>5.9</v>
      </c>
      <c r="Q72" s="19">
        <v>5.9</v>
      </c>
    </row>
    <row r="73" spans="1:17" x14ac:dyDescent="0.35">
      <c r="A73" s="9" t="s">
        <v>13</v>
      </c>
      <c r="B73" s="9"/>
      <c r="C73" s="9"/>
      <c r="D73" s="19">
        <v>1.7</v>
      </c>
      <c r="E73" s="19">
        <v>1.8</v>
      </c>
      <c r="F73" s="19">
        <v>1.8</v>
      </c>
      <c r="G73" s="19">
        <v>1.7</v>
      </c>
      <c r="H73" s="19">
        <v>1.7</v>
      </c>
      <c r="I73" s="19">
        <v>1.6</v>
      </c>
      <c r="J73" s="19">
        <v>1.6</v>
      </c>
      <c r="K73" s="19">
        <v>1.5</v>
      </c>
      <c r="L73" s="19">
        <v>1.5</v>
      </c>
      <c r="M73" s="19">
        <v>1.4</v>
      </c>
      <c r="N73" s="19">
        <v>1.4</v>
      </c>
      <c r="O73" s="19">
        <v>1.4</v>
      </c>
      <c r="P73" s="19">
        <v>1.6</v>
      </c>
      <c r="Q73" s="19">
        <v>1.5</v>
      </c>
    </row>
    <row r="74" spans="1:17" x14ac:dyDescent="0.35">
      <c r="A74" s="9" t="s">
        <v>429</v>
      </c>
      <c r="B74" s="9"/>
      <c r="C74" s="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spans="1:17" x14ac:dyDescent="0.35">
      <c r="A75" s="9"/>
      <c r="B75" s="9" t="s">
        <v>17</v>
      </c>
      <c r="C75" s="9"/>
      <c r="D75" s="19">
        <v>0.4</v>
      </c>
      <c r="E75" s="19">
        <v>0.3</v>
      </c>
      <c r="F75" s="19">
        <v>0.4</v>
      </c>
      <c r="G75" s="19">
        <v>0.4</v>
      </c>
      <c r="H75" s="19">
        <v>0.3</v>
      </c>
      <c r="I75" s="19">
        <v>0.3</v>
      </c>
      <c r="J75" s="19">
        <v>0.3</v>
      </c>
      <c r="K75" s="19">
        <v>0.3</v>
      </c>
      <c r="L75" s="19">
        <v>0.3</v>
      </c>
      <c r="M75" s="19">
        <v>0.3</v>
      </c>
      <c r="N75" s="19">
        <v>0.3</v>
      </c>
      <c r="O75" s="19">
        <v>0.3</v>
      </c>
      <c r="P75" s="19">
        <v>0.3</v>
      </c>
      <c r="Q75" s="19">
        <v>0.3</v>
      </c>
    </row>
    <row r="76" spans="1:17" x14ac:dyDescent="0.35">
      <c r="A76" s="9"/>
      <c r="B76" s="9" t="s">
        <v>24</v>
      </c>
      <c r="C76" s="9"/>
      <c r="D76" s="19">
        <v>0.4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0.2</v>
      </c>
      <c r="K76" s="19">
        <v>0.3</v>
      </c>
      <c r="L76" s="19">
        <v>0.3</v>
      </c>
      <c r="M76" s="19">
        <v>0.3</v>
      </c>
      <c r="N76" s="19">
        <v>0.3</v>
      </c>
      <c r="O76" s="19">
        <v>0.3</v>
      </c>
      <c r="P76" s="19">
        <v>0.1</v>
      </c>
      <c r="Q76" s="19">
        <v>0.2</v>
      </c>
    </row>
    <row r="77" spans="1:17" x14ac:dyDescent="0.35">
      <c r="A77" s="9"/>
      <c r="B77" s="9" t="s">
        <v>25</v>
      </c>
      <c r="C77" s="9"/>
      <c r="D77" s="19">
        <v>0.4</v>
      </c>
      <c r="E77" s="19">
        <v>0.4</v>
      </c>
      <c r="F77" s="19">
        <v>0.4</v>
      </c>
      <c r="G77" s="19">
        <v>0.3</v>
      </c>
      <c r="H77" s="19">
        <v>0.3</v>
      </c>
      <c r="I77" s="19">
        <v>0.3</v>
      </c>
      <c r="J77" s="19">
        <v>0.3</v>
      </c>
      <c r="K77" s="19">
        <v>0.3</v>
      </c>
      <c r="L77" s="19">
        <v>0.3</v>
      </c>
      <c r="M77" s="19">
        <v>0.3</v>
      </c>
      <c r="N77" s="19">
        <v>0.3</v>
      </c>
      <c r="O77" s="19">
        <v>0.3</v>
      </c>
      <c r="P77" s="19">
        <v>0.3</v>
      </c>
      <c r="Q77" s="19">
        <v>0.3</v>
      </c>
    </row>
    <row r="78" spans="1:17" x14ac:dyDescent="0.35">
      <c r="A78" s="9"/>
      <c r="B78" s="9" t="s">
        <v>26</v>
      </c>
      <c r="C78" s="9"/>
      <c r="D78" s="19">
        <v>0.1</v>
      </c>
      <c r="E78" s="19">
        <v>0.1</v>
      </c>
      <c r="F78" s="19">
        <v>0.1</v>
      </c>
      <c r="G78" s="19">
        <v>0.1</v>
      </c>
      <c r="H78" s="19">
        <v>0.1</v>
      </c>
      <c r="I78" s="19">
        <v>0.1</v>
      </c>
      <c r="J78" s="19">
        <v>0.1</v>
      </c>
      <c r="K78" s="19">
        <v>0.1</v>
      </c>
      <c r="L78" s="19">
        <v>0.1</v>
      </c>
      <c r="M78" s="19">
        <v>0.1</v>
      </c>
      <c r="N78" s="19">
        <v>0.1</v>
      </c>
      <c r="O78" s="19">
        <v>0.1</v>
      </c>
      <c r="P78" s="19">
        <v>0.1</v>
      </c>
      <c r="Q78" s="19">
        <v>0.1</v>
      </c>
    </row>
    <row r="79" spans="1:17" x14ac:dyDescent="0.35">
      <c r="A79" s="9"/>
      <c r="B79" s="9" t="s">
        <v>27</v>
      </c>
      <c r="C79" s="9"/>
      <c r="D79" s="19">
        <v>0.1</v>
      </c>
      <c r="E79" s="19">
        <v>0.1</v>
      </c>
      <c r="F79" s="19">
        <v>0.1</v>
      </c>
      <c r="G79" s="19">
        <v>0.1</v>
      </c>
      <c r="H79" s="19">
        <v>0.1</v>
      </c>
      <c r="I79" s="19">
        <v>0.1</v>
      </c>
      <c r="J79" s="19">
        <v>0.1</v>
      </c>
      <c r="K79" s="19">
        <v>0.1</v>
      </c>
      <c r="L79" s="19">
        <v>0.1</v>
      </c>
      <c r="M79" s="19">
        <v>0.1</v>
      </c>
      <c r="N79" s="19">
        <v>0.1</v>
      </c>
      <c r="O79" s="19">
        <v>0.1</v>
      </c>
      <c r="P79" s="19">
        <v>0.1</v>
      </c>
      <c r="Q79" s="19">
        <v>0.1</v>
      </c>
    </row>
    <row r="80" spans="1:17" ht="17" x14ac:dyDescent="0.6">
      <c r="A80" s="9"/>
      <c r="B80" s="9"/>
      <c r="C80" s="9" t="s">
        <v>246</v>
      </c>
      <c r="D80" s="20">
        <v>1.4</v>
      </c>
      <c r="E80" s="20">
        <v>1</v>
      </c>
      <c r="F80" s="20">
        <v>1</v>
      </c>
      <c r="G80" s="20">
        <v>0.9</v>
      </c>
      <c r="H80" s="20">
        <v>0.9</v>
      </c>
      <c r="I80" s="20">
        <v>0.9</v>
      </c>
      <c r="J80" s="20">
        <v>1.1000000000000001</v>
      </c>
      <c r="K80" s="20">
        <v>1.1000000000000001</v>
      </c>
      <c r="L80" s="20">
        <v>1.1000000000000001</v>
      </c>
      <c r="M80" s="20">
        <v>1.1000000000000001</v>
      </c>
      <c r="N80" s="20">
        <v>1.2</v>
      </c>
      <c r="O80" s="20">
        <v>1.1000000000000001</v>
      </c>
      <c r="P80" s="20">
        <v>1</v>
      </c>
      <c r="Q80" s="20">
        <v>1.1000000000000001</v>
      </c>
    </row>
    <row r="81" spans="1:17" x14ac:dyDescent="0.35">
      <c r="A81" s="9"/>
      <c r="B81" s="15" t="s">
        <v>2</v>
      </c>
      <c r="C81" s="15"/>
      <c r="D81" s="21">
        <v>19.600000000000001</v>
      </c>
      <c r="E81" s="21">
        <v>18.399999999999999</v>
      </c>
      <c r="F81" s="21">
        <v>17.8</v>
      </c>
      <c r="G81" s="21">
        <v>17.399999999999999</v>
      </c>
      <c r="H81" s="21">
        <v>17.8</v>
      </c>
      <c r="I81" s="21">
        <v>18.100000000000001</v>
      </c>
      <c r="J81" s="21">
        <v>18.2</v>
      </c>
      <c r="K81" s="21">
        <v>18.2</v>
      </c>
      <c r="L81" s="21">
        <v>18.100000000000001</v>
      </c>
      <c r="M81" s="21">
        <v>18.100000000000001</v>
      </c>
      <c r="N81" s="21">
        <v>18.100000000000001</v>
      </c>
      <c r="O81" s="21">
        <v>18.100000000000001</v>
      </c>
      <c r="P81" s="21">
        <v>17.899999999999999</v>
      </c>
      <c r="Q81" s="21">
        <v>18</v>
      </c>
    </row>
    <row r="82" spans="1:17" x14ac:dyDescent="0.35">
      <c r="A82" s="9"/>
      <c r="B82" s="9"/>
      <c r="C82" s="9" t="s">
        <v>249</v>
      </c>
      <c r="D82" s="19">
        <v>15.3</v>
      </c>
      <c r="E82" s="19">
        <v>14</v>
      </c>
      <c r="F82" s="19">
        <v>13.4</v>
      </c>
      <c r="G82" s="19">
        <v>13</v>
      </c>
      <c r="H82" s="19">
        <v>13.4</v>
      </c>
      <c r="I82" s="19">
        <v>13.7</v>
      </c>
      <c r="J82" s="19">
        <v>13.8</v>
      </c>
      <c r="K82" s="19">
        <v>13.8</v>
      </c>
      <c r="L82" s="19">
        <v>13.8</v>
      </c>
      <c r="M82" s="19">
        <v>13.8</v>
      </c>
      <c r="N82" s="19">
        <v>13.7</v>
      </c>
      <c r="O82" s="19">
        <v>13.8</v>
      </c>
      <c r="P82" s="19">
        <v>13.5</v>
      </c>
      <c r="Q82" s="19">
        <v>13.6</v>
      </c>
    </row>
    <row r="83" spans="1:17" x14ac:dyDescent="0.35">
      <c r="A83" s="7"/>
      <c r="B83" s="7"/>
      <c r="C83" s="7" t="s">
        <v>430</v>
      </c>
      <c r="D83" s="22">
        <v>4.3</v>
      </c>
      <c r="E83" s="22">
        <v>4.3</v>
      </c>
      <c r="F83" s="22">
        <v>4.4000000000000004</v>
      </c>
      <c r="G83" s="22">
        <v>4.4000000000000004</v>
      </c>
      <c r="H83" s="22">
        <v>4.4000000000000004</v>
      </c>
      <c r="I83" s="22">
        <v>4.4000000000000004</v>
      </c>
      <c r="J83" s="22">
        <v>4.4000000000000004</v>
      </c>
      <c r="K83" s="22">
        <v>4.3</v>
      </c>
      <c r="L83" s="22">
        <v>4.3</v>
      </c>
      <c r="M83" s="22">
        <v>4.3</v>
      </c>
      <c r="N83" s="22">
        <v>4.3</v>
      </c>
      <c r="O83" s="22">
        <v>4.3</v>
      </c>
      <c r="P83" s="22">
        <v>4.4000000000000004</v>
      </c>
      <c r="Q83" s="22">
        <v>4.3</v>
      </c>
    </row>
    <row r="84" spans="1:17" x14ac:dyDescent="0.35">
      <c r="A84" s="9"/>
      <c r="B84" s="9"/>
      <c r="C84" s="9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 spans="1:17" x14ac:dyDescent="0.35">
      <c r="A85" s="9" t="s">
        <v>435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x14ac:dyDescent="0.35">
      <c r="A86" s="9"/>
      <c r="B86" s="9"/>
      <c r="C86" s="9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9"/>
      <c r="Q86" s="9"/>
    </row>
    <row r="87" spans="1:17" x14ac:dyDescent="0.35">
      <c r="A87" s="9" t="s">
        <v>436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91" spans="1:17" x14ac:dyDescent="0.35">
      <c r="A91" s="5" t="s">
        <v>424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7" x14ac:dyDescent="0.35">
      <c r="A92" s="7" t="s">
        <v>218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7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7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213" t="s">
        <v>2</v>
      </c>
      <c r="O94" s="213"/>
    </row>
    <row r="95" spans="1:17" ht="28.5" x14ac:dyDescent="0.35">
      <c r="A95" s="7" t="s">
        <v>438</v>
      </c>
      <c r="B95" s="10" t="s">
        <v>439</v>
      </c>
      <c r="C95" s="7">
        <v>2024</v>
      </c>
      <c r="D95" s="7">
        <v>2025</v>
      </c>
      <c r="E95" s="7">
        <v>2026</v>
      </c>
      <c r="F95" s="7">
        <v>2027</v>
      </c>
      <c r="G95" s="7">
        <v>2028</v>
      </c>
      <c r="H95" s="7">
        <v>2029</v>
      </c>
      <c r="I95" s="7">
        <v>2030</v>
      </c>
      <c r="J95" s="7">
        <v>2031</v>
      </c>
      <c r="K95" s="7">
        <v>2032</v>
      </c>
      <c r="L95" s="7">
        <v>2033</v>
      </c>
      <c r="M95" s="7">
        <v>2034</v>
      </c>
      <c r="N95" s="10" t="s">
        <v>440</v>
      </c>
      <c r="O95" s="10" t="s">
        <v>441</v>
      </c>
    </row>
    <row r="96" spans="1:17" x14ac:dyDescent="0.35">
      <c r="A96" s="9" t="s">
        <v>442</v>
      </c>
      <c r="B96" s="12">
        <v>2176.4809999999998</v>
      </c>
      <c r="C96" s="12">
        <v>2446.6640000000007</v>
      </c>
      <c r="D96" s="12">
        <v>2549.8650000000002</v>
      </c>
      <c r="E96" s="12">
        <v>2841.0020000000004</v>
      </c>
      <c r="F96" s="12">
        <v>3121.9530000000004</v>
      </c>
      <c r="G96" s="12">
        <v>3224.1500000000005</v>
      </c>
      <c r="H96" s="12">
        <v>3326.8540000000003</v>
      </c>
      <c r="I96" s="12">
        <v>3455.0860000000002</v>
      </c>
      <c r="J96" s="12">
        <v>3583.2</v>
      </c>
      <c r="K96" s="12">
        <v>3710.4380000000001</v>
      </c>
      <c r="L96" s="12">
        <v>3858.924</v>
      </c>
      <c r="M96" s="12">
        <v>4020.6480000000001</v>
      </c>
      <c r="N96" s="12">
        <v>15063.824000000001</v>
      </c>
      <c r="O96" s="12">
        <v>33692.120000000003</v>
      </c>
    </row>
    <row r="97" spans="1:15" x14ac:dyDescent="0.35">
      <c r="A97" s="9" t="s">
        <v>443</v>
      </c>
      <c r="B97" s="12">
        <v>1614.4559999999999</v>
      </c>
      <c r="C97" s="12">
        <v>1678.4529999999997</v>
      </c>
      <c r="D97" s="12">
        <v>1737.1929999999998</v>
      </c>
      <c r="E97" s="12">
        <v>1814.2460000000001</v>
      </c>
      <c r="F97" s="12">
        <v>1885.5429999999999</v>
      </c>
      <c r="G97" s="12">
        <v>1960.0720000000003</v>
      </c>
      <c r="H97" s="12">
        <v>2038.2459999999999</v>
      </c>
      <c r="I97" s="12">
        <v>2118.1269999999995</v>
      </c>
      <c r="J97" s="12">
        <v>2199.9829999999997</v>
      </c>
      <c r="K97" s="12">
        <v>2283.1770000000001</v>
      </c>
      <c r="L97" s="12">
        <v>2367.9109999999996</v>
      </c>
      <c r="M97" s="12">
        <v>2455.0840000000003</v>
      </c>
      <c r="N97" s="12">
        <v>9435.2999999999993</v>
      </c>
      <c r="O97" s="12">
        <v>20859.581999999999</v>
      </c>
    </row>
    <row r="98" spans="1:15" x14ac:dyDescent="0.35">
      <c r="A98" s="9" t="s">
        <v>444</v>
      </c>
      <c r="B98" s="12">
        <v>419.584</v>
      </c>
      <c r="C98" s="12">
        <v>525.40200000000004</v>
      </c>
      <c r="D98" s="12">
        <v>490.08600000000001</v>
      </c>
      <c r="E98" s="12">
        <v>470.45200000000006</v>
      </c>
      <c r="F98" s="12">
        <v>459.399</v>
      </c>
      <c r="G98" s="12">
        <v>461.55400000000003</v>
      </c>
      <c r="H98" s="12">
        <v>460.85800000000006</v>
      </c>
      <c r="I98" s="12">
        <v>462.81100000000004</v>
      </c>
      <c r="J98" s="12">
        <v>465.98700000000008</v>
      </c>
      <c r="K98" s="12">
        <v>471.01000000000005</v>
      </c>
      <c r="L98" s="12">
        <v>495.30400000000009</v>
      </c>
      <c r="M98" s="12">
        <v>506.70400000000006</v>
      </c>
      <c r="N98" s="12">
        <v>2342.3490000000002</v>
      </c>
      <c r="O98" s="12">
        <v>4744.1650000000009</v>
      </c>
    </row>
    <row r="99" spans="1:15" x14ac:dyDescent="0.35">
      <c r="A99" s="9" t="s">
        <v>429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x14ac:dyDescent="0.35">
      <c r="A100" s="25" t="s">
        <v>17</v>
      </c>
      <c r="B100" s="12">
        <v>75.802000000000007</v>
      </c>
      <c r="C100" s="12">
        <v>89.162000000000006</v>
      </c>
      <c r="D100" s="12">
        <v>96.432999999999979</v>
      </c>
      <c r="E100" s="12">
        <v>98.983999999999995</v>
      </c>
      <c r="F100" s="12">
        <v>99.646000000000001</v>
      </c>
      <c r="G100" s="12">
        <v>99.663999999999987</v>
      </c>
      <c r="H100" s="12">
        <v>99.603999999999999</v>
      </c>
      <c r="I100" s="12">
        <v>99.308000000000007</v>
      </c>
      <c r="J100" s="12">
        <v>98.682000000000002</v>
      </c>
      <c r="K100" s="12">
        <v>97.385000000000005</v>
      </c>
      <c r="L100" s="12">
        <v>97.613</v>
      </c>
      <c r="M100" s="12">
        <v>98.284999999999997</v>
      </c>
      <c r="N100" s="12">
        <v>494.33099999999996</v>
      </c>
      <c r="O100" s="12">
        <v>985.60399999999993</v>
      </c>
    </row>
    <row r="101" spans="1:15" x14ac:dyDescent="0.35">
      <c r="A101" s="25" t="s">
        <v>24</v>
      </c>
      <c r="B101" s="12">
        <v>0.58099999999999996</v>
      </c>
      <c r="C101" s="12">
        <v>2.1909999999999998</v>
      </c>
      <c r="D101" s="12">
        <v>4.4669999999999996</v>
      </c>
      <c r="E101" s="12">
        <v>6.6689999999999996</v>
      </c>
      <c r="F101" s="12">
        <v>8.3879999999999999</v>
      </c>
      <c r="G101" s="12">
        <v>10.55</v>
      </c>
      <c r="H101" s="12">
        <v>13.268000000000008</v>
      </c>
      <c r="I101" s="12">
        <v>22.075000000000003</v>
      </c>
      <c r="J101" s="12">
        <v>111.232</v>
      </c>
      <c r="K101" s="12">
        <v>128.47399999999999</v>
      </c>
      <c r="L101" s="12">
        <v>139.90099999999998</v>
      </c>
      <c r="M101" s="12">
        <v>153.41800000000001</v>
      </c>
      <c r="N101" s="12">
        <v>43.342000000000013</v>
      </c>
      <c r="O101" s="12">
        <v>598.44200000000001</v>
      </c>
    </row>
    <row r="102" spans="1:15" x14ac:dyDescent="0.35">
      <c r="A102" s="25" t="s">
        <v>25</v>
      </c>
      <c r="B102" s="12">
        <v>80.338000000000008</v>
      </c>
      <c r="C102" s="12">
        <v>73.378999999999991</v>
      </c>
      <c r="D102" s="12">
        <v>76.186999999999998</v>
      </c>
      <c r="E102" s="12">
        <v>79.779000000000011</v>
      </c>
      <c r="F102" s="12">
        <v>83.01700000000001</v>
      </c>
      <c r="G102" s="12">
        <v>85.426999999999992</v>
      </c>
      <c r="H102" s="12">
        <v>87.106999999999985</v>
      </c>
      <c r="I102" s="12">
        <v>88.576999999999998</v>
      </c>
      <c r="J102" s="12">
        <v>90.27300000000001</v>
      </c>
      <c r="K102" s="12">
        <v>92.084999999999994</v>
      </c>
      <c r="L102" s="12">
        <v>94.007999999999996</v>
      </c>
      <c r="M102" s="12">
        <v>96.02600000000001</v>
      </c>
      <c r="N102" s="12">
        <v>411.51699999999994</v>
      </c>
      <c r="O102" s="12">
        <v>872.4860000000001</v>
      </c>
    </row>
    <row r="103" spans="1:15" x14ac:dyDescent="0.35">
      <c r="A103" s="25" t="s">
        <v>26</v>
      </c>
      <c r="B103" s="12">
        <v>33.667999999999999</v>
      </c>
      <c r="C103" s="12">
        <v>32.366999999999997</v>
      </c>
      <c r="D103" s="12">
        <v>34.588999999999999</v>
      </c>
      <c r="E103" s="12">
        <v>35.429000000000002</v>
      </c>
      <c r="F103" s="12">
        <v>49.448999999999998</v>
      </c>
      <c r="G103" s="12">
        <v>52.664000000000001</v>
      </c>
      <c r="H103" s="12">
        <v>54.730000000000004</v>
      </c>
      <c r="I103" s="12">
        <v>57.313000000000002</v>
      </c>
      <c r="J103" s="12">
        <v>60.416000000000004</v>
      </c>
      <c r="K103" s="12">
        <v>63.972000000000001</v>
      </c>
      <c r="L103" s="12">
        <v>67.914000000000001</v>
      </c>
      <c r="M103" s="12">
        <v>72.173999999999992</v>
      </c>
      <c r="N103" s="12">
        <v>226.86099999999999</v>
      </c>
      <c r="O103" s="12">
        <v>548.65</v>
      </c>
    </row>
    <row r="104" spans="1:15" x14ac:dyDescent="0.35">
      <c r="A104" s="25" t="s">
        <v>27</v>
      </c>
      <c r="B104" s="12">
        <v>40.036999999999999</v>
      </c>
      <c r="C104" s="12">
        <v>42.143000000000001</v>
      </c>
      <c r="D104" s="12">
        <v>48.808</v>
      </c>
      <c r="E104" s="12">
        <v>47.038999999999994</v>
      </c>
      <c r="F104" s="12">
        <v>48.700999999999993</v>
      </c>
      <c r="G104" s="12">
        <v>49.805</v>
      </c>
      <c r="H104" s="12">
        <v>52.757999999999996</v>
      </c>
      <c r="I104" s="12">
        <v>50.714999999999996</v>
      </c>
      <c r="J104" s="12">
        <v>51.355000000000004</v>
      </c>
      <c r="K104" s="12">
        <v>52.855000000000004</v>
      </c>
      <c r="L104" s="12">
        <v>54.440999999999995</v>
      </c>
      <c r="M104" s="12">
        <v>56.390999999999998</v>
      </c>
      <c r="N104" s="12">
        <v>247.11099999999999</v>
      </c>
      <c r="O104" s="12">
        <v>512.86799999999994</v>
      </c>
    </row>
    <row r="105" spans="1:15" x14ac:dyDescent="0.35">
      <c r="A105" s="26" t="s">
        <v>246</v>
      </c>
      <c r="B105" s="12">
        <v>230.42600000000002</v>
      </c>
      <c r="C105" s="12">
        <v>239.24199999999999</v>
      </c>
      <c r="D105" s="12">
        <v>260.48399999999998</v>
      </c>
      <c r="E105" s="12">
        <v>267.90000000000003</v>
      </c>
      <c r="F105" s="12">
        <v>289.20100000000002</v>
      </c>
      <c r="G105" s="12">
        <v>298.10999999999996</v>
      </c>
      <c r="H105" s="12">
        <v>307.46699999999998</v>
      </c>
      <c r="I105" s="12">
        <v>317.988</v>
      </c>
      <c r="J105" s="12">
        <v>411.95800000000003</v>
      </c>
      <c r="K105" s="12">
        <v>434.77099999999996</v>
      </c>
      <c r="L105" s="12">
        <v>453.87699999999995</v>
      </c>
      <c r="M105" s="12">
        <v>476.29400000000004</v>
      </c>
      <c r="N105" s="12">
        <v>1423.1619999999998</v>
      </c>
      <c r="O105" s="12">
        <v>3518.0499999999997</v>
      </c>
    </row>
    <row r="106" spans="1:15" x14ac:dyDescent="0.35">
      <c r="A106" s="9"/>
      <c r="B106" s="27" t="s">
        <v>445</v>
      </c>
      <c r="C106" s="27" t="s">
        <v>445</v>
      </c>
      <c r="D106" s="27" t="s">
        <v>445</v>
      </c>
      <c r="E106" s="27" t="s">
        <v>445</v>
      </c>
      <c r="F106" s="27" t="s">
        <v>445</v>
      </c>
      <c r="G106" s="27" t="s">
        <v>445</v>
      </c>
      <c r="H106" s="27" t="s">
        <v>445</v>
      </c>
      <c r="I106" s="27" t="s">
        <v>445</v>
      </c>
      <c r="J106" s="27" t="s">
        <v>445</v>
      </c>
      <c r="K106" s="27" t="s">
        <v>445</v>
      </c>
      <c r="L106" s="27" t="s">
        <v>445</v>
      </c>
      <c r="M106" s="27" t="s">
        <v>445</v>
      </c>
      <c r="N106" s="27" t="s">
        <v>446</v>
      </c>
      <c r="O106" s="27" t="s">
        <v>446</v>
      </c>
    </row>
    <row r="107" spans="1:15" x14ac:dyDescent="0.35">
      <c r="A107" s="28" t="s">
        <v>2</v>
      </c>
      <c r="B107" s="17">
        <v>4440.9470000000001</v>
      </c>
      <c r="C107" s="17">
        <v>4889.7610000000004</v>
      </c>
      <c r="D107" s="17">
        <v>5037.6280000000006</v>
      </c>
      <c r="E107" s="17">
        <v>5393.6</v>
      </c>
      <c r="F107" s="17">
        <v>5756.0960000000005</v>
      </c>
      <c r="G107" s="17">
        <v>5943.8860000000004</v>
      </c>
      <c r="H107" s="17">
        <v>6133.4250000000002</v>
      </c>
      <c r="I107" s="17">
        <v>6354.0119999999997</v>
      </c>
      <c r="J107" s="17">
        <v>6661.1280000000006</v>
      </c>
      <c r="K107" s="17">
        <v>6899.3959999999997</v>
      </c>
      <c r="L107" s="17">
        <v>7176.0159999999987</v>
      </c>
      <c r="M107" s="17">
        <v>7458.73</v>
      </c>
      <c r="N107" s="17">
        <v>28264.634999999998</v>
      </c>
      <c r="O107" s="17">
        <v>62813.916999999987</v>
      </c>
    </row>
    <row r="108" spans="1:15" x14ac:dyDescent="0.35">
      <c r="A108" s="26" t="s">
        <v>249</v>
      </c>
      <c r="B108" s="12">
        <v>3247.192</v>
      </c>
      <c r="C108" s="12">
        <v>3651.6810000000005</v>
      </c>
      <c r="D108" s="12">
        <v>3751.0080000000007</v>
      </c>
      <c r="E108" s="12">
        <v>4052.8770000000004</v>
      </c>
      <c r="F108" s="12">
        <v>4365.1670000000004</v>
      </c>
      <c r="G108" s="12">
        <v>4500.6750000000002</v>
      </c>
      <c r="H108" s="12">
        <v>4635.3850000000002</v>
      </c>
      <c r="I108" s="12">
        <v>4799.3469999999998</v>
      </c>
      <c r="J108" s="12">
        <v>5047.8930000000009</v>
      </c>
      <c r="K108" s="12">
        <v>5226.5289999999995</v>
      </c>
      <c r="L108" s="12">
        <v>5442.4359999999988</v>
      </c>
      <c r="M108" s="12">
        <v>5662.3819999999996</v>
      </c>
      <c r="N108" s="12">
        <v>21305.112000000001</v>
      </c>
      <c r="O108" s="12">
        <v>47483.699000000001</v>
      </c>
    </row>
    <row r="109" spans="1:15" x14ac:dyDescent="0.35">
      <c r="A109" s="26" t="s">
        <v>430</v>
      </c>
      <c r="B109" s="12">
        <v>1193.7550000000001</v>
      </c>
      <c r="C109" s="12">
        <v>1238.08</v>
      </c>
      <c r="D109" s="12">
        <v>1286.6199999999999</v>
      </c>
      <c r="E109" s="12">
        <v>1340.723</v>
      </c>
      <c r="F109" s="12">
        <v>1390.9290000000001</v>
      </c>
      <c r="G109" s="12">
        <v>1443.211</v>
      </c>
      <c r="H109" s="12">
        <v>1498.04</v>
      </c>
      <c r="I109" s="12">
        <v>1554.665</v>
      </c>
      <c r="J109" s="12">
        <v>1613.2349999999999</v>
      </c>
      <c r="K109" s="12">
        <v>1672.867</v>
      </c>
      <c r="L109" s="12">
        <v>1733.58</v>
      </c>
      <c r="M109" s="12">
        <v>1796.348</v>
      </c>
      <c r="N109" s="12">
        <v>6959.5230000000001</v>
      </c>
      <c r="O109" s="12">
        <v>15330.218000000001</v>
      </c>
    </row>
    <row r="110" spans="1:15" x14ac:dyDescent="0.35">
      <c r="A110" s="9"/>
    </row>
    <row r="111" spans="1:15" x14ac:dyDescent="0.35">
      <c r="A111" s="15" t="s">
        <v>228</v>
      </c>
    </row>
    <row r="112" spans="1:15" x14ac:dyDescent="0.35">
      <c r="A112" s="9" t="s">
        <v>447</v>
      </c>
      <c r="B112" s="29">
        <v>26973.775000000001</v>
      </c>
      <c r="C112" s="29">
        <v>28467.238000000001</v>
      </c>
      <c r="D112" s="29">
        <v>29710.66</v>
      </c>
      <c r="E112" s="29">
        <v>30856.308000000001</v>
      </c>
      <c r="F112" s="29">
        <v>31971.678</v>
      </c>
      <c r="G112" s="29">
        <v>33115.129999999997</v>
      </c>
      <c r="H112" s="29">
        <v>34345.762999999999</v>
      </c>
      <c r="I112" s="29">
        <v>35653.953000000001</v>
      </c>
      <c r="J112" s="29">
        <v>37018.254999999997</v>
      </c>
      <c r="K112" s="29">
        <v>38431.567999999999</v>
      </c>
      <c r="L112" s="29">
        <v>39890.39</v>
      </c>
      <c r="M112" s="29">
        <v>41397.94</v>
      </c>
      <c r="N112" s="29">
        <v>159999.538</v>
      </c>
      <c r="O112" s="29">
        <v>352391.64299999998</v>
      </c>
    </row>
    <row r="113" spans="1:15" x14ac:dyDescent="0.35">
      <c r="A113" s="9" t="s">
        <v>448</v>
      </c>
      <c r="B113" s="29">
        <v>26569.724999999999</v>
      </c>
      <c r="C113" s="29">
        <v>27991.819</v>
      </c>
      <c r="D113" s="29">
        <v>29541.010999999999</v>
      </c>
      <c r="E113" s="29">
        <v>30811.627</v>
      </c>
      <c r="F113" s="29">
        <v>31970.965</v>
      </c>
      <c r="G113" s="29">
        <v>33130.175000000003</v>
      </c>
      <c r="H113" s="29">
        <v>34366.839</v>
      </c>
      <c r="I113" s="29">
        <v>35677.731</v>
      </c>
      <c r="J113" s="29">
        <v>37043.601999999999</v>
      </c>
      <c r="K113" s="29">
        <v>38458.110999999997</v>
      </c>
      <c r="L113" s="29">
        <v>39918.019999999997</v>
      </c>
      <c r="M113" s="29">
        <v>41426.642</v>
      </c>
      <c r="N113" s="29">
        <v>159820.617</v>
      </c>
      <c r="O113" s="29">
        <v>352344.72399999999</v>
      </c>
    </row>
    <row r="114" spans="1:15" x14ac:dyDescent="0.35">
      <c r="D114" s="18"/>
    </row>
    <row r="115" spans="1:15" x14ac:dyDescent="0.35">
      <c r="B115" s="216" t="s">
        <v>449</v>
      </c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</row>
    <row r="116" spans="1:15" x14ac:dyDescent="0.35">
      <c r="A116" s="9" t="s">
        <v>442</v>
      </c>
      <c r="B116" s="19">
        <v>8.0690000000000008</v>
      </c>
      <c r="C116" s="19">
        <v>8.5950000000000006</v>
      </c>
      <c r="D116" s="19">
        <v>8.5820000000000007</v>
      </c>
      <c r="E116" s="19">
        <v>9.2070000000000007</v>
      </c>
      <c r="F116" s="19">
        <v>9.7650000000000006</v>
      </c>
      <c r="G116" s="19">
        <v>9.7360000000000007</v>
      </c>
      <c r="H116" s="19">
        <v>9.6859999999999999</v>
      </c>
      <c r="I116" s="19">
        <v>9.6910000000000007</v>
      </c>
      <c r="J116" s="19">
        <v>9.68</v>
      </c>
      <c r="K116" s="19">
        <v>9.6549999999999994</v>
      </c>
      <c r="L116" s="19">
        <v>9.6739999999999995</v>
      </c>
      <c r="M116" s="19">
        <v>9.7119999999999997</v>
      </c>
      <c r="N116" s="19">
        <v>9.4149999999999991</v>
      </c>
      <c r="O116" s="19">
        <v>9.5609999999999999</v>
      </c>
    </row>
    <row r="117" spans="1:15" x14ac:dyDescent="0.35">
      <c r="A117" s="9" t="s">
        <v>443</v>
      </c>
      <c r="B117" s="19">
        <v>5.9850000000000003</v>
      </c>
      <c r="C117" s="19">
        <v>5.8959999999999999</v>
      </c>
      <c r="D117" s="19">
        <v>5.8470000000000004</v>
      </c>
      <c r="E117" s="19">
        <v>5.88</v>
      </c>
      <c r="F117" s="19">
        <v>5.8979999999999997</v>
      </c>
      <c r="G117" s="19">
        <v>5.9189999999999996</v>
      </c>
      <c r="H117" s="19">
        <v>5.9340000000000002</v>
      </c>
      <c r="I117" s="19">
        <v>5.9409999999999998</v>
      </c>
      <c r="J117" s="19">
        <v>5.9429999999999996</v>
      </c>
      <c r="K117" s="19">
        <v>5.9409999999999998</v>
      </c>
      <c r="L117" s="19">
        <v>5.9359999999999999</v>
      </c>
      <c r="M117" s="19">
        <v>5.93</v>
      </c>
      <c r="N117" s="19">
        <v>5.8970000000000002</v>
      </c>
      <c r="O117" s="19">
        <v>5.9189999999999996</v>
      </c>
    </row>
    <row r="118" spans="1:15" x14ac:dyDescent="0.35">
      <c r="A118" s="9" t="s">
        <v>444</v>
      </c>
      <c r="B118" s="19">
        <v>1.556</v>
      </c>
      <c r="C118" s="19">
        <v>1.8460000000000001</v>
      </c>
      <c r="D118" s="19">
        <v>1.65</v>
      </c>
      <c r="E118" s="19">
        <v>1.5249999999999999</v>
      </c>
      <c r="F118" s="19">
        <v>1.4370000000000001</v>
      </c>
      <c r="G118" s="19">
        <v>1.3939999999999999</v>
      </c>
      <c r="H118" s="19">
        <v>1.3420000000000001</v>
      </c>
      <c r="I118" s="19">
        <v>1.298</v>
      </c>
      <c r="J118" s="19">
        <v>1.2589999999999999</v>
      </c>
      <c r="K118" s="19">
        <v>1.226</v>
      </c>
      <c r="L118" s="19">
        <v>1.242</v>
      </c>
      <c r="M118" s="19">
        <v>1.224</v>
      </c>
      <c r="N118" s="19">
        <v>1.464</v>
      </c>
      <c r="O118" s="19">
        <v>1.3460000000000001</v>
      </c>
    </row>
    <row r="119" spans="1:15" x14ac:dyDescent="0.35">
      <c r="A119" s="9" t="s">
        <v>429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</row>
    <row r="120" spans="1:15" x14ac:dyDescent="0.35">
      <c r="A120" s="25" t="s">
        <v>17</v>
      </c>
      <c r="B120" s="19">
        <v>0.28100000000000003</v>
      </c>
      <c r="C120" s="19">
        <v>0.313</v>
      </c>
      <c r="D120" s="19">
        <v>0.32500000000000001</v>
      </c>
      <c r="E120" s="19">
        <v>0.32100000000000001</v>
      </c>
      <c r="F120" s="19">
        <v>0.312</v>
      </c>
      <c r="G120" s="19">
        <v>0.30099999999999999</v>
      </c>
      <c r="H120" s="19">
        <v>0.28999999999999998</v>
      </c>
      <c r="I120" s="19">
        <v>0.27900000000000003</v>
      </c>
      <c r="J120" s="19">
        <v>0.26700000000000002</v>
      </c>
      <c r="K120" s="19">
        <v>0.253</v>
      </c>
      <c r="L120" s="19">
        <v>0.245</v>
      </c>
      <c r="M120" s="19">
        <v>0.23699999999999999</v>
      </c>
      <c r="N120" s="19">
        <v>0.309</v>
      </c>
      <c r="O120" s="19">
        <v>0.28000000000000003</v>
      </c>
    </row>
    <row r="121" spans="1:15" x14ac:dyDescent="0.35">
      <c r="A121" s="25" t="s">
        <v>24</v>
      </c>
      <c r="B121" s="19">
        <v>2E-3</v>
      </c>
      <c r="C121" s="19">
        <v>8.0000000000000002E-3</v>
      </c>
      <c r="D121" s="19">
        <v>1.4999999999999999E-2</v>
      </c>
      <c r="E121" s="19">
        <v>2.1999999999999999E-2</v>
      </c>
      <c r="F121" s="19">
        <v>2.5999999999999999E-2</v>
      </c>
      <c r="G121" s="19">
        <v>3.2000000000000001E-2</v>
      </c>
      <c r="H121" s="19">
        <v>3.9E-2</v>
      </c>
      <c r="I121" s="19">
        <v>6.2E-2</v>
      </c>
      <c r="J121" s="19">
        <v>0.3</v>
      </c>
      <c r="K121" s="19">
        <v>0.33400000000000002</v>
      </c>
      <c r="L121" s="19">
        <v>0.35099999999999998</v>
      </c>
      <c r="M121" s="19">
        <v>0.371</v>
      </c>
      <c r="N121" s="19">
        <v>2.7E-2</v>
      </c>
      <c r="O121" s="19">
        <v>0.17</v>
      </c>
    </row>
    <row r="122" spans="1:15" x14ac:dyDescent="0.35">
      <c r="A122" s="25" t="s">
        <v>25</v>
      </c>
      <c r="B122" s="19">
        <v>0.29799999999999999</v>
      </c>
      <c r="C122" s="19">
        <v>0.25800000000000001</v>
      </c>
      <c r="D122" s="19">
        <v>0.25600000000000001</v>
      </c>
      <c r="E122" s="19">
        <v>0.25900000000000001</v>
      </c>
      <c r="F122" s="19">
        <v>0.26</v>
      </c>
      <c r="G122" s="19">
        <v>0.25800000000000001</v>
      </c>
      <c r="H122" s="19">
        <v>0.254</v>
      </c>
      <c r="I122" s="19">
        <v>0.248</v>
      </c>
      <c r="J122" s="19">
        <v>0.24399999999999999</v>
      </c>
      <c r="K122" s="19">
        <v>0.24</v>
      </c>
      <c r="L122" s="19">
        <v>0.23599999999999999</v>
      </c>
      <c r="M122" s="19">
        <v>0.23200000000000001</v>
      </c>
      <c r="N122" s="19">
        <v>0.25700000000000001</v>
      </c>
      <c r="O122" s="19">
        <v>0.248</v>
      </c>
    </row>
    <row r="123" spans="1:15" x14ac:dyDescent="0.35">
      <c r="A123" s="25" t="s">
        <v>26</v>
      </c>
      <c r="B123" s="19">
        <v>0.125</v>
      </c>
      <c r="C123" s="19">
        <v>0.114</v>
      </c>
      <c r="D123" s="19">
        <v>0.11600000000000001</v>
      </c>
      <c r="E123" s="19">
        <v>0.115</v>
      </c>
      <c r="F123" s="19">
        <v>0.155</v>
      </c>
      <c r="G123" s="19">
        <v>0.159</v>
      </c>
      <c r="H123" s="19">
        <v>0.159</v>
      </c>
      <c r="I123" s="19">
        <v>0.161</v>
      </c>
      <c r="J123" s="19">
        <v>0.16300000000000001</v>
      </c>
      <c r="K123" s="19">
        <v>0.16600000000000001</v>
      </c>
      <c r="L123" s="19">
        <v>0.17</v>
      </c>
      <c r="M123" s="19">
        <v>0.17399999999999999</v>
      </c>
      <c r="N123" s="19">
        <v>0.14199999999999999</v>
      </c>
      <c r="O123" s="19">
        <v>0.156</v>
      </c>
    </row>
    <row r="124" spans="1:15" x14ac:dyDescent="0.35">
      <c r="A124" s="25" t="s">
        <v>27</v>
      </c>
      <c r="B124" s="19">
        <v>0.14799999999999999</v>
      </c>
      <c r="C124" s="19">
        <v>0.14799999999999999</v>
      </c>
      <c r="D124" s="19">
        <v>0.16400000000000001</v>
      </c>
      <c r="E124" s="19">
        <v>0.152</v>
      </c>
      <c r="F124" s="19">
        <v>0.152</v>
      </c>
      <c r="G124" s="19">
        <v>0.15</v>
      </c>
      <c r="H124" s="19">
        <v>0.154</v>
      </c>
      <c r="I124" s="19">
        <v>0.14199999999999999</v>
      </c>
      <c r="J124" s="19">
        <v>0.13900000000000001</v>
      </c>
      <c r="K124" s="19">
        <v>0.13800000000000001</v>
      </c>
      <c r="L124" s="19">
        <v>0.13600000000000001</v>
      </c>
      <c r="M124" s="19">
        <v>0.13600000000000001</v>
      </c>
      <c r="N124" s="19">
        <v>0.154</v>
      </c>
      <c r="O124" s="19">
        <v>0.14599999999999999</v>
      </c>
    </row>
    <row r="125" spans="1:15" x14ac:dyDescent="0.35">
      <c r="A125" s="26" t="s">
        <v>246</v>
      </c>
      <c r="B125" s="19">
        <v>0.85399999999999998</v>
      </c>
      <c r="C125" s="19">
        <v>0.84</v>
      </c>
      <c r="D125" s="19">
        <v>0.877</v>
      </c>
      <c r="E125" s="19">
        <v>0.86799999999999999</v>
      </c>
      <c r="F125" s="19">
        <v>0.90500000000000003</v>
      </c>
      <c r="G125" s="19">
        <v>0.9</v>
      </c>
      <c r="H125" s="19">
        <v>0.89500000000000002</v>
      </c>
      <c r="I125" s="19">
        <v>0.89200000000000002</v>
      </c>
      <c r="J125" s="19">
        <v>1.113</v>
      </c>
      <c r="K125" s="19">
        <v>1.131</v>
      </c>
      <c r="L125" s="19">
        <v>1.1379999999999999</v>
      </c>
      <c r="M125" s="19">
        <v>1.151</v>
      </c>
      <c r="N125" s="19">
        <v>0.88900000000000001</v>
      </c>
      <c r="O125" s="19">
        <v>0.998</v>
      </c>
    </row>
    <row r="126" spans="1:15" x14ac:dyDescent="0.35">
      <c r="A126" s="9"/>
      <c r="B126" s="27" t="s">
        <v>445</v>
      </c>
      <c r="C126" s="27" t="s">
        <v>445</v>
      </c>
      <c r="D126" s="27" t="s">
        <v>445</v>
      </c>
      <c r="E126" s="27" t="s">
        <v>445</v>
      </c>
      <c r="F126" s="27" t="s">
        <v>445</v>
      </c>
      <c r="G126" s="27" t="s">
        <v>445</v>
      </c>
      <c r="H126" s="27" t="s">
        <v>445</v>
      </c>
      <c r="I126" s="27" t="s">
        <v>445</v>
      </c>
      <c r="J126" s="27" t="s">
        <v>445</v>
      </c>
      <c r="K126" s="27" t="s">
        <v>445</v>
      </c>
      <c r="L126" s="27" t="s">
        <v>445</v>
      </c>
      <c r="M126" s="27" t="s">
        <v>445</v>
      </c>
      <c r="N126" s="27" t="s">
        <v>446</v>
      </c>
      <c r="O126" s="27" t="s">
        <v>446</v>
      </c>
    </row>
    <row r="127" spans="1:15" x14ac:dyDescent="0.35">
      <c r="A127" s="28" t="s">
        <v>2</v>
      </c>
      <c r="B127" s="21">
        <v>16.463999999999999</v>
      </c>
      <c r="C127" s="21">
        <v>17.177</v>
      </c>
      <c r="D127" s="21">
        <v>16.956</v>
      </c>
      <c r="E127" s="21">
        <v>17.48</v>
      </c>
      <c r="F127" s="21">
        <v>18.004000000000001</v>
      </c>
      <c r="G127" s="21">
        <v>17.949000000000002</v>
      </c>
      <c r="H127" s="21">
        <v>17.858000000000001</v>
      </c>
      <c r="I127" s="21">
        <v>17.821000000000002</v>
      </c>
      <c r="J127" s="21">
        <v>17.994</v>
      </c>
      <c r="K127" s="21">
        <v>17.952000000000002</v>
      </c>
      <c r="L127" s="21">
        <v>17.989000000000001</v>
      </c>
      <c r="M127" s="21">
        <v>18.016999999999999</v>
      </c>
      <c r="N127" s="21">
        <v>17.664999999999999</v>
      </c>
      <c r="O127" s="21">
        <v>17.824999999999999</v>
      </c>
    </row>
    <row r="128" spans="1:15" x14ac:dyDescent="0.35">
      <c r="A128" s="26" t="s">
        <v>249</v>
      </c>
      <c r="B128" s="19">
        <v>12.038</v>
      </c>
      <c r="C128" s="19">
        <v>12.827999999999999</v>
      </c>
      <c r="D128" s="19">
        <v>12.625</v>
      </c>
      <c r="E128" s="19">
        <v>13.135</v>
      </c>
      <c r="F128" s="19">
        <v>13.653</v>
      </c>
      <c r="G128" s="19">
        <v>13.590999999999999</v>
      </c>
      <c r="H128" s="19">
        <v>13.496</v>
      </c>
      <c r="I128" s="19">
        <v>13.461</v>
      </c>
      <c r="J128" s="19">
        <v>13.635999999999999</v>
      </c>
      <c r="K128" s="19">
        <v>13.6</v>
      </c>
      <c r="L128" s="19">
        <v>13.643000000000001</v>
      </c>
      <c r="M128" s="19">
        <v>13.678000000000001</v>
      </c>
      <c r="N128" s="19">
        <v>13.316000000000001</v>
      </c>
      <c r="O128" s="19">
        <v>13.475</v>
      </c>
    </row>
    <row r="129" spans="1:15" x14ac:dyDescent="0.35">
      <c r="A129" s="30" t="s">
        <v>430</v>
      </c>
      <c r="B129" s="22">
        <v>4.4260000000000002</v>
      </c>
      <c r="C129" s="22">
        <v>4.3490000000000002</v>
      </c>
      <c r="D129" s="22">
        <v>4.33</v>
      </c>
      <c r="E129" s="22">
        <v>4.3449999999999998</v>
      </c>
      <c r="F129" s="22">
        <v>4.351</v>
      </c>
      <c r="G129" s="22">
        <v>4.3579999999999997</v>
      </c>
      <c r="H129" s="22">
        <v>4.3620000000000001</v>
      </c>
      <c r="I129" s="22">
        <v>4.3600000000000003</v>
      </c>
      <c r="J129" s="22">
        <v>4.3579999999999997</v>
      </c>
      <c r="K129" s="22">
        <v>4.3529999999999998</v>
      </c>
      <c r="L129" s="22">
        <v>4.3460000000000001</v>
      </c>
      <c r="M129" s="22">
        <v>4.3390000000000004</v>
      </c>
      <c r="N129" s="22">
        <v>4.3499999999999996</v>
      </c>
      <c r="O129" s="22">
        <v>4.3499999999999996</v>
      </c>
    </row>
    <row r="130" spans="1:15" x14ac:dyDescent="0.35">
      <c r="A130" s="9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x14ac:dyDescent="0.35">
      <c r="A131" s="9" t="s">
        <v>435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5" spans="1:15" x14ac:dyDescent="0.35">
      <c r="A135" s="5" t="s">
        <v>424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35">
      <c r="A136" s="7" t="s">
        <v>218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213" t="s">
        <v>2</v>
      </c>
      <c r="O138" s="213"/>
    </row>
    <row r="139" spans="1:15" ht="28.5" x14ac:dyDescent="0.35">
      <c r="A139" s="7" t="s">
        <v>438</v>
      </c>
      <c r="B139" s="10" t="s">
        <v>450</v>
      </c>
      <c r="C139" s="7">
        <v>2025</v>
      </c>
      <c r="D139" s="7">
        <v>2026</v>
      </c>
      <c r="E139" s="7">
        <v>2027</v>
      </c>
      <c r="F139" s="7">
        <v>2028</v>
      </c>
      <c r="G139" s="7">
        <v>2029</v>
      </c>
      <c r="H139" s="7">
        <v>2030</v>
      </c>
      <c r="I139" s="7">
        <v>2031</v>
      </c>
      <c r="J139" s="7">
        <v>2032</v>
      </c>
      <c r="K139" s="7">
        <v>2033</v>
      </c>
      <c r="L139" s="7">
        <v>2034</v>
      </c>
      <c r="M139" s="7">
        <v>2035</v>
      </c>
      <c r="N139" s="10" t="s">
        <v>451</v>
      </c>
      <c r="O139" s="10" t="s">
        <v>452</v>
      </c>
    </row>
    <row r="140" spans="1:15" x14ac:dyDescent="0.35">
      <c r="A140" s="9" t="s">
        <v>442</v>
      </c>
      <c r="B140" s="12">
        <v>2426.067</v>
      </c>
      <c r="C140" s="12">
        <v>2621.3420000000001</v>
      </c>
      <c r="D140" s="12">
        <v>2968.42</v>
      </c>
      <c r="E140" s="12">
        <v>3252.893</v>
      </c>
      <c r="F140" s="12">
        <v>3355.3890000000001</v>
      </c>
      <c r="G140" s="12">
        <v>3454.9960000000001</v>
      </c>
      <c r="H140" s="12">
        <v>3583.7379999999998</v>
      </c>
      <c r="I140" s="12">
        <v>3720.614</v>
      </c>
      <c r="J140" s="12">
        <v>3869.8490000000002</v>
      </c>
      <c r="K140" s="12">
        <v>4036.6990000000001</v>
      </c>
      <c r="L140" s="12">
        <v>4220.3469999999998</v>
      </c>
      <c r="M140" s="12">
        <v>4412.8320000000003</v>
      </c>
      <c r="N140" s="12">
        <v>16615.436000000002</v>
      </c>
      <c r="O140" s="12">
        <v>36875.777000000002</v>
      </c>
    </row>
    <row r="141" spans="1:15" x14ac:dyDescent="0.35">
      <c r="A141" s="9" t="s">
        <v>443</v>
      </c>
      <c r="B141" s="12">
        <v>1708.9259999999999</v>
      </c>
      <c r="C141" s="12">
        <v>1758.6220000000001</v>
      </c>
      <c r="D141" s="12">
        <v>1840.2550000000001</v>
      </c>
      <c r="E141" s="12">
        <v>1915.35</v>
      </c>
      <c r="F141" s="12">
        <v>1989.9770000000001</v>
      </c>
      <c r="G141" s="12">
        <v>2071.8760000000002</v>
      </c>
      <c r="H141" s="12">
        <v>2155.48</v>
      </c>
      <c r="I141" s="12">
        <v>2241.7910000000002</v>
      </c>
      <c r="J141" s="12">
        <v>2329.39</v>
      </c>
      <c r="K141" s="12">
        <v>2418.5300000000002</v>
      </c>
      <c r="L141" s="12">
        <v>2510.3110000000001</v>
      </c>
      <c r="M141" s="12">
        <v>2605.1819999999998</v>
      </c>
      <c r="N141" s="12">
        <v>9972.9380000000001</v>
      </c>
      <c r="O141" s="12">
        <v>22078.142</v>
      </c>
    </row>
    <row r="142" spans="1:15" x14ac:dyDescent="0.35">
      <c r="A142" s="9" t="s">
        <v>444</v>
      </c>
      <c r="B142" s="12">
        <v>529.86699999999996</v>
      </c>
      <c r="C142" s="12">
        <v>523.68100000000004</v>
      </c>
      <c r="D142" s="12">
        <v>495.14699999999999</v>
      </c>
      <c r="E142" s="12">
        <v>468.97699999999998</v>
      </c>
      <c r="F142" s="12">
        <v>462.33800000000002</v>
      </c>
      <c r="G142" s="12">
        <v>452.81200000000001</v>
      </c>
      <c r="H142" s="12">
        <v>450.154</v>
      </c>
      <c r="I142" s="12">
        <v>455.77699999999999</v>
      </c>
      <c r="J142" s="12">
        <v>467.89699999999999</v>
      </c>
      <c r="K142" s="12">
        <v>493.13400000000001</v>
      </c>
      <c r="L142" s="12">
        <v>503.37799999999999</v>
      </c>
      <c r="M142" s="12">
        <v>517.11500000000001</v>
      </c>
      <c r="N142" s="12">
        <v>2329.4279999999999</v>
      </c>
      <c r="O142" s="12">
        <v>4766.7290000000003</v>
      </c>
    </row>
    <row r="143" spans="1:15" x14ac:dyDescent="0.35">
      <c r="A143" s="9" t="s">
        <v>429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x14ac:dyDescent="0.35">
      <c r="A144" s="25" t="s">
        <v>17</v>
      </c>
      <c r="B144" s="12">
        <v>101.435</v>
      </c>
      <c r="C144" s="12">
        <v>91.840999999999994</v>
      </c>
      <c r="D144" s="12">
        <v>97.257999999999996</v>
      </c>
      <c r="E144" s="12">
        <v>97.07</v>
      </c>
      <c r="F144" s="12">
        <v>95.424000000000007</v>
      </c>
      <c r="G144" s="12">
        <v>96.096000000000004</v>
      </c>
      <c r="H144" s="12">
        <v>96.950999999999993</v>
      </c>
      <c r="I144" s="12">
        <v>95.209000000000003</v>
      </c>
      <c r="J144" s="12">
        <v>95.295000000000002</v>
      </c>
      <c r="K144" s="12">
        <v>95.778999999999996</v>
      </c>
      <c r="L144" s="12">
        <v>95.177000000000007</v>
      </c>
      <c r="M144" s="12">
        <v>97.59</v>
      </c>
      <c r="N144" s="12">
        <v>482.79899999999998</v>
      </c>
      <c r="O144" s="12">
        <v>961.84900000000005</v>
      </c>
    </row>
    <row r="145" spans="1:15" x14ac:dyDescent="0.35">
      <c r="A145" s="25" t="s">
        <v>24</v>
      </c>
      <c r="B145" s="12">
        <v>3.1309999999999998</v>
      </c>
      <c r="C145" s="12">
        <v>5.7430000000000003</v>
      </c>
      <c r="D145" s="12">
        <v>7.4790000000000001</v>
      </c>
      <c r="E145" s="12">
        <v>8.5269999999999992</v>
      </c>
      <c r="F145" s="12">
        <v>10.417999999999999</v>
      </c>
      <c r="G145" s="12">
        <v>13.132999999999999</v>
      </c>
      <c r="H145" s="12">
        <v>60.585000000000001</v>
      </c>
      <c r="I145" s="12">
        <v>111.67100000000001</v>
      </c>
      <c r="J145" s="12">
        <v>127.24</v>
      </c>
      <c r="K145" s="12">
        <v>135.52000000000001</v>
      </c>
      <c r="L145" s="12">
        <v>145.34800000000001</v>
      </c>
      <c r="M145" s="12">
        <v>154.94300000000001</v>
      </c>
      <c r="N145" s="12">
        <v>100.142</v>
      </c>
      <c r="O145" s="12">
        <v>774.86400000000003</v>
      </c>
    </row>
    <row r="146" spans="1:15" x14ac:dyDescent="0.35">
      <c r="A146" s="25" t="s">
        <v>25</v>
      </c>
      <c r="B146" s="12">
        <v>77.037000000000006</v>
      </c>
      <c r="C146" s="12">
        <v>80.453999999999994</v>
      </c>
      <c r="D146" s="12">
        <v>83.641999999999996</v>
      </c>
      <c r="E146" s="12">
        <v>86.674999999999997</v>
      </c>
      <c r="F146" s="12">
        <v>89.11</v>
      </c>
      <c r="G146" s="12">
        <v>90.790999999999997</v>
      </c>
      <c r="H146" s="12">
        <v>92.488</v>
      </c>
      <c r="I146" s="12">
        <v>94.793000000000006</v>
      </c>
      <c r="J146" s="12">
        <v>97.293999999999997</v>
      </c>
      <c r="K146" s="12">
        <v>99.805999999999997</v>
      </c>
      <c r="L146" s="12">
        <v>102.33199999999999</v>
      </c>
      <c r="M146" s="12">
        <v>104.80500000000001</v>
      </c>
      <c r="N146" s="12">
        <v>442.70600000000002</v>
      </c>
      <c r="O146" s="12">
        <v>941.73599999999999</v>
      </c>
    </row>
    <row r="147" spans="1:15" x14ac:dyDescent="0.35">
      <c r="A147" s="25" t="s">
        <v>26</v>
      </c>
      <c r="B147" s="12">
        <v>31.616</v>
      </c>
      <c r="C147" s="12">
        <v>36.665999999999997</v>
      </c>
      <c r="D147" s="12">
        <v>38.630000000000003</v>
      </c>
      <c r="E147" s="12">
        <v>54.228999999999999</v>
      </c>
      <c r="F147" s="12">
        <v>56.19</v>
      </c>
      <c r="G147" s="12">
        <v>57.529000000000003</v>
      </c>
      <c r="H147" s="12">
        <v>59.793999999999997</v>
      </c>
      <c r="I147" s="12">
        <v>62.863</v>
      </c>
      <c r="J147" s="12">
        <v>66.626999999999995</v>
      </c>
      <c r="K147" s="12">
        <v>70.930000000000007</v>
      </c>
      <c r="L147" s="12">
        <v>75.563999999999993</v>
      </c>
      <c r="M147" s="12">
        <v>81.317999999999998</v>
      </c>
      <c r="N147" s="12">
        <v>266.37200000000001</v>
      </c>
      <c r="O147" s="12">
        <v>623.67399999999998</v>
      </c>
    </row>
    <row r="148" spans="1:15" x14ac:dyDescent="0.35">
      <c r="A148" s="25" t="s">
        <v>27</v>
      </c>
      <c r="B148" s="12">
        <v>40.024999999999999</v>
      </c>
      <c r="C148" s="12">
        <v>44.543999999999997</v>
      </c>
      <c r="D148" s="12">
        <v>49.509</v>
      </c>
      <c r="E148" s="12">
        <v>51.116</v>
      </c>
      <c r="F148" s="12">
        <v>49.555999999999997</v>
      </c>
      <c r="G148" s="12">
        <v>52.664999999999999</v>
      </c>
      <c r="H148" s="12">
        <v>50.307000000000002</v>
      </c>
      <c r="I148" s="12">
        <v>51.415999999999997</v>
      </c>
      <c r="J148" s="12">
        <v>52.756</v>
      </c>
      <c r="K148" s="12">
        <v>54.116999999999997</v>
      </c>
      <c r="L148" s="12">
        <v>55.829000000000001</v>
      </c>
      <c r="M148" s="12">
        <v>57.634</v>
      </c>
      <c r="N148" s="12">
        <v>253.15299999999999</v>
      </c>
      <c r="O148" s="12">
        <v>524.90499999999997</v>
      </c>
    </row>
    <row r="149" spans="1:15" x14ac:dyDescent="0.35">
      <c r="A149" s="26" t="s">
        <v>246</v>
      </c>
      <c r="B149" s="12">
        <v>253.244</v>
      </c>
      <c r="C149" s="12">
        <v>259.24799999999999</v>
      </c>
      <c r="D149" s="12">
        <v>276.51799999999997</v>
      </c>
      <c r="E149" s="12">
        <v>297.61700000000002</v>
      </c>
      <c r="F149" s="12">
        <v>300.69799999999998</v>
      </c>
      <c r="G149" s="12">
        <v>310.214</v>
      </c>
      <c r="H149" s="12">
        <v>360.125</v>
      </c>
      <c r="I149" s="12">
        <v>415.952</v>
      </c>
      <c r="J149" s="12">
        <v>439.21199999999999</v>
      </c>
      <c r="K149" s="12">
        <v>456.15199999999999</v>
      </c>
      <c r="L149" s="12">
        <v>474.25</v>
      </c>
      <c r="M149" s="12">
        <v>496.29</v>
      </c>
      <c r="N149" s="12">
        <v>1545.172</v>
      </c>
      <c r="O149" s="12">
        <v>3827.0279999999998</v>
      </c>
    </row>
    <row r="150" spans="1:15" x14ac:dyDescent="0.35">
      <c r="A150" s="9"/>
      <c r="B150" s="27" t="s">
        <v>445</v>
      </c>
      <c r="C150" s="27" t="s">
        <v>445</v>
      </c>
      <c r="D150" s="27" t="s">
        <v>445</v>
      </c>
      <c r="E150" s="27" t="s">
        <v>445</v>
      </c>
      <c r="F150" s="27" t="s">
        <v>445</v>
      </c>
      <c r="G150" s="27" t="s">
        <v>445</v>
      </c>
      <c r="H150" s="27" t="s">
        <v>445</v>
      </c>
      <c r="I150" s="27" t="s">
        <v>445</v>
      </c>
      <c r="J150" s="27" t="s">
        <v>445</v>
      </c>
      <c r="K150" s="27" t="s">
        <v>445</v>
      </c>
      <c r="L150" s="27" t="s">
        <v>445</v>
      </c>
      <c r="M150" s="27" t="s">
        <v>445</v>
      </c>
      <c r="N150" s="27" t="s">
        <v>446</v>
      </c>
      <c r="O150" s="27" t="s">
        <v>446</v>
      </c>
    </row>
    <row r="151" spans="1:15" x14ac:dyDescent="0.35">
      <c r="A151" s="28" t="s">
        <v>2</v>
      </c>
      <c r="B151" s="17">
        <v>4918.1040000000003</v>
      </c>
      <c r="C151" s="17">
        <v>5162.893</v>
      </c>
      <c r="D151" s="17">
        <v>5580.34</v>
      </c>
      <c r="E151" s="17">
        <v>5934.8370000000004</v>
      </c>
      <c r="F151" s="17">
        <v>6108.402</v>
      </c>
      <c r="G151" s="17">
        <v>6289.8980000000001</v>
      </c>
      <c r="H151" s="17">
        <v>6549.4970000000003</v>
      </c>
      <c r="I151" s="17">
        <v>6834.134</v>
      </c>
      <c r="J151" s="17">
        <v>7106.348</v>
      </c>
      <c r="K151" s="17">
        <v>7404.5150000000003</v>
      </c>
      <c r="L151" s="17">
        <v>7708.2860000000001</v>
      </c>
      <c r="M151" s="17">
        <v>8031.4189999999999</v>
      </c>
      <c r="N151" s="17">
        <v>30462.973999999998</v>
      </c>
      <c r="O151" s="17">
        <v>67547.676000000007</v>
      </c>
    </row>
    <row r="152" spans="1:15" x14ac:dyDescent="0.35">
      <c r="A152" s="26" t="s">
        <v>249</v>
      </c>
      <c r="B152" s="12">
        <v>3658.221</v>
      </c>
      <c r="C152" s="12">
        <v>3858.9690000000001</v>
      </c>
      <c r="D152" s="12">
        <v>4216.6679999999997</v>
      </c>
      <c r="E152" s="12">
        <v>4516.393</v>
      </c>
      <c r="F152" s="12">
        <v>4636.8469999999998</v>
      </c>
      <c r="G152" s="12">
        <v>4759.8310000000001</v>
      </c>
      <c r="H152" s="12">
        <v>4958.6409999999996</v>
      </c>
      <c r="I152" s="12">
        <v>5180.2700000000004</v>
      </c>
      <c r="J152" s="12">
        <v>5388.7120000000004</v>
      </c>
      <c r="K152" s="12">
        <v>5622.643</v>
      </c>
      <c r="L152" s="12">
        <v>5860.03</v>
      </c>
      <c r="M152" s="12">
        <v>6114.2550000000001</v>
      </c>
      <c r="N152" s="12">
        <v>23088.38</v>
      </c>
      <c r="O152" s="12">
        <v>51254.29</v>
      </c>
    </row>
    <row r="153" spans="1:15" x14ac:dyDescent="0.35">
      <c r="A153" s="26" t="s">
        <v>430</v>
      </c>
      <c r="B153" s="12">
        <v>1259.883</v>
      </c>
      <c r="C153" s="12">
        <v>1303.924</v>
      </c>
      <c r="D153" s="12">
        <v>1363.672</v>
      </c>
      <c r="E153" s="12">
        <v>1418.444</v>
      </c>
      <c r="F153" s="12">
        <v>1471.5550000000001</v>
      </c>
      <c r="G153" s="12">
        <v>1530.067</v>
      </c>
      <c r="H153" s="12">
        <v>1590.856</v>
      </c>
      <c r="I153" s="12">
        <v>1653.864</v>
      </c>
      <c r="J153" s="12">
        <v>1717.636</v>
      </c>
      <c r="K153" s="12">
        <v>1781.8720000000001</v>
      </c>
      <c r="L153" s="12">
        <v>1848.2560000000001</v>
      </c>
      <c r="M153" s="12">
        <v>1917.164</v>
      </c>
      <c r="N153" s="12">
        <v>7374.5940000000001</v>
      </c>
      <c r="O153" s="12">
        <v>16293.386</v>
      </c>
    </row>
    <row r="154" spans="1:15" x14ac:dyDescent="0.35">
      <c r="A154" s="9"/>
    </row>
    <row r="155" spans="1:15" x14ac:dyDescent="0.35">
      <c r="A155" s="15" t="s">
        <v>228</v>
      </c>
    </row>
    <row r="156" spans="1:15" x14ac:dyDescent="0.35">
      <c r="A156" s="9" t="s">
        <v>447</v>
      </c>
      <c r="B156" s="29">
        <v>28823.025000000001</v>
      </c>
      <c r="C156" s="29">
        <v>30136.145</v>
      </c>
      <c r="D156" s="29">
        <v>31341.325000000001</v>
      </c>
      <c r="E156" s="29">
        <v>32538.067999999999</v>
      </c>
      <c r="F156" s="29">
        <v>33764.525000000001</v>
      </c>
      <c r="G156" s="29">
        <v>35047.148000000001</v>
      </c>
      <c r="H156" s="29">
        <v>36393.743000000002</v>
      </c>
      <c r="I156" s="29">
        <v>37792.095000000001</v>
      </c>
      <c r="J156" s="29">
        <v>39252.438000000002</v>
      </c>
      <c r="K156" s="29">
        <v>40767.864999999998</v>
      </c>
      <c r="L156" s="29">
        <v>42330.434999999998</v>
      </c>
      <c r="M156" s="29">
        <v>43936.487999999998</v>
      </c>
      <c r="N156" s="29">
        <v>169084.80799999999</v>
      </c>
      <c r="O156" s="29">
        <v>373164.12800000003</v>
      </c>
    </row>
    <row r="157" spans="1:15" x14ac:dyDescent="0.35">
      <c r="A157" s="9" t="s">
        <v>448</v>
      </c>
      <c r="B157" s="29">
        <v>29016.6</v>
      </c>
      <c r="C157" s="29">
        <v>30235.34</v>
      </c>
      <c r="D157" s="29">
        <v>31346.432000000001</v>
      </c>
      <c r="E157" s="29">
        <v>32516.307000000001</v>
      </c>
      <c r="F157" s="29">
        <v>33734.480000000003</v>
      </c>
      <c r="G157" s="29">
        <v>35013.902000000002</v>
      </c>
      <c r="H157" s="29">
        <v>36358.650999999998</v>
      </c>
      <c r="I157" s="29">
        <v>37755.499000000003</v>
      </c>
      <c r="J157" s="29">
        <v>39214.383999999998</v>
      </c>
      <c r="K157" s="29">
        <v>40728.33</v>
      </c>
      <c r="L157" s="29">
        <v>42289.381999999998</v>
      </c>
      <c r="M157" s="29">
        <v>43893.875999999997</v>
      </c>
      <c r="N157" s="29">
        <v>168969.772</v>
      </c>
      <c r="O157" s="29">
        <v>372851.24300000002</v>
      </c>
    </row>
    <row r="158" spans="1:15" x14ac:dyDescent="0.35">
      <c r="D158" s="18"/>
    </row>
    <row r="159" spans="1:15" x14ac:dyDescent="0.35">
      <c r="B159" s="216" t="s">
        <v>449</v>
      </c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</row>
    <row r="160" spans="1:15" x14ac:dyDescent="0.35">
      <c r="A160" s="9" t="s">
        <v>442</v>
      </c>
      <c r="B160" s="19">
        <v>8.4169999999999998</v>
      </c>
      <c r="C160" s="19">
        <v>8.6980000000000004</v>
      </c>
      <c r="D160" s="19">
        <v>9.4710000000000001</v>
      </c>
      <c r="E160" s="19">
        <v>9.9969999999999999</v>
      </c>
      <c r="F160" s="19">
        <v>9.9380000000000006</v>
      </c>
      <c r="G160" s="19">
        <v>9.8580000000000005</v>
      </c>
      <c r="H160" s="19">
        <v>9.8469999999999995</v>
      </c>
      <c r="I160" s="19">
        <v>9.8450000000000006</v>
      </c>
      <c r="J160" s="19">
        <v>9.859</v>
      </c>
      <c r="K160" s="19">
        <v>9.9019999999999992</v>
      </c>
      <c r="L160" s="19">
        <v>9.9700000000000006</v>
      </c>
      <c r="M160" s="19">
        <v>10.044</v>
      </c>
      <c r="N160" s="19">
        <v>9.827</v>
      </c>
      <c r="O160" s="19">
        <v>9.8819999999999997</v>
      </c>
    </row>
    <row r="161" spans="1:15" x14ac:dyDescent="0.35">
      <c r="A161" s="9" t="s">
        <v>443</v>
      </c>
      <c r="B161" s="19">
        <v>5.9290000000000003</v>
      </c>
      <c r="C161" s="19">
        <v>5.8360000000000003</v>
      </c>
      <c r="D161" s="19">
        <v>5.8719999999999999</v>
      </c>
      <c r="E161" s="19">
        <v>5.8860000000000001</v>
      </c>
      <c r="F161" s="19">
        <v>5.8940000000000001</v>
      </c>
      <c r="G161" s="19">
        <v>5.9119999999999999</v>
      </c>
      <c r="H161" s="19">
        <v>5.923</v>
      </c>
      <c r="I161" s="19">
        <v>5.9320000000000004</v>
      </c>
      <c r="J161" s="19">
        <v>5.9340000000000002</v>
      </c>
      <c r="K161" s="19">
        <v>5.9320000000000004</v>
      </c>
      <c r="L161" s="19">
        <v>5.93</v>
      </c>
      <c r="M161" s="19">
        <v>5.9290000000000003</v>
      </c>
      <c r="N161" s="19">
        <v>5.8979999999999997</v>
      </c>
      <c r="O161" s="19">
        <v>5.9160000000000004</v>
      </c>
    </row>
    <row r="162" spans="1:15" x14ac:dyDescent="0.35">
      <c r="A162" s="9" t="s">
        <v>444</v>
      </c>
      <c r="B162" s="19">
        <v>1.8380000000000001</v>
      </c>
      <c r="C162" s="19">
        <v>1.738</v>
      </c>
      <c r="D162" s="19">
        <v>1.58</v>
      </c>
      <c r="E162" s="19">
        <v>1.4410000000000001</v>
      </c>
      <c r="F162" s="19">
        <v>1.369</v>
      </c>
      <c r="G162" s="19">
        <v>1.292</v>
      </c>
      <c r="H162" s="19">
        <v>1.2370000000000001</v>
      </c>
      <c r="I162" s="19">
        <v>1.206</v>
      </c>
      <c r="J162" s="19">
        <v>1.1919999999999999</v>
      </c>
      <c r="K162" s="19">
        <v>1.21</v>
      </c>
      <c r="L162" s="19">
        <v>1.1890000000000001</v>
      </c>
      <c r="M162" s="19">
        <v>1.177</v>
      </c>
      <c r="N162" s="19">
        <v>1.3779999999999999</v>
      </c>
      <c r="O162" s="19">
        <v>1.2769999999999999</v>
      </c>
    </row>
    <row r="163" spans="1:15" x14ac:dyDescent="0.35">
      <c r="A163" s="9" t="s">
        <v>429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</row>
    <row r="164" spans="1:15" x14ac:dyDescent="0.35">
      <c r="A164" s="25" t="s">
        <v>17</v>
      </c>
      <c r="B164" s="19">
        <v>0.35199999999999998</v>
      </c>
      <c r="C164" s="19">
        <v>0.30499999999999999</v>
      </c>
      <c r="D164" s="19">
        <v>0.31</v>
      </c>
      <c r="E164" s="19">
        <v>0.29799999999999999</v>
      </c>
      <c r="F164" s="19">
        <v>0.28299999999999997</v>
      </c>
      <c r="G164" s="19">
        <v>0.27400000000000002</v>
      </c>
      <c r="H164" s="19">
        <v>0.26600000000000001</v>
      </c>
      <c r="I164" s="19">
        <v>0.252</v>
      </c>
      <c r="J164" s="19">
        <v>0.24299999999999999</v>
      </c>
      <c r="K164" s="19">
        <v>0.23499999999999999</v>
      </c>
      <c r="L164" s="19">
        <v>0.22500000000000001</v>
      </c>
      <c r="M164" s="19">
        <v>0.222</v>
      </c>
      <c r="N164" s="19">
        <v>0.28599999999999998</v>
      </c>
      <c r="O164" s="19">
        <v>0.25800000000000001</v>
      </c>
    </row>
    <row r="165" spans="1:15" x14ac:dyDescent="0.35">
      <c r="A165" s="25" t="s">
        <v>24</v>
      </c>
      <c r="B165" s="19">
        <v>1.0999999999999999E-2</v>
      </c>
      <c r="C165" s="19">
        <v>1.9E-2</v>
      </c>
      <c r="D165" s="19">
        <v>2.4E-2</v>
      </c>
      <c r="E165" s="19">
        <v>2.5999999999999999E-2</v>
      </c>
      <c r="F165" s="19">
        <v>3.1E-2</v>
      </c>
      <c r="G165" s="19">
        <v>3.6999999999999998E-2</v>
      </c>
      <c r="H165" s="19">
        <v>0.16600000000000001</v>
      </c>
      <c r="I165" s="19">
        <v>0.29499999999999998</v>
      </c>
      <c r="J165" s="19">
        <v>0.32400000000000001</v>
      </c>
      <c r="K165" s="19">
        <v>0.33200000000000002</v>
      </c>
      <c r="L165" s="19">
        <v>0.34300000000000003</v>
      </c>
      <c r="M165" s="19">
        <v>0.35299999999999998</v>
      </c>
      <c r="N165" s="19">
        <v>5.8999999999999997E-2</v>
      </c>
      <c r="O165" s="19">
        <v>0.20799999999999999</v>
      </c>
    </row>
    <row r="166" spans="1:15" x14ac:dyDescent="0.35">
      <c r="A166" s="25" t="s">
        <v>25</v>
      </c>
      <c r="B166" s="19">
        <v>0.26700000000000002</v>
      </c>
      <c r="C166" s="19">
        <v>0.26700000000000002</v>
      </c>
      <c r="D166" s="19">
        <v>0.26700000000000002</v>
      </c>
      <c r="E166" s="19">
        <v>0.26600000000000001</v>
      </c>
      <c r="F166" s="19">
        <v>0.26400000000000001</v>
      </c>
      <c r="G166" s="19">
        <v>0.25900000000000001</v>
      </c>
      <c r="H166" s="19">
        <v>0.254</v>
      </c>
      <c r="I166" s="19">
        <v>0.251</v>
      </c>
      <c r="J166" s="19">
        <v>0.248</v>
      </c>
      <c r="K166" s="19">
        <v>0.245</v>
      </c>
      <c r="L166" s="19">
        <v>0.24199999999999999</v>
      </c>
      <c r="M166" s="19">
        <v>0.23899999999999999</v>
      </c>
      <c r="N166" s="19">
        <v>0.26200000000000001</v>
      </c>
      <c r="O166" s="19">
        <v>0.252</v>
      </c>
    </row>
    <row r="167" spans="1:15" x14ac:dyDescent="0.35">
      <c r="A167" s="25" t="s">
        <v>26</v>
      </c>
      <c r="B167" s="19">
        <v>0.11</v>
      </c>
      <c r="C167" s="19">
        <v>0.122</v>
      </c>
      <c r="D167" s="19">
        <v>0.123</v>
      </c>
      <c r="E167" s="19">
        <v>0.16700000000000001</v>
      </c>
      <c r="F167" s="19">
        <v>0.16600000000000001</v>
      </c>
      <c r="G167" s="19">
        <v>0.16400000000000001</v>
      </c>
      <c r="H167" s="19">
        <v>0.16400000000000001</v>
      </c>
      <c r="I167" s="19">
        <v>0.16600000000000001</v>
      </c>
      <c r="J167" s="19">
        <v>0.17</v>
      </c>
      <c r="K167" s="19">
        <v>0.17399999999999999</v>
      </c>
      <c r="L167" s="19">
        <v>0.17899999999999999</v>
      </c>
      <c r="M167" s="19">
        <v>0.185</v>
      </c>
      <c r="N167" s="19">
        <v>0.158</v>
      </c>
      <c r="O167" s="19">
        <v>0.16700000000000001</v>
      </c>
    </row>
    <row r="168" spans="1:15" x14ac:dyDescent="0.35">
      <c r="A168" s="25" t="s">
        <v>27</v>
      </c>
      <c r="B168" s="19">
        <v>0.13900000000000001</v>
      </c>
      <c r="C168" s="19">
        <v>0.14799999999999999</v>
      </c>
      <c r="D168" s="19">
        <v>0.158</v>
      </c>
      <c r="E168" s="19">
        <v>0.157</v>
      </c>
      <c r="F168" s="19">
        <v>0.14699999999999999</v>
      </c>
      <c r="G168" s="19">
        <v>0.15</v>
      </c>
      <c r="H168" s="19">
        <v>0.13800000000000001</v>
      </c>
      <c r="I168" s="19">
        <v>0.13600000000000001</v>
      </c>
      <c r="J168" s="19">
        <v>0.13400000000000001</v>
      </c>
      <c r="K168" s="19">
        <v>0.13300000000000001</v>
      </c>
      <c r="L168" s="19">
        <v>0.13200000000000001</v>
      </c>
      <c r="M168" s="19">
        <v>0.13100000000000001</v>
      </c>
      <c r="N168" s="19">
        <v>0.15</v>
      </c>
      <c r="O168" s="19">
        <v>0.14099999999999999</v>
      </c>
    </row>
    <row r="169" spans="1:15" x14ac:dyDescent="0.35">
      <c r="A169" s="26" t="s">
        <v>246</v>
      </c>
      <c r="B169" s="19">
        <v>0.879</v>
      </c>
      <c r="C169" s="19">
        <v>0.86</v>
      </c>
      <c r="D169" s="19">
        <v>0.88200000000000001</v>
      </c>
      <c r="E169" s="19">
        <v>0.91500000000000004</v>
      </c>
      <c r="F169" s="19">
        <v>0.89100000000000001</v>
      </c>
      <c r="G169" s="19">
        <v>0.88500000000000001</v>
      </c>
      <c r="H169" s="19">
        <v>0.99</v>
      </c>
      <c r="I169" s="19">
        <v>1.101</v>
      </c>
      <c r="J169" s="19">
        <v>1.119</v>
      </c>
      <c r="K169" s="19">
        <v>1.119</v>
      </c>
      <c r="L169" s="19">
        <v>1.1200000000000001</v>
      </c>
      <c r="M169" s="19">
        <v>1.1299999999999999</v>
      </c>
      <c r="N169" s="19">
        <v>0.91400000000000003</v>
      </c>
      <c r="O169" s="19">
        <v>1.026</v>
      </c>
    </row>
    <row r="170" spans="1:15" x14ac:dyDescent="0.35">
      <c r="A170" s="9"/>
      <c r="B170" s="27" t="s">
        <v>445</v>
      </c>
      <c r="C170" s="27" t="s">
        <v>445</v>
      </c>
      <c r="D170" s="27" t="s">
        <v>445</v>
      </c>
      <c r="E170" s="27" t="s">
        <v>445</v>
      </c>
      <c r="F170" s="27" t="s">
        <v>445</v>
      </c>
      <c r="G170" s="27" t="s">
        <v>445</v>
      </c>
      <c r="H170" s="27" t="s">
        <v>445</v>
      </c>
      <c r="I170" s="27" t="s">
        <v>445</v>
      </c>
      <c r="J170" s="27" t="s">
        <v>445</v>
      </c>
      <c r="K170" s="27" t="s">
        <v>445</v>
      </c>
      <c r="L170" s="27" t="s">
        <v>445</v>
      </c>
      <c r="M170" s="27" t="s">
        <v>445</v>
      </c>
      <c r="N170" s="27" t="s">
        <v>446</v>
      </c>
      <c r="O170" s="27" t="s">
        <v>446</v>
      </c>
    </row>
    <row r="171" spans="1:15" x14ac:dyDescent="0.35">
      <c r="A171" s="28" t="s">
        <v>2</v>
      </c>
      <c r="B171" s="21">
        <v>17.062999999999999</v>
      </c>
      <c r="C171" s="21">
        <v>17.132000000000001</v>
      </c>
      <c r="D171" s="21">
        <v>17.805</v>
      </c>
      <c r="E171" s="21">
        <v>18.239999999999998</v>
      </c>
      <c r="F171" s="21">
        <v>18.091000000000001</v>
      </c>
      <c r="G171" s="21">
        <v>17.946999999999999</v>
      </c>
      <c r="H171" s="21">
        <v>17.995999999999999</v>
      </c>
      <c r="I171" s="21">
        <v>18.084</v>
      </c>
      <c r="J171" s="21">
        <v>18.103999999999999</v>
      </c>
      <c r="K171" s="21">
        <v>18.163</v>
      </c>
      <c r="L171" s="21">
        <v>18.21</v>
      </c>
      <c r="M171" s="21">
        <v>18.28</v>
      </c>
      <c r="N171" s="21">
        <v>18.015999999999998</v>
      </c>
      <c r="O171" s="21">
        <v>18.100999999999999</v>
      </c>
    </row>
    <row r="172" spans="1:15" x14ac:dyDescent="0.35">
      <c r="A172" s="26" t="s">
        <v>249</v>
      </c>
      <c r="B172" s="19">
        <v>12.692</v>
      </c>
      <c r="C172" s="19">
        <v>12.805</v>
      </c>
      <c r="D172" s="19">
        <v>13.454000000000001</v>
      </c>
      <c r="E172" s="19">
        <v>13.88</v>
      </c>
      <c r="F172" s="19">
        <v>13.733000000000001</v>
      </c>
      <c r="G172" s="19">
        <v>13.581</v>
      </c>
      <c r="H172" s="19">
        <v>13.625</v>
      </c>
      <c r="I172" s="19">
        <v>13.707000000000001</v>
      </c>
      <c r="J172" s="19">
        <v>13.728</v>
      </c>
      <c r="K172" s="19">
        <v>13.792</v>
      </c>
      <c r="L172" s="19">
        <v>13.843999999999999</v>
      </c>
      <c r="M172" s="19">
        <v>13.916</v>
      </c>
      <c r="N172" s="19">
        <v>13.654999999999999</v>
      </c>
      <c r="O172" s="19">
        <v>13.734999999999999</v>
      </c>
    </row>
    <row r="173" spans="1:15" x14ac:dyDescent="0.35">
      <c r="A173" s="30" t="s">
        <v>430</v>
      </c>
      <c r="B173" s="22">
        <v>4.3710000000000004</v>
      </c>
      <c r="C173" s="22">
        <v>4.327</v>
      </c>
      <c r="D173" s="22">
        <v>4.351</v>
      </c>
      <c r="E173" s="22">
        <v>4.359</v>
      </c>
      <c r="F173" s="22">
        <v>4.3579999999999997</v>
      </c>
      <c r="G173" s="22">
        <v>4.3659999999999997</v>
      </c>
      <c r="H173" s="22">
        <v>4.3710000000000004</v>
      </c>
      <c r="I173" s="22">
        <v>4.3760000000000003</v>
      </c>
      <c r="J173" s="22">
        <v>4.3760000000000003</v>
      </c>
      <c r="K173" s="22">
        <v>4.3710000000000004</v>
      </c>
      <c r="L173" s="22">
        <v>4.3659999999999997</v>
      </c>
      <c r="M173" s="22">
        <v>4.3630000000000004</v>
      </c>
      <c r="N173" s="22">
        <v>4.3609999999999998</v>
      </c>
      <c r="O173" s="22">
        <v>4.3659999999999997</v>
      </c>
    </row>
    <row r="180" spans="1:15" x14ac:dyDescent="0.35">
      <c r="A180" s="5" t="s">
        <v>424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</row>
    <row r="181" spans="1:15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213" t="s">
        <v>2</v>
      </c>
      <c r="O183" s="213"/>
    </row>
    <row r="184" spans="1:15" ht="28.5" x14ac:dyDescent="0.35">
      <c r="A184" s="7"/>
      <c r="B184" s="10" t="s">
        <v>219</v>
      </c>
      <c r="C184" s="7">
        <v>2026</v>
      </c>
      <c r="D184" s="7">
        <v>2027</v>
      </c>
      <c r="E184" s="7">
        <v>2028</v>
      </c>
      <c r="F184" s="7">
        <v>2029</v>
      </c>
      <c r="G184" s="7">
        <v>2030</v>
      </c>
      <c r="H184" s="7">
        <v>2031</v>
      </c>
      <c r="I184" s="7">
        <v>2032</v>
      </c>
      <c r="J184" s="7">
        <v>2033</v>
      </c>
      <c r="K184" s="7">
        <v>2034</v>
      </c>
      <c r="L184" s="7">
        <v>2035</v>
      </c>
      <c r="M184" s="7">
        <v>2036</v>
      </c>
      <c r="N184" s="10" t="s">
        <v>242</v>
      </c>
      <c r="O184" s="10" t="s">
        <v>243</v>
      </c>
    </row>
    <row r="185" spans="1:15" x14ac:dyDescent="0.35">
      <c r="A185" s="9"/>
      <c r="B185" s="214" t="s">
        <v>226</v>
      </c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</row>
    <row r="186" spans="1:15" x14ac:dyDescent="0.35">
      <c r="A186" s="9" t="s">
        <v>442</v>
      </c>
      <c r="B186" s="12">
        <v>2656.0439999999999</v>
      </c>
      <c r="C186" s="12">
        <v>2751.2910000000006</v>
      </c>
      <c r="D186" s="12">
        <v>2947.0250000000005</v>
      </c>
      <c r="E186" s="12">
        <v>3044.1740000000004</v>
      </c>
      <c r="F186" s="12">
        <v>3193.3230000000003</v>
      </c>
      <c r="G186" s="12">
        <v>3338.9790000000003</v>
      </c>
      <c r="H186" s="12">
        <v>3461.0529999999999</v>
      </c>
      <c r="I186" s="12">
        <v>3594.393</v>
      </c>
      <c r="J186" s="12">
        <v>3743.8540000000003</v>
      </c>
      <c r="K186" s="12">
        <v>3902.6089999999999</v>
      </c>
      <c r="L186" s="12">
        <v>4071.9090000000006</v>
      </c>
      <c r="M186" s="12">
        <v>4248.9979999999996</v>
      </c>
      <c r="N186" s="12">
        <v>15984.554</v>
      </c>
      <c r="O186" s="12">
        <v>35546.316999999995</v>
      </c>
    </row>
    <row r="187" spans="1:15" x14ac:dyDescent="0.35">
      <c r="A187" s="9" t="s">
        <v>443</v>
      </c>
      <c r="B187" s="12">
        <v>1748.2939999999999</v>
      </c>
      <c r="C187" s="12">
        <v>1825.5730000000001</v>
      </c>
      <c r="D187" s="12">
        <v>1896.664</v>
      </c>
      <c r="E187" s="12">
        <v>1970.1610000000003</v>
      </c>
      <c r="F187" s="12">
        <v>2048.4659999999999</v>
      </c>
      <c r="G187" s="12">
        <v>2131.5569999999998</v>
      </c>
      <c r="H187" s="12">
        <v>2216.3049999999998</v>
      </c>
      <c r="I187" s="12">
        <v>2301.5560000000005</v>
      </c>
      <c r="J187" s="12">
        <v>2388.5619999999999</v>
      </c>
      <c r="K187" s="12">
        <v>2477.672</v>
      </c>
      <c r="L187" s="12">
        <v>2570.0090000000009</v>
      </c>
      <c r="M187" s="12">
        <v>2666.0660000000003</v>
      </c>
      <c r="N187" s="12">
        <v>10263.153</v>
      </c>
      <c r="O187" s="12">
        <v>22667.018</v>
      </c>
    </row>
    <row r="188" spans="1:15" x14ac:dyDescent="0.35">
      <c r="A188" s="9" t="s">
        <v>444</v>
      </c>
      <c r="B188" s="12">
        <v>452.089</v>
      </c>
      <c r="C188" s="12">
        <v>403.97900000000004</v>
      </c>
      <c r="D188" s="12">
        <v>419.298</v>
      </c>
      <c r="E188" s="12">
        <v>432.53400000000005</v>
      </c>
      <c r="F188" s="12">
        <v>451.5390000000001</v>
      </c>
      <c r="G188" s="12">
        <v>477.34000000000003</v>
      </c>
      <c r="H188" s="12">
        <v>493.46500000000009</v>
      </c>
      <c r="I188" s="12">
        <v>509.96200000000005</v>
      </c>
      <c r="J188" s="12">
        <v>525.92300000000012</v>
      </c>
      <c r="K188" s="12">
        <v>539.06700000000001</v>
      </c>
      <c r="L188" s="12">
        <v>551.90600000000018</v>
      </c>
      <c r="M188" s="12">
        <v>575.64499999999998</v>
      </c>
      <c r="N188" s="12">
        <v>2274.1760000000004</v>
      </c>
      <c r="O188" s="12">
        <v>4976.6790000000001</v>
      </c>
    </row>
    <row r="189" spans="1:15" x14ac:dyDescent="0.35">
      <c r="A189" s="9" t="s">
        <v>25</v>
      </c>
      <c r="B189" s="12">
        <v>194.86599999999999</v>
      </c>
      <c r="C189" s="12">
        <v>418.38799999999998</v>
      </c>
      <c r="D189" s="12">
        <v>421.10300000000001</v>
      </c>
      <c r="E189" s="12">
        <v>423.58999999999992</v>
      </c>
      <c r="F189" s="12">
        <v>417.45800000000003</v>
      </c>
      <c r="G189" s="12">
        <v>412.42700000000002</v>
      </c>
      <c r="H189" s="12">
        <v>405.24200000000002</v>
      </c>
      <c r="I189" s="12">
        <v>389.30700000000002</v>
      </c>
      <c r="J189" s="12">
        <v>382.30699999999996</v>
      </c>
      <c r="K189" s="12">
        <v>381.59199999999998</v>
      </c>
      <c r="L189" s="12">
        <v>390.09800000000001</v>
      </c>
      <c r="M189" s="12">
        <v>402.35599999999999</v>
      </c>
      <c r="N189" s="12">
        <v>2079.8200000000002</v>
      </c>
      <c r="O189" s="12">
        <v>4025.4800000000005</v>
      </c>
    </row>
    <row r="190" spans="1:15" x14ac:dyDescent="0.35">
      <c r="A190" s="9" t="s">
        <v>429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35">
      <c r="A191" s="25" t="s">
        <v>17</v>
      </c>
      <c r="B191" s="12">
        <v>105.93600000000001</v>
      </c>
      <c r="C191" s="12">
        <v>108.34399999999999</v>
      </c>
      <c r="D191" s="12">
        <v>108.196</v>
      </c>
      <c r="E191" s="12">
        <v>106.72200000000001</v>
      </c>
      <c r="F191" s="12">
        <v>108.02800000000001</v>
      </c>
      <c r="G191" s="12">
        <v>110.01299999999999</v>
      </c>
      <c r="H191" s="12">
        <v>109.556</v>
      </c>
      <c r="I191" s="12">
        <v>110.831</v>
      </c>
      <c r="J191" s="12">
        <v>112.44999999999999</v>
      </c>
      <c r="K191" s="12">
        <v>112.929</v>
      </c>
      <c r="L191" s="12">
        <v>116.393</v>
      </c>
      <c r="M191" s="12">
        <v>118.642</v>
      </c>
      <c r="N191" s="12">
        <v>542.51499999999999</v>
      </c>
      <c r="O191" s="12">
        <v>1113.76</v>
      </c>
    </row>
    <row r="192" spans="1:15" x14ac:dyDescent="0.35">
      <c r="A192" s="25" t="s">
        <v>24</v>
      </c>
      <c r="B192" s="12">
        <v>5.49</v>
      </c>
      <c r="C192" s="12">
        <v>7.8529999999999989</v>
      </c>
      <c r="D192" s="12">
        <v>8.5569999999999986</v>
      </c>
      <c r="E192" s="12">
        <v>9.1580000000000013</v>
      </c>
      <c r="F192" s="12">
        <v>14.822000000000008</v>
      </c>
      <c r="G192" s="12">
        <v>37.887000000000008</v>
      </c>
      <c r="H192" s="12">
        <v>93.911999999999992</v>
      </c>
      <c r="I192" s="12">
        <v>129.70699999999999</v>
      </c>
      <c r="J192" s="12">
        <v>140.53399999999999</v>
      </c>
      <c r="K192" s="12">
        <v>152.88300000000001</v>
      </c>
      <c r="L192" s="12">
        <v>164.50799999999998</v>
      </c>
      <c r="M192" s="12">
        <v>176.40199999999999</v>
      </c>
      <c r="N192" s="12">
        <v>164.33600000000001</v>
      </c>
      <c r="O192" s="12">
        <v>928.37000000000012</v>
      </c>
    </row>
    <row r="193" spans="1:15" x14ac:dyDescent="0.35">
      <c r="A193" s="25" t="s">
        <v>26</v>
      </c>
      <c r="B193" s="12">
        <v>29.461999999999996</v>
      </c>
      <c r="C193" s="12">
        <v>36.405000000000001</v>
      </c>
      <c r="D193" s="12">
        <v>35.206999999999994</v>
      </c>
      <c r="E193" s="12">
        <v>35.860999999999997</v>
      </c>
      <c r="F193" s="12">
        <v>35.609000000000002</v>
      </c>
      <c r="G193" s="12">
        <v>36.166000000000004</v>
      </c>
      <c r="H193" s="12">
        <v>37.441000000000003</v>
      </c>
      <c r="I193" s="12">
        <v>39.227999999999994</v>
      </c>
      <c r="J193" s="12">
        <v>41.391000000000005</v>
      </c>
      <c r="K193" s="12">
        <v>43.98899999999999</v>
      </c>
      <c r="L193" s="12">
        <v>47.152000000000015</v>
      </c>
      <c r="M193" s="12">
        <v>50.675000000000004</v>
      </c>
      <c r="N193" s="12">
        <v>180.28399999999999</v>
      </c>
      <c r="O193" s="12">
        <v>402.71899999999999</v>
      </c>
    </row>
    <row r="194" spans="1:15" ht="17" x14ac:dyDescent="0.6">
      <c r="A194" s="25" t="s">
        <v>27</v>
      </c>
      <c r="B194" s="14">
        <v>42.435000000000002</v>
      </c>
      <c r="C194" s="14">
        <v>44.082999999999991</v>
      </c>
      <c r="D194" s="14">
        <v>49.147999999999996</v>
      </c>
      <c r="E194" s="14">
        <v>49.268000000000001</v>
      </c>
      <c r="F194" s="14">
        <v>50.54399999999999</v>
      </c>
      <c r="G194" s="14">
        <v>50.629999999999995</v>
      </c>
      <c r="H194" s="14">
        <v>52.519000000000005</v>
      </c>
      <c r="I194" s="14">
        <v>54.698000000000008</v>
      </c>
      <c r="J194" s="14">
        <v>56.454999999999998</v>
      </c>
      <c r="K194" s="14">
        <v>58.182000000000002</v>
      </c>
      <c r="L194" s="14">
        <v>59.887999999999998</v>
      </c>
      <c r="M194" s="14">
        <v>61.971000000000004</v>
      </c>
      <c r="N194" s="14">
        <v>252.10899999999998</v>
      </c>
      <c r="O194" s="14">
        <v>543.303</v>
      </c>
    </row>
    <row r="195" spans="1:15" x14ac:dyDescent="0.35">
      <c r="A195" s="26" t="s">
        <v>246</v>
      </c>
      <c r="B195" s="12">
        <v>183.32300000000001</v>
      </c>
      <c r="C195" s="12">
        <v>196.68499999999997</v>
      </c>
      <c r="D195" s="12">
        <v>201.10799999999998</v>
      </c>
      <c r="E195" s="12">
        <v>201.00900000000001</v>
      </c>
      <c r="F195" s="12">
        <v>209.00299999999999</v>
      </c>
      <c r="G195" s="12">
        <v>234.696</v>
      </c>
      <c r="H195" s="12">
        <v>293.428</v>
      </c>
      <c r="I195" s="12">
        <v>334.46400000000006</v>
      </c>
      <c r="J195" s="12">
        <v>350.83</v>
      </c>
      <c r="K195" s="12">
        <v>367.983</v>
      </c>
      <c r="L195" s="12">
        <v>387.94099999999997</v>
      </c>
      <c r="M195" s="12">
        <v>407.69</v>
      </c>
      <c r="N195" s="12">
        <v>1139.2439999999999</v>
      </c>
      <c r="O195" s="12">
        <v>2988.152</v>
      </c>
    </row>
    <row r="196" spans="1:15" x14ac:dyDescent="0.35">
      <c r="A196" s="32" t="s">
        <v>2</v>
      </c>
      <c r="B196" s="17">
        <v>5234.616</v>
      </c>
      <c r="C196" s="17">
        <v>5595.9160000000011</v>
      </c>
      <c r="D196" s="17">
        <v>5885.1980000000003</v>
      </c>
      <c r="E196" s="17">
        <v>6071.4680000000008</v>
      </c>
      <c r="F196" s="17">
        <v>6319.7890000000007</v>
      </c>
      <c r="G196" s="17">
        <v>6594.9989999999998</v>
      </c>
      <c r="H196" s="17">
        <v>6869.4930000000004</v>
      </c>
      <c r="I196" s="17">
        <v>7129.6820000000007</v>
      </c>
      <c r="J196" s="17">
        <v>7391.4759999999997</v>
      </c>
      <c r="K196" s="17">
        <v>7668.9229999999998</v>
      </c>
      <c r="L196" s="17">
        <v>7971.8630000000012</v>
      </c>
      <c r="M196" s="17">
        <v>8300.755000000001</v>
      </c>
      <c r="N196" s="17">
        <v>31740.947</v>
      </c>
      <c r="O196" s="17">
        <v>70203.646000000008</v>
      </c>
    </row>
    <row r="197" spans="1:15" x14ac:dyDescent="0.35">
      <c r="A197" s="33" t="s">
        <v>249</v>
      </c>
      <c r="B197" s="12">
        <v>3950.88</v>
      </c>
      <c r="C197" s="12">
        <v>4245.4710000000014</v>
      </c>
      <c r="D197" s="12">
        <v>4481.4870000000001</v>
      </c>
      <c r="E197" s="12">
        <v>4613.8740000000007</v>
      </c>
      <c r="F197" s="12">
        <v>4804.1660000000011</v>
      </c>
      <c r="G197" s="12">
        <v>5019.0039999999999</v>
      </c>
      <c r="H197" s="12">
        <v>5231.7980000000007</v>
      </c>
      <c r="I197" s="12">
        <v>5430.2930000000006</v>
      </c>
      <c r="J197" s="12">
        <v>5629.4279999999999</v>
      </c>
      <c r="K197" s="12">
        <v>5843.0599999999995</v>
      </c>
      <c r="L197" s="12">
        <v>6079.8410000000013</v>
      </c>
      <c r="M197" s="12">
        <v>6340.0950000000012</v>
      </c>
      <c r="N197" s="12">
        <v>24150.329000000005</v>
      </c>
      <c r="O197" s="12">
        <v>53473.046000000002</v>
      </c>
    </row>
    <row r="198" spans="1:15" x14ac:dyDescent="0.35">
      <c r="A198" s="33" t="s">
        <v>250</v>
      </c>
      <c r="B198" s="12">
        <v>1283.7360000000001</v>
      </c>
      <c r="C198" s="12">
        <v>1350.4449999999999</v>
      </c>
      <c r="D198" s="12">
        <v>1403.711</v>
      </c>
      <c r="E198" s="12">
        <v>1457.5940000000001</v>
      </c>
      <c r="F198" s="12">
        <v>1515.623</v>
      </c>
      <c r="G198" s="12">
        <v>1575.9949999999999</v>
      </c>
      <c r="H198" s="12">
        <v>1637.6949999999999</v>
      </c>
      <c r="I198" s="12">
        <v>1699.3889999999999</v>
      </c>
      <c r="J198" s="12">
        <v>1762.048</v>
      </c>
      <c r="K198" s="12">
        <v>1825.8630000000001</v>
      </c>
      <c r="L198" s="12">
        <v>1892.0219999999999</v>
      </c>
      <c r="M198" s="12">
        <v>1960.66</v>
      </c>
      <c r="N198" s="12">
        <v>7590.6179999999995</v>
      </c>
      <c r="O198" s="12">
        <v>16730.599999999999</v>
      </c>
    </row>
    <row r="199" spans="1:15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x14ac:dyDescent="0.35">
      <c r="A200" s="15" t="s">
        <v>228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x14ac:dyDescent="0.35">
      <c r="A201" s="9" t="s">
        <v>447</v>
      </c>
      <c r="B201" s="29">
        <v>30362.025000000001</v>
      </c>
      <c r="C201" s="29">
        <v>31902.006000000001</v>
      </c>
      <c r="D201" s="29">
        <v>33315.186999999998</v>
      </c>
      <c r="E201" s="29">
        <v>34665.785000000003</v>
      </c>
      <c r="F201" s="29">
        <v>36010.048999999999</v>
      </c>
      <c r="G201" s="29">
        <v>37390.673000000003</v>
      </c>
      <c r="H201" s="29">
        <v>38812.821000000004</v>
      </c>
      <c r="I201" s="29">
        <v>40276.527000000002</v>
      </c>
      <c r="J201" s="29">
        <v>41795.93</v>
      </c>
      <c r="K201" s="29">
        <v>43373.322999999997</v>
      </c>
      <c r="L201" s="29">
        <v>45011.5</v>
      </c>
      <c r="M201" s="29">
        <v>46712.142</v>
      </c>
      <c r="N201" s="29">
        <v>180194.514</v>
      </c>
      <c r="O201" s="29">
        <v>397363.93599999999</v>
      </c>
    </row>
    <row r="202" spans="1:15" x14ac:dyDescent="0.35">
      <c r="A202" s="9" t="s">
        <v>448</v>
      </c>
      <c r="B202" s="29">
        <v>30101.764999999999</v>
      </c>
      <c r="C202" s="29">
        <v>31847.001</v>
      </c>
      <c r="D202" s="29">
        <v>33301.411999999997</v>
      </c>
      <c r="E202" s="29">
        <v>34665.281000000003</v>
      </c>
      <c r="F202" s="29">
        <v>36013.894999999997</v>
      </c>
      <c r="G202" s="29">
        <v>37396.046000000002</v>
      </c>
      <c r="H202" s="29">
        <v>38818.834000000003</v>
      </c>
      <c r="I202" s="29">
        <v>40282.904000000002</v>
      </c>
      <c r="J202" s="29">
        <v>41802.591999999997</v>
      </c>
      <c r="K202" s="29">
        <v>43380.249000000003</v>
      </c>
      <c r="L202" s="29">
        <v>45018.692000000003</v>
      </c>
      <c r="M202" s="29">
        <v>46719.608</v>
      </c>
      <c r="N202" s="29">
        <v>180195.46799999999</v>
      </c>
      <c r="O202" s="29">
        <v>397399.51299999998</v>
      </c>
    </row>
    <row r="203" spans="1:15" x14ac:dyDescent="0.35">
      <c r="A203" s="9"/>
      <c r="B203" s="9"/>
      <c r="C203" s="9"/>
      <c r="D203" s="2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x14ac:dyDescent="0.35">
      <c r="A204" s="9"/>
      <c r="B204" s="215" t="s">
        <v>449</v>
      </c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</row>
    <row r="205" spans="1:15" x14ac:dyDescent="0.35">
      <c r="A205" s="9" t="s">
        <v>442</v>
      </c>
      <c r="B205" s="19">
        <v>8.7479999999999993</v>
      </c>
      <c r="C205" s="19">
        <v>8.6240000000000006</v>
      </c>
      <c r="D205" s="19">
        <v>8.8460000000000001</v>
      </c>
      <c r="E205" s="19">
        <v>8.7810000000000006</v>
      </c>
      <c r="F205" s="19">
        <v>8.8680000000000003</v>
      </c>
      <c r="G205" s="19">
        <v>8.93</v>
      </c>
      <c r="H205" s="19">
        <v>8.9169999999999998</v>
      </c>
      <c r="I205" s="19">
        <v>8.9239999999999995</v>
      </c>
      <c r="J205" s="19">
        <v>8.9570000000000007</v>
      </c>
      <c r="K205" s="19">
        <v>8.9979999999999993</v>
      </c>
      <c r="L205" s="19">
        <v>9.0459999999999994</v>
      </c>
      <c r="M205" s="19">
        <v>9.0960000000000001</v>
      </c>
      <c r="N205" s="19">
        <v>8.8710000000000004</v>
      </c>
      <c r="O205" s="19">
        <v>8.9459999999999997</v>
      </c>
    </row>
    <row r="206" spans="1:15" x14ac:dyDescent="0.35">
      <c r="A206" s="9" t="s">
        <v>443</v>
      </c>
      <c r="B206" s="19">
        <v>5.758</v>
      </c>
      <c r="C206" s="19">
        <v>5.7220000000000004</v>
      </c>
      <c r="D206" s="19">
        <v>5.6929999999999996</v>
      </c>
      <c r="E206" s="19">
        <v>5.6829999999999998</v>
      </c>
      <c r="F206" s="19">
        <v>5.6890000000000001</v>
      </c>
      <c r="G206" s="19">
        <v>5.7009999999999996</v>
      </c>
      <c r="H206" s="19">
        <v>5.71</v>
      </c>
      <c r="I206" s="19">
        <v>5.7140000000000004</v>
      </c>
      <c r="J206" s="19">
        <v>5.7149999999999999</v>
      </c>
      <c r="K206" s="19">
        <v>5.7119999999999997</v>
      </c>
      <c r="L206" s="19">
        <v>5.71</v>
      </c>
      <c r="M206" s="19">
        <v>5.7069999999999999</v>
      </c>
      <c r="N206" s="19">
        <v>5.6959999999999997</v>
      </c>
      <c r="O206" s="19">
        <v>5.7039999999999997</v>
      </c>
    </row>
    <row r="207" spans="1:15" x14ac:dyDescent="0.35">
      <c r="A207" s="9" t="s">
        <v>444</v>
      </c>
      <c r="B207" s="19">
        <v>1.4890000000000001</v>
      </c>
      <c r="C207" s="19">
        <v>1.266</v>
      </c>
      <c r="D207" s="19">
        <v>1.2589999999999999</v>
      </c>
      <c r="E207" s="19">
        <v>1.248</v>
      </c>
      <c r="F207" s="19">
        <v>1.254</v>
      </c>
      <c r="G207" s="19">
        <v>1.2769999999999999</v>
      </c>
      <c r="H207" s="19">
        <v>1.2709999999999999</v>
      </c>
      <c r="I207" s="19">
        <v>1.266</v>
      </c>
      <c r="J207" s="19">
        <v>1.258</v>
      </c>
      <c r="K207" s="19">
        <v>1.2430000000000001</v>
      </c>
      <c r="L207" s="19">
        <v>1.226</v>
      </c>
      <c r="M207" s="19">
        <v>1.232</v>
      </c>
      <c r="N207" s="19">
        <v>1.262</v>
      </c>
      <c r="O207" s="19">
        <v>1.252</v>
      </c>
    </row>
    <row r="208" spans="1:15" x14ac:dyDescent="0.35">
      <c r="A208" s="9" t="s">
        <v>25</v>
      </c>
      <c r="B208" s="19">
        <v>0.64200000000000002</v>
      </c>
      <c r="C208" s="19">
        <v>1.3109999999999999</v>
      </c>
      <c r="D208" s="19">
        <v>1.264</v>
      </c>
      <c r="E208" s="19">
        <v>1.222</v>
      </c>
      <c r="F208" s="19">
        <v>1.159</v>
      </c>
      <c r="G208" s="19">
        <v>1.103</v>
      </c>
      <c r="H208" s="19">
        <v>1.044</v>
      </c>
      <c r="I208" s="19">
        <v>0.96699999999999997</v>
      </c>
      <c r="J208" s="19">
        <v>0.91500000000000004</v>
      </c>
      <c r="K208" s="19">
        <v>0.88</v>
      </c>
      <c r="L208" s="19">
        <v>0.86699999999999999</v>
      </c>
      <c r="M208" s="19">
        <v>0.86099999999999999</v>
      </c>
      <c r="N208" s="19">
        <v>1.1539999999999999</v>
      </c>
      <c r="O208" s="19">
        <v>1.0129999999999999</v>
      </c>
    </row>
    <row r="209" spans="1:15" x14ac:dyDescent="0.35">
      <c r="A209" s="9" t="s">
        <v>429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</row>
    <row r="210" spans="1:15" x14ac:dyDescent="0.35">
      <c r="A210" s="25" t="s">
        <v>17</v>
      </c>
      <c r="B210" s="19">
        <v>0.34899999999999998</v>
      </c>
      <c r="C210" s="19">
        <v>0.34</v>
      </c>
      <c r="D210" s="19">
        <v>0.32500000000000001</v>
      </c>
      <c r="E210" s="19">
        <v>0.308</v>
      </c>
      <c r="F210" s="19">
        <v>0.3</v>
      </c>
      <c r="G210" s="19">
        <v>0.29399999999999998</v>
      </c>
      <c r="H210" s="19">
        <v>0.28199999999999997</v>
      </c>
      <c r="I210" s="19">
        <v>0.27500000000000002</v>
      </c>
      <c r="J210" s="19">
        <v>0.26900000000000002</v>
      </c>
      <c r="K210" s="19">
        <v>0.26</v>
      </c>
      <c r="L210" s="19">
        <v>0.25900000000000001</v>
      </c>
      <c r="M210" s="19">
        <v>0.254</v>
      </c>
      <c r="N210" s="19">
        <v>0.30099999999999999</v>
      </c>
      <c r="O210" s="19">
        <v>0.28000000000000003</v>
      </c>
    </row>
    <row r="211" spans="1:15" x14ac:dyDescent="0.35">
      <c r="A211" s="25" t="s">
        <v>24</v>
      </c>
      <c r="B211" s="34">
        <v>1.7999999999999999E-2</v>
      </c>
      <c r="C211" s="34">
        <v>2.5000000000000001E-2</v>
      </c>
      <c r="D211" s="34">
        <v>2.5999999999999999E-2</v>
      </c>
      <c r="E211" s="34">
        <v>2.5999999999999999E-2</v>
      </c>
      <c r="F211" s="19">
        <v>4.1000000000000002E-2</v>
      </c>
      <c r="G211" s="19">
        <v>0.10100000000000001</v>
      </c>
      <c r="H211" s="19">
        <v>0.24199999999999999</v>
      </c>
      <c r="I211" s="19">
        <v>0.32200000000000001</v>
      </c>
      <c r="J211" s="19">
        <v>0.33600000000000002</v>
      </c>
      <c r="K211" s="19">
        <v>0.35199999999999998</v>
      </c>
      <c r="L211" s="19">
        <v>0.36499999999999999</v>
      </c>
      <c r="M211" s="19">
        <v>0.378</v>
      </c>
      <c r="N211" s="19">
        <v>9.0999999999999998E-2</v>
      </c>
      <c r="O211" s="19">
        <v>0.23400000000000001</v>
      </c>
    </row>
    <row r="212" spans="1:15" x14ac:dyDescent="0.35">
      <c r="A212" s="25" t="s">
        <v>26</v>
      </c>
      <c r="B212" s="19">
        <v>9.7000000000000003E-2</v>
      </c>
      <c r="C212" s="19">
        <v>0.114</v>
      </c>
      <c r="D212" s="19">
        <v>0.106</v>
      </c>
      <c r="E212" s="19">
        <v>0.10299999999999999</v>
      </c>
      <c r="F212" s="19">
        <v>9.9000000000000005E-2</v>
      </c>
      <c r="G212" s="19">
        <v>9.7000000000000003E-2</v>
      </c>
      <c r="H212" s="19">
        <v>9.6000000000000002E-2</v>
      </c>
      <c r="I212" s="19">
        <v>9.7000000000000003E-2</v>
      </c>
      <c r="J212" s="19">
        <v>9.9000000000000005E-2</v>
      </c>
      <c r="K212" s="19">
        <v>0.10100000000000001</v>
      </c>
      <c r="L212" s="19">
        <v>0.105</v>
      </c>
      <c r="M212" s="19">
        <v>0.108</v>
      </c>
      <c r="N212" s="19">
        <v>0.1</v>
      </c>
      <c r="O212" s="19">
        <v>0.10100000000000001</v>
      </c>
    </row>
    <row r="213" spans="1:15" ht="17" x14ac:dyDescent="0.6">
      <c r="A213" s="25" t="s">
        <v>27</v>
      </c>
      <c r="B213" s="20">
        <v>0.14000000000000001</v>
      </c>
      <c r="C213" s="20">
        <v>0.13800000000000001</v>
      </c>
      <c r="D213" s="20">
        <v>0.14799999999999999</v>
      </c>
      <c r="E213" s="20">
        <v>0.14199999999999999</v>
      </c>
      <c r="F213" s="20">
        <v>0.14000000000000001</v>
      </c>
      <c r="G213" s="20">
        <v>0.13500000000000001</v>
      </c>
      <c r="H213" s="20">
        <v>0.13500000000000001</v>
      </c>
      <c r="I213" s="20">
        <v>0.13600000000000001</v>
      </c>
      <c r="J213" s="20">
        <v>0.13500000000000001</v>
      </c>
      <c r="K213" s="20">
        <v>0.13400000000000001</v>
      </c>
      <c r="L213" s="20">
        <v>0.13300000000000001</v>
      </c>
      <c r="M213" s="20">
        <v>0.13300000000000001</v>
      </c>
      <c r="N213" s="20">
        <v>0.14000000000000001</v>
      </c>
      <c r="O213" s="20">
        <v>0.13700000000000001</v>
      </c>
    </row>
    <row r="214" spans="1:15" x14ac:dyDescent="0.35">
      <c r="A214" s="26" t="s">
        <v>246</v>
      </c>
      <c r="B214" s="19">
        <v>0.60379042570447794</v>
      </c>
      <c r="C214" s="19">
        <v>0.61652862832512778</v>
      </c>
      <c r="D214" s="19">
        <v>0.60365262245113616</v>
      </c>
      <c r="E214" s="19">
        <v>0.57984840095212042</v>
      </c>
      <c r="F214" s="19">
        <v>0.58040187615407024</v>
      </c>
      <c r="G214" s="19">
        <v>0.62768594724144167</v>
      </c>
      <c r="H214" s="19">
        <v>0.7560079181052054</v>
      </c>
      <c r="I214" s="19">
        <v>0.83041916697534535</v>
      </c>
      <c r="J214" s="19">
        <v>0.83938794997503352</v>
      </c>
      <c r="K214" s="19">
        <v>0.84840859437954541</v>
      </c>
      <c r="L214" s="19">
        <v>0.86187085522588669</v>
      </c>
      <c r="M214" s="19">
        <v>0.87277093822843743</v>
      </c>
      <c r="N214" s="19">
        <v>0.63223012438658366</v>
      </c>
      <c r="O214" s="19">
        <v>0.75199375919207723</v>
      </c>
    </row>
    <row r="215" spans="1:15" x14ac:dyDescent="0.35">
      <c r="A215" s="32" t="s">
        <v>2</v>
      </c>
      <c r="B215" s="21">
        <v>17.241</v>
      </c>
      <c r="C215" s="21">
        <v>17.541</v>
      </c>
      <c r="D215" s="21">
        <v>17.664999999999999</v>
      </c>
      <c r="E215" s="21">
        <v>17.513999999999999</v>
      </c>
      <c r="F215" s="21">
        <v>17.55</v>
      </c>
      <c r="G215" s="21">
        <v>17.638000000000002</v>
      </c>
      <c r="H215" s="21">
        <v>17.699000000000002</v>
      </c>
      <c r="I215" s="21">
        <v>17.702000000000002</v>
      </c>
      <c r="J215" s="21">
        <v>17.684999999999999</v>
      </c>
      <c r="K215" s="21">
        <v>17.681000000000001</v>
      </c>
      <c r="L215" s="21">
        <v>17.710999999999999</v>
      </c>
      <c r="M215" s="21">
        <v>17.77</v>
      </c>
      <c r="N215" s="21">
        <v>17.614999999999998</v>
      </c>
      <c r="O215" s="21">
        <v>17.667000000000002</v>
      </c>
    </row>
    <row r="216" spans="1:15" x14ac:dyDescent="0.35">
      <c r="A216" s="33" t="s">
        <v>249</v>
      </c>
      <c r="B216" s="19">
        <v>13.013</v>
      </c>
      <c r="C216" s="19">
        <v>13.308</v>
      </c>
      <c r="D216" s="19">
        <v>13.452</v>
      </c>
      <c r="E216" s="19">
        <v>13.31</v>
      </c>
      <c r="F216" s="19">
        <v>13.340999999999999</v>
      </c>
      <c r="G216" s="19">
        <v>13.423</v>
      </c>
      <c r="H216" s="19">
        <v>13.48</v>
      </c>
      <c r="I216" s="19">
        <v>13.483000000000001</v>
      </c>
      <c r="J216" s="19">
        <v>13.468999999999999</v>
      </c>
      <c r="K216" s="19">
        <v>13.472</v>
      </c>
      <c r="L216" s="19">
        <v>13.507</v>
      </c>
      <c r="M216" s="19">
        <v>13.573</v>
      </c>
      <c r="N216" s="19">
        <v>13.401999999999999</v>
      </c>
      <c r="O216" s="19">
        <v>13.457000000000001</v>
      </c>
    </row>
    <row r="217" spans="1:15" x14ac:dyDescent="0.35">
      <c r="A217" s="35" t="s">
        <v>250</v>
      </c>
      <c r="B217" s="22">
        <v>4.2279999999999998</v>
      </c>
      <c r="C217" s="22">
        <v>4.2329999999999997</v>
      </c>
      <c r="D217" s="22">
        <v>4.2130000000000001</v>
      </c>
      <c r="E217" s="22">
        <v>4.2050000000000001</v>
      </c>
      <c r="F217" s="22">
        <v>4.2089999999999996</v>
      </c>
      <c r="G217" s="22">
        <v>4.2149999999999999</v>
      </c>
      <c r="H217" s="22">
        <v>4.2190000000000003</v>
      </c>
      <c r="I217" s="22">
        <v>4.2190000000000003</v>
      </c>
      <c r="J217" s="22">
        <v>4.2160000000000002</v>
      </c>
      <c r="K217" s="22">
        <v>4.21</v>
      </c>
      <c r="L217" s="22">
        <v>4.2030000000000003</v>
      </c>
      <c r="M217" s="22">
        <v>4.1970000000000001</v>
      </c>
      <c r="N217" s="22">
        <v>4.2119999999999997</v>
      </c>
      <c r="O217" s="22">
        <v>4.21</v>
      </c>
    </row>
  </sheetData>
  <mergeCells count="11">
    <mergeCell ref="N183:O183"/>
    <mergeCell ref="B185:O185"/>
    <mergeCell ref="B204:O204"/>
    <mergeCell ref="P4:Q4"/>
    <mergeCell ref="D23:Q23"/>
    <mergeCell ref="P51:Q51"/>
    <mergeCell ref="D70:Q70"/>
    <mergeCell ref="N94:O94"/>
    <mergeCell ref="B115:O115"/>
    <mergeCell ref="N138:O138"/>
    <mergeCell ref="B159:O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Charts</vt:lpstr>
      <vt:lpstr>GDP</vt:lpstr>
      <vt:lpstr>Tariff</vt:lpstr>
      <vt:lpstr>Gov Debt</vt:lpstr>
      <vt:lpstr>Gov outlays</vt:lpstr>
      <vt:lpstr>Social Security</vt:lpstr>
      <vt:lpstr>Net Interest</vt:lpstr>
      <vt:lpstr>Actual Revenue Progression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Avelyn Nguyen</dc:creator>
  <cp:keywords/>
  <dc:description/>
  <cp:lastModifiedBy>Nguyen, Minh Anh</cp:lastModifiedBy>
  <cp:revision/>
  <dcterms:created xsi:type="dcterms:W3CDTF">2026-02-16T19:29:48Z</dcterms:created>
  <dcterms:modified xsi:type="dcterms:W3CDTF">2026-09-10T18:55:22Z</dcterms:modified>
  <cp:category/>
  <cp:contentStatus/>
</cp:coreProperties>
</file>