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documenttasks/documenttask1.xml" ContentType="application/vnd.ms-excel.documenttasks+xml"/>
  <Override PartName="/xl/threadedComments/threadedComment2.xml" ContentType="application/vnd.ms-excel.threadedcomments+xml"/>
  <Override PartName="/xl/documenttasks/documenttask2.xml" ContentType="application/vnd.ms-excel.documenttasks+xml"/>
  <Override PartName="/xl/threadedComments/threadedComment3.xml" ContentType="application/vnd.ms-excel.threadedcomments+xml"/>
  <Override PartName="/xl/documenttasks/documenttask3.xml" ContentType="application/vnd.ms-excel.documenttasks+xml"/>
  <Override PartName="/xl/threadedComments/threadedComment4.xml" ContentType="application/vnd.ms-excel.threadedcomments+xml"/>
  <Override PartName="/xl/documenttasks/documenttask4.xml" ContentType="application/vnd.ms-excel.documenttasks+xml"/>
  <Override PartName="/xl/threadedComments/threadedComment5.xml" ContentType="application/vnd.ms-excel.threadedcomments+xml"/>
  <Override PartName="/xl/documenttasks/documenttask5.xml" ContentType="application/vnd.ms-excel.documenttasks+xml"/>
  <Override PartName="/xl/threadedComments/threadedComment6.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17034\Documents\UVI\ArcGIS\Final\"/>
    </mc:Choice>
  </mc:AlternateContent>
  <xr:revisionPtr revIDLastSave="0" documentId="13_ncr:1_{CE815F3B-B7B9-497C-8FE0-8274CB13568E}" xr6:coauthVersionLast="47" xr6:coauthVersionMax="47" xr10:uidLastSave="{00000000-0000-0000-0000-000000000000}"/>
  <bookViews>
    <workbookView xWindow="-90" yWindow="-90" windowWidth="19380" windowHeight="10260" tabRatio="1000" firstSheet="3" activeTab="5" xr2:uid="{00000000-000D-0000-FFFF-FFFF00000000}"/>
  </bookViews>
  <sheets>
    <sheet name="Metadata" sheetId="2" r:id="rId1"/>
    <sheet name="InterventionData" sheetId="1" r:id="rId2"/>
    <sheet name="TreatmentUsed" sheetId="4" r:id="rId3"/>
    <sheet name="Waste&amp;Transfer" sheetId="6" r:id="rId4"/>
    <sheet name="TagInfo" sheetId="3" r:id="rId5"/>
    <sheet name="FateTracking" sheetId="5" r:id="rId6"/>
    <sheet name="FT_Issues_KB_Resolve" sheetId="12" r:id="rId7"/>
    <sheet name="Success" sheetId="13" r:id="rId8"/>
  </sheets>
  <definedNames>
    <definedName name="_xlnm._FilterDatabase" localSheetId="1" hidden="1">InterventionData!$A$1:$BV$443</definedName>
    <definedName name="_xlnm._FilterDatabase" localSheetId="4" hidden="1">TagInfo!$A$1:$L$99</definedName>
    <definedName name="_xlnm._FilterDatabase" localSheetId="2" hidden="1">TreatmentUsed!$G$1:$G$1098</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2" i="5"/>
  <c r="P439" i="1"/>
  <c r="P438" i="1"/>
  <c r="P437" i="1"/>
  <c r="P436" i="1"/>
  <c r="P435" i="1"/>
  <c r="P434" i="1"/>
  <c r="P433" i="1"/>
  <c r="P432" i="1"/>
  <c r="P431" i="1"/>
  <c r="P430" i="1"/>
  <c r="P429" i="1"/>
  <c r="P428" i="1"/>
  <c r="P427" i="1"/>
  <c r="P426" i="1"/>
  <c r="P425" i="1"/>
  <c r="P424" i="1"/>
  <c r="P423" i="1"/>
  <c r="P422" i="1"/>
  <c r="P421" i="1"/>
  <c r="P420" i="1"/>
  <c r="P419" i="1"/>
  <c r="P418" i="1"/>
  <c r="P415" i="1"/>
  <c r="P414" i="1"/>
  <c r="P411" i="1"/>
  <c r="P410" i="1"/>
  <c r="P408" i="1"/>
  <c r="P407" i="1"/>
  <c r="P406" i="1"/>
  <c r="P405" i="1"/>
  <c r="P404" i="1"/>
  <c r="P403" i="1"/>
  <c r="P402" i="1"/>
  <c r="P401" i="1"/>
  <c r="P400" i="1"/>
  <c r="P399" i="1"/>
  <c r="P398" i="1"/>
  <c r="P397" i="1"/>
  <c r="P396" i="1"/>
  <c r="P395" i="1"/>
  <c r="P394" i="1"/>
  <c r="P393" i="1"/>
  <c r="P392" i="1"/>
  <c r="P391" i="1"/>
  <c r="P390" i="1"/>
  <c r="P389" i="1"/>
  <c r="P388" i="1"/>
  <c r="P387" i="1"/>
  <c r="P385" i="1"/>
  <c r="P384" i="1"/>
  <c r="L640" i="5"/>
  <c r="L639" i="5"/>
  <c r="L643" i="5"/>
  <c r="L644" i="5"/>
  <c r="L645" i="5"/>
  <c r="L646" i="5"/>
  <c r="L647" i="5"/>
  <c r="L648" i="5"/>
  <c r="L649" i="5"/>
  <c r="L650" i="5"/>
  <c r="P383" i="1"/>
  <c r="P382" i="1"/>
  <c r="P381" i="1"/>
  <c r="P380" i="1"/>
  <c r="P379" i="1"/>
  <c r="P378" i="1"/>
  <c r="P377" i="1"/>
  <c r="P376" i="1"/>
  <c r="P375" i="1"/>
  <c r="P374" i="1"/>
  <c r="P373" i="1"/>
  <c r="P372" i="1"/>
  <c r="P371" i="1"/>
  <c r="P370" i="1"/>
  <c r="P369" i="1"/>
  <c r="P367" i="1"/>
  <c r="P366" i="1"/>
  <c r="P365" i="1"/>
  <c r="P364" i="1"/>
  <c r="P363" i="1"/>
  <c r="P362" i="1"/>
  <c r="P361" i="1"/>
  <c r="P360" i="1"/>
  <c r="P359" i="1"/>
  <c r="P358" i="1"/>
  <c r="P357" i="1"/>
  <c r="P356" i="1"/>
  <c r="P355" i="1"/>
  <c r="P354" i="1"/>
  <c r="P353" i="1"/>
  <c r="P352" i="1"/>
  <c r="P351" i="1"/>
  <c r="P349" i="1"/>
  <c r="P348" i="1"/>
  <c r="P350" i="1"/>
  <c r="P347" i="1"/>
  <c r="P346" i="1"/>
  <c r="P345" i="1"/>
  <c r="P344" i="1"/>
  <c r="P343" i="1"/>
  <c r="P342" i="1"/>
  <c r="P341" i="1"/>
  <c r="P340" i="1"/>
  <c r="P339" i="1"/>
  <c r="P338" i="1"/>
  <c r="P337" i="1"/>
  <c r="P336" i="1"/>
  <c r="P335" i="1"/>
  <c r="P334" i="1"/>
  <c r="P333" i="1"/>
  <c r="P331" i="1"/>
  <c r="P330" i="1" l="1"/>
  <c r="P329" i="1"/>
  <c r="P328" i="1"/>
  <c r="P327" i="1"/>
  <c r="P325" i="1"/>
  <c r="P324" i="1"/>
  <c r="P323" i="1"/>
  <c r="F121" i="6"/>
  <c r="F122" i="6"/>
  <c r="E22" i="5"/>
  <c r="E23" i="5"/>
  <c r="E207" i="5"/>
  <c r="E206" i="5"/>
  <c r="E310" i="5"/>
  <c r="E498" i="5"/>
  <c r="E190" i="5"/>
  <c r="E11" i="5"/>
  <c r="E365" i="5"/>
  <c r="E367" i="5"/>
  <c r="E139" i="5"/>
  <c r="E140" i="5"/>
  <c r="E141" i="5"/>
  <c r="E162" i="5"/>
  <c r="E163" i="5"/>
  <c r="E164" i="5"/>
  <c r="E165" i="5"/>
  <c r="E166" i="5"/>
  <c r="E170" i="5"/>
  <c r="E134" i="5"/>
  <c r="E434" i="5"/>
  <c r="E433" i="5"/>
  <c r="E432" i="5"/>
  <c r="E431" i="5"/>
  <c r="E154" i="5"/>
  <c r="E153" i="5"/>
  <c r="E152" i="5"/>
  <c r="E175" i="5"/>
  <c r="E107" i="5"/>
  <c r="E108" i="5"/>
  <c r="E109" i="5"/>
  <c r="E110" i="5"/>
  <c r="E443" i="5"/>
  <c r="E445" i="5"/>
  <c r="E118" i="5"/>
  <c r="E123" i="5"/>
  <c r="E122" i="5"/>
  <c r="E121" i="5"/>
  <c r="E120" i="5"/>
  <c r="E31" i="5"/>
  <c r="E82" i="5"/>
  <c r="E80" i="5"/>
  <c r="E81" i="5"/>
  <c r="M148" i="5"/>
  <c r="H148" i="5" s="1"/>
  <c r="M146" i="5"/>
  <c r="H146" i="5" s="1"/>
  <c r="M145" i="5"/>
  <c r="H145" i="5" s="1"/>
  <c r="H150" i="5"/>
  <c r="H149" i="5"/>
  <c r="H143" i="5"/>
  <c r="BO466" i="1"/>
  <c r="BO467" i="1"/>
  <c r="BN466" i="1"/>
  <c r="BP466" i="1" s="1"/>
  <c r="BN467" i="1"/>
  <c r="BP467" i="1" s="1"/>
  <c r="BO460" i="1"/>
  <c r="BO461" i="1"/>
  <c r="BO462" i="1"/>
  <c r="BO463" i="1"/>
  <c r="BO464" i="1"/>
  <c r="BO465" i="1"/>
  <c r="BN460" i="1"/>
  <c r="BP460" i="1" s="1"/>
  <c r="BN461" i="1"/>
  <c r="BP461" i="1" s="1"/>
  <c r="BN462" i="1"/>
  <c r="BP462" i="1" s="1"/>
  <c r="BN463" i="1"/>
  <c r="BP463" i="1" s="1"/>
  <c r="BN464" i="1"/>
  <c r="BP464" i="1" s="1"/>
  <c r="BN465" i="1"/>
  <c r="BP465" i="1" s="1"/>
  <c r="E5454" i="4"/>
  <c r="E5453" i="4"/>
  <c r="E5452" i="4"/>
  <c r="E5451" i="4"/>
  <c r="I587" i="5"/>
  <c r="H595" i="5"/>
  <c r="H594" i="5"/>
  <c r="H592" i="5"/>
  <c r="H591" i="5"/>
  <c r="H590" i="5"/>
  <c r="H587" i="5"/>
  <c r="E5448" i="4"/>
  <c r="E5450" i="4"/>
  <c r="E5449" i="4"/>
  <c r="BO448" i="1"/>
  <c r="BO449" i="1"/>
  <c r="BO450" i="1"/>
  <c r="BO451" i="1"/>
  <c r="BO452" i="1"/>
  <c r="BO453" i="1"/>
  <c r="BO454" i="1"/>
  <c r="BO455" i="1"/>
  <c r="BO456" i="1"/>
  <c r="BO457" i="1"/>
  <c r="BO458" i="1"/>
  <c r="BO459" i="1"/>
  <c r="BN448" i="1"/>
  <c r="BN449" i="1"/>
  <c r="BN450" i="1"/>
  <c r="BN451" i="1"/>
  <c r="BN452" i="1"/>
  <c r="BN453" i="1"/>
  <c r="BP453" i="1" s="1"/>
  <c r="BN454" i="1"/>
  <c r="BN455" i="1"/>
  <c r="BN456" i="1"/>
  <c r="BN457" i="1"/>
  <c r="BN458" i="1"/>
  <c r="BN459" i="1"/>
  <c r="BM448" i="1"/>
  <c r="BM449" i="1"/>
  <c r="BM450" i="1"/>
  <c r="BP450" i="1" s="1"/>
  <c r="BM451" i="1"/>
  <c r="BM452" i="1"/>
  <c r="BP452" i="1" s="1"/>
  <c r="BM454" i="1"/>
  <c r="BM455" i="1"/>
  <c r="BP455" i="1" s="1"/>
  <c r="BM456" i="1"/>
  <c r="BP456" i="1" s="1"/>
  <c r="BM457" i="1"/>
  <c r="BP457" i="1" s="1"/>
  <c r="BM458" i="1"/>
  <c r="BP459" i="1"/>
  <c r="E8" i="4"/>
  <c r="E489" i="5"/>
  <c r="H479" i="5"/>
  <c r="I479" i="5"/>
  <c r="J479" i="5"/>
  <c r="K479" i="5"/>
  <c r="K488" i="5"/>
  <c r="K487" i="5"/>
  <c r="K486" i="5"/>
  <c r="J487" i="5"/>
  <c r="J486" i="5"/>
  <c r="I488" i="5"/>
  <c r="I487" i="5"/>
  <c r="I486" i="5"/>
  <c r="V486" i="5"/>
  <c r="V487" i="5"/>
  <c r="V488" i="5"/>
  <c r="V489" i="5"/>
  <c r="H488" i="5"/>
  <c r="H487" i="5"/>
  <c r="L489" i="5"/>
  <c r="Q486" i="5"/>
  <c r="Q487" i="5"/>
  <c r="Q488" i="5"/>
  <c r="Q489" i="5"/>
  <c r="AB486" i="5"/>
  <c r="AB487" i="5"/>
  <c r="AB488" i="5"/>
  <c r="AB489" i="5"/>
  <c r="H486" i="5"/>
  <c r="AB19" i="5"/>
  <c r="AB20" i="5"/>
  <c r="AB21" i="5"/>
  <c r="AB23" i="5"/>
  <c r="J23" i="5"/>
  <c r="J21" i="5"/>
  <c r="J18" i="5"/>
  <c r="V19" i="5"/>
  <c r="V20" i="5"/>
  <c r="V21" i="5"/>
  <c r="V23" i="5"/>
  <c r="Q19" i="5"/>
  <c r="Q20" i="5"/>
  <c r="Q21" i="5"/>
  <c r="AD21" i="5" s="1"/>
  <c r="Q23" i="5"/>
  <c r="L19" i="5"/>
  <c r="H23" i="5"/>
  <c r="H21" i="5"/>
  <c r="H20" i="5"/>
  <c r="L20" i="5" s="1"/>
  <c r="H18" i="5"/>
  <c r="BM440" i="1"/>
  <c r="BM441" i="1"/>
  <c r="BM442" i="1"/>
  <c r="BM443" i="1"/>
  <c r="BM444" i="1"/>
  <c r="BM445" i="1"/>
  <c r="BM446" i="1"/>
  <c r="BM447" i="1"/>
  <c r="BN441" i="1"/>
  <c r="BN442" i="1"/>
  <c r="BN443" i="1"/>
  <c r="BN444" i="1"/>
  <c r="BN445" i="1"/>
  <c r="BN446" i="1"/>
  <c r="BN447" i="1"/>
  <c r="BO441" i="1"/>
  <c r="BO442" i="1"/>
  <c r="BO443" i="1"/>
  <c r="BO444" i="1"/>
  <c r="BO445" i="1"/>
  <c r="BO446" i="1"/>
  <c r="BO447" i="1"/>
  <c r="E5446" i="4"/>
  <c r="E5334" i="4"/>
  <c r="E5333" i="4"/>
  <c r="E5332" i="4"/>
  <c r="E5331" i="4"/>
  <c r="E5330" i="4"/>
  <c r="E5329" i="4"/>
  <c r="E5328" i="4"/>
  <c r="BO429" i="1"/>
  <c r="BN429" i="1"/>
  <c r="BM429" i="1"/>
  <c r="E5325" i="4"/>
  <c r="E5324" i="4"/>
  <c r="E5323" i="4"/>
  <c r="E5322" i="4"/>
  <c r="BO428" i="1"/>
  <c r="BN428" i="1"/>
  <c r="BM428" i="1"/>
  <c r="J559" i="5"/>
  <c r="E5317" i="4"/>
  <c r="E5316" i="4"/>
  <c r="E5315" i="4"/>
  <c r="E5313" i="4"/>
  <c r="E5300" i="4"/>
  <c r="E5299" i="4"/>
  <c r="E5298" i="4"/>
  <c r="E5297" i="4"/>
  <c r="E5296" i="4"/>
  <c r="E5295" i="4"/>
  <c r="E5294" i="4"/>
  <c r="E5293" i="4"/>
  <c r="E5292" i="4"/>
  <c r="E5291" i="4"/>
  <c r="E5290" i="4"/>
  <c r="E5289" i="4"/>
  <c r="E5288" i="4"/>
  <c r="E5287" i="4"/>
  <c r="E5286" i="4"/>
  <c r="E5285" i="4"/>
  <c r="E5311" i="4"/>
  <c r="E5309" i="4"/>
  <c r="E5308" i="4"/>
  <c r="E5307" i="4"/>
  <c r="E5306" i="4"/>
  <c r="E5305" i="4"/>
  <c r="E5303" i="4"/>
  <c r="E5301" i="4"/>
  <c r="E5284" i="4"/>
  <c r="E5283" i="4"/>
  <c r="E5282" i="4"/>
  <c r="E5281" i="4"/>
  <c r="E5280" i="4"/>
  <c r="E5279" i="4"/>
  <c r="E5278" i="4"/>
  <c r="E5270" i="4"/>
  <c r="E5269" i="4"/>
  <c r="AD20" i="5" l="1"/>
  <c r="AD489" i="5"/>
  <c r="AE489" i="5" s="1"/>
  <c r="BP458" i="1"/>
  <c r="BP454" i="1"/>
  <c r="AD488" i="5"/>
  <c r="BP451" i="1"/>
  <c r="AF20" i="5"/>
  <c r="BP449" i="1"/>
  <c r="BP448" i="1"/>
  <c r="AF489" i="5"/>
  <c r="L488" i="5"/>
  <c r="AG23" i="5"/>
  <c r="L487" i="5"/>
  <c r="AF488" i="5"/>
  <c r="AD23" i="5"/>
  <c r="AE23" i="5" s="1"/>
  <c r="AG489" i="5"/>
  <c r="L486" i="5"/>
  <c r="BP446" i="1"/>
  <c r="BP447" i="1"/>
  <c r="BP429" i="1"/>
  <c r="L23" i="5"/>
  <c r="AH23" i="5" s="1"/>
  <c r="AF23" i="5"/>
  <c r="AH19" i="5"/>
  <c r="L21" i="5"/>
  <c r="AH21" i="5" s="1"/>
  <c r="AH20" i="5"/>
  <c r="AF21" i="5"/>
  <c r="BP445" i="1"/>
  <c r="BP444" i="1"/>
  <c r="BP428" i="1"/>
  <c r="E5254" i="4" l="1"/>
  <c r="E5252" i="4"/>
  <c r="E5251" i="4"/>
  <c r="E5250" i="4"/>
  <c r="E5248" i="4"/>
  <c r="E5247" i="4"/>
  <c r="E5245" i="4"/>
  <c r="E5244" i="4"/>
  <c r="E5242" i="4"/>
  <c r="E5241" i="4"/>
  <c r="E5237" i="4"/>
  <c r="E5235" i="4"/>
  <c r="E5409" i="4"/>
  <c r="E5404" i="4"/>
  <c r="E5403" i="4"/>
  <c r="E5402" i="4"/>
  <c r="E5401" i="4"/>
  <c r="E5400" i="4"/>
  <c r="E5396" i="4"/>
  <c r="E5397" i="4"/>
  <c r="E5394" i="4"/>
  <c r="E5389" i="4"/>
  <c r="E5386" i="4"/>
  <c r="E5385" i="4"/>
  <c r="E5384" i="4"/>
  <c r="E5381" i="4"/>
  <c r="E5380" i="4"/>
  <c r="E5376" i="4"/>
  <c r="E5373" i="4"/>
  <c r="E5368" i="4"/>
  <c r="E5361" i="4"/>
  <c r="E5360" i="4"/>
  <c r="E5359" i="4"/>
  <c r="E5358" i="4"/>
  <c r="E5357" i="4"/>
  <c r="E5353" i="4"/>
  <c r="E5352" i="4"/>
  <c r="E5351" i="4"/>
  <c r="E5348" i="4"/>
  <c r="E5347" i="4"/>
  <c r="E5346" i="4"/>
  <c r="E5345" i="4"/>
  <c r="E5344" i="4"/>
  <c r="E5336" i="4"/>
  <c r="E5335" i="4"/>
  <c r="E5267" i="4"/>
  <c r="E5266" i="4"/>
  <c r="E5265" i="4"/>
  <c r="E5255" i="4"/>
  <c r="E5256" i="4"/>
  <c r="K564" i="5"/>
  <c r="K563" i="5"/>
  <c r="K562" i="5"/>
  <c r="K561" i="5"/>
  <c r="K560" i="5"/>
  <c r="K559" i="5"/>
  <c r="K558" i="5"/>
  <c r="K557" i="5"/>
  <c r="K555" i="5"/>
  <c r="E5233" i="4"/>
  <c r="E5230" i="4"/>
  <c r="E5229" i="4"/>
  <c r="E5228" i="4"/>
  <c r="E5227" i="4"/>
  <c r="E5226" i="4"/>
  <c r="J564" i="5"/>
  <c r="J563" i="5"/>
  <c r="J562" i="5"/>
  <c r="J561" i="5"/>
  <c r="J560" i="5"/>
  <c r="J558" i="5"/>
  <c r="J557" i="5"/>
  <c r="BM413" i="1"/>
  <c r="BN413" i="1"/>
  <c r="BO413" i="1"/>
  <c r="E5225" i="4"/>
  <c r="E5220" i="4"/>
  <c r="E5219" i="4"/>
  <c r="E5218" i="4"/>
  <c r="E5163" i="4"/>
  <c r="E5162" i="4"/>
  <c r="E5161" i="4"/>
  <c r="E5160" i="4"/>
  <c r="E5159" i="4"/>
  <c r="E5158" i="4"/>
  <c r="E5157" i="4"/>
  <c r="E5153" i="4"/>
  <c r="E5441" i="4"/>
  <c r="E5438" i="4"/>
  <c r="E5144" i="4"/>
  <c r="E5143" i="4"/>
  <c r="E5141" i="4"/>
  <c r="E5140" i="4"/>
  <c r="E5139" i="4"/>
  <c r="E5138" i="4"/>
  <c r="E5136" i="4"/>
  <c r="E5135" i="4"/>
  <c r="E5426" i="4"/>
  <c r="E5134" i="4"/>
  <c r="E5424" i="4"/>
  <c r="E5123" i="4"/>
  <c r="E5122" i="4"/>
  <c r="E5120" i="4"/>
  <c r="C111" i="6"/>
  <c r="C112" i="6"/>
  <c r="C113" i="6"/>
  <c r="C114" i="6"/>
  <c r="C115" i="6"/>
  <c r="C116" i="6"/>
  <c r="E5421" i="4"/>
  <c r="E5420" i="4"/>
  <c r="E5419" i="4"/>
  <c r="E5418" i="4"/>
  <c r="E5112" i="4"/>
  <c r="E5111" i="4"/>
  <c r="E5417" i="4"/>
  <c r="E5415" i="4"/>
  <c r="E5414" i="4"/>
  <c r="E5412" i="4"/>
  <c r="E5411" i="4"/>
  <c r="E5410" i="4"/>
  <c r="E5108" i="4"/>
  <c r="E5104" i="4"/>
  <c r="E5103" i="4"/>
  <c r="E5101" i="4"/>
  <c r="E5447" i="4"/>
  <c r="E5445" i="4"/>
  <c r="E5443" i="4"/>
  <c r="E5442" i="4"/>
  <c r="E5440" i="4"/>
  <c r="E5439" i="4"/>
  <c r="E5444" i="4"/>
  <c r="E5437" i="4"/>
  <c r="E5436" i="4"/>
  <c r="E5435" i="4"/>
  <c r="E5434" i="4"/>
  <c r="E5433" i="4"/>
  <c r="E5432" i="4"/>
  <c r="E5427" i="4"/>
  <c r="BP413" i="1" l="1"/>
  <c r="P440" i="1"/>
  <c r="E5431" i="4"/>
  <c r="E5430" i="4"/>
  <c r="E5429" i="4"/>
  <c r="E5428" i="4"/>
  <c r="E5425" i="4"/>
  <c r="E5423" i="4"/>
  <c r="E5422" i="4"/>
  <c r="E5416" i="4"/>
  <c r="E5413" i="4"/>
  <c r="E5366" i="4" l="1"/>
  <c r="E5365" i="4"/>
  <c r="E5364" i="4"/>
  <c r="E5363" i="4"/>
  <c r="E5362" i="4"/>
  <c r="E5356" i="4"/>
  <c r="E5355" i="4"/>
  <c r="E5354" i="4"/>
  <c r="E5350" i="4"/>
  <c r="E5349" i="4"/>
  <c r="E5343" i="4"/>
  <c r="E5342" i="4"/>
  <c r="E5341" i="4"/>
  <c r="E5340" i="4"/>
  <c r="E5339" i="4"/>
  <c r="E5338" i="4"/>
  <c r="E5337" i="4"/>
  <c r="E5407" i="4"/>
  <c r="E5406" i="4"/>
  <c r="E5405" i="4"/>
  <c r="E5399" i="4"/>
  <c r="E5398" i="4"/>
  <c r="E5395" i="4"/>
  <c r="E5393" i="4"/>
  <c r="E5392" i="4"/>
  <c r="E5391" i="4"/>
  <c r="E5390" i="4"/>
  <c r="E5388" i="4"/>
  <c r="E5387" i="4"/>
  <c r="E5383" i="4"/>
  <c r="E5382" i="4"/>
  <c r="E5378" i="4"/>
  <c r="E5377" i="4"/>
  <c r="E5375" i="4"/>
  <c r="E5374" i="4"/>
  <c r="E5372" i="4"/>
  <c r="E5371" i="4"/>
  <c r="E5370" i="4"/>
  <c r="E5369" i="4"/>
  <c r="BP441" i="1"/>
  <c r="BP442" i="1"/>
  <c r="BP443" i="1"/>
  <c r="E5092" i="4"/>
  <c r="E5091" i="4"/>
  <c r="E5075" i="4"/>
  <c r="E5268" i="4"/>
  <c r="E5264" i="4"/>
  <c r="E5263" i="4"/>
  <c r="E5261" i="4"/>
  <c r="E5260" i="4"/>
  <c r="E5259" i="4"/>
  <c r="E5258" i="4"/>
  <c r="E5257" i="4"/>
  <c r="E5234" i="4"/>
  <c r="E5327" i="4"/>
  <c r="E5326" i="4"/>
  <c r="E5321" i="4"/>
  <c r="E5320" i="4"/>
  <c r="E5319" i="4"/>
  <c r="E5318" i="4"/>
  <c r="E5314" i="4"/>
  <c r="E5312" i="4"/>
  <c r="E5310" i="4"/>
  <c r="E5304" i="4"/>
  <c r="E5302" i="4"/>
  <c r="E5277" i="4"/>
  <c r="E5276" i="4"/>
  <c r="E5275" i="4"/>
  <c r="E5274" i="4"/>
  <c r="E5273" i="4"/>
  <c r="E5272" i="4"/>
  <c r="E5271" i="4"/>
  <c r="E5253" i="4"/>
  <c r="E5249" i="4"/>
  <c r="E5246" i="4"/>
  <c r="E5243" i="4"/>
  <c r="E5240" i="4"/>
  <c r="E5239" i="4"/>
  <c r="E5238" i="4"/>
  <c r="E5236" i="4"/>
  <c r="E39" i="13"/>
  <c r="E38" i="13"/>
  <c r="E37" i="13"/>
  <c r="E36" i="13"/>
  <c r="E35" i="13"/>
  <c r="E34" i="13"/>
  <c r="E33" i="13"/>
  <c r="E32" i="13"/>
  <c r="E31" i="13"/>
  <c r="E30" i="13"/>
  <c r="E29" i="13"/>
  <c r="E28" i="13"/>
  <c r="E27" i="13"/>
  <c r="E26" i="13"/>
  <c r="E25" i="13"/>
  <c r="E24" i="13"/>
  <c r="E23" i="13"/>
  <c r="E22" i="13"/>
  <c r="E21" i="13"/>
  <c r="F113" i="6"/>
  <c r="E5232" i="4"/>
  <c r="E5231" i="4"/>
  <c r="F106" i="6"/>
  <c r="C92" i="6"/>
  <c r="C93" i="6"/>
  <c r="C94" i="6"/>
  <c r="C95" i="6"/>
  <c r="C96" i="6"/>
  <c r="C97" i="6"/>
  <c r="C98" i="6"/>
  <c r="C99" i="6"/>
  <c r="C100" i="6"/>
  <c r="C101" i="6"/>
  <c r="C102" i="6"/>
  <c r="C103" i="6"/>
  <c r="C104" i="6"/>
  <c r="C105" i="6"/>
  <c r="C106" i="6"/>
  <c r="C107" i="6"/>
  <c r="C108" i="6"/>
  <c r="C109" i="6"/>
  <c r="C110" i="6"/>
  <c r="E444" i="5"/>
  <c r="E442" i="5"/>
  <c r="E438" i="5"/>
  <c r="E437" i="5"/>
  <c r="E436" i="5"/>
  <c r="E429" i="5"/>
  <c r="E428" i="5"/>
  <c r="E427" i="5"/>
  <c r="E425" i="5"/>
  <c r="E423" i="5"/>
  <c r="E422" i="5"/>
  <c r="E421" i="5"/>
  <c r="E419" i="5"/>
  <c r="E418" i="5"/>
  <c r="E417" i="5"/>
  <c r="E415" i="5"/>
  <c r="E414" i="5"/>
  <c r="E413" i="5"/>
  <c r="E411" i="5"/>
  <c r="E410" i="5"/>
  <c r="E409" i="5"/>
  <c r="E366" i="5"/>
  <c r="E363" i="5"/>
  <c r="E362" i="5"/>
  <c r="E179" i="5"/>
  <c r="E178" i="5"/>
  <c r="E174" i="5"/>
  <c r="E173" i="5"/>
  <c r="E172" i="5"/>
  <c r="E169" i="5"/>
  <c r="E168" i="5"/>
  <c r="E161" i="5"/>
  <c r="E160" i="5"/>
  <c r="E158" i="5"/>
  <c r="E157" i="5"/>
  <c r="E156" i="5"/>
  <c r="E145" i="5"/>
  <c r="E144" i="5"/>
  <c r="E143" i="5"/>
  <c r="E137" i="5"/>
  <c r="E136" i="5"/>
  <c r="E133" i="5"/>
  <c r="E132" i="5"/>
  <c r="E130" i="5"/>
  <c r="E129" i="5"/>
  <c r="E128" i="5"/>
  <c r="E117" i="5"/>
  <c r="E116" i="5"/>
  <c r="E115" i="5"/>
  <c r="E113" i="5"/>
  <c r="E112" i="5"/>
  <c r="E105" i="5"/>
  <c r="E104" i="5"/>
  <c r="E102" i="5"/>
  <c r="E101" i="5"/>
  <c r="E99" i="5"/>
  <c r="E98" i="5"/>
  <c r="E97" i="5"/>
  <c r="E96" i="5"/>
  <c r="E650" i="5"/>
  <c r="E649" i="5"/>
  <c r="E648" i="5"/>
  <c r="E624" i="5"/>
  <c r="E631" i="5"/>
  <c r="E632" i="5"/>
  <c r="E620" i="5"/>
  <c r="E619" i="5"/>
  <c r="E618" i="5"/>
  <c r="E617" i="5"/>
  <c r="E616" i="5"/>
  <c r="E605" i="5"/>
  <c r="E604" i="5"/>
  <c r="BM269" i="1"/>
  <c r="BO269" i="1"/>
  <c r="BN269" i="1"/>
  <c r="E606" i="5"/>
  <c r="BO368" i="1"/>
  <c r="BN368" i="1"/>
  <c r="BM368" i="1"/>
  <c r="E596" i="5"/>
  <c r="E579" i="5"/>
  <c r="E578" i="5"/>
  <c r="E572" i="5"/>
  <c r="E558" i="5"/>
  <c r="E557" i="5"/>
  <c r="E556" i="5"/>
  <c r="E546" i="5"/>
  <c r="E545" i="5"/>
  <c r="E535" i="5"/>
  <c r="E534" i="5"/>
  <c r="BP269" i="1" l="1"/>
  <c r="BP368" i="1"/>
  <c r="E518" i="5" l="1"/>
  <c r="E517" i="5"/>
  <c r="E497" i="5" l="1"/>
  <c r="E496" i="5"/>
  <c r="E495" i="5"/>
  <c r="E482" i="5"/>
  <c r="E481" i="5"/>
  <c r="J555" i="5"/>
  <c r="E457" i="5"/>
  <c r="E466" i="5"/>
  <c r="E465" i="5"/>
  <c r="E464" i="5"/>
  <c r="E463" i="5"/>
  <c r="E462" i="5"/>
  <c r="E461" i="5"/>
  <c r="E460" i="5"/>
  <c r="E459" i="5"/>
  <c r="E456" i="5"/>
  <c r="E455" i="5"/>
  <c r="E454" i="5"/>
  <c r="E453" i="5"/>
  <c r="E452" i="5"/>
  <c r="E451" i="5"/>
  <c r="E450" i="5"/>
  <c r="E449" i="5"/>
  <c r="E402" i="5"/>
  <c r="E401" i="5"/>
  <c r="E400" i="5"/>
  <c r="E399" i="5"/>
  <c r="E304" i="5"/>
  <c r="E303" i="5"/>
  <c r="E302" i="5"/>
  <c r="E301" i="5"/>
  <c r="E204" i="5"/>
  <c r="E192" i="5"/>
  <c r="E181" i="5"/>
  <c r="E5224" i="4"/>
  <c r="E5223" i="4"/>
  <c r="E5222" i="4"/>
  <c r="E5221" i="4"/>
  <c r="F108" i="6"/>
  <c r="E538" i="5"/>
  <c r="E379" i="5"/>
  <c r="E344" i="5"/>
  <c r="E332" i="5"/>
  <c r="E285" i="5"/>
  <c r="E274" i="5"/>
  <c r="E262" i="5"/>
  <c r="E94" i="5"/>
  <c r="E59" i="5"/>
  <c r="E386" i="5"/>
  <c r="E385" i="5"/>
  <c r="E384" i="5"/>
  <c r="E383" i="5"/>
  <c r="E375" i="5"/>
  <c r="E374" i="5"/>
  <c r="E376" i="5"/>
  <c r="E359" i="5"/>
  <c r="E358" i="5"/>
  <c r="E357" i="5"/>
  <c r="E339" i="5"/>
  <c r="BO332" i="1"/>
  <c r="BN332" i="1"/>
  <c r="BM332" i="1"/>
  <c r="E318" i="5"/>
  <c r="E316" i="5"/>
  <c r="E309" i="5"/>
  <c r="E308" i="5"/>
  <c r="E272" i="5"/>
  <c r="BP332" i="1" l="1"/>
  <c r="E299" i="5"/>
  <c r="E297" i="5"/>
  <c r="E281" i="5"/>
  <c r="E280" i="5"/>
  <c r="E269" i="5"/>
  <c r="E268" i="5"/>
  <c r="E224" i="5"/>
  <c r="E215" i="5"/>
  <c r="E212" i="5"/>
  <c r="E211" i="5"/>
  <c r="E203" i="5"/>
  <c r="E202" i="5"/>
  <c r="E201" i="5"/>
  <c r="E200" i="5"/>
  <c r="E199" i="5"/>
  <c r="E198" i="5"/>
  <c r="E195" i="5"/>
  <c r="E194" i="5"/>
  <c r="E189" i="5"/>
  <c r="E188" i="5"/>
  <c r="E90" i="5"/>
  <c r="E89" i="5"/>
  <c r="E88" i="5"/>
  <c r="E87" i="5"/>
  <c r="E78" i="5"/>
  <c r="E77" i="5"/>
  <c r="E73" i="5"/>
  <c r="E72" i="5"/>
  <c r="E69" i="5"/>
  <c r="E68" i="5"/>
  <c r="E66" i="5"/>
  <c r="E65" i="5"/>
  <c r="E64" i="5"/>
  <c r="E63" i="5"/>
  <c r="E58" i="5"/>
  <c r="E57" i="5"/>
  <c r="E47" i="5"/>
  <c r="E46" i="5"/>
  <c r="E41" i="5"/>
  <c r="E40" i="5"/>
  <c r="E37" i="5"/>
  <c r="E36" i="5"/>
  <c r="E30" i="5"/>
  <c r="E29" i="5"/>
  <c r="E28" i="5"/>
  <c r="E27" i="5"/>
  <c r="E10" i="5"/>
  <c r="E9" i="5"/>
  <c r="E7" i="5"/>
  <c r="E6" i="5"/>
  <c r="E56" i="5"/>
  <c r="E55" i="5"/>
  <c r="E26" i="5"/>
  <c r="E25" i="5"/>
  <c r="E239" i="5"/>
  <c r="E67" i="5"/>
  <c r="E42" i="5"/>
  <c r="E39" i="5"/>
  <c r="E38" i="5"/>
  <c r="E21" i="5"/>
  <c r="E20" i="5"/>
  <c r="E19" i="5"/>
  <c r="E642" i="5"/>
  <c r="E627" i="5"/>
  <c r="E615" i="5"/>
  <c r="E614" i="5"/>
  <c r="E595" i="5"/>
  <c r="E583" i="5"/>
  <c r="E582" i="5"/>
  <c r="E581" i="5"/>
  <c r="E580" i="5"/>
  <c r="E630" i="5"/>
  <c r="E629" i="5"/>
  <c r="E628" i="5"/>
  <c r="E552" i="5"/>
  <c r="E551" i="5"/>
  <c r="E550" i="5"/>
  <c r="E549" i="5"/>
  <c r="E548" i="5"/>
  <c r="E547" i="5"/>
  <c r="E542" i="5"/>
  <c r="E541" i="5"/>
  <c r="E537" i="5"/>
  <c r="E536" i="5"/>
  <c r="E523" i="5"/>
  <c r="E522" i="5"/>
  <c r="E519" i="5"/>
  <c r="E516" i="5"/>
  <c r="E515" i="5"/>
  <c r="E405" i="5"/>
  <c r="E404" i="5"/>
  <c r="E403" i="5"/>
  <c r="E398" i="5"/>
  <c r="E395" i="5"/>
  <c r="E394" i="5"/>
  <c r="E393" i="5"/>
  <c r="E392" i="5"/>
  <c r="E391" i="5"/>
  <c r="E378" i="5"/>
  <c r="E377" i="5"/>
  <c r="E373" i="5"/>
  <c r="E372" i="5"/>
  <c r="E360" i="5"/>
  <c r="E356" i="5"/>
  <c r="E354" i="5"/>
  <c r="E352" i="5"/>
  <c r="E351" i="5"/>
  <c r="E350" i="5"/>
  <c r="E349" i="5"/>
  <c r="E348" i="5"/>
  <c r="E346" i="5"/>
  <c r="E343" i="5"/>
  <c r="E342" i="5"/>
  <c r="E341" i="5"/>
  <c r="E340" i="5"/>
  <c r="E336" i="5"/>
  <c r="E335" i="5"/>
  <c r="E331" i="5"/>
  <c r="E330" i="5"/>
  <c r="E329" i="5"/>
  <c r="E328" i="5"/>
  <c r="E327" i="5"/>
  <c r="E326" i="5"/>
  <c r="E325" i="5"/>
  <c r="E322" i="5"/>
  <c r="E321" i="5"/>
  <c r="E320" i="5"/>
  <c r="E319" i="5"/>
  <c r="E315" i="5"/>
  <c r="E314" i="5"/>
  <c r="E298" i="5"/>
  <c r="E295" i="5"/>
  <c r="E294" i="5"/>
  <c r="E293" i="5"/>
  <c r="E292" i="5"/>
  <c r="E284" i="5"/>
  <c r="E283" i="5"/>
  <c r="E282" i="5"/>
  <c r="E279" i="5"/>
  <c r="E278" i="5"/>
  <c r="E273" i="5"/>
  <c r="E271" i="5"/>
  <c r="E270" i="5"/>
  <c r="E267" i="5"/>
  <c r="E266" i="5"/>
  <c r="E261" i="5"/>
  <c r="E260" i="5"/>
  <c r="E259" i="5"/>
  <c r="E258" i="5"/>
  <c r="E257" i="5"/>
  <c r="E256" i="5"/>
  <c r="E255" i="5"/>
  <c r="E254" i="5"/>
  <c r="E249" i="5"/>
  <c r="E248" i="5"/>
  <c r="E247" i="5"/>
  <c r="E246" i="5"/>
  <c r="E245" i="5"/>
  <c r="E244" i="5"/>
  <c r="E243" i="5"/>
  <c r="E238" i="5"/>
  <c r="E237" i="5"/>
  <c r="E234" i="5"/>
  <c r="E233" i="5"/>
  <c r="E232" i="5"/>
  <c r="E231" i="5"/>
  <c r="E230" i="5"/>
  <c r="E227" i="5"/>
  <c r="E226" i="5"/>
  <c r="E225" i="5"/>
  <c r="E222" i="5"/>
  <c r="E221" i="5"/>
  <c r="E218" i="5"/>
  <c r="E217" i="5"/>
  <c r="E216" i="5"/>
  <c r="E210" i="5"/>
  <c r="E187" i="5"/>
  <c r="E93" i="5"/>
  <c r="E92" i="5"/>
  <c r="E91" i="5"/>
  <c r="E79" i="5"/>
  <c r="E76" i="5"/>
  <c r="E75" i="5"/>
  <c r="E54" i="5"/>
  <c r="E53" i="5"/>
  <c r="E52" i="5"/>
  <c r="E35" i="5"/>
  <c r="E34" i="5"/>
  <c r="E488" i="5"/>
  <c r="E487" i="5"/>
  <c r="AG487" i="5" s="1"/>
  <c r="E486" i="5"/>
  <c r="E494" i="5"/>
  <c r="E493" i="5"/>
  <c r="E478" i="5"/>
  <c r="E477" i="5"/>
  <c r="E476" i="5"/>
  <c r="E475" i="5"/>
  <c r="E448" i="5"/>
  <c r="E447" i="5"/>
  <c r="E382" i="5"/>
  <c r="E371" i="5"/>
  <c r="E369" i="5"/>
  <c r="E334" i="5"/>
  <c r="E324" i="5"/>
  <c r="E313" i="5"/>
  <c r="E307" i="5"/>
  <c r="E306" i="5"/>
  <c r="E305" i="5"/>
  <c r="E277" i="5"/>
  <c r="E265" i="5"/>
  <c r="E253" i="5"/>
  <c r="E251" i="5"/>
  <c r="E220" i="5"/>
  <c r="E209" i="5"/>
  <c r="E197" i="5"/>
  <c r="E193" i="5"/>
  <c r="E86" i="5"/>
  <c r="E85" i="5"/>
  <c r="E84" i="5"/>
  <c r="E74" i="5"/>
  <c r="E62" i="5"/>
  <c r="E50" i="5"/>
  <c r="E45" i="5"/>
  <c r="I564" i="5"/>
  <c r="I563" i="5"/>
  <c r="I562" i="5"/>
  <c r="I561" i="5"/>
  <c r="I560" i="5"/>
  <c r="I559" i="5"/>
  <c r="I558" i="5"/>
  <c r="I557" i="5"/>
  <c r="I555" i="5"/>
  <c r="E5209" i="4"/>
  <c r="E5206" i="4"/>
  <c r="E5203" i="4"/>
  <c r="E5200" i="4"/>
  <c r="E5193" i="4"/>
  <c r="E5192" i="4"/>
  <c r="E5191" i="4"/>
  <c r="E5169" i="4"/>
  <c r="E5165" i="4"/>
  <c r="E5089" i="4"/>
  <c r="BM410" i="1"/>
  <c r="BN410" i="1"/>
  <c r="E5217" i="4"/>
  <c r="E5216" i="4"/>
  <c r="E5215" i="4"/>
  <c r="E5214" i="4"/>
  <c r="E5213" i="4"/>
  <c r="E5212" i="4"/>
  <c r="E5211" i="4"/>
  <c r="E5210" i="4"/>
  <c r="E5208" i="4"/>
  <c r="E5207" i="4"/>
  <c r="E5205" i="4"/>
  <c r="E5204" i="4"/>
  <c r="E5202" i="4"/>
  <c r="E5201" i="4"/>
  <c r="E5199" i="4"/>
  <c r="E5198" i="4"/>
  <c r="E5197" i="4"/>
  <c r="E5196" i="4"/>
  <c r="E5195" i="4"/>
  <c r="E5194" i="4"/>
  <c r="E5190" i="4"/>
  <c r="E5189" i="4"/>
  <c r="E5187" i="4"/>
  <c r="E5186" i="4"/>
  <c r="E5185" i="4"/>
  <c r="E5184" i="4"/>
  <c r="E5183" i="4"/>
  <c r="E5181" i="4"/>
  <c r="E5180" i="4"/>
  <c r="E5179" i="4"/>
  <c r="E5178" i="4"/>
  <c r="E5177" i="4"/>
  <c r="E5176" i="4"/>
  <c r="E5175" i="4"/>
  <c r="E5174" i="4"/>
  <c r="E5173" i="4"/>
  <c r="E5172" i="4"/>
  <c r="E5171" i="4"/>
  <c r="E5170" i="4"/>
  <c r="E5168" i="4"/>
  <c r="E5166" i="4"/>
  <c r="F72" i="6"/>
  <c r="C89" i="6"/>
  <c r="C90" i="6"/>
  <c r="C91" i="6"/>
  <c r="C87" i="6"/>
  <c r="C88" i="6"/>
  <c r="C84" i="6"/>
  <c r="C85" i="6"/>
  <c r="C86" i="6"/>
  <c r="C82" i="6"/>
  <c r="C83" i="6"/>
  <c r="C81" i="6"/>
  <c r="C79" i="6"/>
  <c r="C78" i="6"/>
  <c r="E5130" i="4"/>
  <c r="E5129" i="4"/>
  <c r="E5128" i="4"/>
  <c r="E5127" i="4"/>
  <c r="E5126" i="4"/>
  <c r="E5125" i="4"/>
  <c r="E5124" i="4"/>
  <c r="E5131" i="4"/>
  <c r="E5038" i="4"/>
  <c r="E5037" i="4"/>
  <c r="E5036" i="4"/>
  <c r="E5040" i="4"/>
  <c r="E5039" i="4"/>
  <c r="BO398" i="1"/>
  <c r="BO399" i="1"/>
  <c r="BO400" i="1"/>
  <c r="BN398" i="1"/>
  <c r="BN399" i="1"/>
  <c r="BN400" i="1"/>
  <c r="BM398" i="1"/>
  <c r="BM399" i="1"/>
  <c r="H564" i="5"/>
  <c r="H563" i="5"/>
  <c r="H562" i="5"/>
  <c r="H561" i="5"/>
  <c r="E564" i="5"/>
  <c r="E563" i="5"/>
  <c r="E562" i="5"/>
  <c r="E561" i="5"/>
  <c r="AB555" i="5"/>
  <c r="AB557" i="5"/>
  <c r="AB558" i="5"/>
  <c r="AB559" i="5"/>
  <c r="AB560" i="5"/>
  <c r="AB561" i="5"/>
  <c r="AB562" i="5"/>
  <c r="AB563" i="5"/>
  <c r="AB564" i="5"/>
  <c r="V561" i="5"/>
  <c r="V562" i="5"/>
  <c r="V563" i="5"/>
  <c r="V564" i="5"/>
  <c r="Q561" i="5"/>
  <c r="Q562" i="5"/>
  <c r="Q563" i="5"/>
  <c r="Q564" i="5"/>
  <c r="Q566" i="5"/>
  <c r="H560" i="5"/>
  <c r="H559" i="5"/>
  <c r="H558" i="5"/>
  <c r="H557" i="5"/>
  <c r="H555" i="5"/>
  <c r="V555" i="5"/>
  <c r="Q555" i="5"/>
  <c r="E555" i="5"/>
  <c r="E5164" i="4"/>
  <c r="E5156" i="4"/>
  <c r="E5155" i="4"/>
  <c r="E5154" i="4"/>
  <c r="E5152" i="4"/>
  <c r="E5151" i="4"/>
  <c r="E5150" i="4"/>
  <c r="E5149" i="4"/>
  <c r="E5148" i="4"/>
  <c r="E5147" i="4"/>
  <c r="E5146" i="4"/>
  <c r="E5145" i="4"/>
  <c r="E5142" i="4"/>
  <c r="E5137" i="4"/>
  <c r="E5133" i="4"/>
  <c r="E5132" i="4"/>
  <c r="E5100" i="4"/>
  <c r="E5099" i="4"/>
  <c r="E5098" i="4"/>
  <c r="E5097" i="4"/>
  <c r="E5096" i="4"/>
  <c r="E5095" i="4"/>
  <c r="E5094" i="4"/>
  <c r="E5093" i="4"/>
  <c r="E5090" i="4"/>
  <c r="E5088" i="4"/>
  <c r="E5087" i="4"/>
  <c r="E5086" i="4"/>
  <c r="E5085" i="4"/>
  <c r="E5084" i="4"/>
  <c r="E5083" i="4"/>
  <c r="E5082" i="4"/>
  <c r="E5081" i="4"/>
  <c r="E5080" i="4"/>
  <c r="E5079" i="4"/>
  <c r="E5078" i="4"/>
  <c r="E5077" i="4"/>
  <c r="E5076" i="4"/>
  <c r="E5074" i="4"/>
  <c r="E5073" i="4"/>
  <c r="E5072" i="4"/>
  <c r="E5071" i="4"/>
  <c r="E5070" i="4"/>
  <c r="E5069" i="4"/>
  <c r="E5068" i="4"/>
  <c r="E5067" i="4"/>
  <c r="E5066" i="4"/>
  <c r="E5065" i="4"/>
  <c r="E5064" i="4"/>
  <c r="E5063" i="4"/>
  <c r="E5062" i="4"/>
  <c r="E5061" i="4"/>
  <c r="E5060" i="4"/>
  <c r="E5059" i="4"/>
  <c r="E5058" i="4"/>
  <c r="E5057" i="4"/>
  <c r="E5056" i="4"/>
  <c r="E5055" i="4"/>
  <c r="E5054" i="4"/>
  <c r="E5053" i="4"/>
  <c r="E5052" i="4"/>
  <c r="E5051" i="4"/>
  <c r="E5050" i="4"/>
  <c r="E5049" i="4"/>
  <c r="E5048" i="4"/>
  <c r="E5047" i="4"/>
  <c r="E5046" i="4"/>
  <c r="E5045" i="4"/>
  <c r="E5044" i="4"/>
  <c r="E5043" i="4"/>
  <c r="E5042" i="4"/>
  <c r="E5041" i="4"/>
  <c r="E5121" i="4"/>
  <c r="E5119" i="4"/>
  <c r="E5118" i="4"/>
  <c r="E5117" i="4"/>
  <c r="E5116" i="4"/>
  <c r="E5115" i="4"/>
  <c r="E5114" i="4"/>
  <c r="E5113" i="4"/>
  <c r="E5110" i="4"/>
  <c r="E5109" i="4"/>
  <c r="E5107" i="4"/>
  <c r="E5106" i="4"/>
  <c r="E5105" i="4"/>
  <c r="E5102" i="4"/>
  <c r="I525" i="5"/>
  <c r="H525" i="5"/>
  <c r="H524" i="5"/>
  <c r="H523" i="5"/>
  <c r="H520" i="5"/>
  <c r="I524" i="5"/>
  <c r="I523" i="5"/>
  <c r="I520" i="5"/>
  <c r="J525" i="5"/>
  <c r="J524" i="5"/>
  <c r="J523" i="5"/>
  <c r="J520" i="5"/>
  <c r="V490" i="5"/>
  <c r="V491" i="5"/>
  <c r="V492" i="5"/>
  <c r="V493" i="5"/>
  <c r="V499" i="5"/>
  <c r="V500" i="5"/>
  <c r="V501" i="5"/>
  <c r="V502" i="5"/>
  <c r="V503" i="5"/>
  <c r="V504" i="5"/>
  <c r="V505" i="5"/>
  <c r="V506" i="5"/>
  <c r="V507" i="5"/>
  <c r="V508" i="5"/>
  <c r="V509" i="5"/>
  <c r="V510" i="5"/>
  <c r="V511" i="5"/>
  <c r="V512" i="5"/>
  <c r="V513" i="5"/>
  <c r="V514" i="5"/>
  <c r="V520" i="5"/>
  <c r="V521" i="5"/>
  <c r="V523" i="5"/>
  <c r="V524" i="5"/>
  <c r="V525" i="5"/>
  <c r="V526" i="5"/>
  <c r="V528" i="5"/>
  <c r="V529" i="5"/>
  <c r="V530" i="5"/>
  <c r="V531" i="5"/>
  <c r="V532" i="5"/>
  <c r="V533" i="5"/>
  <c r="V539" i="5"/>
  <c r="V540" i="5"/>
  <c r="V543" i="5"/>
  <c r="V544" i="5"/>
  <c r="V546" i="5"/>
  <c r="V553" i="5"/>
  <c r="V554" i="5"/>
  <c r="V557" i="5"/>
  <c r="V558" i="5"/>
  <c r="V559" i="5"/>
  <c r="V560" i="5"/>
  <c r="V566" i="5"/>
  <c r="V567" i="5"/>
  <c r="V568" i="5"/>
  <c r="V569" i="5"/>
  <c r="V570" i="5"/>
  <c r="V571" i="5"/>
  <c r="V573" i="5"/>
  <c r="V574" i="5"/>
  <c r="V575" i="5"/>
  <c r="V576" i="5"/>
  <c r="V577" i="5"/>
  <c r="V585" i="5"/>
  <c r="V586" i="5"/>
  <c r="V587" i="5"/>
  <c r="V588" i="5"/>
  <c r="V589" i="5"/>
  <c r="V590" i="5"/>
  <c r="V591" i="5"/>
  <c r="V592" i="5"/>
  <c r="V593" i="5"/>
  <c r="V594" i="5"/>
  <c r="V595" i="5"/>
  <c r="V599" i="5"/>
  <c r="V605" i="5"/>
  <c r="V606" i="5"/>
  <c r="V607" i="5"/>
  <c r="V608" i="5"/>
  <c r="V609" i="5"/>
  <c r="V610" i="5"/>
  <c r="V611" i="5"/>
  <c r="V612" i="5"/>
  <c r="V613" i="5"/>
  <c r="V614" i="5"/>
  <c r="V615" i="5"/>
  <c r="V621" i="5"/>
  <c r="V622" i="5"/>
  <c r="V623" i="5"/>
  <c r="V626" i="5"/>
  <c r="V627" i="5"/>
  <c r="V636" i="5"/>
  <c r="V637" i="5"/>
  <c r="V638" i="5"/>
  <c r="V641" i="5"/>
  <c r="V642" i="5"/>
  <c r="V651" i="5"/>
  <c r="V652" i="5"/>
  <c r="V653" i="5"/>
  <c r="V654" i="5"/>
  <c r="V655" i="5"/>
  <c r="V656" i="5"/>
  <c r="V657" i="5"/>
  <c r="V658" i="5"/>
  <c r="V659" i="5"/>
  <c r="V660" i="5"/>
  <c r="Q491" i="5"/>
  <c r="Q492" i="5"/>
  <c r="Q493" i="5"/>
  <c r="Q499" i="5"/>
  <c r="Q500" i="5"/>
  <c r="Q501" i="5"/>
  <c r="Q502" i="5"/>
  <c r="Q503" i="5"/>
  <c r="Q504" i="5"/>
  <c r="Q505" i="5"/>
  <c r="Q506" i="5"/>
  <c r="Q507" i="5"/>
  <c r="Q508" i="5"/>
  <c r="Q509" i="5"/>
  <c r="Q510" i="5"/>
  <c r="Q511" i="5"/>
  <c r="Q512" i="5"/>
  <c r="Q513" i="5"/>
  <c r="Q514" i="5"/>
  <c r="Q520" i="5"/>
  <c r="Q521" i="5"/>
  <c r="Q523" i="5"/>
  <c r="Q524" i="5"/>
  <c r="Q525" i="5"/>
  <c r="Q526" i="5"/>
  <c r="Q528" i="5"/>
  <c r="Q529" i="5"/>
  <c r="Q530" i="5"/>
  <c r="Q531" i="5"/>
  <c r="Q532" i="5"/>
  <c r="Q533" i="5"/>
  <c r="Q539" i="5"/>
  <c r="Q540" i="5"/>
  <c r="Q543" i="5"/>
  <c r="Q544" i="5"/>
  <c r="Q546" i="5"/>
  <c r="Q553" i="5"/>
  <c r="Q554" i="5"/>
  <c r="Q557" i="5"/>
  <c r="Q558" i="5"/>
  <c r="Q559" i="5"/>
  <c r="Q560" i="5"/>
  <c r="Q567" i="5"/>
  <c r="Q568" i="5"/>
  <c r="Q569" i="5"/>
  <c r="Q570" i="5"/>
  <c r="Q571" i="5"/>
  <c r="Q573" i="5"/>
  <c r="Q574" i="5"/>
  <c r="Q575" i="5"/>
  <c r="Q576" i="5"/>
  <c r="Q577" i="5"/>
  <c r="Q585" i="5"/>
  <c r="Q586" i="5"/>
  <c r="Q587" i="5"/>
  <c r="Q588" i="5"/>
  <c r="Q589" i="5"/>
  <c r="Q590" i="5"/>
  <c r="Q591" i="5"/>
  <c r="Q592" i="5"/>
  <c r="Q593" i="5"/>
  <c r="Q594" i="5"/>
  <c r="Q595" i="5"/>
  <c r="Q599" i="5"/>
  <c r="Q605" i="5"/>
  <c r="Q606" i="5"/>
  <c r="Q607" i="5"/>
  <c r="Q608" i="5"/>
  <c r="Q609" i="5"/>
  <c r="Q610" i="5"/>
  <c r="Q611" i="5"/>
  <c r="Q612" i="5"/>
  <c r="Q613" i="5"/>
  <c r="Q614" i="5"/>
  <c r="Q615" i="5"/>
  <c r="Q621" i="5"/>
  <c r="Q622" i="5"/>
  <c r="Q623" i="5"/>
  <c r="Q626" i="5"/>
  <c r="Q627" i="5"/>
  <c r="Q636" i="5"/>
  <c r="Q637" i="5"/>
  <c r="Q638" i="5"/>
  <c r="Q641" i="5"/>
  <c r="Q642" i="5"/>
  <c r="Q651" i="5"/>
  <c r="Q652" i="5"/>
  <c r="Q653" i="5"/>
  <c r="Q654" i="5"/>
  <c r="Q655" i="5"/>
  <c r="Q656" i="5"/>
  <c r="Q657" i="5"/>
  <c r="Q658" i="5"/>
  <c r="Q659" i="5"/>
  <c r="Q660" i="5"/>
  <c r="Q490" i="5"/>
  <c r="L490" i="5"/>
  <c r="L491" i="5"/>
  <c r="L492" i="5"/>
  <c r="L493" i="5"/>
  <c r="L499" i="5"/>
  <c r="L500" i="5"/>
  <c r="L501" i="5"/>
  <c r="L502" i="5"/>
  <c r="L503" i="5"/>
  <c r="L504" i="5"/>
  <c r="L505" i="5"/>
  <c r="L506" i="5"/>
  <c r="L507" i="5"/>
  <c r="L508" i="5"/>
  <c r="L509" i="5"/>
  <c r="L510" i="5"/>
  <c r="L511" i="5"/>
  <c r="L512" i="5"/>
  <c r="L513" i="5"/>
  <c r="L514" i="5"/>
  <c r="L521" i="5"/>
  <c r="L526" i="5"/>
  <c r="L528" i="5"/>
  <c r="L529" i="5"/>
  <c r="L530" i="5"/>
  <c r="L531" i="5"/>
  <c r="L532" i="5"/>
  <c r="L533" i="5"/>
  <c r="L539" i="5"/>
  <c r="L540" i="5"/>
  <c r="L543" i="5"/>
  <c r="L544" i="5"/>
  <c r="L546" i="5"/>
  <c r="L553" i="5"/>
  <c r="L554" i="5"/>
  <c r="L566" i="5"/>
  <c r="L567" i="5"/>
  <c r="L568" i="5"/>
  <c r="L569" i="5"/>
  <c r="L570" i="5"/>
  <c r="L571" i="5"/>
  <c r="L573" i="5"/>
  <c r="L574" i="5"/>
  <c r="L575" i="5"/>
  <c r="L576" i="5"/>
  <c r="L577" i="5"/>
  <c r="L585" i="5"/>
  <c r="L586" i="5"/>
  <c r="L587" i="5"/>
  <c r="L588" i="5"/>
  <c r="L589" i="5"/>
  <c r="L590" i="5"/>
  <c r="L591" i="5"/>
  <c r="L592" i="5"/>
  <c r="L593" i="5"/>
  <c r="L594" i="5"/>
  <c r="L595" i="5"/>
  <c r="L599" i="5"/>
  <c r="L605" i="5"/>
  <c r="L606" i="5"/>
  <c r="L607" i="5"/>
  <c r="L608" i="5"/>
  <c r="L609" i="5"/>
  <c r="L610" i="5"/>
  <c r="L611" i="5"/>
  <c r="L612" i="5"/>
  <c r="L613" i="5"/>
  <c r="L614" i="5"/>
  <c r="L615" i="5"/>
  <c r="L621" i="5"/>
  <c r="L622" i="5"/>
  <c r="L623" i="5"/>
  <c r="L626" i="5"/>
  <c r="L627" i="5"/>
  <c r="L636" i="5"/>
  <c r="L637" i="5"/>
  <c r="L638" i="5"/>
  <c r="L641" i="5"/>
  <c r="L642" i="5"/>
  <c r="L651" i="5"/>
  <c r="L652" i="5"/>
  <c r="L653" i="5"/>
  <c r="L654" i="5"/>
  <c r="L655" i="5"/>
  <c r="L656" i="5"/>
  <c r="L657" i="5"/>
  <c r="L658" i="5"/>
  <c r="L659" i="5"/>
  <c r="L660" i="5"/>
  <c r="K525" i="5"/>
  <c r="K524" i="5"/>
  <c r="K523" i="5"/>
  <c r="K520" i="5"/>
  <c r="AB525" i="5"/>
  <c r="AB526" i="5"/>
  <c r="E526" i="5"/>
  <c r="AE526" i="5" s="1"/>
  <c r="E525" i="5"/>
  <c r="K10" i="5"/>
  <c r="V8" i="5"/>
  <c r="V10" i="5"/>
  <c r="L8" i="5"/>
  <c r="Q8" i="5"/>
  <c r="Q10" i="5"/>
  <c r="K7" i="5"/>
  <c r="J10" i="5"/>
  <c r="J7" i="5"/>
  <c r="I10" i="5"/>
  <c r="I7" i="5"/>
  <c r="H10" i="5"/>
  <c r="H7" i="5"/>
  <c r="E8" i="5"/>
  <c r="H5" i="5"/>
  <c r="H4" i="5"/>
  <c r="H3" i="5"/>
  <c r="H2" i="5"/>
  <c r="I5" i="5"/>
  <c r="I4" i="5"/>
  <c r="I3" i="5"/>
  <c r="I2" i="5"/>
  <c r="J5" i="5"/>
  <c r="J4" i="5"/>
  <c r="J3" i="5"/>
  <c r="J2" i="5"/>
  <c r="K5" i="5"/>
  <c r="K4" i="5"/>
  <c r="K3" i="5"/>
  <c r="K2" i="5"/>
  <c r="E4930" i="4"/>
  <c r="E4929" i="4"/>
  <c r="E4928" i="4"/>
  <c r="E4927" i="4"/>
  <c r="E4926" i="4"/>
  <c r="E5035" i="4"/>
  <c r="E5034" i="4"/>
  <c r="E5033" i="4"/>
  <c r="E5032" i="4"/>
  <c r="E5031" i="4"/>
  <c r="E5030" i="4"/>
  <c r="E5029" i="4"/>
  <c r="E5028" i="4"/>
  <c r="E5027" i="4"/>
  <c r="E5026" i="4"/>
  <c r="E5025" i="4"/>
  <c r="E5024" i="4"/>
  <c r="E5023" i="4"/>
  <c r="E5022" i="4"/>
  <c r="E5021" i="4"/>
  <c r="E5020" i="4"/>
  <c r="E5019" i="4"/>
  <c r="E5018" i="4"/>
  <c r="E5017" i="4"/>
  <c r="E5016" i="4"/>
  <c r="E5015" i="4"/>
  <c r="E5014" i="4"/>
  <c r="E5013" i="4"/>
  <c r="E5012" i="4"/>
  <c r="E5011" i="4"/>
  <c r="E5010" i="4"/>
  <c r="E5009" i="4"/>
  <c r="E5008" i="4"/>
  <c r="E5007" i="4"/>
  <c r="E5006" i="4"/>
  <c r="E5005" i="4"/>
  <c r="E5004" i="4"/>
  <c r="E5003" i="4"/>
  <c r="E5002" i="4"/>
  <c r="E5001" i="4"/>
  <c r="E5000" i="4"/>
  <c r="E4999" i="4"/>
  <c r="E4998" i="4"/>
  <c r="E4997" i="4"/>
  <c r="E4996" i="4"/>
  <c r="E4995" i="4"/>
  <c r="E4994" i="4"/>
  <c r="E4992" i="4"/>
  <c r="E4991" i="4"/>
  <c r="E4990" i="4"/>
  <c r="E4989" i="4"/>
  <c r="E4988" i="4"/>
  <c r="E4987" i="4"/>
  <c r="E4985" i="4"/>
  <c r="E4984" i="4"/>
  <c r="E4983" i="4"/>
  <c r="E4982" i="4"/>
  <c r="E4981" i="4"/>
  <c r="E4980" i="4"/>
  <c r="E4979" i="4"/>
  <c r="E4977" i="4"/>
  <c r="E4976" i="4"/>
  <c r="E4975" i="4"/>
  <c r="E4974" i="4"/>
  <c r="E4973" i="4"/>
  <c r="E4972" i="4"/>
  <c r="E4971" i="4"/>
  <c r="E4970" i="4"/>
  <c r="E4969" i="4"/>
  <c r="E4968" i="4"/>
  <c r="E4967" i="4"/>
  <c r="E4966" i="4"/>
  <c r="E4965" i="4"/>
  <c r="E4964" i="4"/>
  <c r="E4963" i="4"/>
  <c r="E4962" i="4"/>
  <c r="E4961" i="4"/>
  <c r="E4960" i="4"/>
  <c r="E4959" i="4"/>
  <c r="E4958" i="4"/>
  <c r="E4957" i="4"/>
  <c r="E4956" i="4"/>
  <c r="E4955" i="4"/>
  <c r="E4954" i="4"/>
  <c r="E4953" i="4"/>
  <c r="E4952" i="4"/>
  <c r="E4951" i="4"/>
  <c r="E4950" i="4"/>
  <c r="E4949" i="4"/>
  <c r="E4948" i="4"/>
  <c r="E4947" i="4"/>
  <c r="E4946" i="4"/>
  <c r="E4945" i="4"/>
  <c r="E4944" i="4"/>
  <c r="E4943" i="4"/>
  <c r="E4942" i="4"/>
  <c r="E4941" i="4"/>
  <c r="E4940" i="4"/>
  <c r="E4938" i="4"/>
  <c r="E4937" i="4"/>
  <c r="E4936" i="4"/>
  <c r="E4935" i="4"/>
  <c r="E4934" i="4"/>
  <c r="E4933" i="4"/>
  <c r="E4932" i="4"/>
  <c r="E4931" i="4"/>
  <c r="E4925" i="4"/>
  <c r="E4924" i="4"/>
  <c r="E4923" i="4"/>
  <c r="E4922" i="4"/>
  <c r="E4921" i="4"/>
  <c r="E4920" i="4"/>
  <c r="E4918" i="4"/>
  <c r="E4917" i="4"/>
  <c r="E4916" i="4"/>
  <c r="E4915" i="4"/>
  <c r="E4914" i="4"/>
  <c r="E4913" i="4"/>
  <c r="E4911" i="4"/>
  <c r="E4910" i="4"/>
  <c r="E4909" i="4"/>
  <c r="E4908" i="4"/>
  <c r="E4907" i="4"/>
  <c r="E4906" i="4"/>
  <c r="E4905" i="4"/>
  <c r="E4904" i="4"/>
  <c r="E4903" i="4"/>
  <c r="E4902" i="4"/>
  <c r="E4901" i="4"/>
  <c r="E4900" i="4"/>
  <c r="E4899" i="4"/>
  <c r="E4897" i="4"/>
  <c r="E4896" i="4"/>
  <c r="E4895" i="4"/>
  <c r="E4894" i="4"/>
  <c r="E4893" i="4"/>
  <c r="E4892" i="4"/>
  <c r="E4891" i="4"/>
  <c r="E4890" i="4"/>
  <c r="E4888" i="4"/>
  <c r="E4887" i="4"/>
  <c r="E4886" i="4"/>
  <c r="E4885" i="4"/>
  <c r="E4884" i="4"/>
  <c r="E4883" i="4"/>
  <c r="E4882" i="4"/>
  <c r="E4881" i="4"/>
  <c r="E4880" i="4"/>
  <c r="E4879" i="4"/>
  <c r="E4878" i="4"/>
  <c r="E4877" i="4"/>
  <c r="E4876" i="4"/>
  <c r="E4875" i="4"/>
  <c r="E4874" i="4"/>
  <c r="E4873" i="4"/>
  <c r="E4871" i="4"/>
  <c r="E4870" i="4"/>
  <c r="E4869" i="4"/>
  <c r="E4868" i="4"/>
  <c r="E4866" i="4"/>
  <c r="E4865" i="4"/>
  <c r="E4864" i="4"/>
  <c r="E4863" i="4"/>
  <c r="E4862" i="4"/>
  <c r="E4861" i="4"/>
  <c r="E4860" i="4"/>
  <c r="E4859" i="4"/>
  <c r="E4858" i="4"/>
  <c r="E4857" i="4"/>
  <c r="E4856" i="4"/>
  <c r="E4854" i="4"/>
  <c r="E4853" i="4"/>
  <c r="E4852" i="4"/>
  <c r="E4851" i="4"/>
  <c r="E4850" i="4"/>
  <c r="E4849" i="4"/>
  <c r="E4848" i="4"/>
  <c r="E4847" i="4"/>
  <c r="E4846" i="4"/>
  <c r="E4845" i="4"/>
  <c r="E4844" i="4"/>
  <c r="E4843" i="4"/>
  <c r="E4842" i="4"/>
  <c r="E4841" i="4"/>
  <c r="E4840" i="4"/>
  <c r="E4839" i="4"/>
  <c r="E4838" i="4"/>
  <c r="E4837" i="4"/>
  <c r="E4836" i="4"/>
  <c r="E4835" i="4"/>
  <c r="E4834" i="4"/>
  <c r="E4833" i="4"/>
  <c r="E4832" i="4"/>
  <c r="E4831" i="4"/>
  <c r="E4830" i="4"/>
  <c r="E4829" i="4"/>
  <c r="E4828" i="4"/>
  <c r="E4827" i="4"/>
  <c r="E4826" i="4"/>
  <c r="E4825" i="4"/>
  <c r="E4824" i="4"/>
  <c r="E4823" i="4"/>
  <c r="E4822" i="4"/>
  <c r="E4821" i="4"/>
  <c r="E4820" i="4"/>
  <c r="E4819" i="4"/>
  <c r="E4818" i="4"/>
  <c r="E4817" i="4"/>
  <c r="E4816" i="4"/>
  <c r="E4815" i="4"/>
  <c r="E4814" i="4"/>
  <c r="E4813" i="4"/>
  <c r="E4812" i="4"/>
  <c r="E4811" i="4"/>
  <c r="E4809" i="4"/>
  <c r="E4808" i="4"/>
  <c r="E4807" i="4"/>
  <c r="E4806" i="4"/>
  <c r="E4805" i="4"/>
  <c r="E4804" i="4"/>
  <c r="E4802" i="4"/>
  <c r="E4801" i="4"/>
  <c r="E4800" i="4"/>
  <c r="E4799" i="4"/>
  <c r="E4798" i="4"/>
  <c r="E4797" i="4"/>
  <c r="E4796" i="4"/>
  <c r="E4795" i="4"/>
  <c r="E4794" i="4"/>
  <c r="E4793" i="4"/>
  <c r="E4792" i="4"/>
  <c r="E4791" i="4"/>
  <c r="E4790" i="4"/>
  <c r="E4789" i="4"/>
  <c r="E4788" i="4"/>
  <c r="E4787" i="4"/>
  <c r="E4786" i="4"/>
  <c r="E4785" i="4"/>
  <c r="E4784" i="4"/>
  <c r="E4783" i="4"/>
  <c r="E4782" i="4"/>
  <c r="E4781" i="4"/>
  <c r="E4780" i="4"/>
  <c r="E4779" i="4"/>
  <c r="E4778" i="4"/>
  <c r="E4777" i="4"/>
  <c r="E4776" i="4"/>
  <c r="E4775" i="4"/>
  <c r="E4774" i="4"/>
  <c r="E4773" i="4"/>
  <c r="E4772" i="4"/>
  <c r="E4771" i="4"/>
  <c r="E4770" i="4"/>
  <c r="E4768" i="4"/>
  <c r="E4767" i="4"/>
  <c r="E4766" i="4"/>
  <c r="E4765" i="4"/>
  <c r="E4764" i="4"/>
  <c r="E4762" i="4"/>
  <c r="E4761" i="4"/>
  <c r="E4760" i="4"/>
  <c r="E4759" i="4"/>
  <c r="E4745" i="4"/>
  <c r="E4744" i="4"/>
  <c r="E4743" i="4"/>
  <c r="E4742" i="4"/>
  <c r="E4741" i="4"/>
  <c r="E4740" i="4"/>
  <c r="E4739" i="4"/>
  <c r="E4738" i="4"/>
  <c r="E4737" i="4"/>
  <c r="E4736" i="4"/>
  <c r="E4735" i="4"/>
  <c r="E4734" i="4"/>
  <c r="E4733" i="4"/>
  <c r="E4732" i="4"/>
  <c r="E4731" i="4"/>
  <c r="E4730" i="4"/>
  <c r="E4729" i="4"/>
  <c r="E4728" i="4"/>
  <c r="E4727" i="4"/>
  <c r="E4726" i="4"/>
  <c r="E4725" i="4"/>
  <c r="E4724" i="4"/>
  <c r="E4723" i="4"/>
  <c r="E4722" i="4"/>
  <c r="E4721" i="4"/>
  <c r="E4720" i="4"/>
  <c r="E4719" i="4"/>
  <c r="E4718" i="4"/>
  <c r="E4717" i="4"/>
  <c r="E4716" i="4"/>
  <c r="E4715" i="4"/>
  <c r="E4714" i="4"/>
  <c r="E4713" i="4"/>
  <c r="E4712" i="4"/>
  <c r="E4711" i="4"/>
  <c r="E4710" i="4"/>
  <c r="E4709" i="4"/>
  <c r="E4708" i="4"/>
  <c r="E4707" i="4"/>
  <c r="E4706" i="4"/>
  <c r="E4705" i="4"/>
  <c r="E4704" i="4"/>
  <c r="E4703" i="4"/>
  <c r="E4702" i="4"/>
  <c r="E4701" i="4"/>
  <c r="E4700" i="4"/>
  <c r="E4699" i="4"/>
  <c r="E4698" i="4"/>
  <c r="E4697" i="4"/>
  <c r="E4696" i="4"/>
  <c r="E4695" i="4"/>
  <c r="E4694" i="4"/>
  <c r="E4693" i="4"/>
  <c r="E4692" i="4"/>
  <c r="E4691" i="4"/>
  <c r="E4690" i="4"/>
  <c r="E4689" i="4"/>
  <c r="E4688" i="4"/>
  <c r="E4687" i="4"/>
  <c r="E4686" i="4"/>
  <c r="E4685" i="4"/>
  <c r="E4684" i="4"/>
  <c r="E4683" i="4"/>
  <c r="E4682" i="4"/>
  <c r="E4681" i="4"/>
  <c r="E4679" i="4"/>
  <c r="E4678" i="4"/>
  <c r="E4677" i="4"/>
  <c r="E4676" i="4"/>
  <c r="E4675" i="4"/>
  <c r="E4674" i="4"/>
  <c r="E4673" i="4"/>
  <c r="E4672" i="4"/>
  <c r="E4671" i="4"/>
  <c r="E4670" i="4"/>
  <c r="E4669" i="4"/>
  <c r="E4668" i="4"/>
  <c r="E4667" i="4"/>
  <c r="E4666" i="4"/>
  <c r="E4665" i="4"/>
  <c r="E4664" i="4"/>
  <c r="E4663" i="4"/>
  <c r="E4662" i="4"/>
  <c r="E4661" i="4"/>
  <c r="E4660" i="4"/>
  <c r="E4659" i="4"/>
  <c r="E4658" i="4"/>
  <c r="E4657" i="4"/>
  <c r="E4656" i="4"/>
  <c r="E4655" i="4"/>
  <c r="E4654" i="4"/>
  <c r="E4653" i="4"/>
  <c r="E4652" i="4"/>
  <c r="E4651" i="4"/>
  <c r="E4650" i="4"/>
  <c r="E4649" i="4"/>
  <c r="E4648" i="4"/>
  <c r="E4647" i="4"/>
  <c r="E4646" i="4"/>
  <c r="E4645" i="4"/>
  <c r="E4644" i="4"/>
  <c r="E4643" i="4"/>
  <c r="E4642" i="4"/>
  <c r="E4641" i="4"/>
  <c r="E4640" i="4"/>
  <c r="E4639" i="4"/>
  <c r="E4638" i="4"/>
  <c r="E4637" i="4"/>
  <c r="E4636" i="4"/>
  <c r="E4635" i="4"/>
  <c r="E4634" i="4"/>
  <c r="E4633" i="4"/>
  <c r="E4632" i="4"/>
  <c r="E4631" i="4"/>
  <c r="E4630" i="4"/>
  <c r="E4629" i="4"/>
  <c r="E4627" i="4"/>
  <c r="E4626" i="4"/>
  <c r="E4625" i="4"/>
  <c r="E4624" i="4"/>
  <c r="E4623" i="4"/>
  <c r="E4622" i="4"/>
  <c r="E4621" i="4"/>
  <c r="E4620" i="4"/>
  <c r="E4619" i="4"/>
  <c r="E4618" i="4"/>
  <c r="E4617" i="4"/>
  <c r="E4616" i="4"/>
  <c r="E4615" i="4"/>
  <c r="E4614" i="4"/>
  <c r="E4613" i="4"/>
  <c r="E4612" i="4"/>
  <c r="E4611" i="4"/>
  <c r="E4610" i="4"/>
  <c r="E4609" i="4"/>
  <c r="E4608" i="4"/>
  <c r="E4607" i="4"/>
  <c r="E4606" i="4"/>
  <c r="E4605" i="4"/>
  <c r="E4604" i="4"/>
  <c r="E4603" i="4"/>
  <c r="E4602" i="4"/>
  <c r="E4601" i="4"/>
  <c r="E4600" i="4"/>
  <c r="E4599" i="4"/>
  <c r="E4598" i="4"/>
  <c r="E4596" i="4"/>
  <c r="E4595" i="4"/>
  <c r="E4594" i="4"/>
  <c r="E4593" i="4"/>
  <c r="E4592" i="4"/>
  <c r="E4591" i="4"/>
  <c r="E4590" i="4"/>
  <c r="E4589" i="4"/>
  <c r="E4588" i="4"/>
  <c r="E4587" i="4"/>
  <c r="E4586" i="4"/>
  <c r="E4585" i="4"/>
  <c r="E4584" i="4"/>
  <c r="E4583" i="4"/>
  <c r="E4582" i="4"/>
  <c r="E4581" i="4"/>
  <c r="E4580" i="4"/>
  <c r="E4579" i="4"/>
  <c r="E4578" i="4"/>
  <c r="E4577" i="4"/>
  <c r="E4576" i="4"/>
  <c r="E4575" i="4"/>
  <c r="E4574" i="4"/>
  <c r="E4573" i="4"/>
  <c r="E4572" i="4"/>
  <c r="E4571" i="4"/>
  <c r="E4570" i="4"/>
  <c r="E4569" i="4"/>
  <c r="E4568" i="4"/>
  <c r="E4567" i="4"/>
  <c r="E4566" i="4"/>
  <c r="E4565" i="4"/>
  <c r="E4564" i="4"/>
  <c r="E4563" i="4"/>
  <c r="E4562" i="4"/>
  <c r="E4561" i="4"/>
  <c r="E4560" i="4"/>
  <c r="E4559" i="4"/>
  <c r="E4558" i="4"/>
  <c r="E4557" i="4"/>
  <c r="E4556" i="4"/>
  <c r="E4555" i="4"/>
  <c r="E4554" i="4"/>
  <c r="E4553" i="4"/>
  <c r="E4552" i="4"/>
  <c r="E4551" i="4"/>
  <c r="E4550" i="4"/>
  <c r="E4549" i="4"/>
  <c r="E4548" i="4"/>
  <c r="E4547" i="4"/>
  <c r="E4546" i="4"/>
  <c r="E4545" i="4"/>
  <c r="E4544" i="4"/>
  <c r="E4543" i="4"/>
  <c r="E4542" i="4"/>
  <c r="E4541" i="4"/>
  <c r="E4540" i="4"/>
  <c r="E4539" i="4"/>
  <c r="E4538" i="4"/>
  <c r="E4537" i="4"/>
  <c r="E4536" i="4"/>
  <c r="E4535" i="4"/>
  <c r="E4534" i="4"/>
  <c r="E4533" i="4"/>
  <c r="E4532" i="4"/>
  <c r="E4531" i="4"/>
  <c r="E4530" i="4"/>
  <c r="E4529" i="4"/>
  <c r="E4528" i="4"/>
  <c r="E4527" i="4"/>
  <c r="E4526" i="4"/>
  <c r="E4525" i="4"/>
  <c r="E4524" i="4"/>
  <c r="E4523" i="4"/>
  <c r="E4521" i="4"/>
  <c r="E4520" i="4"/>
  <c r="E4519" i="4"/>
  <c r="E4518" i="4"/>
  <c r="E4517" i="4"/>
  <c r="E4516" i="4"/>
  <c r="E4515" i="4"/>
  <c r="E4514" i="4"/>
  <c r="E4513" i="4"/>
  <c r="E4512" i="4"/>
  <c r="E4511" i="4"/>
  <c r="E4510" i="4"/>
  <c r="E4509" i="4"/>
  <c r="E4508" i="4"/>
  <c r="E4507" i="4"/>
  <c r="E4506" i="4"/>
  <c r="E4505" i="4"/>
  <c r="E4504" i="4"/>
  <c r="E4503" i="4"/>
  <c r="E4502" i="4"/>
  <c r="E4501" i="4"/>
  <c r="E4500" i="4"/>
  <c r="E4499" i="4"/>
  <c r="E4498" i="4"/>
  <c r="E4497" i="4"/>
  <c r="E4496" i="4"/>
  <c r="E4495" i="4"/>
  <c r="E4494" i="4"/>
  <c r="E4493" i="4"/>
  <c r="E4492" i="4"/>
  <c r="E4491" i="4"/>
  <c r="E4489" i="4"/>
  <c r="E4488" i="4"/>
  <c r="E4487" i="4"/>
  <c r="E4486" i="4"/>
  <c r="E4485" i="4"/>
  <c r="E4484" i="4"/>
  <c r="E4483" i="4"/>
  <c r="E4482" i="4"/>
  <c r="E4481" i="4"/>
  <c r="E4480" i="4"/>
  <c r="E4479" i="4"/>
  <c r="E4478" i="4"/>
  <c r="E4477" i="4"/>
  <c r="E4476" i="4"/>
  <c r="E4475" i="4"/>
  <c r="E4474" i="4"/>
  <c r="E4473" i="4"/>
  <c r="E4472" i="4"/>
  <c r="E4471" i="4"/>
  <c r="E4470" i="4"/>
  <c r="E4469" i="4"/>
  <c r="E4468" i="4"/>
  <c r="E4467" i="4"/>
  <c r="E4466" i="4"/>
  <c r="E4465" i="4"/>
  <c r="E4464" i="4"/>
  <c r="E4463" i="4"/>
  <c r="E4462" i="4"/>
  <c r="E4461" i="4"/>
  <c r="E4460" i="4"/>
  <c r="E4459" i="4"/>
  <c r="E4457" i="4"/>
  <c r="E4456" i="4"/>
  <c r="E4455" i="4"/>
  <c r="E4454" i="4"/>
  <c r="E4453" i="4"/>
  <c r="E4452" i="4"/>
  <c r="E4451" i="4"/>
  <c r="E4450" i="4"/>
  <c r="E4449" i="4"/>
  <c r="E4448" i="4"/>
  <c r="E4447" i="4"/>
  <c r="E4446" i="4"/>
  <c r="E4445" i="4"/>
  <c r="E4444" i="4"/>
  <c r="E4443" i="4"/>
  <c r="E4442" i="4"/>
  <c r="E4441" i="4"/>
  <c r="E4440" i="4"/>
  <c r="E4439" i="4"/>
  <c r="E4438" i="4"/>
  <c r="E4437" i="4"/>
  <c r="E4436" i="4"/>
  <c r="E4435" i="4"/>
  <c r="E4434" i="4"/>
  <c r="E4433" i="4"/>
  <c r="E4432" i="4"/>
  <c r="E4431" i="4"/>
  <c r="E4430" i="4"/>
  <c r="E4429" i="4"/>
  <c r="E4428" i="4"/>
  <c r="E4427" i="4"/>
  <c r="E4426" i="4"/>
  <c r="E4425" i="4"/>
  <c r="E4424" i="4"/>
  <c r="E4423" i="4"/>
  <c r="E4422" i="4"/>
  <c r="E4421" i="4"/>
  <c r="E4420" i="4"/>
  <c r="E4419" i="4"/>
  <c r="E4418" i="4"/>
  <c r="E4417" i="4"/>
  <c r="E4416" i="4"/>
  <c r="E4415" i="4"/>
  <c r="E4414" i="4"/>
  <c r="E4413" i="4"/>
  <c r="E4412" i="4"/>
  <c r="E4411" i="4"/>
  <c r="E4410" i="4"/>
  <c r="E4409" i="4"/>
  <c r="E4408" i="4"/>
  <c r="E4407" i="4"/>
  <c r="E4406" i="4"/>
  <c r="E4405" i="4"/>
  <c r="E4404" i="4"/>
  <c r="E4403" i="4"/>
  <c r="E4402" i="4"/>
  <c r="E4401" i="4"/>
  <c r="E4400" i="4"/>
  <c r="E4399" i="4"/>
  <c r="E4398" i="4"/>
  <c r="E4397" i="4"/>
  <c r="E4396" i="4"/>
  <c r="E4395" i="4"/>
  <c r="E4394" i="4"/>
  <c r="E4393" i="4"/>
  <c r="E4392" i="4"/>
  <c r="E4391" i="4"/>
  <c r="E4390" i="4"/>
  <c r="E4389" i="4"/>
  <c r="E4388" i="4"/>
  <c r="E4387" i="4"/>
  <c r="E4386" i="4"/>
  <c r="E4385" i="4"/>
  <c r="E4384" i="4"/>
  <c r="E4383" i="4"/>
  <c r="E4382" i="4"/>
  <c r="E4381" i="4"/>
  <c r="E4380" i="4"/>
  <c r="E4379" i="4"/>
  <c r="E4378" i="4"/>
  <c r="E4377" i="4"/>
  <c r="E4376" i="4"/>
  <c r="E4375" i="4"/>
  <c r="E4373" i="4"/>
  <c r="E4372" i="4"/>
  <c r="E1166" i="4"/>
  <c r="BO369" i="1"/>
  <c r="BO370" i="1"/>
  <c r="BO371" i="1"/>
  <c r="BO372" i="1"/>
  <c r="BO373" i="1"/>
  <c r="BM370" i="1"/>
  <c r="BM371" i="1"/>
  <c r="BM372" i="1"/>
  <c r="BM373" i="1"/>
  <c r="BN369" i="1"/>
  <c r="BN370" i="1"/>
  <c r="BN371" i="1"/>
  <c r="BN372" i="1"/>
  <c r="BN373" i="1"/>
  <c r="BM369" i="1"/>
  <c r="P320" i="1" l="1"/>
  <c r="P319" i="1"/>
  <c r="P318" i="1"/>
  <c r="P322" i="1"/>
  <c r="P321" i="1"/>
  <c r="AE488" i="5"/>
  <c r="AG488" i="5"/>
  <c r="AG20" i="5"/>
  <c r="AE20" i="5"/>
  <c r="AG21" i="5"/>
  <c r="AE21" i="5"/>
  <c r="BP400" i="1"/>
  <c r="BP399" i="1"/>
  <c r="BP398" i="1"/>
  <c r="AF525" i="5"/>
  <c r="L557" i="5"/>
  <c r="AH557" i="5" s="1"/>
  <c r="AI557" i="5" s="1"/>
  <c r="L564" i="5"/>
  <c r="AH564" i="5" s="1"/>
  <c r="AI564" i="5" s="1"/>
  <c r="AG506" i="5"/>
  <c r="L559" i="5"/>
  <c r="AH559" i="5" s="1"/>
  <c r="AH501" i="5"/>
  <c r="AF10" i="5"/>
  <c r="AH499" i="5"/>
  <c r="AG553" i="5"/>
  <c r="L561" i="5"/>
  <c r="AH561" i="5" s="1"/>
  <c r="AI561" i="5" s="1"/>
  <c r="L560" i="5"/>
  <c r="AH560" i="5" s="1"/>
  <c r="L562" i="5"/>
  <c r="AH562" i="5" s="1"/>
  <c r="AI562" i="5" s="1"/>
  <c r="AG566" i="5"/>
  <c r="AD560" i="5"/>
  <c r="L563" i="5"/>
  <c r="AH563" i="5" s="1"/>
  <c r="AI563" i="5" s="1"/>
  <c r="L558" i="5"/>
  <c r="AH558" i="5" s="1"/>
  <c r="AI558" i="5" s="1"/>
  <c r="AD10" i="5"/>
  <c r="AE10" i="5" s="1"/>
  <c r="AD557" i="5"/>
  <c r="AE557" i="5" s="1"/>
  <c r="L555" i="5"/>
  <c r="AH555" i="5" s="1"/>
  <c r="AI555" i="5" s="1"/>
  <c r="AG528" i="5"/>
  <c r="AG505" i="5"/>
  <c r="L524" i="5"/>
  <c r="AH524" i="5" s="1"/>
  <c r="AD558" i="5"/>
  <c r="AE558" i="5" s="1"/>
  <c r="AD525" i="5"/>
  <c r="AE525" i="5" s="1"/>
  <c r="L10" i="5"/>
  <c r="AH10" i="5" s="1"/>
  <c r="AH502" i="5"/>
  <c r="AG554" i="5"/>
  <c r="AD559" i="5"/>
  <c r="AF560" i="5"/>
  <c r="AF559" i="5"/>
  <c r="AG558" i="5"/>
  <c r="AF558" i="5"/>
  <c r="AG557" i="5"/>
  <c r="AF557" i="5"/>
  <c r="AD555" i="5"/>
  <c r="AE555" i="5" s="1"/>
  <c r="AG555" i="5"/>
  <c r="AF555" i="5"/>
  <c r="AD564" i="5"/>
  <c r="AE564" i="5" s="1"/>
  <c r="AG564" i="5"/>
  <c r="AF564" i="5"/>
  <c r="AD563" i="5"/>
  <c r="AE563" i="5" s="1"/>
  <c r="AG563" i="5"/>
  <c r="AF563" i="5"/>
  <c r="AG561" i="5"/>
  <c r="AG562" i="5"/>
  <c r="AF561" i="5"/>
  <c r="AF562" i="5"/>
  <c r="AD561" i="5"/>
  <c r="AE561" i="5" s="1"/>
  <c r="AD562" i="5"/>
  <c r="AE562" i="5" s="1"/>
  <c r="AG526" i="5"/>
  <c r="AH526" i="5"/>
  <c r="AH521" i="5"/>
  <c r="AH514" i="5"/>
  <c r="AH513" i="5"/>
  <c r="AH512" i="5"/>
  <c r="AH511" i="5"/>
  <c r="AH510" i="5"/>
  <c r="AH509" i="5"/>
  <c r="AH508" i="5"/>
  <c r="AH507" i="5"/>
  <c r="AH504" i="5"/>
  <c r="AH503" i="5"/>
  <c r="AH500" i="5"/>
  <c r="AH493" i="5"/>
  <c r="AH492" i="5"/>
  <c r="AH491" i="5"/>
  <c r="AH490" i="5"/>
  <c r="L520" i="5"/>
  <c r="AH520" i="5" s="1"/>
  <c r="L523" i="5"/>
  <c r="AH523" i="5" s="1"/>
  <c r="L525" i="5"/>
  <c r="AH525" i="5" s="1"/>
  <c r="BP373" i="1"/>
  <c r="BP372" i="1"/>
  <c r="BP371" i="1"/>
  <c r="BP370" i="1"/>
  <c r="AH529" i="5"/>
  <c r="AH506" i="5"/>
  <c r="AH528" i="5"/>
  <c r="AH505" i="5"/>
  <c r="AG520" i="5"/>
  <c r="AG499" i="5"/>
  <c r="AG493" i="5"/>
  <c r="AG10" i="5"/>
  <c r="AG525" i="5"/>
  <c r="AH8" i="5"/>
  <c r="BP369" i="1"/>
  <c r="C6" i="6" l="1"/>
  <c r="C13"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3" i="6"/>
  <c r="C74" i="6"/>
  <c r="C75" i="6"/>
  <c r="C76" i="6"/>
  <c r="C77" i="6"/>
  <c r="F52" i="6"/>
  <c r="BM318" i="1"/>
  <c r="E4332" i="4"/>
  <c r="P314" i="1" s="1"/>
  <c r="F77" i="6"/>
  <c r="BO335" i="1"/>
  <c r="BO345" i="1"/>
  <c r="BM359" i="1"/>
  <c r="BN359" i="1"/>
  <c r="BO359" i="1"/>
  <c r="BM360" i="1"/>
  <c r="BN360" i="1"/>
  <c r="BO360" i="1"/>
  <c r="BM361" i="1"/>
  <c r="BN361" i="1"/>
  <c r="BO361" i="1"/>
  <c r="BM362" i="1"/>
  <c r="BN362" i="1"/>
  <c r="BO362" i="1"/>
  <c r="BM363" i="1"/>
  <c r="BN363" i="1"/>
  <c r="BO363" i="1"/>
  <c r="BM364" i="1"/>
  <c r="BN364" i="1"/>
  <c r="BO364" i="1"/>
  <c r="BM365" i="1"/>
  <c r="BN365" i="1"/>
  <c r="BO365" i="1"/>
  <c r="BM366" i="1"/>
  <c r="BN366" i="1"/>
  <c r="BO366" i="1"/>
  <c r="BM367" i="1"/>
  <c r="BN367" i="1"/>
  <c r="BO367" i="1"/>
  <c r="BM374" i="1"/>
  <c r="BN374" i="1"/>
  <c r="BO374" i="1"/>
  <c r="BM375" i="1"/>
  <c r="BN375" i="1"/>
  <c r="BO375" i="1"/>
  <c r="BM376" i="1"/>
  <c r="BN376" i="1"/>
  <c r="BO376" i="1"/>
  <c r="BM377" i="1"/>
  <c r="BN377" i="1"/>
  <c r="BO377" i="1"/>
  <c r="BM378" i="1"/>
  <c r="BN378" i="1"/>
  <c r="BO378" i="1"/>
  <c r="BM379" i="1"/>
  <c r="BN379" i="1"/>
  <c r="BO379" i="1"/>
  <c r="BM380" i="1"/>
  <c r="BN380" i="1"/>
  <c r="BO380" i="1"/>
  <c r="BM381" i="1"/>
  <c r="BN381" i="1"/>
  <c r="BO381" i="1"/>
  <c r="BM382" i="1"/>
  <c r="BN382" i="1"/>
  <c r="BO382" i="1"/>
  <c r="BM383" i="1"/>
  <c r="BN383" i="1"/>
  <c r="BO383" i="1"/>
  <c r="BM391" i="1"/>
  <c r="BN391" i="1"/>
  <c r="BO391" i="1"/>
  <c r="BM392" i="1"/>
  <c r="BN392" i="1"/>
  <c r="BO392" i="1"/>
  <c r="BM393" i="1"/>
  <c r="BN393" i="1"/>
  <c r="BO393" i="1"/>
  <c r="BM384" i="1"/>
  <c r="BN384" i="1"/>
  <c r="BO384" i="1"/>
  <c r="BM385" i="1"/>
  <c r="BN385" i="1"/>
  <c r="BO385" i="1"/>
  <c r="BM386" i="1"/>
  <c r="BN386" i="1"/>
  <c r="BO386" i="1"/>
  <c r="BM387" i="1"/>
  <c r="BN387" i="1"/>
  <c r="BO387" i="1"/>
  <c r="BM388" i="1"/>
  <c r="BN388" i="1"/>
  <c r="BO388" i="1"/>
  <c r="BM389" i="1"/>
  <c r="BN389" i="1"/>
  <c r="BO389" i="1"/>
  <c r="BM390" i="1"/>
  <c r="BN390" i="1"/>
  <c r="BO390" i="1"/>
  <c r="BM394" i="1"/>
  <c r="BN394" i="1"/>
  <c r="BO394" i="1"/>
  <c r="BM395" i="1"/>
  <c r="BN395" i="1"/>
  <c r="BO395" i="1"/>
  <c r="BM396" i="1"/>
  <c r="BN396" i="1"/>
  <c r="BO396" i="1"/>
  <c r="BM397" i="1"/>
  <c r="BN397" i="1"/>
  <c r="BO397" i="1"/>
  <c r="BM401" i="1"/>
  <c r="BN401" i="1"/>
  <c r="BO401" i="1"/>
  <c r="BM402" i="1"/>
  <c r="BN402" i="1"/>
  <c r="BO402" i="1"/>
  <c r="BM403" i="1"/>
  <c r="BN403" i="1"/>
  <c r="BO403" i="1"/>
  <c r="BM404" i="1"/>
  <c r="BN404" i="1"/>
  <c r="BO404" i="1"/>
  <c r="BM405" i="1"/>
  <c r="BN405" i="1"/>
  <c r="BO405" i="1"/>
  <c r="BM406" i="1"/>
  <c r="BN406" i="1"/>
  <c r="BO406" i="1"/>
  <c r="BM407" i="1"/>
  <c r="BN407" i="1"/>
  <c r="BO407" i="1"/>
  <c r="BM408" i="1"/>
  <c r="BN408" i="1"/>
  <c r="BO408" i="1"/>
  <c r="BM409" i="1"/>
  <c r="BN409" i="1"/>
  <c r="BO409" i="1"/>
  <c r="BO410" i="1"/>
  <c r="BM411" i="1"/>
  <c r="BN411" i="1"/>
  <c r="BO411" i="1"/>
  <c r="BM412" i="1"/>
  <c r="BN412" i="1"/>
  <c r="BO412" i="1"/>
  <c r="BM414" i="1"/>
  <c r="BN414" i="1"/>
  <c r="BO414" i="1"/>
  <c r="BM415" i="1"/>
  <c r="BN415" i="1"/>
  <c r="BO415" i="1"/>
  <c r="BM416" i="1"/>
  <c r="BN416" i="1"/>
  <c r="BO416" i="1"/>
  <c r="BM417" i="1"/>
  <c r="BN417" i="1"/>
  <c r="BO417" i="1"/>
  <c r="BM418" i="1"/>
  <c r="BN418" i="1"/>
  <c r="BO418" i="1"/>
  <c r="BM419" i="1"/>
  <c r="BN419" i="1"/>
  <c r="BO419" i="1"/>
  <c r="BM420" i="1"/>
  <c r="BN420" i="1"/>
  <c r="BO420" i="1"/>
  <c r="BM421" i="1"/>
  <c r="BN421" i="1"/>
  <c r="BO421" i="1"/>
  <c r="BM422" i="1"/>
  <c r="BN422" i="1"/>
  <c r="BO422" i="1"/>
  <c r="BM423" i="1"/>
  <c r="BN423" i="1"/>
  <c r="BO423" i="1"/>
  <c r="BM424" i="1"/>
  <c r="BN424" i="1"/>
  <c r="BO424" i="1"/>
  <c r="BM425" i="1"/>
  <c r="BN425" i="1"/>
  <c r="BO425" i="1"/>
  <c r="BM426" i="1"/>
  <c r="BN426" i="1"/>
  <c r="BO426" i="1"/>
  <c r="BM427" i="1"/>
  <c r="BN427" i="1"/>
  <c r="BO427" i="1"/>
  <c r="BM430" i="1"/>
  <c r="BN430" i="1"/>
  <c r="BO430" i="1"/>
  <c r="BM431" i="1"/>
  <c r="BN431" i="1"/>
  <c r="BO431" i="1"/>
  <c r="BM432" i="1"/>
  <c r="BN432" i="1"/>
  <c r="BO432" i="1"/>
  <c r="BM433" i="1"/>
  <c r="BN433" i="1"/>
  <c r="BO433" i="1"/>
  <c r="BM434" i="1"/>
  <c r="BN434" i="1"/>
  <c r="BO434" i="1"/>
  <c r="BM435" i="1"/>
  <c r="BN435" i="1"/>
  <c r="BO435" i="1"/>
  <c r="BM436" i="1"/>
  <c r="BN436" i="1"/>
  <c r="BO436" i="1"/>
  <c r="BM437" i="1"/>
  <c r="BN437" i="1"/>
  <c r="BO437" i="1"/>
  <c r="BM438" i="1"/>
  <c r="BN438" i="1"/>
  <c r="BO438" i="1"/>
  <c r="BM439" i="1"/>
  <c r="BN439" i="1"/>
  <c r="BO439" i="1"/>
  <c r="BN440" i="1"/>
  <c r="BO440" i="1"/>
  <c r="BM352" i="1"/>
  <c r="BO352" i="1"/>
  <c r="BM353" i="1"/>
  <c r="BO353" i="1"/>
  <c r="BM354" i="1"/>
  <c r="BN354" i="1"/>
  <c r="BO354" i="1"/>
  <c r="BM355" i="1"/>
  <c r="BN355" i="1"/>
  <c r="BO355" i="1"/>
  <c r="BM356" i="1"/>
  <c r="BN356" i="1"/>
  <c r="BO356" i="1"/>
  <c r="BM357" i="1"/>
  <c r="BN357" i="1"/>
  <c r="BO357" i="1"/>
  <c r="BM358" i="1"/>
  <c r="BN358" i="1"/>
  <c r="BO358" i="1"/>
  <c r="BM351" i="1"/>
  <c r="BN351" i="1"/>
  <c r="BO351" i="1"/>
  <c r="BM342" i="1"/>
  <c r="BN342" i="1"/>
  <c r="BO342" i="1"/>
  <c r="BM343" i="1"/>
  <c r="BN343" i="1"/>
  <c r="BO343" i="1"/>
  <c r="BM344" i="1"/>
  <c r="BN344" i="1"/>
  <c r="BO344" i="1"/>
  <c r="BM345" i="1"/>
  <c r="BN345" i="1"/>
  <c r="BM346" i="1"/>
  <c r="BN346" i="1"/>
  <c r="BO346" i="1"/>
  <c r="BM347" i="1"/>
  <c r="BN347" i="1"/>
  <c r="BO347" i="1"/>
  <c r="BM348" i="1"/>
  <c r="BN348" i="1"/>
  <c r="BO348" i="1"/>
  <c r="BM349" i="1"/>
  <c r="BN349" i="1"/>
  <c r="BO349" i="1"/>
  <c r="BM350" i="1"/>
  <c r="BN350" i="1"/>
  <c r="BO350" i="1"/>
  <c r="BM330" i="1"/>
  <c r="BN330" i="1"/>
  <c r="BO330" i="1"/>
  <c r="BM331" i="1"/>
  <c r="BN331" i="1"/>
  <c r="BO331" i="1"/>
  <c r="BM333" i="1"/>
  <c r="BN333" i="1"/>
  <c r="BO333" i="1"/>
  <c r="BM334" i="1"/>
  <c r="BN334" i="1"/>
  <c r="BO334" i="1"/>
  <c r="BM335" i="1"/>
  <c r="BN335" i="1"/>
  <c r="BM336" i="1"/>
  <c r="BN336" i="1"/>
  <c r="BO336" i="1"/>
  <c r="BM337" i="1"/>
  <c r="BN337" i="1"/>
  <c r="BO337" i="1"/>
  <c r="BM338" i="1"/>
  <c r="BN338" i="1"/>
  <c r="BO338" i="1"/>
  <c r="BM339" i="1"/>
  <c r="BN339" i="1"/>
  <c r="BO339" i="1"/>
  <c r="BM340" i="1"/>
  <c r="BN340" i="1"/>
  <c r="BO340" i="1"/>
  <c r="BM341" i="1"/>
  <c r="BN341" i="1"/>
  <c r="BO341" i="1"/>
  <c r="BM322" i="1"/>
  <c r="BN322" i="1"/>
  <c r="BO322" i="1"/>
  <c r="BM323" i="1"/>
  <c r="BN323" i="1"/>
  <c r="BO323" i="1"/>
  <c r="BM324" i="1"/>
  <c r="BN324" i="1"/>
  <c r="BO324" i="1"/>
  <c r="BM325" i="1"/>
  <c r="BN325" i="1"/>
  <c r="BO325" i="1"/>
  <c r="BM326" i="1"/>
  <c r="BN326" i="1"/>
  <c r="BO326" i="1"/>
  <c r="BM320" i="1"/>
  <c r="BN320" i="1"/>
  <c r="BO320" i="1"/>
  <c r="BM321" i="1"/>
  <c r="BN321" i="1"/>
  <c r="BO321" i="1"/>
  <c r="BM327" i="1"/>
  <c r="BN327" i="1"/>
  <c r="BO327" i="1"/>
  <c r="BM328" i="1"/>
  <c r="BN328" i="1"/>
  <c r="BO328" i="1"/>
  <c r="BM329" i="1"/>
  <c r="BN329" i="1"/>
  <c r="BO329" i="1"/>
  <c r="E485" i="5"/>
  <c r="E484" i="5"/>
  <c r="E483" i="5"/>
  <c r="V482" i="5"/>
  <c r="V483" i="5"/>
  <c r="V484" i="5"/>
  <c r="V485" i="5"/>
  <c r="Q482" i="5"/>
  <c r="Q483" i="5"/>
  <c r="AD483" i="5" s="1"/>
  <c r="Q484" i="5"/>
  <c r="Q485" i="5"/>
  <c r="K485" i="5"/>
  <c r="K484" i="5"/>
  <c r="K483" i="5"/>
  <c r="K482" i="5"/>
  <c r="K480" i="5"/>
  <c r="I484" i="5"/>
  <c r="I485" i="5"/>
  <c r="I483" i="5"/>
  <c r="I482" i="5"/>
  <c r="I480" i="5"/>
  <c r="J485" i="5"/>
  <c r="J484" i="5"/>
  <c r="J483" i="5"/>
  <c r="J482" i="5"/>
  <c r="J480" i="5"/>
  <c r="E4369" i="4"/>
  <c r="E4116" i="4"/>
  <c r="E3513" i="4"/>
  <c r="E4371" i="4"/>
  <c r="E4370" i="4"/>
  <c r="E4368" i="4"/>
  <c r="E4367" i="4"/>
  <c r="E4364" i="4"/>
  <c r="E4363" i="4"/>
  <c r="E4362" i="4"/>
  <c r="E4361" i="4"/>
  <c r="E4360" i="4"/>
  <c r="E4359" i="4"/>
  <c r="E4358" i="4"/>
  <c r="E4357" i="4"/>
  <c r="E4356" i="4"/>
  <c r="E4355" i="4"/>
  <c r="E4354" i="4"/>
  <c r="E4353" i="4"/>
  <c r="E4352" i="4"/>
  <c r="E4351" i="4"/>
  <c r="E4350" i="4"/>
  <c r="E4349" i="4"/>
  <c r="E4348" i="4"/>
  <c r="E4347" i="4"/>
  <c r="E4346" i="4"/>
  <c r="E4345" i="4"/>
  <c r="E4344" i="4"/>
  <c r="E4343" i="4"/>
  <c r="E4342" i="4"/>
  <c r="E4341" i="4"/>
  <c r="E4340" i="4"/>
  <c r="E4339" i="4"/>
  <c r="E4338" i="4"/>
  <c r="E4337" i="4"/>
  <c r="E4336" i="4"/>
  <c r="E4335" i="4"/>
  <c r="E4334" i="4"/>
  <c r="E4333" i="4"/>
  <c r="E4328" i="4"/>
  <c r="E4330" i="4"/>
  <c r="E4329" i="4"/>
  <c r="E4327" i="4"/>
  <c r="E4326" i="4"/>
  <c r="E4324" i="4"/>
  <c r="E4322" i="4"/>
  <c r="E4319" i="4"/>
  <c r="E4318" i="4"/>
  <c r="E4317" i="4"/>
  <c r="E4316" i="4"/>
  <c r="E4315" i="4"/>
  <c r="E4314" i="4"/>
  <c r="E4313" i="4"/>
  <c r="E4312" i="4"/>
  <c r="E4311" i="4"/>
  <c r="E4310" i="4"/>
  <c r="E4309" i="4"/>
  <c r="E4308" i="4"/>
  <c r="E4307" i="4"/>
  <c r="E4306" i="4"/>
  <c r="E4305" i="4"/>
  <c r="E4304" i="4"/>
  <c r="E4303" i="4"/>
  <c r="E4302" i="4"/>
  <c r="E4301" i="4"/>
  <c r="E4300" i="4"/>
  <c r="E4299" i="4"/>
  <c r="E4298" i="4"/>
  <c r="E4297" i="4"/>
  <c r="E4296" i="4"/>
  <c r="E4295" i="4"/>
  <c r="E4294" i="4"/>
  <c r="E4293" i="4"/>
  <c r="E4292" i="4"/>
  <c r="E4291" i="4"/>
  <c r="E4290" i="4"/>
  <c r="E4289" i="4"/>
  <c r="E4288" i="4"/>
  <c r="E4287" i="4"/>
  <c r="E4286" i="4"/>
  <c r="E4285" i="4"/>
  <c r="E4284" i="4"/>
  <c r="E4283" i="4"/>
  <c r="E4282" i="4"/>
  <c r="E4281" i="4"/>
  <c r="E4280" i="4"/>
  <c r="E4279" i="4"/>
  <c r="E4278" i="4"/>
  <c r="E4277" i="4"/>
  <c r="E4276" i="4"/>
  <c r="E4275" i="4"/>
  <c r="P307" i="1" s="1"/>
  <c r="E4274" i="4"/>
  <c r="E4273" i="4"/>
  <c r="E4272" i="4"/>
  <c r="E4271" i="4"/>
  <c r="E4270" i="4"/>
  <c r="E4269" i="4"/>
  <c r="P305" i="1" s="1"/>
  <c r="E4268" i="4"/>
  <c r="E4267" i="4"/>
  <c r="E4266" i="4"/>
  <c r="E4265" i="4"/>
  <c r="E4264" i="4"/>
  <c r="E4263" i="4"/>
  <c r="E4262" i="4"/>
  <c r="E4261" i="4"/>
  <c r="E4260" i="4"/>
  <c r="E4259" i="4"/>
  <c r="E4258" i="4"/>
  <c r="E4257" i="4"/>
  <c r="E4256" i="4"/>
  <c r="E4255" i="4"/>
  <c r="E4254" i="4"/>
  <c r="E4253" i="4"/>
  <c r="E4252" i="4"/>
  <c r="E4251" i="4"/>
  <c r="E4250" i="4"/>
  <c r="E4249" i="4"/>
  <c r="E4248" i="4"/>
  <c r="E4247" i="4"/>
  <c r="E4246" i="4"/>
  <c r="P301" i="1" s="1"/>
  <c r="E4245" i="4"/>
  <c r="E4244" i="4"/>
  <c r="E4243" i="4"/>
  <c r="E4242" i="4"/>
  <c r="P299" i="1" s="1"/>
  <c r="E4241" i="4"/>
  <c r="E4239" i="4"/>
  <c r="E4238" i="4"/>
  <c r="E4237" i="4"/>
  <c r="E4236" i="4"/>
  <c r="E4235" i="4"/>
  <c r="E4234" i="4"/>
  <c r="E4233" i="4"/>
  <c r="E4232" i="4"/>
  <c r="E4231" i="4"/>
  <c r="E4230" i="4"/>
  <c r="E4229" i="4"/>
  <c r="E4228" i="4"/>
  <c r="E4227" i="4"/>
  <c r="E4226" i="4"/>
  <c r="E4225" i="4"/>
  <c r="E4224" i="4"/>
  <c r="E4223" i="4"/>
  <c r="E4222" i="4"/>
  <c r="E4221" i="4"/>
  <c r="E4220" i="4"/>
  <c r="E4219" i="4"/>
  <c r="E4218" i="4"/>
  <c r="E4217" i="4"/>
  <c r="BO314" i="1"/>
  <c r="BO315" i="1"/>
  <c r="BO312" i="1"/>
  <c r="E4216" i="4"/>
  <c r="E4215" i="4"/>
  <c r="E4214" i="4"/>
  <c r="E4213" i="4"/>
  <c r="E4212" i="4"/>
  <c r="E4211" i="4"/>
  <c r="E4210" i="4"/>
  <c r="E4209" i="4"/>
  <c r="E4208" i="4"/>
  <c r="E4207" i="4"/>
  <c r="E4206" i="4"/>
  <c r="E4205" i="4"/>
  <c r="E4204" i="4"/>
  <c r="E4203" i="4"/>
  <c r="E4202" i="4"/>
  <c r="E4201" i="4"/>
  <c r="E4200" i="4"/>
  <c r="E4199" i="4"/>
  <c r="E4198" i="4"/>
  <c r="E4197" i="4"/>
  <c r="E4196" i="4"/>
  <c r="E4195" i="4"/>
  <c r="E4194" i="4"/>
  <c r="E4193" i="4"/>
  <c r="E4192" i="4"/>
  <c r="E4191" i="4"/>
  <c r="E4190" i="4"/>
  <c r="E4188" i="4"/>
  <c r="E4187" i="4"/>
  <c r="E4186" i="4"/>
  <c r="E4185" i="4"/>
  <c r="E4184" i="4"/>
  <c r="E4183" i="4"/>
  <c r="E4182" i="4"/>
  <c r="E4181" i="4"/>
  <c r="E4180" i="4"/>
  <c r="E4179" i="4"/>
  <c r="E4178" i="4"/>
  <c r="E4177" i="4"/>
  <c r="E4176" i="4"/>
  <c r="E4175" i="4"/>
  <c r="E4174" i="4"/>
  <c r="E4173" i="4"/>
  <c r="E4172" i="4"/>
  <c r="E4171" i="4"/>
  <c r="E4170" i="4"/>
  <c r="E4169" i="4"/>
  <c r="E4168" i="4"/>
  <c r="E4167" i="4"/>
  <c r="E4166" i="4"/>
  <c r="E4165" i="4"/>
  <c r="E4164" i="4"/>
  <c r="E4163" i="4"/>
  <c r="E4162" i="4"/>
  <c r="E4161" i="4"/>
  <c r="E4160" i="4"/>
  <c r="E4159" i="4"/>
  <c r="E4158" i="4"/>
  <c r="E4157" i="4"/>
  <c r="E4156" i="4"/>
  <c r="E4155" i="4"/>
  <c r="E4154" i="4"/>
  <c r="E4153" i="4"/>
  <c r="E4152" i="4"/>
  <c r="E4151" i="4"/>
  <c r="E4150" i="4"/>
  <c r="E4149" i="4"/>
  <c r="E4148" i="4"/>
  <c r="E4147" i="4"/>
  <c r="E4146" i="4"/>
  <c r="E4145" i="4"/>
  <c r="E4144" i="4"/>
  <c r="E4143" i="4"/>
  <c r="E4142" i="4"/>
  <c r="E4141" i="4"/>
  <c r="E4140" i="4"/>
  <c r="E4139" i="4"/>
  <c r="E4138" i="4"/>
  <c r="E4137" i="4"/>
  <c r="E4136" i="4"/>
  <c r="E4135" i="4"/>
  <c r="E4134" i="4"/>
  <c r="E4133" i="4"/>
  <c r="E4132" i="4"/>
  <c r="E4131" i="4"/>
  <c r="E4130" i="4"/>
  <c r="E4129" i="4"/>
  <c r="E4128" i="4"/>
  <c r="E4127" i="4"/>
  <c r="E4126" i="4"/>
  <c r="E4125" i="4"/>
  <c r="E4124" i="4"/>
  <c r="E4123" i="4"/>
  <c r="E4122" i="4"/>
  <c r="E4121" i="4"/>
  <c r="E4120" i="4"/>
  <c r="E4119" i="4"/>
  <c r="E4118" i="4"/>
  <c r="E4117" i="4"/>
  <c r="E4115" i="4"/>
  <c r="E4114" i="4"/>
  <c r="E4113" i="4"/>
  <c r="E4112" i="4"/>
  <c r="E4111" i="4"/>
  <c r="E4110" i="4"/>
  <c r="E4109" i="4"/>
  <c r="E4108" i="4"/>
  <c r="E4107" i="4"/>
  <c r="E4106" i="4"/>
  <c r="E4105" i="4"/>
  <c r="E4104" i="4"/>
  <c r="E4103" i="4"/>
  <c r="E4102" i="4"/>
  <c r="E4101" i="4"/>
  <c r="E4100" i="4"/>
  <c r="E4099" i="4"/>
  <c r="E4098" i="4"/>
  <c r="E4097" i="4"/>
  <c r="E4096" i="4"/>
  <c r="E4095" i="4"/>
  <c r="E4094" i="4"/>
  <c r="E4093" i="4"/>
  <c r="E4092" i="4"/>
  <c r="E4086" i="4"/>
  <c r="E4091" i="4"/>
  <c r="E4090" i="4"/>
  <c r="E4089" i="4"/>
  <c r="E4088" i="4"/>
  <c r="E4087" i="4"/>
  <c r="E4085" i="4"/>
  <c r="E4084" i="4"/>
  <c r="E4083" i="4"/>
  <c r="E4082" i="4"/>
  <c r="E4081" i="4"/>
  <c r="E4080" i="4"/>
  <c r="E4079" i="4"/>
  <c r="E4078" i="4"/>
  <c r="E4077" i="4"/>
  <c r="E4076" i="4"/>
  <c r="E4075" i="4"/>
  <c r="E4074" i="4"/>
  <c r="E4073" i="4"/>
  <c r="E4072" i="4"/>
  <c r="E4071" i="4"/>
  <c r="E4070" i="4"/>
  <c r="E4069" i="4"/>
  <c r="E4068" i="4"/>
  <c r="E4067" i="4"/>
  <c r="E4066" i="4"/>
  <c r="E4065" i="4"/>
  <c r="E4064" i="4"/>
  <c r="E4063" i="4"/>
  <c r="E4062" i="4"/>
  <c r="E4061" i="4"/>
  <c r="E4060" i="4"/>
  <c r="E4059" i="4"/>
  <c r="E4058" i="4"/>
  <c r="E4057" i="4"/>
  <c r="E4056" i="4"/>
  <c r="E4055" i="4"/>
  <c r="E4054" i="4"/>
  <c r="E4053" i="4"/>
  <c r="E4052" i="4"/>
  <c r="E4051" i="4"/>
  <c r="E4050" i="4"/>
  <c r="E4049" i="4"/>
  <c r="E4048" i="4"/>
  <c r="E4047" i="4"/>
  <c r="E4046" i="4"/>
  <c r="E4003" i="4"/>
  <c r="E4004" i="4"/>
  <c r="E4002" i="4"/>
  <c r="E4045" i="4"/>
  <c r="E4044" i="4"/>
  <c r="E4043" i="4"/>
  <c r="E4042" i="4"/>
  <c r="E4041" i="4"/>
  <c r="E4040" i="4"/>
  <c r="E4039" i="4"/>
  <c r="E4038" i="4"/>
  <c r="E4037" i="4"/>
  <c r="E4036" i="4"/>
  <c r="E4035" i="4"/>
  <c r="E4034" i="4"/>
  <c r="E4033" i="4"/>
  <c r="E4032" i="4"/>
  <c r="E4031" i="4"/>
  <c r="E4030" i="4"/>
  <c r="E4029" i="4"/>
  <c r="E4028" i="4"/>
  <c r="E4027" i="4"/>
  <c r="E4026" i="4"/>
  <c r="E4025" i="4"/>
  <c r="E4024" i="4"/>
  <c r="E4023" i="4"/>
  <c r="E4005" i="4"/>
  <c r="E4022" i="4"/>
  <c r="E4021" i="4"/>
  <c r="E4020" i="4"/>
  <c r="E4019" i="4"/>
  <c r="E4018" i="4"/>
  <c r="E4017" i="4"/>
  <c r="E4016" i="4"/>
  <c r="E4015" i="4"/>
  <c r="E4014" i="4"/>
  <c r="E4013" i="4"/>
  <c r="E4012" i="4"/>
  <c r="E4011" i="4"/>
  <c r="E4010" i="4"/>
  <c r="E4009" i="4"/>
  <c r="E4008" i="4"/>
  <c r="E4007" i="4"/>
  <c r="E4006" i="4"/>
  <c r="E4001" i="4"/>
  <c r="E3996" i="4"/>
  <c r="E4000" i="4"/>
  <c r="E3999" i="4"/>
  <c r="E3998" i="4"/>
  <c r="E3997" i="4"/>
  <c r="E3995" i="4"/>
  <c r="E3994" i="4"/>
  <c r="E3993" i="4"/>
  <c r="E3992" i="4"/>
  <c r="E3991" i="4"/>
  <c r="E3990" i="4"/>
  <c r="E3989" i="4"/>
  <c r="E3988" i="4"/>
  <c r="E3987" i="4"/>
  <c r="E3986" i="4"/>
  <c r="E3985" i="4"/>
  <c r="E3984" i="4"/>
  <c r="E3983" i="4"/>
  <c r="E3982" i="4"/>
  <c r="E3981" i="4"/>
  <c r="E3980" i="4"/>
  <c r="E3979" i="4"/>
  <c r="E3978" i="4"/>
  <c r="E3977" i="4"/>
  <c r="E3976" i="4"/>
  <c r="E3975" i="4"/>
  <c r="E3974" i="4"/>
  <c r="E3973" i="4"/>
  <c r="E3972" i="4"/>
  <c r="E3971" i="4"/>
  <c r="E3970" i="4"/>
  <c r="E3969" i="4"/>
  <c r="E3968" i="4"/>
  <c r="E3967" i="4"/>
  <c r="E3966" i="4"/>
  <c r="E3965" i="4"/>
  <c r="E3964" i="4"/>
  <c r="E3963" i="4"/>
  <c r="E3962" i="4"/>
  <c r="E3961" i="4"/>
  <c r="E3960" i="4"/>
  <c r="E3959" i="4"/>
  <c r="E3958" i="4"/>
  <c r="E3957" i="4"/>
  <c r="E3956" i="4"/>
  <c r="E3955" i="4"/>
  <c r="E3954" i="4"/>
  <c r="E3953" i="4"/>
  <c r="E3952" i="4"/>
  <c r="E3951" i="4"/>
  <c r="E3950" i="4"/>
  <c r="E3949" i="4"/>
  <c r="E3948" i="4"/>
  <c r="E3947" i="4"/>
  <c r="E3946" i="4"/>
  <c r="E3945" i="4"/>
  <c r="E3944" i="4"/>
  <c r="E3943" i="4"/>
  <c r="E3942" i="4"/>
  <c r="E3941" i="4"/>
  <c r="E3940" i="4"/>
  <c r="E3939" i="4"/>
  <c r="E3938" i="4"/>
  <c r="E3937" i="4"/>
  <c r="E3936" i="4"/>
  <c r="E3935" i="4"/>
  <c r="E3934" i="4"/>
  <c r="E3933" i="4"/>
  <c r="BM300" i="1"/>
  <c r="BN300" i="1"/>
  <c r="BO300" i="1"/>
  <c r="BM298" i="1"/>
  <c r="BN298" i="1"/>
  <c r="BO298" i="1"/>
  <c r="BM296" i="1"/>
  <c r="BN296" i="1"/>
  <c r="BO296" i="1"/>
  <c r="H480" i="5"/>
  <c r="H485" i="5"/>
  <c r="AB484" i="5"/>
  <c r="AB485" i="5"/>
  <c r="H484" i="5"/>
  <c r="H483" i="5"/>
  <c r="H482" i="5"/>
  <c r="E3932" i="4"/>
  <c r="P280" i="1" s="1"/>
  <c r="E3931" i="4"/>
  <c r="E3930" i="4"/>
  <c r="E3929" i="4"/>
  <c r="E3928" i="4"/>
  <c r="E3925" i="4"/>
  <c r="E3924" i="4"/>
  <c r="E3923" i="4"/>
  <c r="E3922" i="4"/>
  <c r="E3921" i="4"/>
  <c r="E3920" i="4"/>
  <c r="E3919" i="4"/>
  <c r="E3918" i="4"/>
  <c r="E3917" i="4"/>
  <c r="E3916" i="4"/>
  <c r="E3915" i="4"/>
  <c r="E3914" i="4"/>
  <c r="E3913" i="4"/>
  <c r="E3912" i="4"/>
  <c r="E3911" i="4"/>
  <c r="E3910" i="4"/>
  <c r="E3909" i="4"/>
  <c r="P276" i="1" s="1"/>
  <c r="E3908" i="4"/>
  <c r="E3907" i="4"/>
  <c r="E3906" i="4"/>
  <c r="E3905" i="4"/>
  <c r="E3904" i="4"/>
  <c r="E3903" i="4"/>
  <c r="E3902" i="4"/>
  <c r="E3901" i="4"/>
  <c r="E3900" i="4"/>
  <c r="E3899" i="4"/>
  <c r="E3897" i="4"/>
  <c r="E3896" i="4"/>
  <c r="E3895" i="4"/>
  <c r="E3894" i="4"/>
  <c r="E3893" i="4"/>
  <c r="E3892" i="4"/>
  <c r="E3891" i="4"/>
  <c r="E3890" i="4"/>
  <c r="E3888" i="4"/>
  <c r="E3886" i="4"/>
  <c r="E3887" i="4"/>
  <c r="E3885" i="4"/>
  <c r="E3884" i="4"/>
  <c r="E3883" i="4"/>
  <c r="E3882" i="4"/>
  <c r="E3881" i="4"/>
  <c r="E3880" i="4"/>
  <c r="E3878" i="4"/>
  <c r="E3877" i="4"/>
  <c r="E3876" i="4"/>
  <c r="E3875" i="4"/>
  <c r="E3874" i="4"/>
  <c r="E3873" i="4"/>
  <c r="E3872" i="4"/>
  <c r="E3871" i="4"/>
  <c r="E3870" i="4"/>
  <c r="E3868" i="4"/>
  <c r="E3867" i="4"/>
  <c r="E3862" i="4"/>
  <c r="E3861" i="4"/>
  <c r="E3860" i="4"/>
  <c r="E3859" i="4"/>
  <c r="E3858" i="4"/>
  <c r="E3857" i="4"/>
  <c r="E3856" i="4"/>
  <c r="E3855" i="4"/>
  <c r="E3854" i="4"/>
  <c r="E3853" i="4"/>
  <c r="E3852" i="4"/>
  <c r="E3851" i="4"/>
  <c r="E3850" i="4"/>
  <c r="E3849" i="4"/>
  <c r="E3848" i="4"/>
  <c r="E3847" i="4"/>
  <c r="E3846" i="4"/>
  <c r="E3845" i="4"/>
  <c r="E3844" i="4"/>
  <c r="E3843" i="4"/>
  <c r="E3842" i="4"/>
  <c r="E3841" i="4"/>
  <c r="E3840" i="4"/>
  <c r="E3838" i="4"/>
  <c r="E3837" i="4"/>
  <c r="E3836" i="4"/>
  <c r="E3835" i="4"/>
  <c r="E3834" i="4"/>
  <c r="E3833" i="4"/>
  <c r="E3832" i="4"/>
  <c r="E3831" i="4"/>
  <c r="E3830" i="4"/>
  <c r="E3829" i="4"/>
  <c r="E3828" i="4"/>
  <c r="E3827" i="4"/>
  <c r="E3826" i="4"/>
  <c r="E3825" i="4"/>
  <c r="E3824" i="4"/>
  <c r="E3823" i="4"/>
  <c r="E3822" i="4"/>
  <c r="E3819" i="4"/>
  <c r="E3818" i="4"/>
  <c r="E3817" i="4"/>
  <c r="E3815" i="4"/>
  <c r="E3814" i="4"/>
  <c r="E3813" i="4"/>
  <c r="E3812" i="4"/>
  <c r="E3811" i="4"/>
  <c r="E3810" i="4"/>
  <c r="E3809" i="4"/>
  <c r="E3808" i="4"/>
  <c r="E3807" i="4"/>
  <c r="E3806" i="4"/>
  <c r="E3805" i="4"/>
  <c r="E3804" i="4"/>
  <c r="E3803" i="4"/>
  <c r="E3802" i="4"/>
  <c r="E3801" i="4"/>
  <c r="E3800" i="4"/>
  <c r="E3799" i="4"/>
  <c r="E3798" i="4"/>
  <c r="E3797" i="4"/>
  <c r="E3796" i="4"/>
  <c r="E3795" i="4"/>
  <c r="E3794" i="4"/>
  <c r="E3793" i="4"/>
  <c r="E3792" i="4"/>
  <c r="E3791" i="4"/>
  <c r="E3790" i="4"/>
  <c r="E3789" i="4"/>
  <c r="E3788" i="4"/>
  <c r="E3787" i="4"/>
  <c r="P261" i="1" s="1"/>
  <c r="E3786" i="4"/>
  <c r="E3785" i="4"/>
  <c r="E3784" i="4"/>
  <c r="E3783" i="4"/>
  <c r="E3782" i="4"/>
  <c r="E3781" i="4"/>
  <c r="E3780" i="4"/>
  <c r="E3779" i="4"/>
  <c r="E3778" i="4"/>
  <c r="E3777" i="4"/>
  <c r="E3776" i="4"/>
  <c r="E3775" i="4"/>
  <c r="E3774" i="4"/>
  <c r="E3773" i="4"/>
  <c r="E3772" i="4"/>
  <c r="E3771" i="4"/>
  <c r="E3770" i="4"/>
  <c r="E3769" i="4"/>
  <c r="E3768" i="4"/>
  <c r="E3767" i="4"/>
  <c r="E3766" i="4"/>
  <c r="E3765" i="4"/>
  <c r="E3764" i="4"/>
  <c r="E3763" i="4"/>
  <c r="E3762" i="4"/>
  <c r="E3761" i="4"/>
  <c r="E3760" i="4"/>
  <c r="E3759" i="4"/>
  <c r="E3758" i="4"/>
  <c r="E3757" i="4"/>
  <c r="E3756" i="4"/>
  <c r="E3755" i="4"/>
  <c r="E3754" i="4"/>
  <c r="E3753" i="4"/>
  <c r="E3752" i="4"/>
  <c r="E3751" i="4"/>
  <c r="E3750" i="4"/>
  <c r="E3749" i="4"/>
  <c r="E3748" i="4"/>
  <c r="E3747" i="4"/>
  <c r="E3746" i="4"/>
  <c r="E3745" i="4"/>
  <c r="E3744" i="4"/>
  <c r="E3743" i="4"/>
  <c r="E3742" i="4"/>
  <c r="E3741" i="4"/>
  <c r="E3740" i="4"/>
  <c r="E3739" i="4"/>
  <c r="E3738" i="4"/>
  <c r="E3737" i="4"/>
  <c r="E3736" i="4"/>
  <c r="E3735" i="4"/>
  <c r="E3734" i="4"/>
  <c r="E3733" i="4"/>
  <c r="E3732" i="4"/>
  <c r="E3728" i="4"/>
  <c r="E3730" i="4"/>
  <c r="E3729" i="4"/>
  <c r="E3727" i="4"/>
  <c r="E3726" i="4"/>
  <c r="E3725" i="4"/>
  <c r="E3724" i="4"/>
  <c r="E3723" i="4"/>
  <c r="E3722" i="4"/>
  <c r="E3721" i="4"/>
  <c r="E3720" i="4"/>
  <c r="E3719" i="4"/>
  <c r="E3731" i="4"/>
  <c r="E3718" i="4"/>
  <c r="E3705" i="4"/>
  <c r="E3717" i="4"/>
  <c r="E3716" i="4"/>
  <c r="E3715" i="4"/>
  <c r="E3714" i="4"/>
  <c r="E3713" i="4"/>
  <c r="E3712" i="4"/>
  <c r="E3711" i="4"/>
  <c r="E3710" i="4"/>
  <c r="E3709" i="4"/>
  <c r="E3708" i="4"/>
  <c r="E3707" i="4"/>
  <c r="E3706" i="4"/>
  <c r="E3704" i="4"/>
  <c r="E3703" i="4"/>
  <c r="E3702" i="4"/>
  <c r="E3701" i="4"/>
  <c r="E3700" i="4"/>
  <c r="E3699" i="4"/>
  <c r="E3698" i="4"/>
  <c r="E3697" i="4"/>
  <c r="E3696" i="4"/>
  <c r="E3695" i="4"/>
  <c r="E3694" i="4"/>
  <c r="E3693" i="4"/>
  <c r="E3692" i="4"/>
  <c r="E3691" i="4"/>
  <c r="E3690" i="4"/>
  <c r="E3689" i="4"/>
  <c r="E3688" i="4"/>
  <c r="E3687" i="4"/>
  <c r="E3686" i="4"/>
  <c r="E3685" i="4"/>
  <c r="E3684" i="4"/>
  <c r="E3683" i="4"/>
  <c r="E3682" i="4"/>
  <c r="E3681" i="4"/>
  <c r="E3680" i="4"/>
  <c r="E3679" i="4"/>
  <c r="E3678" i="4"/>
  <c r="E3677" i="4"/>
  <c r="E3676" i="4"/>
  <c r="E3675" i="4"/>
  <c r="E3674" i="4"/>
  <c r="E3673" i="4"/>
  <c r="E3672" i="4"/>
  <c r="E3667" i="4"/>
  <c r="E3671" i="4"/>
  <c r="E3670" i="4"/>
  <c r="E3669" i="4"/>
  <c r="E3668" i="4"/>
  <c r="E3666" i="4"/>
  <c r="E3665" i="4"/>
  <c r="E3664" i="4"/>
  <c r="E3663" i="4"/>
  <c r="E3661" i="4"/>
  <c r="E3660" i="4"/>
  <c r="E3659" i="4"/>
  <c r="E3658" i="4"/>
  <c r="E3657" i="4"/>
  <c r="BO277" i="1"/>
  <c r="BN277" i="1"/>
  <c r="BM277" i="1"/>
  <c r="E3656" i="4"/>
  <c r="E3655" i="4"/>
  <c r="E3654" i="4"/>
  <c r="E3653" i="4"/>
  <c r="E3652" i="4"/>
  <c r="E3651" i="4"/>
  <c r="E3650" i="4"/>
  <c r="E3649" i="4"/>
  <c r="E3648" i="4"/>
  <c r="E3647" i="4"/>
  <c r="E3646" i="4"/>
  <c r="E3645" i="4"/>
  <c r="E3644" i="4"/>
  <c r="E3643" i="4"/>
  <c r="E3642" i="4"/>
  <c r="E3641" i="4"/>
  <c r="E3640" i="4"/>
  <c r="E3639" i="4"/>
  <c r="E3638" i="4"/>
  <c r="E3637" i="4"/>
  <c r="E3624" i="4"/>
  <c r="E3636" i="4"/>
  <c r="E3635" i="4"/>
  <c r="E3634" i="4"/>
  <c r="E3633" i="4"/>
  <c r="E3632" i="4"/>
  <c r="E3631" i="4"/>
  <c r="E3630" i="4"/>
  <c r="E3629" i="4"/>
  <c r="E3628" i="4"/>
  <c r="E3627" i="4"/>
  <c r="E3626" i="4"/>
  <c r="E3625" i="4"/>
  <c r="E3623" i="4"/>
  <c r="E3622" i="4"/>
  <c r="E3621" i="4"/>
  <c r="E3620" i="4"/>
  <c r="E3619" i="4"/>
  <c r="E3618" i="4"/>
  <c r="E3617" i="4"/>
  <c r="E3616" i="4"/>
  <c r="E3615" i="4"/>
  <c r="E3614" i="4"/>
  <c r="E3613" i="4"/>
  <c r="E3611" i="4"/>
  <c r="E3612" i="4"/>
  <c r="E3610" i="4"/>
  <c r="E3609" i="4"/>
  <c r="E3608" i="4"/>
  <c r="E3607" i="4"/>
  <c r="E3606" i="4"/>
  <c r="E3605" i="4"/>
  <c r="E3604" i="4"/>
  <c r="E3603" i="4"/>
  <c r="E3602" i="4"/>
  <c r="E3601" i="4"/>
  <c r="E3600" i="4"/>
  <c r="E3599" i="4"/>
  <c r="E3598" i="4"/>
  <c r="E3597" i="4"/>
  <c r="E3596" i="4"/>
  <c r="E3595" i="4"/>
  <c r="E3594" i="4"/>
  <c r="E3593" i="4"/>
  <c r="E3592" i="4"/>
  <c r="E3591" i="4"/>
  <c r="E3590" i="4"/>
  <c r="E3589" i="4"/>
  <c r="E3588" i="4"/>
  <c r="E3587" i="4"/>
  <c r="E3586" i="4"/>
  <c r="E3585" i="4"/>
  <c r="E3584" i="4"/>
  <c r="E3583" i="4"/>
  <c r="E3582" i="4"/>
  <c r="E3581" i="4"/>
  <c r="E3580" i="4"/>
  <c r="E3579" i="4"/>
  <c r="E3578" i="4"/>
  <c r="E3577" i="4"/>
  <c r="E3576" i="4"/>
  <c r="E3575" i="4"/>
  <c r="E3574" i="4"/>
  <c r="E3573" i="4"/>
  <c r="E3572" i="4"/>
  <c r="E3571" i="4"/>
  <c r="E3570" i="4"/>
  <c r="E3569" i="4"/>
  <c r="E3568" i="4"/>
  <c r="E3567" i="4"/>
  <c r="E3566" i="4"/>
  <c r="E3565" i="4"/>
  <c r="E3564" i="4"/>
  <c r="E3563" i="4"/>
  <c r="E3562" i="4"/>
  <c r="E3561" i="4"/>
  <c r="E3560" i="4"/>
  <c r="E3559" i="4"/>
  <c r="E3558" i="4"/>
  <c r="E3557" i="4"/>
  <c r="E3556" i="4"/>
  <c r="E3555" i="4"/>
  <c r="E3554" i="4"/>
  <c r="E3553" i="4"/>
  <c r="E3552" i="4"/>
  <c r="E3551" i="4"/>
  <c r="E3550" i="4"/>
  <c r="E3549" i="4"/>
  <c r="E3548" i="4"/>
  <c r="E3547" i="4"/>
  <c r="E3546" i="4"/>
  <c r="E3545" i="4"/>
  <c r="E3544" i="4"/>
  <c r="E3543" i="4"/>
  <c r="E3542" i="4"/>
  <c r="E3541" i="4"/>
  <c r="E3540" i="4"/>
  <c r="E3539" i="4"/>
  <c r="E3538" i="4"/>
  <c r="E3537" i="4"/>
  <c r="E3536" i="4"/>
  <c r="E3535" i="4"/>
  <c r="E3534" i="4"/>
  <c r="E3533" i="4"/>
  <c r="E3532" i="4"/>
  <c r="E3531" i="4"/>
  <c r="E3530" i="4"/>
  <c r="E3529" i="4"/>
  <c r="E3528" i="4"/>
  <c r="E3527" i="4"/>
  <c r="E3526" i="4"/>
  <c r="E3525" i="4"/>
  <c r="E3524" i="4"/>
  <c r="E3523" i="4"/>
  <c r="E3522" i="4"/>
  <c r="E3521" i="4"/>
  <c r="E3520" i="4"/>
  <c r="E3519" i="4"/>
  <c r="E3518" i="4"/>
  <c r="E3517" i="4"/>
  <c r="E3516" i="4"/>
  <c r="E3515" i="4"/>
  <c r="E3514" i="4"/>
  <c r="E3512" i="4"/>
  <c r="E3511" i="4"/>
  <c r="E3510" i="4"/>
  <c r="E3509" i="4"/>
  <c r="E3508" i="4"/>
  <c r="E3507" i="4"/>
  <c r="E3506" i="4"/>
  <c r="E3505" i="4"/>
  <c r="E3504" i="4"/>
  <c r="E3503" i="4"/>
  <c r="E3502" i="4"/>
  <c r="E3501" i="4"/>
  <c r="E3500" i="4"/>
  <c r="E3499" i="4"/>
  <c r="E3498" i="4"/>
  <c r="E3497" i="4"/>
  <c r="E3496" i="4"/>
  <c r="E3495" i="4"/>
  <c r="E3494" i="4"/>
  <c r="E3493" i="4"/>
  <c r="E3492" i="4"/>
  <c r="E3491" i="4"/>
  <c r="E3490" i="4"/>
  <c r="P249" i="1" s="1"/>
  <c r="E3489" i="4"/>
  <c r="E3488" i="4"/>
  <c r="E3487" i="4"/>
  <c r="E3486" i="4"/>
  <c r="E3485" i="4"/>
  <c r="E3484" i="4"/>
  <c r="E3483" i="4"/>
  <c r="E3482" i="4"/>
  <c r="E3481" i="4"/>
  <c r="E3480" i="4"/>
  <c r="E3479" i="4"/>
  <c r="E3478" i="4"/>
  <c r="E3477" i="4"/>
  <c r="E3476" i="4"/>
  <c r="E3475" i="4"/>
  <c r="E3474" i="4"/>
  <c r="E3473" i="4"/>
  <c r="E3472" i="4"/>
  <c r="E3471" i="4"/>
  <c r="E3470" i="4"/>
  <c r="E3468" i="4"/>
  <c r="E3469" i="4"/>
  <c r="E3467" i="4"/>
  <c r="E3466" i="4"/>
  <c r="E3465" i="4"/>
  <c r="E3464" i="4"/>
  <c r="E3463" i="4"/>
  <c r="E3462" i="4"/>
  <c r="E3461" i="4"/>
  <c r="E3460" i="4"/>
  <c r="E3459" i="4"/>
  <c r="E3458" i="4"/>
  <c r="E3457" i="4"/>
  <c r="E3456" i="4"/>
  <c r="E3455" i="4"/>
  <c r="E3454" i="4"/>
  <c r="E3453" i="4"/>
  <c r="E3452" i="4"/>
  <c r="E3451" i="4"/>
  <c r="E3450" i="4"/>
  <c r="E3449" i="4"/>
  <c r="E3448" i="4"/>
  <c r="E3447" i="4"/>
  <c r="E3446" i="4"/>
  <c r="E3445" i="4"/>
  <c r="E3444" i="4"/>
  <c r="E3443" i="4"/>
  <c r="E3441" i="4"/>
  <c r="E3440" i="4"/>
  <c r="E3439" i="4"/>
  <c r="E3438" i="4"/>
  <c r="E3437" i="4"/>
  <c r="E3436" i="4"/>
  <c r="E3435" i="4"/>
  <c r="E3434" i="4"/>
  <c r="E3433" i="4"/>
  <c r="E3432" i="4"/>
  <c r="E3431" i="4"/>
  <c r="E3430" i="4"/>
  <c r="E3429" i="4"/>
  <c r="E3427" i="4"/>
  <c r="E3428" i="4"/>
  <c r="E3426" i="4"/>
  <c r="E3425" i="4"/>
  <c r="E3424" i="4"/>
  <c r="E3423" i="4"/>
  <c r="E3422" i="4"/>
  <c r="E3419" i="4"/>
  <c r="E3421" i="4"/>
  <c r="E3420" i="4"/>
  <c r="E3418" i="4"/>
  <c r="E3417" i="4"/>
  <c r="E3416" i="4"/>
  <c r="E3415" i="4"/>
  <c r="E3414" i="4"/>
  <c r="E3413" i="4"/>
  <c r="E3412" i="4"/>
  <c r="E3411" i="4"/>
  <c r="E3410" i="4"/>
  <c r="E3409" i="4"/>
  <c r="E3408" i="4"/>
  <c r="E3407" i="4"/>
  <c r="E3406" i="4"/>
  <c r="E3405" i="4"/>
  <c r="E3404" i="4"/>
  <c r="E3403" i="4"/>
  <c r="E3402" i="4"/>
  <c r="E3401" i="4"/>
  <c r="E3400" i="4"/>
  <c r="E3399" i="4"/>
  <c r="E3398" i="4"/>
  <c r="E3397" i="4"/>
  <c r="E3396" i="4"/>
  <c r="E3394" i="4"/>
  <c r="E3393" i="4"/>
  <c r="E3392" i="4"/>
  <c r="E3391" i="4"/>
  <c r="E3387" i="4"/>
  <c r="E3386" i="4"/>
  <c r="E3385" i="4"/>
  <c r="E3384" i="4"/>
  <c r="E3383" i="4"/>
  <c r="E3382" i="4"/>
  <c r="E3381" i="4"/>
  <c r="E3380" i="4"/>
  <c r="E3379" i="4"/>
  <c r="E3378" i="4"/>
  <c r="E3377" i="4"/>
  <c r="E3376" i="4"/>
  <c r="E3375" i="4"/>
  <c r="E3374" i="4"/>
  <c r="E3373" i="4"/>
  <c r="E3372" i="4"/>
  <c r="E3371" i="4"/>
  <c r="E3370" i="4"/>
  <c r="E3369" i="4"/>
  <c r="E3368" i="4"/>
  <c r="E3367" i="4"/>
  <c r="E3366" i="4"/>
  <c r="E3365" i="4"/>
  <c r="E3364" i="4"/>
  <c r="E3363" i="4"/>
  <c r="E3362" i="4"/>
  <c r="E3361" i="4"/>
  <c r="E3360" i="4"/>
  <c r="E3359" i="4"/>
  <c r="E3358" i="4"/>
  <c r="E3357" i="4"/>
  <c r="E3356" i="4"/>
  <c r="E3355" i="4"/>
  <c r="E3354" i="4"/>
  <c r="E3353" i="4"/>
  <c r="E3352" i="4"/>
  <c r="E3351" i="4"/>
  <c r="E3350" i="4"/>
  <c r="E3349" i="4"/>
  <c r="E3348" i="4"/>
  <c r="E3347" i="4"/>
  <c r="E3346" i="4"/>
  <c r="E3345" i="4"/>
  <c r="E3344" i="4"/>
  <c r="E3343" i="4"/>
  <c r="E3342" i="4"/>
  <c r="E3341" i="4"/>
  <c r="E3340" i="4"/>
  <c r="E3339" i="4"/>
  <c r="E3338" i="4"/>
  <c r="E3337" i="4"/>
  <c r="F69" i="6"/>
  <c r="BO267" i="1"/>
  <c r="BN267" i="1"/>
  <c r="BM267" i="1"/>
  <c r="D69" i="6"/>
  <c r="F62" i="6"/>
  <c r="F67" i="6"/>
  <c r="F57" i="6"/>
  <c r="F54" i="6"/>
  <c r="AE483" i="5" l="1"/>
  <c r="AD484" i="5"/>
  <c r="AE484" i="5" s="1"/>
  <c r="AD486" i="5"/>
  <c r="AE486" i="5" s="1"/>
  <c r="AF485" i="5"/>
  <c r="AF487" i="5"/>
  <c r="AG485" i="5"/>
  <c r="AG486" i="5"/>
  <c r="AF484" i="5"/>
  <c r="AF486" i="5"/>
  <c r="AG484" i="5"/>
  <c r="AG483" i="5"/>
  <c r="AF483" i="5"/>
  <c r="AD485" i="5"/>
  <c r="AE485" i="5" s="1"/>
  <c r="AD487" i="5"/>
  <c r="AE487" i="5" s="1"/>
  <c r="BP353" i="1"/>
  <c r="P317" i="1"/>
  <c r="BP386" i="1"/>
  <c r="BP434" i="1"/>
  <c r="BP374" i="1"/>
  <c r="L484" i="5"/>
  <c r="AH484" i="5" s="1"/>
  <c r="L483" i="5"/>
  <c r="AH483" i="5" s="1"/>
  <c r="BP417" i="1"/>
  <c r="BP401" i="1"/>
  <c r="L482" i="5"/>
  <c r="AH482" i="5" s="1"/>
  <c r="AG490" i="5"/>
  <c r="L485" i="5"/>
  <c r="AH485" i="5" s="1"/>
  <c r="L480" i="5"/>
  <c r="BP355" i="1"/>
  <c r="BP377" i="1"/>
  <c r="BP358" i="1"/>
  <c r="P284" i="1"/>
  <c r="P308" i="1"/>
  <c r="P289" i="1"/>
  <c r="P298" i="1"/>
  <c r="P244" i="1"/>
  <c r="P306" i="1"/>
  <c r="P265" i="1"/>
  <c r="P270" i="1"/>
  <c r="P293" i="1"/>
  <c r="P300" i="1"/>
  <c r="P309" i="1"/>
  <c r="P315" i="1"/>
  <c r="P316" i="1"/>
  <c r="P290" i="1"/>
  <c r="P294" i="1"/>
  <c r="P313" i="1"/>
  <c r="P311" i="1"/>
  <c r="P302" i="1"/>
  <c r="P277" i="1"/>
  <c r="P297" i="1"/>
  <c r="P296" i="1"/>
  <c r="P312" i="1"/>
  <c r="P310" i="1"/>
  <c r="P278" i="1"/>
  <c r="P303" i="1"/>
  <c r="P268" i="1"/>
  <c r="P286" i="1"/>
  <c r="P291" i="1"/>
  <c r="P239" i="1"/>
  <c r="P292" i="1"/>
  <c r="P295" i="1"/>
  <c r="P242" i="1"/>
  <c r="P304" i="1"/>
  <c r="P258" i="1"/>
  <c r="BP363" i="1"/>
  <c r="BP397" i="1"/>
  <c r="BP425" i="1"/>
  <c r="BP357" i="1"/>
  <c r="BP436" i="1"/>
  <c r="BP431" i="1"/>
  <c r="BP390" i="1"/>
  <c r="BP381" i="1"/>
  <c r="BP388" i="1"/>
  <c r="BP393" i="1"/>
  <c r="BP426" i="1"/>
  <c r="BP421" i="1"/>
  <c r="BP396" i="1"/>
  <c r="BP392" i="1"/>
  <c r="BP438" i="1"/>
  <c r="BP430" i="1"/>
  <c r="BP404" i="1"/>
  <c r="BP408" i="1"/>
  <c r="BP419" i="1"/>
  <c r="BP414" i="1"/>
  <c r="BP354" i="1"/>
  <c r="BP424" i="1"/>
  <c r="BP412" i="1"/>
  <c r="BP367" i="1"/>
  <c r="BP362" i="1"/>
  <c r="BP385" i="1"/>
  <c r="BP406" i="1"/>
  <c r="BP411" i="1"/>
  <c r="BP365" i="1"/>
  <c r="BP360" i="1"/>
  <c r="BP403" i="1"/>
  <c r="BP395" i="1"/>
  <c r="BP387" i="1"/>
  <c r="BP380" i="1"/>
  <c r="BP375" i="1"/>
  <c r="BP423" i="1"/>
  <c r="BP339" i="1"/>
  <c r="BP439" i="1"/>
  <c r="BP379" i="1"/>
  <c r="BP440" i="1"/>
  <c r="BP359" i="1"/>
  <c r="BP427" i="1"/>
  <c r="BP394" i="1"/>
  <c r="BP422" i="1"/>
  <c r="BP356" i="1"/>
  <c r="BP418" i="1"/>
  <c r="BP351" i="1"/>
  <c r="BP364" i="1"/>
  <c r="BP407" i="1"/>
  <c r="BP402" i="1"/>
  <c r="BP391" i="1"/>
  <c r="BP433" i="1"/>
  <c r="BP383" i="1"/>
  <c r="BP378" i="1"/>
  <c r="BP405" i="1"/>
  <c r="BP437" i="1"/>
  <c r="BP389" i="1"/>
  <c r="BP384" i="1"/>
  <c r="BP382" i="1"/>
  <c r="BP366" i="1"/>
  <c r="BP410" i="1"/>
  <c r="BP432" i="1"/>
  <c r="BP361" i="1"/>
  <c r="BP416" i="1"/>
  <c r="BP420" i="1"/>
  <c r="BP415" i="1"/>
  <c r="BP409" i="1"/>
  <c r="BP435" i="1"/>
  <c r="BP352" i="1"/>
  <c r="BP376" i="1"/>
  <c r="P275" i="1"/>
  <c r="P281" i="1"/>
  <c r="P287" i="1"/>
  <c r="P254" i="1"/>
  <c r="P263" i="1"/>
  <c r="P240" i="1"/>
  <c r="P250" i="1"/>
  <c r="P266" i="1"/>
  <c r="P271" i="1"/>
  <c r="P288" i="1"/>
  <c r="P251" i="1"/>
  <c r="P252" i="1"/>
  <c r="P259" i="1"/>
  <c r="P256" i="1"/>
  <c r="P247" i="1"/>
  <c r="P274" i="1"/>
  <c r="P255" i="1"/>
  <c r="P279" i="1"/>
  <c r="P264" i="1"/>
  <c r="P267" i="1"/>
  <c r="P282" i="1"/>
  <c r="P253" i="1"/>
  <c r="P243" i="1"/>
  <c r="P246" i="1"/>
  <c r="P248" i="1"/>
  <c r="P245" i="1"/>
  <c r="P241" i="1"/>
  <c r="P260" i="1"/>
  <c r="P262" i="1"/>
  <c r="BP349" i="1"/>
  <c r="P257" i="1"/>
  <c r="P283" i="1"/>
  <c r="BP328" i="1"/>
  <c r="BP335" i="1"/>
  <c r="BP342" i="1"/>
  <c r="BP346" i="1"/>
  <c r="BP267" i="1"/>
  <c r="BP334" i="1"/>
  <c r="BP323" i="1"/>
  <c r="BP338" i="1"/>
  <c r="BP350" i="1"/>
  <c r="BP322" i="1"/>
  <c r="BP320" i="1"/>
  <c r="BP345" i="1"/>
  <c r="BP326" i="1"/>
  <c r="BP331" i="1"/>
  <c r="BP333" i="1"/>
  <c r="BP341" i="1"/>
  <c r="BP325" i="1"/>
  <c r="BP340" i="1"/>
  <c r="BP344" i="1"/>
  <c r="BP336" i="1"/>
  <c r="BP324" i="1"/>
  <c r="BP348" i="1"/>
  <c r="BP343" i="1"/>
  <c r="BP330" i="1"/>
  <c r="BP347" i="1"/>
  <c r="BP337" i="1"/>
  <c r="BP277" i="1"/>
  <c r="BP296" i="1"/>
  <c r="BP298" i="1"/>
  <c r="BP300" i="1"/>
  <c r="BP329" i="1"/>
  <c r="BP327" i="1"/>
  <c r="BP321" i="1"/>
  <c r="BP208" i="1"/>
  <c r="BM127" i="1"/>
  <c r="BN127" i="1"/>
  <c r="BM128" i="1"/>
  <c r="BN128" i="1"/>
  <c r="BM129" i="1"/>
  <c r="BN129" i="1"/>
  <c r="BM130" i="1"/>
  <c r="BN130" i="1"/>
  <c r="BM131" i="1"/>
  <c r="BN131" i="1"/>
  <c r="BM132" i="1"/>
  <c r="BN132" i="1"/>
  <c r="BM133" i="1"/>
  <c r="BN133" i="1"/>
  <c r="BM134" i="1"/>
  <c r="BN134" i="1"/>
  <c r="BM135" i="1"/>
  <c r="BN135" i="1"/>
  <c r="BM136" i="1"/>
  <c r="BN136" i="1"/>
  <c r="BM137" i="1"/>
  <c r="BN137" i="1"/>
  <c r="BM138" i="1"/>
  <c r="BN138" i="1"/>
  <c r="BM139" i="1"/>
  <c r="BN139" i="1"/>
  <c r="BM140" i="1"/>
  <c r="BN140" i="1"/>
  <c r="BM141" i="1"/>
  <c r="BN141" i="1"/>
  <c r="BM142" i="1"/>
  <c r="BN142" i="1"/>
  <c r="BM143" i="1"/>
  <c r="BN143" i="1"/>
  <c r="BM144" i="1"/>
  <c r="BN144" i="1"/>
  <c r="BM145" i="1"/>
  <c r="BN145" i="1"/>
  <c r="BM146" i="1"/>
  <c r="BN146" i="1"/>
  <c r="BM147" i="1"/>
  <c r="BN147" i="1"/>
  <c r="BM148" i="1"/>
  <c r="BN148" i="1"/>
  <c r="BM149" i="1"/>
  <c r="BN149" i="1"/>
  <c r="BM150" i="1"/>
  <c r="BN150" i="1"/>
  <c r="BM151" i="1"/>
  <c r="BN151" i="1"/>
  <c r="BM152" i="1"/>
  <c r="BN152" i="1"/>
  <c r="BM153" i="1"/>
  <c r="BN153" i="1"/>
  <c r="BM154" i="1"/>
  <c r="BN154" i="1"/>
  <c r="BM155" i="1"/>
  <c r="BN155" i="1"/>
  <c r="BM156" i="1"/>
  <c r="BN156" i="1"/>
  <c r="BM157" i="1"/>
  <c r="BN157" i="1"/>
  <c r="BM158" i="1"/>
  <c r="BN158" i="1"/>
  <c r="BM159" i="1"/>
  <c r="BN159" i="1"/>
  <c r="BM160" i="1"/>
  <c r="BN160" i="1"/>
  <c r="BM161" i="1"/>
  <c r="BN161" i="1"/>
  <c r="BM162" i="1"/>
  <c r="BN162" i="1"/>
  <c r="BM163" i="1"/>
  <c r="BN163" i="1"/>
  <c r="BM164" i="1"/>
  <c r="BN164" i="1"/>
  <c r="BM165" i="1"/>
  <c r="BN165" i="1"/>
  <c r="BM166" i="1"/>
  <c r="BN166" i="1"/>
  <c r="BM167" i="1"/>
  <c r="BN167" i="1"/>
  <c r="BM168" i="1"/>
  <c r="BN168" i="1"/>
  <c r="BM169" i="1"/>
  <c r="BN169" i="1"/>
  <c r="BM170" i="1"/>
  <c r="BN170" i="1"/>
  <c r="BM171" i="1"/>
  <c r="BN171" i="1"/>
  <c r="BM172" i="1"/>
  <c r="BN172" i="1"/>
  <c r="BM173" i="1"/>
  <c r="BN173" i="1"/>
  <c r="BM174" i="1"/>
  <c r="BN174" i="1"/>
  <c r="BM175" i="1"/>
  <c r="BN175" i="1"/>
  <c r="BM176" i="1"/>
  <c r="BN176" i="1"/>
  <c r="BM177" i="1"/>
  <c r="BN177" i="1"/>
  <c r="BM178" i="1"/>
  <c r="BN178" i="1"/>
  <c r="BM179" i="1"/>
  <c r="BN179" i="1"/>
  <c r="BM180" i="1"/>
  <c r="BN180" i="1"/>
  <c r="BM181" i="1"/>
  <c r="BN181" i="1"/>
  <c r="BM182" i="1"/>
  <c r="BN182" i="1"/>
  <c r="BM183" i="1"/>
  <c r="BN183" i="1"/>
  <c r="BM184" i="1"/>
  <c r="BN184" i="1"/>
  <c r="BM185" i="1"/>
  <c r="BN185" i="1"/>
  <c r="BM186" i="1"/>
  <c r="BN186" i="1"/>
  <c r="BM187" i="1"/>
  <c r="BN187" i="1"/>
  <c r="BM188" i="1"/>
  <c r="BN188" i="1"/>
  <c r="BM189" i="1"/>
  <c r="BN189" i="1"/>
  <c r="BM190" i="1"/>
  <c r="BN190" i="1"/>
  <c r="BM191" i="1"/>
  <c r="BN191" i="1"/>
  <c r="BM192" i="1"/>
  <c r="BN192" i="1"/>
  <c r="BM193" i="1"/>
  <c r="BN193" i="1"/>
  <c r="BM194" i="1"/>
  <c r="BN194" i="1"/>
  <c r="BM195" i="1"/>
  <c r="BN195" i="1"/>
  <c r="BM196" i="1"/>
  <c r="BN196" i="1"/>
  <c r="BM197" i="1"/>
  <c r="BN197" i="1"/>
  <c r="BM198" i="1"/>
  <c r="BN198" i="1"/>
  <c r="BM199" i="1"/>
  <c r="BN199" i="1"/>
  <c r="BM200" i="1"/>
  <c r="BN200" i="1"/>
  <c r="BM201" i="1"/>
  <c r="BN201" i="1"/>
  <c r="BM202" i="1"/>
  <c r="BN202" i="1"/>
  <c r="BM203" i="1"/>
  <c r="BN203" i="1"/>
  <c r="BM204" i="1"/>
  <c r="BN204" i="1"/>
  <c r="BM205" i="1"/>
  <c r="BN205" i="1"/>
  <c r="BM206" i="1"/>
  <c r="BN206" i="1"/>
  <c r="BM207" i="1"/>
  <c r="BN207" i="1"/>
  <c r="BM208" i="1"/>
  <c r="BN208" i="1"/>
  <c r="BM209" i="1"/>
  <c r="BN209" i="1"/>
  <c r="BM210" i="1"/>
  <c r="BN210" i="1"/>
  <c r="BM211" i="1"/>
  <c r="BN211" i="1"/>
  <c r="BM212" i="1"/>
  <c r="BN212" i="1"/>
  <c r="BM213" i="1"/>
  <c r="BN213" i="1"/>
  <c r="BM214" i="1"/>
  <c r="BN214" i="1"/>
  <c r="BM215" i="1"/>
  <c r="BN215" i="1"/>
  <c r="BM216" i="1"/>
  <c r="BN216" i="1"/>
  <c r="BM217" i="1"/>
  <c r="BN217" i="1"/>
  <c r="BM218" i="1"/>
  <c r="BN218" i="1"/>
  <c r="BM219" i="1"/>
  <c r="BN219" i="1"/>
  <c r="BM220" i="1"/>
  <c r="BN220" i="1"/>
  <c r="BM221" i="1"/>
  <c r="BN221" i="1"/>
  <c r="BM222" i="1"/>
  <c r="BN222" i="1"/>
  <c r="BM223" i="1"/>
  <c r="BN223" i="1"/>
  <c r="BM224" i="1"/>
  <c r="BN224" i="1"/>
  <c r="BM225" i="1"/>
  <c r="BN225" i="1"/>
  <c r="BM226" i="1"/>
  <c r="BN226" i="1"/>
  <c r="BM227" i="1"/>
  <c r="BN227" i="1"/>
  <c r="BM228" i="1"/>
  <c r="BN228" i="1"/>
  <c r="BM229" i="1"/>
  <c r="BN229" i="1"/>
  <c r="BM230" i="1"/>
  <c r="BN230" i="1"/>
  <c r="BM231" i="1"/>
  <c r="BN231" i="1"/>
  <c r="BM232" i="1"/>
  <c r="BN232" i="1"/>
  <c r="BM233" i="1"/>
  <c r="BN233" i="1"/>
  <c r="BM234" i="1"/>
  <c r="BN234" i="1"/>
  <c r="BM235" i="1"/>
  <c r="BN235" i="1"/>
  <c r="BM236" i="1"/>
  <c r="BN236" i="1"/>
  <c r="BM237" i="1"/>
  <c r="BN237" i="1"/>
  <c r="BM238" i="1"/>
  <c r="BN238" i="1"/>
  <c r="BM239" i="1"/>
  <c r="BN239" i="1"/>
  <c r="BM240" i="1"/>
  <c r="BN240" i="1"/>
  <c r="BM241" i="1"/>
  <c r="BN241" i="1"/>
  <c r="BM242" i="1"/>
  <c r="BN242" i="1"/>
  <c r="BM243" i="1"/>
  <c r="BN243" i="1"/>
  <c r="BM244" i="1"/>
  <c r="BN244" i="1"/>
  <c r="BM245" i="1"/>
  <c r="BN245" i="1"/>
  <c r="BM246" i="1"/>
  <c r="BN246" i="1"/>
  <c r="BM247" i="1"/>
  <c r="BN247" i="1"/>
  <c r="BM248" i="1"/>
  <c r="BN248" i="1"/>
  <c r="BM249" i="1"/>
  <c r="BN249" i="1"/>
  <c r="BM250" i="1"/>
  <c r="BN250" i="1"/>
  <c r="BM251" i="1"/>
  <c r="BN251" i="1"/>
  <c r="BM252" i="1"/>
  <c r="BN252" i="1"/>
  <c r="BM253" i="1"/>
  <c r="BN253" i="1"/>
  <c r="BM254" i="1"/>
  <c r="BN254" i="1"/>
  <c r="BM255" i="1"/>
  <c r="BN255" i="1"/>
  <c r="BM256" i="1"/>
  <c r="BN256" i="1"/>
  <c r="BM257" i="1"/>
  <c r="BN257" i="1"/>
  <c r="BM258" i="1"/>
  <c r="BN258" i="1"/>
  <c r="BM259" i="1"/>
  <c r="BN259" i="1"/>
  <c r="BM260" i="1"/>
  <c r="BN260" i="1"/>
  <c r="BM261" i="1"/>
  <c r="BN261" i="1"/>
  <c r="BM262" i="1"/>
  <c r="BN262" i="1"/>
  <c r="BM263" i="1"/>
  <c r="BN263" i="1"/>
  <c r="BM264" i="1"/>
  <c r="BN264" i="1"/>
  <c r="BM265" i="1"/>
  <c r="BN265" i="1"/>
  <c r="BM266" i="1"/>
  <c r="BN266" i="1"/>
  <c r="BM268" i="1"/>
  <c r="BN268" i="1"/>
  <c r="BM270" i="1"/>
  <c r="BN270" i="1"/>
  <c r="BM271" i="1"/>
  <c r="BN271" i="1"/>
  <c r="BM272" i="1"/>
  <c r="BN272" i="1"/>
  <c r="BM273" i="1"/>
  <c r="BN273" i="1"/>
  <c r="BM274" i="1"/>
  <c r="BN274" i="1"/>
  <c r="BM275" i="1"/>
  <c r="BN275" i="1"/>
  <c r="BM276" i="1"/>
  <c r="BN276" i="1"/>
  <c r="BM278" i="1"/>
  <c r="BN278" i="1"/>
  <c r="BM279" i="1"/>
  <c r="BN279" i="1"/>
  <c r="BM280" i="1"/>
  <c r="BN280" i="1"/>
  <c r="BM281" i="1"/>
  <c r="BN281" i="1"/>
  <c r="BM282" i="1"/>
  <c r="BN282" i="1"/>
  <c r="BM283" i="1"/>
  <c r="BN283" i="1"/>
  <c r="BM284" i="1"/>
  <c r="BN284" i="1"/>
  <c r="BM285" i="1"/>
  <c r="BN285" i="1"/>
  <c r="BM286" i="1"/>
  <c r="BN286" i="1"/>
  <c r="BM287" i="1"/>
  <c r="BN287" i="1"/>
  <c r="BM288" i="1"/>
  <c r="BN288" i="1"/>
  <c r="BM289" i="1"/>
  <c r="BN289" i="1"/>
  <c r="BM290" i="1"/>
  <c r="BN290" i="1"/>
  <c r="BM291" i="1"/>
  <c r="BN291" i="1"/>
  <c r="BM292" i="1"/>
  <c r="BN292" i="1"/>
  <c r="BM293" i="1"/>
  <c r="BN293" i="1"/>
  <c r="BM294" i="1"/>
  <c r="BN294" i="1"/>
  <c r="BM295" i="1"/>
  <c r="BN295" i="1"/>
  <c r="BM297" i="1"/>
  <c r="BN297" i="1"/>
  <c r="BM299" i="1"/>
  <c r="BN299" i="1"/>
  <c r="BM301" i="1"/>
  <c r="BN301" i="1"/>
  <c r="BM302" i="1"/>
  <c r="BN302" i="1"/>
  <c r="BM303" i="1"/>
  <c r="BN303" i="1"/>
  <c r="BM304" i="1"/>
  <c r="BN304" i="1"/>
  <c r="BM305" i="1"/>
  <c r="BN305" i="1"/>
  <c r="BM306" i="1"/>
  <c r="BN306" i="1"/>
  <c r="BM307" i="1"/>
  <c r="BN307" i="1"/>
  <c r="BM308" i="1"/>
  <c r="BN308" i="1"/>
  <c r="BM309" i="1"/>
  <c r="BN309" i="1"/>
  <c r="BM310" i="1"/>
  <c r="BM311" i="1"/>
  <c r="BN311" i="1"/>
  <c r="BM312" i="1"/>
  <c r="BN312" i="1"/>
  <c r="BM313" i="1"/>
  <c r="BN313" i="1"/>
  <c r="BM314" i="1"/>
  <c r="BN314" i="1"/>
  <c r="BM315" i="1"/>
  <c r="BN315" i="1"/>
  <c r="BM316" i="1"/>
  <c r="BN316" i="1"/>
  <c r="BM317" i="1"/>
  <c r="BN317" i="1"/>
  <c r="BN318" i="1"/>
  <c r="BM319" i="1"/>
  <c r="BN319" i="1"/>
  <c r="F64" i="6" l="1"/>
  <c r="BP315" i="1"/>
  <c r="BP314" i="1"/>
  <c r="BP312" i="1"/>
  <c r="BO311" i="1"/>
  <c r="BP311" i="1" s="1"/>
  <c r="BO313" i="1"/>
  <c r="BP313" i="1" s="1"/>
  <c r="BO309" i="1"/>
  <c r="BP309" i="1" s="1"/>
  <c r="BO310" i="1"/>
  <c r="BP310" i="1" s="1"/>
  <c r="BO302" i="1"/>
  <c r="BP302" i="1" s="1"/>
  <c r="BO303" i="1"/>
  <c r="BP303" i="1" s="1"/>
  <c r="BO304" i="1"/>
  <c r="BP304" i="1" s="1"/>
  <c r="BO305" i="1"/>
  <c r="BP305" i="1" s="1"/>
  <c r="BO306" i="1"/>
  <c r="BP306" i="1" s="1"/>
  <c r="BO307" i="1"/>
  <c r="BP307" i="1" s="1"/>
  <c r="BO308" i="1"/>
  <c r="BP308" i="1" s="1"/>
  <c r="BO316" i="1"/>
  <c r="BP316" i="1" s="1"/>
  <c r="BO317" i="1"/>
  <c r="BP317" i="1" s="1"/>
  <c r="BO318" i="1"/>
  <c r="BP318" i="1" s="1"/>
  <c r="BO319" i="1"/>
  <c r="BP319" i="1" s="1"/>
  <c r="H304" i="5"/>
  <c r="L304" i="5" s="1"/>
  <c r="BO292" i="1"/>
  <c r="BP292" i="1" s="1"/>
  <c r="BO293" i="1"/>
  <c r="BP293" i="1" s="1"/>
  <c r="BO294" i="1"/>
  <c r="BP294" i="1" s="1"/>
  <c r="BO295" i="1"/>
  <c r="BP295" i="1" s="1"/>
  <c r="BO297" i="1"/>
  <c r="BP297" i="1" s="1"/>
  <c r="BO299" i="1"/>
  <c r="BP299" i="1" s="1"/>
  <c r="BO301" i="1"/>
  <c r="BP301" i="1" s="1"/>
  <c r="BO274" i="1"/>
  <c r="BP274" i="1" s="1"/>
  <c r="BO275" i="1"/>
  <c r="BP275" i="1" s="1"/>
  <c r="BO276" i="1"/>
  <c r="BP276" i="1" s="1"/>
  <c r="BO289" i="1"/>
  <c r="BP289" i="1" s="1"/>
  <c r="BO290" i="1"/>
  <c r="BP290" i="1" s="1"/>
  <c r="BO291" i="1"/>
  <c r="BP291" i="1" s="1"/>
  <c r="BO286" i="1"/>
  <c r="BP286" i="1" s="1"/>
  <c r="BO287" i="1"/>
  <c r="BP287" i="1" s="1"/>
  <c r="BO288" i="1"/>
  <c r="BP288" i="1" s="1"/>
  <c r="BO284" i="1"/>
  <c r="BP284" i="1" s="1"/>
  <c r="BO285" i="1"/>
  <c r="BP285" i="1" s="1"/>
  <c r="BO281" i="1"/>
  <c r="BP281" i="1" s="1"/>
  <c r="BO282" i="1"/>
  <c r="BP282" i="1" s="1"/>
  <c r="BO283" i="1"/>
  <c r="BP283" i="1" s="1"/>
  <c r="BM81" i="1"/>
  <c r="BM82" i="1"/>
  <c r="BM83" i="1"/>
  <c r="AB185" i="5"/>
  <c r="AB186" i="5"/>
  <c r="V186" i="5"/>
  <c r="Q186" i="5"/>
  <c r="V185" i="5"/>
  <c r="Q185" i="5"/>
  <c r="L186" i="5"/>
  <c r="H185" i="5"/>
  <c r="L185" i="5" s="1"/>
  <c r="E185" i="5"/>
  <c r="E186" i="5"/>
  <c r="H184" i="5"/>
  <c r="L184" i="5" s="1"/>
  <c r="E184" i="5"/>
  <c r="H183" i="5"/>
  <c r="L183" i="5" s="1"/>
  <c r="E183" i="5"/>
  <c r="H182" i="5"/>
  <c r="L182" i="5" s="1"/>
  <c r="H181" i="5"/>
  <c r="L181" i="5" s="1"/>
  <c r="BO270" i="1"/>
  <c r="BP270" i="1" s="1"/>
  <c r="BO271" i="1"/>
  <c r="BP271" i="1" s="1"/>
  <c r="BO272" i="1"/>
  <c r="BP272" i="1" s="1"/>
  <c r="BO273" i="1"/>
  <c r="BP273" i="1" s="1"/>
  <c r="BO278" i="1"/>
  <c r="BP278" i="1" s="1"/>
  <c r="BO279" i="1"/>
  <c r="BP279" i="1" s="1"/>
  <c r="BO280" i="1"/>
  <c r="BP280" i="1" s="1"/>
  <c r="BO268" i="1"/>
  <c r="BP268" i="1" s="1"/>
  <c r="BO266" i="1"/>
  <c r="BP266" i="1" s="1"/>
  <c r="BO263" i="1"/>
  <c r="BP263" i="1" s="1"/>
  <c r="BO264" i="1"/>
  <c r="BP264" i="1" s="1"/>
  <c r="BO265" i="1"/>
  <c r="BP265" i="1" s="1"/>
  <c r="K17" i="5"/>
  <c r="K16" i="5"/>
  <c r="K15" i="5"/>
  <c r="K14" i="5"/>
  <c r="K13" i="5"/>
  <c r="J17" i="5"/>
  <c r="J16" i="5"/>
  <c r="J15" i="5"/>
  <c r="J14" i="5"/>
  <c r="I17" i="5"/>
  <c r="I16" i="5"/>
  <c r="I13" i="5"/>
  <c r="I12" i="5"/>
  <c r="H17" i="5"/>
  <c r="H16" i="5"/>
  <c r="H15" i="5"/>
  <c r="H14" i="5"/>
  <c r="H13" i="5"/>
  <c r="R12" i="5"/>
  <c r="H12" i="5" s="1"/>
  <c r="H290" i="5"/>
  <c r="L290" i="5" s="1"/>
  <c r="H289" i="5"/>
  <c r="L289" i="5" s="1"/>
  <c r="H288" i="5"/>
  <c r="L288" i="5" s="1"/>
  <c r="E288" i="5"/>
  <c r="AI482" i="5"/>
  <c r="AI483" i="5"/>
  <c r="AF490" i="5"/>
  <c r="AI490" i="5"/>
  <c r="AF491" i="5"/>
  <c r="AD492" i="5"/>
  <c r="AF492" i="5"/>
  <c r="AD493" i="5"/>
  <c r="AE493" i="5" s="1"/>
  <c r="AF493" i="5"/>
  <c r="AI493" i="5"/>
  <c r="AD499" i="5"/>
  <c r="AE499" i="5" s="1"/>
  <c r="AF499" i="5"/>
  <c r="AD500" i="5"/>
  <c r="AF500" i="5"/>
  <c r="AD501" i="5"/>
  <c r="AF501" i="5"/>
  <c r="AD502" i="5"/>
  <c r="AF502" i="5"/>
  <c r="AD503" i="5"/>
  <c r="AF503" i="5"/>
  <c r="AD504" i="5"/>
  <c r="AF504" i="5"/>
  <c r="AD505" i="5"/>
  <c r="AE505" i="5" s="1"/>
  <c r="AF505" i="5"/>
  <c r="AI505" i="5"/>
  <c r="AD506" i="5"/>
  <c r="AE506" i="5" s="1"/>
  <c r="AF506" i="5"/>
  <c r="AI506" i="5"/>
  <c r="AD507" i="5"/>
  <c r="AF507" i="5"/>
  <c r="AD508" i="5"/>
  <c r="AF508" i="5"/>
  <c r="AD509" i="5"/>
  <c r="AF509" i="5"/>
  <c r="AD510" i="5"/>
  <c r="AF510" i="5"/>
  <c r="AD511" i="5"/>
  <c r="AF511" i="5"/>
  <c r="AD512" i="5"/>
  <c r="AF512" i="5"/>
  <c r="AD513" i="5"/>
  <c r="AF513" i="5"/>
  <c r="AD514" i="5"/>
  <c r="AF514" i="5"/>
  <c r="AD520" i="5"/>
  <c r="AE520" i="5" s="1"/>
  <c r="AF520" i="5"/>
  <c r="AI520" i="5"/>
  <c r="AD521" i="5"/>
  <c r="AF521" i="5"/>
  <c r="AD523" i="5"/>
  <c r="AF523" i="5"/>
  <c r="AD524" i="5"/>
  <c r="AF524" i="5"/>
  <c r="AD528" i="5"/>
  <c r="AE528" i="5" s="1"/>
  <c r="AF528" i="5"/>
  <c r="AI528" i="5"/>
  <c r="AD529" i="5"/>
  <c r="AF529" i="5"/>
  <c r="AD530" i="5"/>
  <c r="AF530" i="5"/>
  <c r="AH530" i="5"/>
  <c r="AD531" i="5"/>
  <c r="AF531" i="5"/>
  <c r="AH531" i="5"/>
  <c r="AD532" i="5"/>
  <c r="AF532" i="5"/>
  <c r="AH532" i="5"/>
  <c r="AD533" i="5"/>
  <c r="AF533" i="5"/>
  <c r="AH533" i="5"/>
  <c r="AD539" i="5"/>
  <c r="AE539" i="5" s="1"/>
  <c r="AF539" i="5"/>
  <c r="AG539" i="5"/>
  <c r="AH539" i="5"/>
  <c r="AI539" i="5" s="1"/>
  <c r="AD540" i="5"/>
  <c r="AF540" i="5"/>
  <c r="AH540" i="5"/>
  <c r="AD543" i="5"/>
  <c r="AF543" i="5"/>
  <c r="AH543" i="5"/>
  <c r="AD544" i="5"/>
  <c r="AF544" i="5"/>
  <c r="AH544" i="5"/>
  <c r="AD546" i="5"/>
  <c r="AF546" i="5"/>
  <c r="AH546" i="5"/>
  <c r="AD553" i="5"/>
  <c r="AE553" i="5" s="1"/>
  <c r="AF553" i="5"/>
  <c r="AH553" i="5"/>
  <c r="AI553" i="5" s="1"/>
  <c r="AD554" i="5"/>
  <c r="AE554" i="5" s="1"/>
  <c r="AF554" i="5"/>
  <c r="AH554" i="5"/>
  <c r="AI554" i="5" s="1"/>
  <c r="AD566" i="5"/>
  <c r="AE566" i="5" s="1"/>
  <c r="AF566" i="5"/>
  <c r="AH566" i="5"/>
  <c r="AI566" i="5" s="1"/>
  <c r="AD567" i="5"/>
  <c r="AF567" i="5"/>
  <c r="AH567" i="5"/>
  <c r="AD568" i="5"/>
  <c r="AF568" i="5"/>
  <c r="AH568" i="5"/>
  <c r="AD569" i="5"/>
  <c r="AF569" i="5"/>
  <c r="AH569" i="5"/>
  <c r="AD570" i="5"/>
  <c r="AF570" i="5"/>
  <c r="AH570" i="5"/>
  <c r="AD571" i="5"/>
  <c r="AF571" i="5"/>
  <c r="AH571" i="5"/>
  <c r="AD573" i="5"/>
  <c r="AE573" i="5" s="1"/>
  <c r="AF573" i="5"/>
  <c r="AG573" i="5"/>
  <c r="AH573" i="5"/>
  <c r="AI573" i="5" s="1"/>
  <c r="AD574" i="5"/>
  <c r="AF574" i="5"/>
  <c r="AH574" i="5"/>
  <c r="AD575" i="5"/>
  <c r="AE575" i="5" s="1"/>
  <c r="AF575" i="5"/>
  <c r="AG575" i="5"/>
  <c r="AH575" i="5"/>
  <c r="AI575" i="5" s="1"/>
  <c r="AD576" i="5"/>
  <c r="AF576" i="5"/>
  <c r="AH576" i="5"/>
  <c r="AD577" i="5"/>
  <c r="AF577" i="5"/>
  <c r="AH577" i="5"/>
  <c r="AD585" i="5"/>
  <c r="AE585" i="5" s="1"/>
  <c r="AF585" i="5"/>
  <c r="AG585" i="5"/>
  <c r="AH585" i="5"/>
  <c r="AI585" i="5" s="1"/>
  <c r="AD586" i="5"/>
  <c r="AF586" i="5"/>
  <c r="AH586" i="5"/>
  <c r="AD587" i="5"/>
  <c r="AF587" i="5"/>
  <c r="AH587" i="5"/>
  <c r="AD588" i="5"/>
  <c r="AF588" i="5"/>
  <c r="AH588" i="5"/>
  <c r="AD589" i="5"/>
  <c r="AF589" i="5"/>
  <c r="AH589" i="5"/>
  <c r="AD590" i="5"/>
  <c r="AF590" i="5"/>
  <c r="AH590" i="5"/>
  <c r="AD591" i="5"/>
  <c r="AF591" i="5"/>
  <c r="AH591" i="5"/>
  <c r="AD592" i="5"/>
  <c r="AF592" i="5"/>
  <c r="AH592" i="5"/>
  <c r="AD593" i="5"/>
  <c r="AF593" i="5"/>
  <c r="AH593" i="5"/>
  <c r="AD594" i="5"/>
  <c r="AF594" i="5"/>
  <c r="AH594" i="5"/>
  <c r="AD595" i="5"/>
  <c r="AE595" i="5" s="1"/>
  <c r="AF595" i="5"/>
  <c r="AG595" i="5"/>
  <c r="AH595" i="5"/>
  <c r="AI595" i="5" s="1"/>
  <c r="AD605" i="5"/>
  <c r="AF605" i="5"/>
  <c r="AH605" i="5"/>
  <c r="AD606" i="5"/>
  <c r="AF606" i="5"/>
  <c r="AH606" i="5"/>
  <c r="AD607" i="5"/>
  <c r="AF607" i="5"/>
  <c r="AH607" i="5"/>
  <c r="AD608" i="5"/>
  <c r="AF608" i="5"/>
  <c r="AH608" i="5"/>
  <c r="AD609" i="5"/>
  <c r="AF609" i="5"/>
  <c r="AH609" i="5"/>
  <c r="AD610" i="5"/>
  <c r="AF610" i="5"/>
  <c r="AH610" i="5"/>
  <c r="AD611" i="5"/>
  <c r="AF611" i="5"/>
  <c r="AH611" i="5"/>
  <c r="AD612" i="5"/>
  <c r="AF612" i="5"/>
  <c r="AH612" i="5"/>
  <c r="AD613" i="5"/>
  <c r="AF613" i="5"/>
  <c r="AH613" i="5"/>
  <c r="AD614" i="5"/>
  <c r="AE614" i="5" s="1"/>
  <c r="AF614" i="5"/>
  <c r="AG614" i="5"/>
  <c r="AH614" i="5"/>
  <c r="AI614" i="5" s="1"/>
  <c r="AD621" i="5"/>
  <c r="AE621" i="5" s="1"/>
  <c r="AF621" i="5"/>
  <c r="AG621" i="5"/>
  <c r="AH621" i="5"/>
  <c r="AI621" i="5" s="1"/>
  <c r="AD622" i="5"/>
  <c r="AF622" i="5"/>
  <c r="AH622" i="5"/>
  <c r="AD623" i="5"/>
  <c r="AF623" i="5"/>
  <c r="AH623" i="5"/>
  <c r="AD626" i="5"/>
  <c r="AF626" i="5"/>
  <c r="AH626" i="5"/>
  <c r="AD627" i="5"/>
  <c r="AE627" i="5" s="1"/>
  <c r="AF627" i="5"/>
  <c r="AG627" i="5"/>
  <c r="AH627" i="5"/>
  <c r="AI627" i="5" s="1"/>
  <c r="AD636" i="5"/>
  <c r="AE636" i="5" s="1"/>
  <c r="AF636" i="5"/>
  <c r="AG636" i="5"/>
  <c r="AH636" i="5"/>
  <c r="AI636" i="5" s="1"/>
  <c r="AD637" i="5"/>
  <c r="AF637" i="5"/>
  <c r="AH637" i="5"/>
  <c r="AD638" i="5"/>
  <c r="AF638" i="5"/>
  <c r="AH638" i="5"/>
  <c r="AD641" i="5"/>
  <c r="AF641" i="5"/>
  <c r="AH641" i="5"/>
  <c r="AD642" i="5"/>
  <c r="AE642" i="5" s="1"/>
  <c r="AF642" i="5"/>
  <c r="AG642" i="5"/>
  <c r="AH642" i="5"/>
  <c r="AI642" i="5" s="1"/>
  <c r="AD651" i="5"/>
  <c r="AE651" i="5" s="1"/>
  <c r="AF651" i="5"/>
  <c r="AG651" i="5"/>
  <c r="AH651" i="5"/>
  <c r="AI651" i="5" s="1"/>
  <c r="AD652" i="5"/>
  <c r="AE652" i="5" s="1"/>
  <c r="AF652" i="5"/>
  <c r="AG652" i="5"/>
  <c r="AH652" i="5"/>
  <c r="AI652" i="5" s="1"/>
  <c r="AD653" i="5"/>
  <c r="AE653" i="5" s="1"/>
  <c r="AF653" i="5"/>
  <c r="AG653" i="5"/>
  <c r="AH653" i="5"/>
  <c r="AI653" i="5" s="1"/>
  <c r="AD654" i="5"/>
  <c r="AE654" i="5" s="1"/>
  <c r="AF654" i="5"/>
  <c r="AG654" i="5"/>
  <c r="AH654" i="5"/>
  <c r="AI654" i="5" s="1"/>
  <c r="AD655" i="5"/>
  <c r="AE655" i="5" s="1"/>
  <c r="AF655" i="5"/>
  <c r="AG655" i="5"/>
  <c r="AH655" i="5"/>
  <c r="AI655" i="5" s="1"/>
  <c r="AD656" i="5"/>
  <c r="AE656" i="5" s="1"/>
  <c r="AF656" i="5"/>
  <c r="AG656" i="5"/>
  <c r="AH656" i="5"/>
  <c r="AI656" i="5" s="1"/>
  <c r="AD657" i="5"/>
  <c r="AE657" i="5" s="1"/>
  <c r="AF657" i="5"/>
  <c r="AG657" i="5"/>
  <c r="AH657" i="5"/>
  <c r="AI657" i="5" s="1"/>
  <c r="AD658" i="5"/>
  <c r="AE658" i="5" s="1"/>
  <c r="AF658" i="5"/>
  <c r="AG658" i="5"/>
  <c r="AH658" i="5"/>
  <c r="AI658" i="5" s="1"/>
  <c r="AD659" i="5"/>
  <c r="AE659" i="5" s="1"/>
  <c r="AF659" i="5"/>
  <c r="AG659" i="5"/>
  <c r="AH659" i="5"/>
  <c r="AI659" i="5" s="1"/>
  <c r="AD660" i="5"/>
  <c r="AE660" i="5" s="1"/>
  <c r="AF660" i="5"/>
  <c r="AG660" i="5"/>
  <c r="AH660" i="5"/>
  <c r="AI660" i="5" s="1"/>
  <c r="AB2" i="5"/>
  <c r="V2" i="5"/>
  <c r="V3" i="5"/>
  <c r="V4" i="5"/>
  <c r="V5" i="5"/>
  <c r="V7" i="5"/>
  <c r="V13" i="5"/>
  <c r="V14" i="5"/>
  <c r="V15" i="5"/>
  <c r="V16" i="5"/>
  <c r="V17" i="5"/>
  <c r="V18" i="5"/>
  <c r="V24" i="5"/>
  <c r="V32" i="5"/>
  <c r="V33" i="5"/>
  <c r="V34" i="5"/>
  <c r="V35" i="5"/>
  <c r="V37" i="5"/>
  <c r="V43" i="5"/>
  <c r="V44" i="5"/>
  <c r="V45" i="5"/>
  <c r="V48" i="5"/>
  <c r="V49" i="5"/>
  <c r="V50" i="5"/>
  <c r="V52" i="5"/>
  <c r="V60" i="5"/>
  <c r="V61" i="5"/>
  <c r="V62" i="5"/>
  <c r="V70" i="5"/>
  <c r="V71" i="5"/>
  <c r="V73" i="5"/>
  <c r="V74" i="5"/>
  <c r="V83" i="5"/>
  <c r="V84" i="5"/>
  <c r="V85" i="5"/>
  <c r="V86" i="5"/>
  <c r="V181" i="5"/>
  <c r="V182" i="5"/>
  <c r="V183" i="5"/>
  <c r="V184" i="5"/>
  <c r="V192" i="5"/>
  <c r="V193" i="5"/>
  <c r="V196" i="5"/>
  <c r="V197" i="5"/>
  <c r="V208" i="5"/>
  <c r="V209" i="5"/>
  <c r="V219" i="5"/>
  <c r="V220" i="5"/>
  <c r="V228" i="5"/>
  <c r="V236" i="5"/>
  <c r="V250" i="5"/>
  <c r="V251" i="5"/>
  <c r="V252" i="5"/>
  <c r="V253" i="5"/>
  <c r="V263" i="5"/>
  <c r="V264" i="5"/>
  <c r="V265" i="5"/>
  <c r="V275" i="5"/>
  <c r="V276" i="5"/>
  <c r="V277" i="5"/>
  <c r="V287" i="5"/>
  <c r="V288" i="5"/>
  <c r="V289" i="5"/>
  <c r="V290" i="5"/>
  <c r="V291" i="5"/>
  <c r="V304" i="5"/>
  <c r="V305" i="5"/>
  <c r="V311" i="5"/>
  <c r="V312" i="5"/>
  <c r="V313" i="5"/>
  <c r="V323" i="5"/>
  <c r="V324" i="5"/>
  <c r="V333" i="5"/>
  <c r="V334" i="5"/>
  <c r="V368" i="5"/>
  <c r="V369" i="5"/>
  <c r="V370" i="5"/>
  <c r="V371" i="5"/>
  <c r="V380" i="5"/>
  <c r="V381" i="5"/>
  <c r="V382" i="5"/>
  <c r="Q2" i="5"/>
  <c r="AD2" i="5" s="1"/>
  <c r="AE2" i="5" s="1"/>
  <c r="Q3" i="5"/>
  <c r="Q4" i="5"/>
  <c r="Q5" i="5"/>
  <c r="Q7" i="5"/>
  <c r="Q12" i="5"/>
  <c r="Q13" i="5"/>
  <c r="Q14" i="5"/>
  <c r="Q15" i="5"/>
  <c r="Q16" i="5"/>
  <c r="Q17" i="5"/>
  <c r="Q18" i="5"/>
  <c r="AD19" i="5" s="1"/>
  <c r="AE19" i="5" s="1"/>
  <c r="Q24" i="5"/>
  <c r="Q32" i="5"/>
  <c r="Q33" i="5"/>
  <c r="Q34" i="5"/>
  <c r="Q35" i="5"/>
  <c r="Q37" i="5"/>
  <c r="Q43" i="5"/>
  <c r="Q44" i="5"/>
  <c r="Q45" i="5"/>
  <c r="Q48" i="5"/>
  <c r="Q49" i="5"/>
  <c r="Q50" i="5"/>
  <c r="Q52" i="5"/>
  <c r="Q60" i="5"/>
  <c r="Q61" i="5"/>
  <c r="Q62" i="5"/>
  <c r="Q70" i="5"/>
  <c r="Q71" i="5"/>
  <c r="Q73" i="5"/>
  <c r="Q74" i="5"/>
  <c r="Q83" i="5"/>
  <c r="Q84" i="5"/>
  <c r="Q85" i="5"/>
  <c r="Q86" i="5"/>
  <c r="Q181" i="5"/>
  <c r="Q182" i="5"/>
  <c r="Q183" i="5"/>
  <c r="Q184" i="5"/>
  <c r="AE192" i="5" s="1"/>
  <c r="Q192" i="5"/>
  <c r="Q193" i="5"/>
  <c r="Q196" i="5"/>
  <c r="Q197" i="5"/>
  <c r="Q208" i="5"/>
  <c r="Q209" i="5"/>
  <c r="Q219" i="5"/>
  <c r="Q220" i="5"/>
  <c r="Q228" i="5"/>
  <c r="Q236" i="5"/>
  <c r="Q250" i="5"/>
  <c r="Q251" i="5"/>
  <c r="Q252" i="5"/>
  <c r="Q253" i="5"/>
  <c r="Q263" i="5"/>
  <c r="Q264" i="5"/>
  <c r="Q265" i="5"/>
  <c r="Q275" i="5"/>
  <c r="Q276" i="5"/>
  <c r="Q277" i="5"/>
  <c r="Q286" i="5"/>
  <c r="Q287" i="5"/>
  <c r="Q288" i="5"/>
  <c r="Q289" i="5"/>
  <c r="Q290" i="5"/>
  <c r="Q291" i="5"/>
  <c r="Q304" i="5"/>
  <c r="Q305" i="5"/>
  <c r="Q311" i="5"/>
  <c r="Q312" i="5"/>
  <c r="Q313" i="5"/>
  <c r="Q323" i="5"/>
  <c r="Q324" i="5"/>
  <c r="Q333" i="5"/>
  <c r="Q334" i="5"/>
  <c r="Q368" i="5"/>
  <c r="Q369" i="5"/>
  <c r="Q370" i="5"/>
  <c r="Q371" i="5"/>
  <c r="Q380" i="5"/>
  <c r="Q381" i="5"/>
  <c r="Q382" i="5"/>
  <c r="L2" i="5"/>
  <c r="L3" i="5"/>
  <c r="L4" i="5"/>
  <c r="L5" i="5"/>
  <c r="L7" i="5"/>
  <c r="L18" i="5"/>
  <c r="L24" i="5"/>
  <c r="L32" i="5"/>
  <c r="L33" i="5"/>
  <c r="L34" i="5"/>
  <c r="L35" i="5"/>
  <c r="L37" i="5"/>
  <c r="L43" i="5"/>
  <c r="L44" i="5"/>
  <c r="L45" i="5"/>
  <c r="L48" i="5"/>
  <c r="L49" i="5"/>
  <c r="L50" i="5"/>
  <c r="L52" i="5"/>
  <c r="L60" i="5"/>
  <c r="L61" i="5"/>
  <c r="L62" i="5"/>
  <c r="L70" i="5"/>
  <c r="L71" i="5"/>
  <c r="L73" i="5"/>
  <c r="L74" i="5"/>
  <c r="L83" i="5"/>
  <c r="L84" i="5"/>
  <c r="L85" i="5"/>
  <c r="L86" i="5"/>
  <c r="L192" i="5"/>
  <c r="L193" i="5"/>
  <c r="L196" i="5"/>
  <c r="L197" i="5"/>
  <c r="L208" i="5"/>
  <c r="L209" i="5"/>
  <c r="L219" i="5"/>
  <c r="L220" i="5"/>
  <c r="L228" i="5"/>
  <c r="L236" i="5"/>
  <c r="L250" i="5"/>
  <c r="L251" i="5"/>
  <c r="L252" i="5"/>
  <c r="L253" i="5"/>
  <c r="L263" i="5"/>
  <c r="L264" i="5"/>
  <c r="L265" i="5"/>
  <c r="L275" i="5"/>
  <c r="L276" i="5"/>
  <c r="L277" i="5"/>
  <c r="L291" i="5"/>
  <c r="L305" i="5"/>
  <c r="L311" i="5"/>
  <c r="L312" i="5"/>
  <c r="L313" i="5"/>
  <c r="L323" i="5"/>
  <c r="L324" i="5"/>
  <c r="L333" i="5"/>
  <c r="L334" i="5"/>
  <c r="L368" i="5"/>
  <c r="L369" i="5"/>
  <c r="L370" i="5"/>
  <c r="L371" i="5"/>
  <c r="L380" i="5"/>
  <c r="L381" i="5"/>
  <c r="L382" i="5"/>
  <c r="H286" i="5"/>
  <c r="L286" i="5" s="1"/>
  <c r="AI499" i="5"/>
  <c r="H474" i="5"/>
  <c r="H473" i="5"/>
  <c r="I474" i="5"/>
  <c r="I473" i="5"/>
  <c r="E474" i="5"/>
  <c r="E473" i="5"/>
  <c r="K474" i="5"/>
  <c r="K473" i="5"/>
  <c r="K472" i="5"/>
  <c r="K471" i="5"/>
  <c r="K470" i="5"/>
  <c r="K469" i="5"/>
  <c r="K468" i="5"/>
  <c r="K467" i="5"/>
  <c r="J473" i="5"/>
  <c r="AB24" i="5"/>
  <c r="AB468" i="5"/>
  <c r="AB469" i="5"/>
  <c r="AB470" i="5"/>
  <c r="AB471" i="5"/>
  <c r="AB472" i="5"/>
  <c r="AB473" i="5"/>
  <c r="AB474" i="5"/>
  <c r="AB477" i="5"/>
  <c r="AB479" i="5"/>
  <c r="AB480" i="5"/>
  <c r="AB482" i="5"/>
  <c r="AB483" i="5"/>
  <c r="AB490" i="5"/>
  <c r="AB491" i="5"/>
  <c r="AB492" i="5"/>
  <c r="AB493" i="5"/>
  <c r="AB499" i="5"/>
  <c r="AB500" i="5"/>
  <c r="AB501" i="5"/>
  <c r="AB502" i="5"/>
  <c r="AB503" i="5"/>
  <c r="AB504" i="5"/>
  <c r="AB505" i="5"/>
  <c r="AB506" i="5"/>
  <c r="AB507" i="5"/>
  <c r="AB508" i="5"/>
  <c r="AB509" i="5"/>
  <c r="AB510" i="5"/>
  <c r="AB511" i="5"/>
  <c r="AB512" i="5"/>
  <c r="AB513" i="5"/>
  <c r="AB514" i="5"/>
  <c r="AB520" i="5"/>
  <c r="AB521" i="5"/>
  <c r="AB523" i="5"/>
  <c r="AB524" i="5"/>
  <c r="AB528" i="5"/>
  <c r="AB529" i="5"/>
  <c r="AB530" i="5"/>
  <c r="AB531" i="5"/>
  <c r="AB532" i="5"/>
  <c r="AB533" i="5"/>
  <c r="AB539" i="5"/>
  <c r="AB540" i="5"/>
  <c r="AB543" i="5"/>
  <c r="AB544" i="5"/>
  <c r="AB546" i="5"/>
  <c r="AB553" i="5"/>
  <c r="AB554" i="5"/>
  <c r="AB566" i="5"/>
  <c r="AB567" i="5"/>
  <c r="AB568" i="5"/>
  <c r="AB569" i="5"/>
  <c r="AB570" i="5"/>
  <c r="AB571" i="5"/>
  <c r="AB573" i="5"/>
  <c r="AB574" i="5"/>
  <c r="AB575" i="5"/>
  <c r="AB576" i="5"/>
  <c r="AB577" i="5"/>
  <c r="AB585" i="5"/>
  <c r="AB586" i="5"/>
  <c r="AB587" i="5"/>
  <c r="AB588" i="5"/>
  <c r="AB589" i="5"/>
  <c r="AB590" i="5"/>
  <c r="AB591" i="5"/>
  <c r="AB592" i="5"/>
  <c r="AB593" i="5"/>
  <c r="AB594" i="5"/>
  <c r="AB595" i="5"/>
  <c r="AB605" i="5"/>
  <c r="AB606" i="5"/>
  <c r="AB607" i="5"/>
  <c r="AB608" i="5"/>
  <c r="AB609" i="5"/>
  <c r="AB610" i="5"/>
  <c r="AB611" i="5"/>
  <c r="AB612" i="5"/>
  <c r="AB613" i="5"/>
  <c r="AB614" i="5"/>
  <c r="AB621" i="5"/>
  <c r="AB622" i="5"/>
  <c r="AB623" i="5"/>
  <c r="AB626" i="5"/>
  <c r="AB627" i="5"/>
  <c r="AB636" i="5"/>
  <c r="AB637" i="5"/>
  <c r="AB638" i="5"/>
  <c r="AB641" i="5"/>
  <c r="AB642" i="5"/>
  <c r="AB651" i="5"/>
  <c r="AB652" i="5"/>
  <c r="AB653" i="5"/>
  <c r="AB654" i="5"/>
  <c r="AB655" i="5"/>
  <c r="AB656" i="5"/>
  <c r="AB657" i="5"/>
  <c r="AB658" i="5"/>
  <c r="AB659" i="5"/>
  <c r="AB660" i="5"/>
  <c r="AB3" i="5"/>
  <c r="AB4" i="5"/>
  <c r="AB5" i="5"/>
  <c r="AB7" i="5"/>
  <c r="AB12" i="5"/>
  <c r="AB13" i="5"/>
  <c r="AB14" i="5"/>
  <c r="AB15" i="5"/>
  <c r="AB16" i="5"/>
  <c r="AB17" i="5"/>
  <c r="AB18" i="5"/>
  <c r="AB32" i="5"/>
  <c r="AB33" i="5"/>
  <c r="AB34" i="5"/>
  <c r="AB35" i="5"/>
  <c r="AB37" i="5"/>
  <c r="AB43" i="5"/>
  <c r="AB44" i="5"/>
  <c r="AB45" i="5"/>
  <c r="AB48" i="5"/>
  <c r="AB49" i="5"/>
  <c r="AB50" i="5"/>
  <c r="AB52" i="5"/>
  <c r="AB60" i="5"/>
  <c r="AB61" i="5"/>
  <c r="AB62" i="5"/>
  <c r="AB70" i="5"/>
  <c r="AB71" i="5"/>
  <c r="AB73" i="5"/>
  <c r="AB74" i="5"/>
  <c r="AB83" i="5"/>
  <c r="AB84" i="5"/>
  <c r="AB85" i="5"/>
  <c r="AB86" i="5"/>
  <c r="AB181" i="5"/>
  <c r="AB182" i="5"/>
  <c r="AB183" i="5"/>
  <c r="AB184" i="5"/>
  <c r="AB192" i="5"/>
  <c r="AB193" i="5"/>
  <c r="AB196" i="5"/>
  <c r="AB197" i="5"/>
  <c r="AB208" i="5"/>
  <c r="AB209" i="5"/>
  <c r="AB219" i="5"/>
  <c r="AB220" i="5"/>
  <c r="AB228" i="5"/>
  <c r="AB236" i="5"/>
  <c r="AB250" i="5"/>
  <c r="AB251" i="5"/>
  <c r="AB252" i="5"/>
  <c r="AB253" i="5"/>
  <c r="AB263" i="5"/>
  <c r="AB264" i="5"/>
  <c r="AB265" i="5"/>
  <c r="AB275" i="5"/>
  <c r="AB276" i="5"/>
  <c r="AB277" i="5"/>
  <c r="AB286" i="5"/>
  <c r="AB287" i="5"/>
  <c r="AB288" i="5"/>
  <c r="AB289" i="5"/>
  <c r="AB290" i="5"/>
  <c r="AB291" i="5"/>
  <c r="AB304" i="5"/>
  <c r="AB305" i="5"/>
  <c r="AB311" i="5"/>
  <c r="AB312" i="5"/>
  <c r="AB313" i="5"/>
  <c r="AB323" i="5"/>
  <c r="AB324" i="5"/>
  <c r="AB333" i="5"/>
  <c r="AB334" i="5"/>
  <c r="AB368" i="5"/>
  <c r="AB369" i="5"/>
  <c r="AB370" i="5"/>
  <c r="AB371" i="5"/>
  <c r="AB380" i="5"/>
  <c r="AB381" i="5"/>
  <c r="AB382" i="5"/>
  <c r="AB387" i="5"/>
  <c r="AB388" i="5"/>
  <c r="AB396" i="5"/>
  <c r="AB397" i="5"/>
  <c r="AB446" i="5"/>
  <c r="AB447" i="5"/>
  <c r="AB448" i="5"/>
  <c r="AB458" i="5"/>
  <c r="AB467" i="5"/>
  <c r="J474" i="5"/>
  <c r="H287" i="5"/>
  <c r="L287" i="5" s="1"/>
  <c r="K12" i="5"/>
  <c r="J12" i="5"/>
  <c r="J471" i="5"/>
  <c r="J470" i="5"/>
  <c r="J469" i="5"/>
  <c r="J468" i="5"/>
  <c r="J467" i="5"/>
  <c r="H472" i="5"/>
  <c r="I472" i="5"/>
  <c r="V387" i="5"/>
  <c r="V388" i="5"/>
  <c r="V396" i="5"/>
  <c r="V397" i="5"/>
  <c r="V446" i="5"/>
  <c r="V447" i="5"/>
  <c r="V448" i="5"/>
  <c r="V458" i="5"/>
  <c r="L387" i="5"/>
  <c r="L388" i="5"/>
  <c r="L396" i="5"/>
  <c r="L397" i="5"/>
  <c r="L446" i="5"/>
  <c r="L447" i="5"/>
  <c r="L448" i="5"/>
  <c r="L458" i="5"/>
  <c r="Q387" i="5"/>
  <c r="Q388" i="5"/>
  <c r="Q396" i="5"/>
  <c r="Q397" i="5"/>
  <c r="Q446" i="5"/>
  <c r="Q447" i="5"/>
  <c r="Q448" i="5"/>
  <c r="Q458" i="5"/>
  <c r="Q472" i="5"/>
  <c r="Q473" i="5"/>
  <c r="Q474" i="5"/>
  <c r="Q477" i="5"/>
  <c r="Q479" i="5"/>
  <c r="AD481" i="5" s="1"/>
  <c r="AE481" i="5" s="1"/>
  <c r="V472" i="5"/>
  <c r="V473" i="5"/>
  <c r="V474" i="5"/>
  <c r="V477" i="5"/>
  <c r="V479" i="5"/>
  <c r="AF481" i="5" s="1"/>
  <c r="V480" i="5"/>
  <c r="J472" i="5"/>
  <c r="BO239" i="1"/>
  <c r="BP239" i="1" s="1"/>
  <c r="BO240" i="1"/>
  <c r="BP240" i="1" s="1"/>
  <c r="BO241" i="1"/>
  <c r="BP241" i="1" s="1"/>
  <c r="I471" i="5"/>
  <c r="I470" i="5"/>
  <c r="I469" i="5"/>
  <c r="I468" i="5"/>
  <c r="I467" i="5"/>
  <c r="H471" i="5"/>
  <c r="H470" i="5"/>
  <c r="L477" i="5"/>
  <c r="L479" i="5"/>
  <c r="H469" i="5"/>
  <c r="H468" i="5"/>
  <c r="H467" i="5"/>
  <c r="E472" i="5"/>
  <c r="R286" i="5"/>
  <c r="V286" i="5" s="1"/>
  <c r="BO259" i="1"/>
  <c r="BP259" i="1" s="1"/>
  <c r="BO260" i="1"/>
  <c r="BP260" i="1" s="1"/>
  <c r="BO261" i="1"/>
  <c r="BP261" i="1" s="1"/>
  <c r="BO262" i="1"/>
  <c r="BP262" i="1" s="1"/>
  <c r="E291" i="5"/>
  <c r="E290" i="5"/>
  <c r="E289" i="5"/>
  <c r="E287" i="5"/>
  <c r="BO256" i="1"/>
  <c r="BP256" i="1" s="1"/>
  <c r="BO257" i="1"/>
  <c r="BP257" i="1" s="1"/>
  <c r="BO258" i="1"/>
  <c r="BP258" i="1" s="1"/>
  <c r="BO254" i="1"/>
  <c r="BP254" i="1" s="1"/>
  <c r="BO255" i="1"/>
  <c r="BP255" i="1" s="1"/>
  <c r="E18" i="5"/>
  <c r="E17" i="5"/>
  <c r="E16" i="5"/>
  <c r="E15" i="5"/>
  <c r="E14" i="5"/>
  <c r="E13" i="5"/>
  <c r="E5" i="5"/>
  <c r="E4" i="5"/>
  <c r="E3" i="5"/>
  <c r="E613" i="5"/>
  <c r="E612" i="5"/>
  <c r="E611" i="5"/>
  <c r="AG611" i="5" s="1"/>
  <c r="E610" i="5"/>
  <c r="AG610" i="5" s="1"/>
  <c r="E609" i="5"/>
  <c r="AG609" i="5" s="1"/>
  <c r="E594" i="5"/>
  <c r="AG594" i="5" s="1"/>
  <c r="E593" i="5"/>
  <c r="AG593" i="5" s="1"/>
  <c r="E592" i="5"/>
  <c r="AG592" i="5" s="1"/>
  <c r="E591" i="5"/>
  <c r="E590" i="5"/>
  <c r="AG590" i="5" s="1"/>
  <c r="E577" i="5"/>
  <c r="E504" i="5"/>
  <c r="AG504" i="5" s="1"/>
  <c r="E503" i="5"/>
  <c r="AG503" i="5" s="1"/>
  <c r="E571" i="5"/>
  <c r="AG571" i="5" s="1"/>
  <c r="E570" i="5"/>
  <c r="AG570" i="5" s="1"/>
  <c r="E569" i="5"/>
  <c r="AG569" i="5" s="1"/>
  <c r="E568" i="5"/>
  <c r="E560" i="5"/>
  <c r="E559" i="5"/>
  <c r="AG546" i="5"/>
  <c r="E544" i="5"/>
  <c r="AG544" i="5" s="1"/>
  <c r="E533" i="5"/>
  <c r="AG533" i="5" s="1"/>
  <c r="E532" i="5"/>
  <c r="AG532" i="5" s="1"/>
  <c r="E531" i="5"/>
  <c r="AG531" i="5" s="1"/>
  <c r="E530" i="5"/>
  <c r="AG530" i="5" s="1"/>
  <c r="E524" i="5"/>
  <c r="AG524" i="5" s="1"/>
  <c r="AG523" i="5"/>
  <c r="E521" i="5"/>
  <c r="AG521" i="5" s="1"/>
  <c r="E514" i="5"/>
  <c r="AG514" i="5" s="1"/>
  <c r="E513" i="5"/>
  <c r="AG513" i="5" s="1"/>
  <c r="E512" i="5"/>
  <c r="AG512" i="5" s="1"/>
  <c r="E511" i="5"/>
  <c r="AG511" i="5" s="1"/>
  <c r="E502" i="5"/>
  <c r="AG502" i="5" s="1"/>
  <c r="BO252" i="1"/>
  <c r="BP252" i="1" s="1"/>
  <c r="BO253" i="1"/>
  <c r="BP253" i="1" s="1"/>
  <c r="BO251" i="1"/>
  <c r="BP251" i="1" s="1"/>
  <c r="BO248" i="1"/>
  <c r="BP248" i="1" s="1"/>
  <c r="BO249" i="1"/>
  <c r="BP249" i="1" s="1"/>
  <c r="BO250" i="1"/>
  <c r="BP250" i="1" s="1"/>
  <c r="BO247" i="1"/>
  <c r="BP247" i="1" s="1"/>
  <c r="BO245" i="1"/>
  <c r="BP245" i="1" s="1"/>
  <c r="BO246" i="1"/>
  <c r="BP246" i="1" s="1"/>
  <c r="BO244" i="1"/>
  <c r="BP244" i="1" s="1"/>
  <c r="BO242" i="1"/>
  <c r="BP242" i="1" s="1"/>
  <c r="BO243" i="1"/>
  <c r="BP243" i="1" s="1"/>
  <c r="E3268" i="4"/>
  <c r="E3208" i="4"/>
  <c r="E3165" i="4"/>
  <c r="E3126" i="4"/>
  <c r="E3026" i="4"/>
  <c r="E3025" i="4"/>
  <c r="E3009" i="4"/>
  <c r="E3331" i="4"/>
  <c r="E3330" i="4"/>
  <c r="E3336" i="4"/>
  <c r="E3335" i="4"/>
  <c r="E3334" i="4"/>
  <c r="E3333" i="4"/>
  <c r="E3332" i="4"/>
  <c r="E3329" i="4"/>
  <c r="E3328" i="4"/>
  <c r="P237" i="1" s="1"/>
  <c r="E3327" i="4"/>
  <c r="E3326" i="4"/>
  <c r="E3325" i="4"/>
  <c r="E3324" i="4"/>
  <c r="E3323" i="4"/>
  <c r="E3322" i="4"/>
  <c r="E3321" i="4"/>
  <c r="E3320" i="4"/>
  <c r="E3319" i="4"/>
  <c r="E3318" i="4"/>
  <c r="E3317" i="4"/>
  <c r="E3316" i="4"/>
  <c r="E3315" i="4"/>
  <c r="E3314" i="4"/>
  <c r="E3313" i="4"/>
  <c r="E3312" i="4"/>
  <c r="E3311" i="4"/>
  <c r="E3310" i="4"/>
  <c r="E3309" i="4"/>
  <c r="E3308" i="4"/>
  <c r="E3307" i="4"/>
  <c r="E3306" i="4"/>
  <c r="E3305" i="4"/>
  <c r="E3304" i="4"/>
  <c r="E3303" i="4"/>
  <c r="E3302" i="4"/>
  <c r="E3301" i="4"/>
  <c r="E3300" i="4"/>
  <c r="E3299" i="4"/>
  <c r="E3298" i="4"/>
  <c r="E3297" i="4"/>
  <c r="E3296" i="4"/>
  <c r="E3295" i="4"/>
  <c r="E3294" i="4"/>
  <c r="E3293" i="4"/>
  <c r="E3292" i="4"/>
  <c r="E3291" i="4"/>
  <c r="E3290" i="4"/>
  <c r="E3289" i="4"/>
  <c r="E3288" i="4"/>
  <c r="E3287" i="4"/>
  <c r="E3286" i="4"/>
  <c r="E3285" i="4"/>
  <c r="E3284" i="4"/>
  <c r="E3283" i="4"/>
  <c r="E3282" i="4"/>
  <c r="E3281" i="4"/>
  <c r="E3280" i="4"/>
  <c r="E3279" i="4"/>
  <c r="E3278" i="4"/>
  <c r="E3277" i="4"/>
  <c r="E3276" i="4"/>
  <c r="E3275" i="4"/>
  <c r="E3274" i="4"/>
  <c r="E3273" i="4"/>
  <c r="E3272" i="4"/>
  <c r="E3271" i="4"/>
  <c r="E3270" i="4"/>
  <c r="E3269" i="4"/>
  <c r="E3267" i="4"/>
  <c r="E3266" i="4"/>
  <c r="E3265" i="4"/>
  <c r="E3264" i="4"/>
  <c r="E3263" i="4"/>
  <c r="E3262" i="4"/>
  <c r="E3261" i="4"/>
  <c r="E3260" i="4"/>
  <c r="E3259" i="4"/>
  <c r="E3258" i="4"/>
  <c r="E3257" i="4"/>
  <c r="E3256" i="4"/>
  <c r="E3255" i="4"/>
  <c r="E3254" i="4"/>
  <c r="E3253" i="4"/>
  <c r="E3252" i="4"/>
  <c r="E3251" i="4"/>
  <c r="E3250" i="4"/>
  <c r="E3249" i="4"/>
  <c r="E3248" i="4"/>
  <c r="E3247" i="4"/>
  <c r="E3246" i="4"/>
  <c r="E3245" i="4"/>
  <c r="E3244" i="4"/>
  <c r="E3243" i="4"/>
  <c r="E3242" i="4"/>
  <c r="E3241" i="4"/>
  <c r="E3240" i="4"/>
  <c r="E3239" i="4"/>
  <c r="E3238" i="4"/>
  <c r="E3237" i="4"/>
  <c r="E3236" i="4"/>
  <c r="E3235" i="4"/>
  <c r="E3234" i="4"/>
  <c r="E3233" i="4"/>
  <c r="E3232" i="4"/>
  <c r="E3231" i="4"/>
  <c r="E3230" i="4"/>
  <c r="E3229" i="4"/>
  <c r="E3228" i="4"/>
  <c r="E3227" i="4"/>
  <c r="E3226" i="4"/>
  <c r="E3225" i="4"/>
  <c r="E3224" i="4"/>
  <c r="E3223" i="4"/>
  <c r="E3222" i="4"/>
  <c r="E3221" i="4"/>
  <c r="E3220" i="4"/>
  <c r="E3219" i="4"/>
  <c r="E3218" i="4"/>
  <c r="E3217" i="4"/>
  <c r="E3216" i="4"/>
  <c r="E3215" i="4"/>
  <c r="E3214" i="4"/>
  <c r="E3213" i="4"/>
  <c r="E3212" i="4"/>
  <c r="E3211" i="4"/>
  <c r="E3210" i="4"/>
  <c r="E3209" i="4"/>
  <c r="E3207" i="4"/>
  <c r="E3206" i="4"/>
  <c r="E3205" i="4"/>
  <c r="E3204" i="4"/>
  <c r="E3203" i="4"/>
  <c r="E3202" i="4"/>
  <c r="E3201" i="4"/>
  <c r="E3200" i="4"/>
  <c r="E3199" i="4"/>
  <c r="E3198" i="4"/>
  <c r="E3197" i="4"/>
  <c r="E3196" i="4"/>
  <c r="E3195" i="4"/>
  <c r="E3194" i="4"/>
  <c r="E3193" i="4"/>
  <c r="E3192" i="4"/>
  <c r="E3191" i="4"/>
  <c r="E3190" i="4"/>
  <c r="E3189" i="4"/>
  <c r="E3188" i="4"/>
  <c r="E3187" i="4"/>
  <c r="E3186" i="4"/>
  <c r="E3185" i="4"/>
  <c r="E3184" i="4"/>
  <c r="E3183" i="4"/>
  <c r="E3182" i="4"/>
  <c r="E3181" i="4"/>
  <c r="E3180" i="4"/>
  <c r="E3179" i="4"/>
  <c r="E3178" i="4"/>
  <c r="E3177" i="4"/>
  <c r="E3176" i="4"/>
  <c r="E3175" i="4"/>
  <c r="E3174" i="4"/>
  <c r="E3173" i="4"/>
  <c r="E3172" i="4"/>
  <c r="E3171" i="4"/>
  <c r="E3170" i="4"/>
  <c r="E3169" i="4"/>
  <c r="E3168" i="4"/>
  <c r="E3167" i="4"/>
  <c r="E3166" i="4"/>
  <c r="E3164" i="4"/>
  <c r="E3163" i="4"/>
  <c r="E3162" i="4"/>
  <c r="E3161" i="4"/>
  <c r="E3160" i="4"/>
  <c r="E3159" i="4"/>
  <c r="E3158" i="4"/>
  <c r="E3157" i="4"/>
  <c r="E3156" i="4"/>
  <c r="E3155" i="4"/>
  <c r="E3154" i="4"/>
  <c r="E3153" i="4"/>
  <c r="E3152" i="4"/>
  <c r="E3151" i="4"/>
  <c r="E3150" i="4"/>
  <c r="E3149" i="4"/>
  <c r="E3148" i="4"/>
  <c r="E3147" i="4"/>
  <c r="E3146" i="4"/>
  <c r="E3145" i="4"/>
  <c r="E3144" i="4"/>
  <c r="E3143" i="4"/>
  <c r="E3142" i="4"/>
  <c r="E3141" i="4"/>
  <c r="E3140" i="4"/>
  <c r="E3139" i="4"/>
  <c r="E3138" i="4"/>
  <c r="E3137" i="4"/>
  <c r="E3136" i="4"/>
  <c r="E3135" i="4"/>
  <c r="E3134" i="4"/>
  <c r="E3133" i="4"/>
  <c r="E3132" i="4"/>
  <c r="E3131" i="4"/>
  <c r="E3130" i="4"/>
  <c r="E3129" i="4"/>
  <c r="E3128" i="4"/>
  <c r="E3127" i="4"/>
  <c r="E3125" i="4"/>
  <c r="E3124" i="4"/>
  <c r="E3123" i="4"/>
  <c r="E3122" i="4"/>
  <c r="E3121" i="4"/>
  <c r="E3120" i="4"/>
  <c r="E3119" i="4"/>
  <c r="E3118" i="4"/>
  <c r="E3117" i="4"/>
  <c r="E3116" i="4"/>
  <c r="E3115" i="4"/>
  <c r="E3114" i="4"/>
  <c r="E3113" i="4"/>
  <c r="E3112" i="4"/>
  <c r="E3111" i="4"/>
  <c r="E3110" i="4"/>
  <c r="E3109" i="4"/>
  <c r="E3108" i="4"/>
  <c r="E3107" i="4"/>
  <c r="E3106" i="4"/>
  <c r="E3105" i="4"/>
  <c r="E3104" i="4"/>
  <c r="E3103" i="4"/>
  <c r="E3102" i="4"/>
  <c r="E3101" i="4"/>
  <c r="E3100" i="4"/>
  <c r="E3099" i="4"/>
  <c r="E3098" i="4"/>
  <c r="E3097" i="4"/>
  <c r="E3096" i="4"/>
  <c r="E3095" i="4"/>
  <c r="E3094" i="4"/>
  <c r="E3093" i="4"/>
  <c r="E3092" i="4"/>
  <c r="E3091" i="4"/>
  <c r="E3090" i="4"/>
  <c r="E3089" i="4"/>
  <c r="E3088" i="4"/>
  <c r="E3087" i="4"/>
  <c r="E3086" i="4"/>
  <c r="E3085" i="4"/>
  <c r="E3084" i="4"/>
  <c r="E3083" i="4"/>
  <c r="E3082" i="4"/>
  <c r="E3081" i="4"/>
  <c r="E3080" i="4"/>
  <c r="E3079" i="4"/>
  <c r="E3078" i="4"/>
  <c r="E3077" i="4"/>
  <c r="E3076" i="4"/>
  <c r="E3075" i="4"/>
  <c r="E3074" i="4"/>
  <c r="E3073" i="4"/>
  <c r="E3072" i="4"/>
  <c r="E3071" i="4"/>
  <c r="E3070" i="4"/>
  <c r="E3069" i="4"/>
  <c r="E3068" i="4"/>
  <c r="E3067" i="4"/>
  <c r="E3066" i="4"/>
  <c r="E3065" i="4"/>
  <c r="E3064" i="4"/>
  <c r="E3063" i="4"/>
  <c r="E3062" i="4"/>
  <c r="E3061" i="4"/>
  <c r="E3060" i="4"/>
  <c r="E3059" i="4"/>
  <c r="E3058" i="4"/>
  <c r="E3057" i="4"/>
  <c r="E3056" i="4"/>
  <c r="E3055" i="4"/>
  <c r="E3054" i="4"/>
  <c r="E3053" i="4"/>
  <c r="E3052" i="4"/>
  <c r="E3051" i="4"/>
  <c r="E3050" i="4"/>
  <c r="E3049" i="4"/>
  <c r="E3048" i="4"/>
  <c r="E3047" i="4"/>
  <c r="E3046" i="4"/>
  <c r="E3045" i="4"/>
  <c r="E3044" i="4"/>
  <c r="E3043" i="4"/>
  <c r="E3042" i="4"/>
  <c r="E3041" i="4"/>
  <c r="E3040" i="4"/>
  <c r="E3039" i="4"/>
  <c r="E3038" i="4"/>
  <c r="E3037" i="4"/>
  <c r="E3036" i="4"/>
  <c r="E3035" i="4"/>
  <c r="E3034" i="4"/>
  <c r="E3033" i="4"/>
  <c r="E3032" i="4"/>
  <c r="E3031" i="4"/>
  <c r="E3030" i="4"/>
  <c r="E3029" i="4"/>
  <c r="E3028" i="4"/>
  <c r="E3027" i="4"/>
  <c r="E3024" i="4"/>
  <c r="E3023" i="4"/>
  <c r="E3022" i="4"/>
  <c r="E3021" i="4"/>
  <c r="E3020" i="4"/>
  <c r="E3019" i="4"/>
  <c r="E3018" i="4"/>
  <c r="E3017" i="4"/>
  <c r="E3016" i="4"/>
  <c r="E3015" i="4"/>
  <c r="E3014" i="4"/>
  <c r="E3013" i="4"/>
  <c r="E3012" i="4"/>
  <c r="E3011" i="4"/>
  <c r="E3010" i="4"/>
  <c r="E3008" i="4"/>
  <c r="E3007" i="4"/>
  <c r="E3006" i="4"/>
  <c r="E3005" i="4"/>
  <c r="E2975" i="4"/>
  <c r="E2887" i="4"/>
  <c r="Q218" i="1"/>
  <c r="Q219" i="1"/>
  <c r="Q217" i="1"/>
  <c r="F39" i="6"/>
  <c r="Q209" i="1"/>
  <c r="Q210" i="1"/>
  <c r="Q208" i="1"/>
  <c r="Q207" i="1"/>
  <c r="Q201" i="1"/>
  <c r="Q202" i="1"/>
  <c r="Q200" i="1"/>
  <c r="E2982" i="4"/>
  <c r="E2977" i="4"/>
  <c r="E2958" i="4"/>
  <c r="E2957" i="4"/>
  <c r="E2914" i="4"/>
  <c r="E2913" i="4"/>
  <c r="E2878" i="4"/>
  <c r="E2877" i="4"/>
  <c r="E2876" i="4"/>
  <c r="E2875" i="4"/>
  <c r="E2874" i="4"/>
  <c r="E2873" i="4"/>
  <c r="E2872" i="4"/>
  <c r="E2871" i="4"/>
  <c r="E2870" i="4"/>
  <c r="E2869" i="4"/>
  <c r="E2868" i="4"/>
  <c r="E2867" i="4"/>
  <c r="E2895" i="4"/>
  <c r="E2902" i="4"/>
  <c r="BP227" i="1"/>
  <c r="E2846" i="4"/>
  <c r="E2843" i="4"/>
  <c r="E2842" i="4"/>
  <c r="E2810" i="4"/>
  <c r="E2809" i="4"/>
  <c r="E2777" i="4"/>
  <c r="E2761" i="4"/>
  <c r="E2756" i="4"/>
  <c r="E2755" i="4"/>
  <c r="E2688" i="4"/>
  <c r="E3004" i="4"/>
  <c r="E3003" i="4"/>
  <c r="E3002" i="4"/>
  <c r="E3001" i="4"/>
  <c r="E3000" i="4"/>
  <c r="E2999" i="4"/>
  <c r="E2998" i="4"/>
  <c r="E2997" i="4"/>
  <c r="E2996" i="4"/>
  <c r="E2995" i="4"/>
  <c r="E2994" i="4"/>
  <c r="E2993" i="4"/>
  <c r="E2992" i="4"/>
  <c r="E2991" i="4"/>
  <c r="E2990" i="4"/>
  <c r="E2989" i="4"/>
  <c r="E2988" i="4"/>
  <c r="E2987" i="4"/>
  <c r="E2986" i="4"/>
  <c r="E2985" i="4"/>
  <c r="E2984" i="4"/>
  <c r="E2983" i="4"/>
  <c r="E2981" i="4"/>
  <c r="E2980" i="4"/>
  <c r="P217" i="1" s="1"/>
  <c r="E2979" i="4"/>
  <c r="E2978" i="4"/>
  <c r="E2976" i="4"/>
  <c r="E2974" i="4"/>
  <c r="E2973" i="4"/>
  <c r="E2972" i="4"/>
  <c r="E2971" i="4"/>
  <c r="E2970" i="4"/>
  <c r="E2969" i="4"/>
  <c r="E2968" i="4"/>
  <c r="E2967" i="4"/>
  <c r="E2966" i="4"/>
  <c r="E2965" i="4"/>
  <c r="E2964" i="4"/>
  <c r="E2963" i="4"/>
  <c r="E2962" i="4"/>
  <c r="E2961" i="4"/>
  <c r="E2960" i="4"/>
  <c r="E2959" i="4"/>
  <c r="E2948" i="4"/>
  <c r="E2947" i="4"/>
  <c r="E2956" i="4"/>
  <c r="E2955" i="4"/>
  <c r="E2954" i="4"/>
  <c r="E2953" i="4"/>
  <c r="E2952" i="4"/>
  <c r="E2951" i="4"/>
  <c r="E2950" i="4"/>
  <c r="E2949" i="4"/>
  <c r="E2946" i="4"/>
  <c r="E2945" i="4"/>
  <c r="E2944" i="4"/>
  <c r="E2943" i="4"/>
  <c r="E2942" i="4"/>
  <c r="E2941" i="4"/>
  <c r="E2940" i="4"/>
  <c r="E2939" i="4"/>
  <c r="E2938" i="4"/>
  <c r="E2937" i="4"/>
  <c r="E2936" i="4"/>
  <c r="E2935" i="4"/>
  <c r="E2934" i="4"/>
  <c r="E2933" i="4"/>
  <c r="E2932" i="4"/>
  <c r="E2931" i="4"/>
  <c r="E2930" i="4"/>
  <c r="E2929" i="4"/>
  <c r="E2928" i="4"/>
  <c r="E2927" i="4"/>
  <c r="E2926" i="4"/>
  <c r="E2925" i="4"/>
  <c r="E2924" i="4"/>
  <c r="E2923" i="4"/>
  <c r="E2922" i="4"/>
  <c r="E2921" i="4"/>
  <c r="E2920" i="4"/>
  <c r="E2919" i="4"/>
  <c r="E2917" i="4"/>
  <c r="E2916" i="4"/>
  <c r="E2915" i="4"/>
  <c r="E2912" i="4"/>
  <c r="E2911" i="4"/>
  <c r="E2910" i="4"/>
  <c r="E2909" i="4"/>
  <c r="E2908" i="4"/>
  <c r="E2907" i="4"/>
  <c r="E2906" i="4"/>
  <c r="E2905" i="4"/>
  <c r="E2904" i="4"/>
  <c r="E2903" i="4"/>
  <c r="P210" i="1" s="1"/>
  <c r="E2901" i="4"/>
  <c r="E2900" i="4"/>
  <c r="E2899" i="4"/>
  <c r="E2898" i="4"/>
  <c r="E2897" i="4"/>
  <c r="E2896" i="4"/>
  <c r="E2893" i="4"/>
  <c r="E2892" i="4"/>
  <c r="E2891" i="4"/>
  <c r="E2890" i="4"/>
  <c r="E2889" i="4"/>
  <c r="E2888" i="4"/>
  <c r="E2886" i="4"/>
  <c r="E2885" i="4"/>
  <c r="E2884" i="4"/>
  <c r="E2883" i="4"/>
  <c r="E2882" i="4"/>
  <c r="E2881" i="4"/>
  <c r="E2880" i="4"/>
  <c r="E2879" i="4"/>
  <c r="E2835" i="4"/>
  <c r="E2834" i="4"/>
  <c r="E2833" i="4"/>
  <c r="E2832" i="4"/>
  <c r="E2831" i="4"/>
  <c r="E2830" i="4"/>
  <c r="E2829" i="4"/>
  <c r="E2828" i="4"/>
  <c r="E2827" i="4"/>
  <c r="E2826" i="4"/>
  <c r="E2825" i="4"/>
  <c r="E2824" i="4"/>
  <c r="E2823" i="4"/>
  <c r="E2822" i="4"/>
  <c r="E2821" i="4"/>
  <c r="E2820" i="4"/>
  <c r="E2819" i="4"/>
  <c r="E2818" i="4"/>
  <c r="E2817" i="4"/>
  <c r="E2836" i="4"/>
  <c r="E2837" i="4"/>
  <c r="E2838" i="4"/>
  <c r="E2839" i="4"/>
  <c r="E2840" i="4"/>
  <c r="E2841" i="4"/>
  <c r="E2844" i="4"/>
  <c r="E2845" i="4"/>
  <c r="E2847" i="4"/>
  <c r="E2848" i="4"/>
  <c r="E2849" i="4"/>
  <c r="E2850" i="4"/>
  <c r="E2851" i="4"/>
  <c r="E2852" i="4"/>
  <c r="E2853" i="4"/>
  <c r="E2854" i="4"/>
  <c r="E2855" i="4"/>
  <c r="E2856" i="4"/>
  <c r="E2857" i="4"/>
  <c r="E2858" i="4"/>
  <c r="E2859" i="4"/>
  <c r="E2860" i="4"/>
  <c r="E2861" i="4"/>
  <c r="E2862" i="4"/>
  <c r="E2863" i="4"/>
  <c r="E2864" i="4"/>
  <c r="E2865" i="4"/>
  <c r="E2866" i="4"/>
  <c r="E2816" i="4"/>
  <c r="E2815" i="4"/>
  <c r="E2814" i="4"/>
  <c r="E2813" i="4"/>
  <c r="E2812" i="4"/>
  <c r="E2811" i="4"/>
  <c r="E2808" i="4"/>
  <c r="E2807" i="4"/>
  <c r="E2806" i="4"/>
  <c r="E2805" i="4"/>
  <c r="E2804" i="4"/>
  <c r="E2803" i="4"/>
  <c r="E2802" i="4"/>
  <c r="E2801" i="4"/>
  <c r="E2800" i="4"/>
  <c r="E2799" i="4"/>
  <c r="E2798" i="4"/>
  <c r="E2797" i="4"/>
  <c r="E2796" i="4"/>
  <c r="E2795" i="4"/>
  <c r="E2794" i="4"/>
  <c r="E2793" i="4"/>
  <c r="E2792" i="4"/>
  <c r="E2791" i="4"/>
  <c r="E2790" i="4"/>
  <c r="E2789" i="4"/>
  <c r="E2788" i="4"/>
  <c r="E2787" i="4"/>
  <c r="E2786" i="4"/>
  <c r="E2785" i="4"/>
  <c r="E2784" i="4"/>
  <c r="E2783" i="4"/>
  <c r="E2782" i="4"/>
  <c r="E2781" i="4"/>
  <c r="E2780" i="4"/>
  <c r="E2779" i="4"/>
  <c r="E2778" i="4"/>
  <c r="E2776" i="4"/>
  <c r="E2775" i="4"/>
  <c r="E2774" i="4"/>
  <c r="E2773" i="4"/>
  <c r="E2772" i="4"/>
  <c r="E2771" i="4"/>
  <c r="E2770" i="4"/>
  <c r="E2769" i="4"/>
  <c r="E2762" i="4"/>
  <c r="E2754" i="4"/>
  <c r="E2753" i="4"/>
  <c r="E2760" i="4"/>
  <c r="E2759" i="4"/>
  <c r="E2758" i="4"/>
  <c r="E2757" i="4"/>
  <c r="E2752" i="4"/>
  <c r="E2751" i="4"/>
  <c r="E2750" i="4"/>
  <c r="E2749" i="4"/>
  <c r="E2748" i="4"/>
  <c r="E2747" i="4"/>
  <c r="E2746" i="4"/>
  <c r="E2745" i="4"/>
  <c r="E2744" i="4"/>
  <c r="E2728" i="4"/>
  <c r="E2743" i="4"/>
  <c r="E2742" i="4"/>
  <c r="E2741" i="4"/>
  <c r="E2740" i="4"/>
  <c r="E2739" i="4"/>
  <c r="E2738" i="4"/>
  <c r="E2737" i="4"/>
  <c r="E2736" i="4"/>
  <c r="E2735" i="4"/>
  <c r="E2734" i="4"/>
  <c r="E2733" i="4"/>
  <c r="E2732" i="4"/>
  <c r="E2731" i="4"/>
  <c r="E2730" i="4"/>
  <c r="E2729" i="4"/>
  <c r="E2727" i="4"/>
  <c r="E2726" i="4"/>
  <c r="E2725" i="4"/>
  <c r="E2724" i="4"/>
  <c r="E2723" i="4"/>
  <c r="E2722" i="4"/>
  <c r="E2721" i="4"/>
  <c r="E2720" i="4"/>
  <c r="E2719" i="4"/>
  <c r="E2718" i="4"/>
  <c r="E2717" i="4"/>
  <c r="E2703" i="4"/>
  <c r="E2702" i="4"/>
  <c r="E2701" i="4"/>
  <c r="E2700" i="4"/>
  <c r="E2699" i="4"/>
  <c r="E2698" i="4"/>
  <c r="E2697" i="4"/>
  <c r="E2696" i="4"/>
  <c r="E2695" i="4"/>
  <c r="E2694" i="4"/>
  <c r="E2693" i="4"/>
  <c r="E2692" i="4"/>
  <c r="E2691" i="4"/>
  <c r="E2690" i="4"/>
  <c r="E2689" i="4"/>
  <c r="E2687" i="4"/>
  <c r="E2686" i="4"/>
  <c r="E2685" i="4"/>
  <c r="E2684" i="4"/>
  <c r="E2683" i="4"/>
  <c r="E2682" i="4"/>
  <c r="E2681" i="4"/>
  <c r="E2680" i="4"/>
  <c r="E2679" i="4"/>
  <c r="E2678" i="4"/>
  <c r="E2677" i="4"/>
  <c r="E2676" i="4"/>
  <c r="E2675" i="4"/>
  <c r="E2674" i="4"/>
  <c r="E2673" i="4"/>
  <c r="E2672" i="4"/>
  <c r="E2671" i="4"/>
  <c r="E2670" i="4"/>
  <c r="E2669" i="4"/>
  <c r="E2668" i="4"/>
  <c r="E2667" i="4"/>
  <c r="E2666" i="4"/>
  <c r="E2665" i="4"/>
  <c r="E2664" i="4"/>
  <c r="E2663" i="4"/>
  <c r="E2662" i="4"/>
  <c r="E2661" i="4"/>
  <c r="E2660" i="4"/>
  <c r="E2659" i="4"/>
  <c r="E2658" i="4"/>
  <c r="E2657" i="4"/>
  <c r="E2656" i="4"/>
  <c r="E2655" i="4"/>
  <c r="E2654" i="4"/>
  <c r="E2653" i="4"/>
  <c r="E2652" i="4"/>
  <c r="E2651" i="4"/>
  <c r="E2650" i="4"/>
  <c r="E2649" i="4"/>
  <c r="E2648" i="4"/>
  <c r="E2647" i="4"/>
  <c r="E2646" i="4"/>
  <c r="E2645" i="4"/>
  <c r="E2644" i="4"/>
  <c r="E2574" i="4"/>
  <c r="BO231" i="1"/>
  <c r="BP231" i="1"/>
  <c r="BO232" i="1"/>
  <c r="BP232" i="1"/>
  <c r="BO233" i="1"/>
  <c r="BP233" i="1"/>
  <c r="BP234" i="1"/>
  <c r="BO235" i="1"/>
  <c r="BP235" i="1"/>
  <c r="BO236" i="1"/>
  <c r="BP236" i="1"/>
  <c r="BO237" i="1"/>
  <c r="BP237" i="1"/>
  <c r="BO238" i="1"/>
  <c r="BP238" i="1"/>
  <c r="BO225" i="1"/>
  <c r="BP225" i="1"/>
  <c r="BO226" i="1"/>
  <c r="BP226" i="1"/>
  <c r="BO227" i="1"/>
  <c r="BO228" i="1"/>
  <c r="BP228" i="1"/>
  <c r="BO229" i="1"/>
  <c r="BP229" i="1"/>
  <c r="BO230" i="1"/>
  <c r="BP230" i="1"/>
  <c r="E2585" i="4"/>
  <c r="E2586" i="4"/>
  <c r="E2584" i="4"/>
  <c r="E2583" i="4"/>
  <c r="E2582" i="4"/>
  <c r="E2581" i="4"/>
  <c r="E2580" i="4"/>
  <c r="E2579" i="4"/>
  <c r="E2578" i="4"/>
  <c r="E2577" i="4"/>
  <c r="E2576" i="4"/>
  <c r="E2575" i="4"/>
  <c r="E2573" i="4"/>
  <c r="E2572" i="4"/>
  <c r="E2571" i="4"/>
  <c r="E2570" i="4"/>
  <c r="E2569" i="4"/>
  <c r="E2568" i="4"/>
  <c r="E2567" i="4"/>
  <c r="E2566" i="4"/>
  <c r="E2565" i="4"/>
  <c r="E2564" i="4"/>
  <c r="E2563" i="4"/>
  <c r="E2562" i="4"/>
  <c r="E2561" i="4"/>
  <c r="E2560" i="4"/>
  <c r="E2559" i="4"/>
  <c r="E2558" i="4"/>
  <c r="E2557" i="4"/>
  <c r="E2556" i="4"/>
  <c r="E2555" i="4"/>
  <c r="E2554" i="4"/>
  <c r="E2553" i="4"/>
  <c r="E2552" i="4"/>
  <c r="E2551" i="4"/>
  <c r="E2550" i="4"/>
  <c r="E2549" i="4"/>
  <c r="E2548" i="4"/>
  <c r="E2547" i="4"/>
  <c r="E2546" i="4"/>
  <c r="E2545" i="4"/>
  <c r="E2544" i="4"/>
  <c r="E2543" i="4"/>
  <c r="E2542" i="4"/>
  <c r="E2541" i="4"/>
  <c r="E2540" i="4"/>
  <c r="E2539" i="4"/>
  <c r="E2538" i="4"/>
  <c r="E2537" i="4"/>
  <c r="E2536" i="4"/>
  <c r="E2535" i="4"/>
  <c r="E2534" i="4"/>
  <c r="E2533" i="4"/>
  <c r="E2532" i="4"/>
  <c r="E2531" i="4"/>
  <c r="E2530" i="4"/>
  <c r="E2529" i="4"/>
  <c r="E2528" i="4"/>
  <c r="E2527" i="4"/>
  <c r="E2526" i="4"/>
  <c r="E2525" i="4"/>
  <c r="E2524" i="4"/>
  <c r="E2523" i="4"/>
  <c r="E2522" i="4"/>
  <c r="E2521" i="4"/>
  <c r="E2520" i="4"/>
  <c r="E2519" i="4"/>
  <c r="E2518" i="4"/>
  <c r="E2517" i="4"/>
  <c r="E2516" i="4"/>
  <c r="E2515" i="4"/>
  <c r="E2514" i="4"/>
  <c r="E2513" i="4"/>
  <c r="E2512" i="4"/>
  <c r="E2511" i="4"/>
  <c r="E2510" i="4"/>
  <c r="E2509" i="4"/>
  <c r="E2508" i="4"/>
  <c r="E2507" i="4"/>
  <c r="E2506" i="4"/>
  <c r="E2504" i="4"/>
  <c r="E2505" i="4"/>
  <c r="E2503" i="4"/>
  <c r="E2502" i="4"/>
  <c r="E2501" i="4"/>
  <c r="E2500" i="4"/>
  <c r="E2499" i="4"/>
  <c r="E2498" i="4"/>
  <c r="E2497" i="4"/>
  <c r="E2496" i="4"/>
  <c r="E2495" i="4"/>
  <c r="E2494" i="4"/>
  <c r="E2493" i="4"/>
  <c r="E2492" i="4"/>
  <c r="E2491" i="4"/>
  <c r="E2490" i="4"/>
  <c r="E2489" i="4"/>
  <c r="E2488" i="4"/>
  <c r="E2487" i="4"/>
  <c r="E2704" i="4"/>
  <c r="E2643" i="4"/>
  <c r="E2642" i="4"/>
  <c r="E2641" i="4"/>
  <c r="E2640" i="4"/>
  <c r="E2639" i="4"/>
  <c r="E2638" i="4"/>
  <c r="E2637" i="4"/>
  <c r="E2636" i="4"/>
  <c r="E2635" i="4"/>
  <c r="E2634" i="4"/>
  <c r="E2633" i="4"/>
  <c r="E2632" i="4"/>
  <c r="E2631" i="4"/>
  <c r="E2630" i="4"/>
  <c r="E2629" i="4"/>
  <c r="E2628" i="4"/>
  <c r="E2627" i="4"/>
  <c r="E2626" i="4"/>
  <c r="E2625" i="4"/>
  <c r="E2624" i="4"/>
  <c r="E2623" i="4"/>
  <c r="E2622" i="4"/>
  <c r="E2621" i="4"/>
  <c r="E2620" i="4"/>
  <c r="E2619" i="4"/>
  <c r="E2618" i="4"/>
  <c r="P192" i="1" s="1"/>
  <c r="E2603" i="4"/>
  <c r="E2602" i="4"/>
  <c r="E2601" i="4"/>
  <c r="E2600" i="4"/>
  <c r="E2599" i="4"/>
  <c r="E2598" i="4"/>
  <c r="E2597" i="4"/>
  <c r="E2596" i="4"/>
  <c r="E2595" i="4"/>
  <c r="E2594" i="4"/>
  <c r="E2593" i="4"/>
  <c r="E2592" i="4"/>
  <c r="E2591" i="4"/>
  <c r="E2590" i="4"/>
  <c r="E2589" i="4"/>
  <c r="E2588" i="4"/>
  <c r="E2587" i="4"/>
  <c r="BO220" i="1"/>
  <c r="BP220" i="1"/>
  <c r="BO221" i="1"/>
  <c r="BP221" i="1"/>
  <c r="BO222" i="1"/>
  <c r="BP222" i="1"/>
  <c r="BO223" i="1"/>
  <c r="BP223" i="1"/>
  <c r="BO224" i="1"/>
  <c r="BP224" i="1"/>
  <c r="BO216" i="1"/>
  <c r="BP216" i="1"/>
  <c r="BO217" i="1"/>
  <c r="BP217" i="1"/>
  <c r="BO218" i="1"/>
  <c r="BP218" i="1"/>
  <c r="BO219" i="1"/>
  <c r="BP219" i="1"/>
  <c r="BO215" i="1"/>
  <c r="BP215" i="1"/>
  <c r="BO213" i="1"/>
  <c r="BP213" i="1"/>
  <c r="BO214" i="1"/>
  <c r="BP214" i="1"/>
  <c r="BO210" i="1"/>
  <c r="BP210" i="1"/>
  <c r="BO211" i="1"/>
  <c r="BP211" i="1"/>
  <c r="BO212" i="1"/>
  <c r="BP212" i="1"/>
  <c r="E2707" i="4"/>
  <c r="E2706" i="4"/>
  <c r="E2705" i="4"/>
  <c r="E2716" i="4"/>
  <c r="E2715" i="4"/>
  <c r="E2714" i="4"/>
  <c r="E2713" i="4"/>
  <c r="E2712" i="4"/>
  <c r="E2711" i="4"/>
  <c r="E2710" i="4"/>
  <c r="E2709" i="4"/>
  <c r="E2708" i="4"/>
  <c r="BO209" i="1"/>
  <c r="BP209" i="1"/>
  <c r="E2617" i="4"/>
  <c r="E2616" i="4"/>
  <c r="E2615" i="4"/>
  <c r="E2614" i="4"/>
  <c r="E2613" i="4"/>
  <c r="E2612" i="4"/>
  <c r="E2611" i="4"/>
  <c r="E2610" i="4"/>
  <c r="E2609" i="4"/>
  <c r="E2608" i="4"/>
  <c r="E2607" i="4"/>
  <c r="E2606" i="4"/>
  <c r="E2605" i="4"/>
  <c r="E2604" i="4"/>
  <c r="E2486" i="4"/>
  <c r="P185" i="1" s="1"/>
  <c r="E2485" i="4"/>
  <c r="P184" i="1" s="1"/>
  <c r="E2484" i="4"/>
  <c r="E2483" i="4"/>
  <c r="E2482" i="4"/>
  <c r="E2481" i="4"/>
  <c r="E2480" i="4"/>
  <c r="E2479" i="4"/>
  <c r="E2478" i="4"/>
  <c r="E2477" i="4"/>
  <c r="E2476" i="4"/>
  <c r="E2475" i="4"/>
  <c r="E2474" i="4"/>
  <c r="E2473" i="4"/>
  <c r="E2472" i="4"/>
  <c r="E2471" i="4"/>
  <c r="P182" i="1" s="1"/>
  <c r="E2470" i="4"/>
  <c r="E2469" i="4"/>
  <c r="E2468" i="4"/>
  <c r="E2467" i="4"/>
  <c r="E2466" i="4"/>
  <c r="BO207" i="1"/>
  <c r="BP207" i="1"/>
  <c r="BO208" i="1"/>
  <c r="BP204" i="1"/>
  <c r="BP205" i="1"/>
  <c r="BP206" i="1"/>
  <c r="BO204" i="1"/>
  <c r="BO205" i="1"/>
  <c r="BO206" i="1"/>
  <c r="Q196" i="1"/>
  <c r="Q195" i="1"/>
  <c r="Q194" i="1"/>
  <c r="Q193" i="1"/>
  <c r="BP203" i="1"/>
  <c r="BO203" i="1"/>
  <c r="BP200" i="1"/>
  <c r="BP201" i="1"/>
  <c r="BP202" i="1"/>
  <c r="BO200" i="1"/>
  <c r="BO201" i="1"/>
  <c r="BO202" i="1"/>
  <c r="BP197" i="1"/>
  <c r="BP198" i="1"/>
  <c r="BP199" i="1"/>
  <c r="BO197" i="1"/>
  <c r="BO198" i="1"/>
  <c r="BO199" i="1"/>
  <c r="Q185" i="1"/>
  <c r="Q184" i="1"/>
  <c r="Q183" i="1"/>
  <c r="Q182" i="1"/>
  <c r="Q181" i="1"/>
  <c r="Q180" i="1"/>
  <c r="Q179" i="1"/>
  <c r="Q178" i="1"/>
  <c r="Q177" i="1"/>
  <c r="Q176" i="1"/>
  <c r="Q175" i="1"/>
  <c r="Q174" i="1"/>
  <c r="P176" i="1"/>
  <c r="P175" i="1"/>
  <c r="E2465" i="4"/>
  <c r="E2464" i="4"/>
  <c r="E2463" i="4"/>
  <c r="E2462" i="4"/>
  <c r="E2461" i="4"/>
  <c r="E2460" i="4"/>
  <c r="E2455" i="4"/>
  <c r="E2459" i="4"/>
  <c r="E2458" i="4"/>
  <c r="E2457" i="4"/>
  <c r="E2456" i="4"/>
  <c r="E2454" i="4"/>
  <c r="E2453" i="4"/>
  <c r="E2452" i="4"/>
  <c r="E2451" i="4"/>
  <c r="E2450" i="4"/>
  <c r="E2449" i="4"/>
  <c r="E2448" i="4"/>
  <c r="E2447" i="4"/>
  <c r="E2446" i="4"/>
  <c r="E2444" i="4"/>
  <c r="E2443" i="4"/>
  <c r="E2442" i="4"/>
  <c r="E2441" i="4"/>
  <c r="E2440" i="4"/>
  <c r="E2439" i="4"/>
  <c r="E2438" i="4"/>
  <c r="E2437" i="4"/>
  <c r="E2436" i="4"/>
  <c r="E2435" i="4"/>
  <c r="E2434" i="4"/>
  <c r="E2433" i="4"/>
  <c r="E2431" i="4"/>
  <c r="E2430" i="4"/>
  <c r="E2429" i="4"/>
  <c r="E2428" i="4"/>
  <c r="E2427" i="4"/>
  <c r="E2426" i="4"/>
  <c r="E2425" i="4"/>
  <c r="E2424" i="4"/>
  <c r="E2423" i="4"/>
  <c r="E2422" i="4"/>
  <c r="E2421" i="4"/>
  <c r="E2420" i="4"/>
  <c r="E2419" i="4"/>
  <c r="E2418" i="4"/>
  <c r="E2417" i="4"/>
  <c r="E2416" i="4"/>
  <c r="E2415" i="4"/>
  <c r="E2414" i="4"/>
  <c r="E2413" i="4"/>
  <c r="E2412" i="4"/>
  <c r="E2411" i="4"/>
  <c r="E2410" i="4"/>
  <c r="E2409" i="4"/>
  <c r="E2408" i="4"/>
  <c r="E2407" i="4"/>
  <c r="E2406" i="4"/>
  <c r="E2405" i="4"/>
  <c r="E2404" i="4"/>
  <c r="E2403" i="4"/>
  <c r="E2402" i="4"/>
  <c r="E2401" i="4"/>
  <c r="E2400" i="4"/>
  <c r="E2399" i="4"/>
  <c r="E2398" i="4"/>
  <c r="E2397" i="4"/>
  <c r="E2396" i="4"/>
  <c r="E2395" i="4"/>
  <c r="E2394" i="4"/>
  <c r="E2393" i="4"/>
  <c r="E2392" i="4"/>
  <c r="E2391" i="4"/>
  <c r="E2390" i="4"/>
  <c r="E2389" i="4"/>
  <c r="E2388" i="4"/>
  <c r="E2387" i="4"/>
  <c r="E2386" i="4"/>
  <c r="E2385" i="4"/>
  <c r="E2384" i="4"/>
  <c r="E2383" i="4"/>
  <c r="E2382" i="4"/>
  <c r="E2381" i="4"/>
  <c r="E2380" i="4"/>
  <c r="E2379" i="4"/>
  <c r="Q192" i="1"/>
  <c r="Q191" i="1"/>
  <c r="Q190" i="1"/>
  <c r="Q189" i="1"/>
  <c r="BP193" i="1"/>
  <c r="BP194" i="1"/>
  <c r="BP195" i="1"/>
  <c r="BP196" i="1"/>
  <c r="BO193" i="1"/>
  <c r="BO194" i="1"/>
  <c r="BO195" i="1"/>
  <c r="BO196" i="1"/>
  <c r="BP189" i="1"/>
  <c r="BP190" i="1"/>
  <c r="BP191" i="1"/>
  <c r="BP192" i="1"/>
  <c r="BO189" i="1"/>
  <c r="BO190" i="1"/>
  <c r="BO191" i="1"/>
  <c r="BO192" i="1"/>
  <c r="BP186" i="1"/>
  <c r="BP187" i="1"/>
  <c r="BP188" i="1"/>
  <c r="BO186" i="1"/>
  <c r="BO187" i="1"/>
  <c r="BO188" i="1"/>
  <c r="BP183" i="1"/>
  <c r="BP184" i="1"/>
  <c r="BP185" i="1"/>
  <c r="BO184" i="1"/>
  <c r="BO185" i="1"/>
  <c r="E1949" i="4"/>
  <c r="E1894" i="4"/>
  <c r="Q170" i="1"/>
  <c r="Q169" i="1"/>
  <c r="Q158" i="1"/>
  <c r="Q159" i="1"/>
  <c r="Q160" i="1"/>
  <c r="Q161" i="1"/>
  <c r="Q162" i="1"/>
  <c r="Q157" i="1"/>
  <c r="Q147" i="1"/>
  <c r="Q148" i="1"/>
  <c r="Q149" i="1"/>
  <c r="Q150" i="1"/>
  <c r="Q151" i="1"/>
  <c r="Q152" i="1"/>
  <c r="Q153" i="1"/>
  <c r="Q154" i="1"/>
  <c r="Q155" i="1"/>
  <c r="Q156" i="1"/>
  <c r="Q146" i="1"/>
  <c r="Q131" i="1"/>
  <c r="Q132" i="1"/>
  <c r="Q130" i="1"/>
  <c r="Q145" i="1"/>
  <c r="Q144" i="1"/>
  <c r="Q136" i="1"/>
  <c r="Q137" i="1"/>
  <c r="Q135" i="1"/>
  <c r="Q128" i="1"/>
  <c r="Q129" i="1"/>
  <c r="Q127" i="1"/>
  <c r="F31" i="6"/>
  <c r="E2378" i="4"/>
  <c r="E2377" i="4"/>
  <c r="E2376" i="4"/>
  <c r="E2375" i="4"/>
  <c r="E2371" i="4"/>
  <c r="E2370" i="4"/>
  <c r="E2369" i="4"/>
  <c r="E2368" i="4"/>
  <c r="E2367" i="4"/>
  <c r="E2366" i="4"/>
  <c r="E2365" i="4"/>
  <c r="E2364" i="4"/>
  <c r="E2363" i="4"/>
  <c r="E2362" i="4"/>
  <c r="E2361" i="4"/>
  <c r="E2360" i="4"/>
  <c r="E2359" i="4"/>
  <c r="E2358" i="4"/>
  <c r="E2357" i="4"/>
  <c r="E2356" i="4"/>
  <c r="E2355" i="4"/>
  <c r="E2354" i="4"/>
  <c r="E2352" i="4"/>
  <c r="E2351" i="4"/>
  <c r="E2350" i="4"/>
  <c r="E2349" i="4"/>
  <c r="E2348" i="4"/>
  <c r="E2347" i="4"/>
  <c r="E2346" i="4"/>
  <c r="E2343" i="4"/>
  <c r="E2342" i="4"/>
  <c r="E2341" i="4"/>
  <c r="E2340" i="4"/>
  <c r="E2339" i="4"/>
  <c r="E2338" i="4"/>
  <c r="E2336" i="4"/>
  <c r="E2337" i="4"/>
  <c r="E2335" i="4"/>
  <c r="E2334" i="4"/>
  <c r="E2333" i="4"/>
  <c r="E2332" i="4"/>
  <c r="E2331" i="4"/>
  <c r="E2330" i="4"/>
  <c r="E2329" i="4"/>
  <c r="E2328" i="4"/>
  <c r="E2327" i="4"/>
  <c r="E2325" i="4"/>
  <c r="E2324" i="4"/>
  <c r="E2323" i="4"/>
  <c r="E2322" i="4"/>
  <c r="E2321" i="4"/>
  <c r="E2320" i="4"/>
  <c r="E2319" i="4"/>
  <c r="E2316" i="4"/>
  <c r="E2318" i="4"/>
  <c r="E2317" i="4"/>
  <c r="E2315" i="4"/>
  <c r="E2314" i="4"/>
  <c r="E2313" i="4"/>
  <c r="E2312" i="4"/>
  <c r="E2311" i="4"/>
  <c r="E2310" i="4"/>
  <c r="E2309" i="4"/>
  <c r="E2308" i="4"/>
  <c r="E2307" i="4"/>
  <c r="E2306" i="4"/>
  <c r="E2305" i="4"/>
  <c r="E2304" i="4"/>
  <c r="E2303" i="4"/>
  <c r="E2302" i="4"/>
  <c r="E2301" i="4"/>
  <c r="E2300" i="4"/>
  <c r="E2299" i="4"/>
  <c r="E2298" i="4"/>
  <c r="E2297" i="4"/>
  <c r="E2244" i="4"/>
  <c r="E2242" i="4"/>
  <c r="E2296" i="4"/>
  <c r="E2295" i="4"/>
  <c r="E2293" i="4"/>
  <c r="P167" i="1" s="1"/>
  <c r="E2292" i="4"/>
  <c r="E2291" i="4"/>
  <c r="E2290" i="4"/>
  <c r="E2289" i="4"/>
  <c r="E2288" i="4"/>
  <c r="E2287" i="4"/>
  <c r="E2286" i="4"/>
  <c r="E2285" i="4"/>
  <c r="E2284" i="4"/>
  <c r="E2283" i="4"/>
  <c r="E2282" i="4"/>
  <c r="E2281" i="4"/>
  <c r="E2280" i="4"/>
  <c r="E2279" i="4"/>
  <c r="E2278" i="4"/>
  <c r="E2277" i="4"/>
  <c r="E2276" i="4"/>
  <c r="E2275" i="4"/>
  <c r="E2274" i="4"/>
  <c r="E2273" i="4"/>
  <c r="E2272" i="4"/>
  <c r="E2271" i="4"/>
  <c r="E2270" i="4"/>
  <c r="E2269" i="4"/>
  <c r="E2268" i="4"/>
  <c r="P165" i="1" s="1"/>
  <c r="E2265" i="4"/>
  <c r="E2264" i="4"/>
  <c r="E2263" i="4"/>
  <c r="E2262" i="4"/>
  <c r="E2261" i="4"/>
  <c r="E2260" i="4"/>
  <c r="E2259" i="4"/>
  <c r="E2258" i="4"/>
  <c r="E2257" i="4"/>
  <c r="E2256" i="4"/>
  <c r="E2255" i="4"/>
  <c r="E2254" i="4"/>
  <c r="E2253" i="4"/>
  <c r="E2252" i="4"/>
  <c r="E2251" i="4"/>
  <c r="E2243" i="4"/>
  <c r="E2240" i="4"/>
  <c r="E2239" i="4"/>
  <c r="E2238" i="4"/>
  <c r="E2237" i="4"/>
  <c r="E2236" i="4"/>
  <c r="E2235" i="4"/>
  <c r="E2234" i="4"/>
  <c r="P162" i="1" s="1"/>
  <c r="E2233" i="4"/>
  <c r="E2232" i="4"/>
  <c r="E2231" i="4"/>
  <c r="E2230" i="4"/>
  <c r="E2229" i="4"/>
  <c r="E2228" i="4"/>
  <c r="E2227" i="4"/>
  <c r="E2226" i="4"/>
  <c r="E2225" i="4"/>
  <c r="E2224" i="4"/>
  <c r="E2223" i="4"/>
  <c r="E2222" i="4"/>
  <c r="E2221" i="4"/>
  <c r="E2220" i="4"/>
  <c r="E2219" i="4"/>
  <c r="E2218" i="4"/>
  <c r="E2217" i="4"/>
  <c r="E2216" i="4"/>
  <c r="E2215" i="4"/>
  <c r="E2214" i="4"/>
  <c r="E2213" i="4"/>
  <c r="E2212" i="4"/>
  <c r="E2211" i="4"/>
  <c r="E2210" i="4"/>
  <c r="E2209" i="4"/>
  <c r="E2208" i="4"/>
  <c r="E2207" i="4"/>
  <c r="E2206" i="4"/>
  <c r="E2205" i="4"/>
  <c r="E2204" i="4"/>
  <c r="E2203" i="4"/>
  <c r="E2202" i="4"/>
  <c r="E2201" i="4"/>
  <c r="E2200" i="4"/>
  <c r="E2199" i="4"/>
  <c r="E2198" i="4"/>
  <c r="E2197" i="4"/>
  <c r="E2196" i="4"/>
  <c r="E2195" i="4"/>
  <c r="E2194" i="4"/>
  <c r="E2086" i="4"/>
  <c r="E2079" i="4"/>
  <c r="E2193" i="4"/>
  <c r="E2192" i="4"/>
  <c r="E2191" i="4"/>
  <c r="E2190" i="4"/>
  <c r="E2189" i="4"/>
  <c r="E2188" i="4"/>
  <c r="E2187" i="4"/>
  <c r="E2186" i="4"/>
  <c r="E2185" i="4"/>
  <c r="E2184" i="4"/>
  <c r="E2183" i="4"/>
  <c r="E2182" i="4"/>
  <c r="E2181" i="4"/>
  <c r="E2180" i="4"/>
  <c r="E2179" i="4"/>
  <c r="E2178" i="4"/>
  <c r="E2177" i="4"/>
  <c r="E2176" i="4"/>
  <c r="E2175" i="4"/>
  <c r="E2174" i="4"/>
  <c r="E2173" i="4"/>
  <c r="E2172" i="4"/>
  <c r="E2171" i="4"/>
  <c r="E2170" i="4"/>
  <c r="E2169" i="4"/>
  <c r="E2168" i="4"/>
  <c r="E2167" i="4"/>
  <c r="E2166" i="4"/>
  <c r="E2165" i="4"/>
  <c r="E2164" i="4"/>
  <c r="E2163" i="4"/>
  <c r="E2162" i="4"/>
  <c r="E2161" i="4"/>
  <c r="E2160" i="4"/>
  <c r="E2159" i="4"/>
  <c r="E2158" i="4"/>
  <c r="E2157" i="4"/>
  <c r="E2156" i="4"/>
  <c r="E2155" i="4"/>
  <c r="E2154" i="4"/>
  <c r="E2153" i="4"/>
  <c r="E2152" i="4"/>
  <c r="E2151" i="4"/>
  <c r="E2150" i="4"/>
  <c r="E2149" i="4"/>
  <c r="E2148" i="4"/>
  <c r="E2147" i="4"/>
  <c r="E2146" i="4"/>
  <c r="E2145" i="4"/>
  <c r="E2144" i="4"/>
  <c r="E2143" i="4"/>
  <c r="E2142" i="4"/>
  <c r="E2141" i="4"/>
  <c r="E2140" i="4"/>
  <c r="E2139" i="4"/>
  <c r="E2138" i="4"/>
  <c r="E2137" i="4"/>
  <c r="E2136" i="4"/>
  <c r="E2135" i="4"/>
  <c r="E2134" i="4"/>
  <c r="E2133" i="4"/>
  <c r="E2132" i="4"/>
  <c r="BP164" i="1"/>
  <c r="BO180" i="1"/>
  <c r="BP180" i="1"/>
  <c r="BO181" i="1"/>
  <c r="BP181" i="1"/>
  <c r="BO182" i="1"/>
  <c r="BP182" i="1"/>
  <c r="BO183" i="1"/>
  <c r="F28" i="6"/>
  <c r="F26" i="6"/>
  <c r="F23" i="6"/>
  <c r="E2131" i="4"/>
  <c r="E2130" i="4"/>
  <c r="E2129" i="4"/>
  <c r="E2128" i="4"/>
  <c r="E2127" i="4"/>
  <c r="E2126" i="4"/>
  <c r="E2125" i="4"/>
  <c r="E2124" i="4"/>
  <c r="E2123" i="4"/>
  <c r="E2122" i="4"/>
  <c r="E2121" i="4"/>
  <c r="E2120" i="4"/>
  <c r="E2119" i="4"/>
  <c r="E2111" i="4"/>
  <c r="E2118" i="4"/>
  <c r="E2117" i="4"/>
  <c r="E2116" i="4"/>
  <c r="E2115" i="4"/>
  <c r="E2114" i="4"/>
  <c r="E2113" i="4"/>
  <c r="E2112" i="4"/>
  <c r="E2110" i="4"/>
  <c r="E2109" i="4"/>
  <c r="E2108" i="4"/>
  <c r="E2107" i="4"/>
  <c r="E2106" i="4"/>
  <c r="E2105" i="4"/>
  <c r="E2104" i="4"/>
  <c r="E2103" i="4"/>
  <c r="E2102" i="4"/>
  <c r="E2101" i="4"/>
  <c r="E2100" i="4"/>
  <c r="E2099" i="4"/>
  <c r="E2098" i="4"/>
  <c r="E2092" i="4"/>
  <c r="E2097" i="4"/>
  <c r="E2096" i="4"/>
  <c r="E2095" i="4"/>
  <c r="E2094" i="4"/>
  <c r="E2093" i="4"/>
  <c r="E2091" i="4"/>
  <c r="E2090" i="4"/>
  <c r="E2089" i="4"/>
  <c r="E2088" i="4"/>
  <c r="E2087" i="4"/>
  <c r="E2085" i="4"/>
  <c r="E2084" i="4"/>
  <c r="E2083" i="4"/>
  <c r="E2082" i="4"/>
  <c r="E2081" i="4"/>
  <c r="E2080" i="4"/>
  <c r="E2078" i="4"/>
  <c r="P153" i="1" s="1"/>
  <c r="E2077" i="4"/>
  <c r="E2076" i="4"/>
  <c r="E2075" i="4"/>
  <c r="E2074" i="4"/>
  <c r="E2073" i="4"/>
  <c r="E2072" i="4"/>
  <c r="E2071" i="4"/>
  <c r="E2070" i="4"/>
  <c r="E2069" i="4"/>
  <c r="E2068" i="4"/>
  <c r="P150" i="1" s="1"/>
  <c r="E2067" i="4"/>
  <c r="P149" i="1" s="1"/>
  <c r="E2066" i="4"/>
  <c r="P148" i="1" s="1"/>
  <c r="E2065" i="4"/>
  <c r="P147" i="1" s="1"/>
  <c r="E2064" i="4"/>
  <c r="E2063" i="4"/>
  <c r="E2062" i="4"/>
  <c r="E2061" i="4"/>
  <c r="E2060" i="4"/>
  <c r="E2059" i="4"/>
  <c r="E2058" i="4"/>
  <c r="E2057" i="4"/>
  <c r="E2056" i="4"/>
  <c r="E2055" i="4"/>
  <c r="E2054" i="4"/>
  <c r="E2053" i="4"/>
  <c r="E2052" i="4"/>
  <c r="E2051" i="4"/>
  <c r="E2050" i="4"/>
  <c r="E2049" i="4"/>
  <c r="E2048" i="4"/>
  <c r="E2047" i="4"/>
  <c r="E2046" i="4"/>
  <c r="E2045" i="4"/>
  <c r="E2044" i="4"/>
  <c r="E2043" i="4"/>
  <c r="E2042" i="4"/>
  <c r="E2041" i="4"/>
  <c r="E2040" i="4"/>
  <c r="E2039" i="4"/>
  <c r="E2038" i="4"/>
  <c r="E2037" i="4"/>
  <c r="E2036" i="4"/>
  <c r="E2035" i="4"/>
  <c r="E2034" i="4"/>
  <c r="E2033" i="4"/>
  <c r="E2032" i="4"/>
  <c r="E2031" i="4"/>
  <c r="E2030" i="4"/>
  <c r="E2029" i="4"/>
  <c r="E2028" i="4"/>
  <c r="E2027" i="4"/>
  <c r="E2025" i="4"/>
  <c r="E2024" i="4"/>
  <c r="E2023" i="4"/>
  <c r="E2022" i="4"/>
  <c r="E2021" i="4"/>
  <c r="E2020" i="4"/>
  <c r="E2026" i="4"/>
  <c r="E2019" i="4"/>
  <c r="E2018" i="4"/>
  <c r="E2017" i="4"/>
  <c r="E2016" i="4"/>
  <c r="E2015" i="4"/>
  <c r="E2014" i="4"/>
  <c r="E2013" i="4"/>
  <c r="E2012" i="4"/>
  <c r="E2011" i="4"/>
  <c r="E2008" i="4"/>
  <c r="E2007" i="4"/>
  <c r="E2006" i="4"/>
  <c r="E2005" i="4"/>
  <c r="E2004" i="4"/>
  <c r="E2003" i="4"/>
  <c r="E2002" i="4"/>
  <c r="E2001" i="4"/>
  <c r="E2000" i="4"/>
  <c r="E1999" i="4"/>
  <c r="E1997" i="4"/>
  <c r="E1996" i="4"/>
  <c r="E1995" i="4"/>
  <c r="E1994" i="4"/>
  <c r="E1993" i="4"/>
  <c r="E1992" i="4"/>
  <c r="E1991" i="4"/>
  <c r="E1990" i="4"/>
  <c r="E1989" i="4"/>
  <c r="E1988" i="4"/>
  <c r="E1987" i="4"/>
  <c r="E1986" i="4"/>
  <c r="E1985" i="4"/>
  <c r="E1984" i="4"/>
  <c r="E1983" i="4"/>
  <c r="E1982" i="4"/>
  <c r="E1981" i="4"/>
  <c r="E1980" i="4"/>
  <c r="E1979" i="4"/>
  <c r="E1978" i="4"/>
  <c r="E1977" i="4"/>
  <c r="E1976" i="4"/>
  <c r="E1975" i="4"/>
  <c r="E1974" i="4"/>
  <c r="E1973" i="4"/>
  <c r="E1972" i="4"/>
  <c r="E1971" i="4"/>
  <c r="E1970" i="4"/>
  <c r="E1969" i="4"/>
  <c r="E1968" i="4"/>
  <c r="E1967" i="4"/>
  <c r="E1966" i="4"/>
  <c r="E1965" i="4"/>
  <c r="E1964" i="4"/>
  <c r="E1963" i="4"/>
  <c r="E1962" i="4"/>
  <c r="E1961" i="4"/>
  <c r="E1960" i="4"/>
  <c r="E1959" i="4"/>
  <c r="E1958" i="4"/>
  <c r="E1957" i="4"/>
  <c r="E1956" i="4"/>
  <c r="E1955" i="4"/>
  <c r="E1954" i="4"/>
  <c r="E1953" i="4"/>
  <c r="E1952" i="4"/>
  <c r="E1951" i="4"/>
  <c r="E1950" i="4"/>
  <c r="E1948" i="4"/>
  <c r="E1947" i="4"/>
  <c r="E1946" i="4"/>
  <c r="E1945" i="4"/>
  <c r="E1944" i="4"/>
  <c r="E1943" i="4"/>
  <c r="E1942" i="4"/>
  <c r="E1941" i="4"/>
  <c r="E1940" i="4"/>
  <c r="E1939" i="4"/>
  <c r="E1938" i="4"/>
  <c r="E1937" i="4"/>
  <c r="E1936" i="4"/>
  <c r="E1935" i="4"/>
  <c r="E1934" i="4"/>
  <c r="E1933" i="4"/>
  <c r="E1932" i="4"/>
  <c r="E1931" i="4"/>
  <c r="E1930" i="4"/>
  <c r="E1929" i="4"/>
  <c r="E1928" i="4"/>
  <c r="E1927" i="4"/>
  <c r="E1926" i="4"/>
  <c r="E1925" i="4"/>
  <c r="E1923" i="4"/>
  <c r="E1922" i="4"/>
  <c r="E1921" i="4"/>
  <c r="E1920" i="4"/>
  <c r="E1919" i="4"/>
  <c r="E1918" i="4"/>
  <c r="E1917" i="4"/>
  <c r="E1916" i="4"/>
  <c r="E1915" i="4"/>
  <c r="E1914" i="4"/>
  <c r="E1913" i="4"/>
  <c r="E1912" i="4"/>
  <c r="E1911" i="4"/>
  <c r="E1910" i="4"/>
  <c r="E1909" i="4"/>
  <c r="E1879" i="4"/>
  <c r="E1878" i="4"/>
  <c r="E1877" i="4"/>
  <c r="E1876" i="4"/>
  <c r="E1875" i="4"/>
  <c r="E1874" i="4"/>
  <c r="E1873" i="4"/>
  <c r="E1872" i="4"/>
  <c r="E1871" i="4"/>
  <c r="E1870" i="4"/>
  <c r="E1869" i="4"/>
  <c r="E1868" i="4"/>
  <c r="E1867" i="4"/>
  <c r="E1866" i="4"/>
  <c r="E1865" i="4"/>
  <c r="E1864" i="4"/>
  <c r="E1863" i="4"/>
  <c r="E1862" i="4"/>
  <c r="E1861" i="4"/>
  <c r="E1860" i="4"/>
  <c r="E1859" i="4"/>
  <c r="E1858" i="4"/>
  <c r="E1857" i="4"/>
  <c r="E1856" i="4"/>
  <c r="E1855" i="4"/>
  <c r="E1854" i="4"/>
  <c r="E1853" i="4"/>
  <c r="E1852" i="4"/>
  <c r="E1851" i="4"/>
  <c r="E1850" i="4"/>
  <c r="E1849" i="4"/>
  <c r="E1848" i="4"/>
  <c r="E1847" i="4"/>
  <c r="E1846" i="4"/>
  <c r="E1845" i="4"/>
  <c r="E1844" i="4"/>
  <c r="E1843" i="4"/>
  <c r="E1842" i="4"/>
  <c r="E1841" i="4"/>
  <c r="E1840" i="4"/>
  <c r="E1839" i="4"/>
  <c r="E1838" i="4"/>
  <c r="E1837" i="4"/>
  <c r="E1834" i="4"/>
  <c r="E1836" i="4"/>
  <c r="E1835" i="4"/>
  <c r="E1833" i="4"/>
  <c r="E1832" i="4"/>
  <c r="E1831" i="4"/>
  <c r="E1830" i="4"/>
  <c r="E1829" i="4"/>
  <c r="E1828" i="4"/>
  <c r="E1827" i="4"/>
  <c r="E1826" i="4"/>
  <c r="E1825" i="4"/>
  <c r="E1824" i="4"/>
  <c r="E1823" i="4"/>
  <c r="E1822" i="4"/>
  <c r="E1821" i="4"/>
  <c r="E1820" i="4"/>
  <c r="E1902" i="4"/>
  <c r="E1908" i="4"/>
  <c r="E1907" i="4"/>
  <c r="E1906" i="4"/>
  <c r="E1905" i="4"/>
  <c r="E1904" i="4"/>
  <c r="E1903" i="4"/>
  <c r="E1900" i="4"/>
  <c r="E1899" i="4"/>
  <c r="E1898" i="4"/>
  <c r="E1897" i="4"/>
  <c r="E1896" i="4"/>
  <c r="E1895" i="4"/>
  <c r="E1893" i="4"/>
  <c r="E1892" i="4"/>
  <c r="E1891" i="4"/>
  <c r="E1890" i="4"/>
  <c r="E1889" i="4"/>
  <c r="E1888" i="4"/>
  <c r="E1887" i="4"/>
  <c r="E1886" i="4"/>
  <c r="E1885" i="4"/>
  <c r="E1884" i="4"/>
  <c r="E1883" i="4"/>
  <c r="E1882" i="4"/>
  <c r="E1881" i="4"/>
  <c r="E1819" i="4"/>
  <c r="E1818" i="4"/>
  <c r="E1817" i="4"/>
  <c r="E1816" i="4"/>
  <c r="E1815" i="4"/>
  <c r="E1814" i="4"/>
  <c r="E1813" i="4"/>
  <c r="E1812" i="4"/>
  <c r="E1811" i="4"/>
  <c r="E1810" i="4"/>
  <c r="E1809" i="4"/>
  <c r="E1808" i="4"/>
  <c r="E1807" i="4"/>
  <c r="E1806" i="4"/>
  <c r="E1805" i="4"/>
  <c r="E1804" i="4"/>
  <c r="E1803" i="4"/>
  <c r="E1802" i="4"/>
  <c r="E1801" i="4"/>
  <c r="E1800" i="4"/>
  <c r="E1799" i="4"/>
  <c r="E1798" i="4"/>
  <c r="E1797" i="4"/>
  <c r="E1796" i="4"/>
  <c r="E1795" i="4"/>
  <c r="E1794" i="4"/>
  <c r="E1793" i="4"/>
  <c r="E1792" i="4"/>
  <c r="E1791" i="4"/>
  <c r="E1790" i="4"/>
  <c r="E1789" i="4"/>
  <c r="E1788" i="4"/>
  <c r="E1787" i="4"/>
  <c r="E1786" i="4"/>
  <c r="E1785" i="4"/>
  <c r="E1784" i="4"/>
  <c r="E1783" i="4"/>
  <c r="E1782" i="4"/>
  <c r="E1781" i="4"/>
  <c r="E1780" i="4"/>
  <c r="E1779" i="4"/>
  <c r="E1778" i="4"/>
  <c r="E1777" i="4"/>
  <c r="E1776" i="4"/>
  <c r="E1775" i="4"/>
  <c r="E1774" i="4"/>
  <c r="E1773" i="4"/>
  <c r="E1772" i="4"/>
  <c r="E1771" i="4"/>
  <c r="E1770" i="4"/>
  <c r="E1769" i="4"/>
  <c r="E1768" i="4"/>
  <c r="E1767" i="4"/>
  <c r="E1766" i="4"/>
  <c r="E1765" i="4"/>
  <c r="E1764" i="4"/>
  <c r="E1763" i="4"/>
  <c r="E1762" i="4"/>
  <c r="E1761" i="4"/>
  <c r="E1760" i="4"/>
  <c r="E1759" i="4"/>
  <c r="E1758" i="4"/>
  <c r="E1757" i="4"/>
  <c r="E1756" i="4"/>
  <c r="E1755" i="4"/>
  <c r="E1754" i="4"/>
  <c r="E1753" i="4"/>
  <c r="E1752" i="4"/>
  <c r="E1751" i="4"/>
  <c r="E1750" i="4"/>
  <c r="E1749" i="4"/>
  <c r="E1748" i="4"/>
  <c r="E1747" i="4"/>
  <c r="E1746" i="4"/>
  <c r="E1745" i="4"/>
  <c r="E1744" i="4"/>
  <c r="E1743" i="4"/>
  <c r="E1742" i="4"/>
  <c r="E1741" i="4"/>
  <c r="E1740" i="4"/>
  <c r="E1739" i="4"/>
  <c r="E1738" i="4"/>
  <c r="E1737" i="4"/>
  <c r="E1736" i="4"/>
  <c r="E1735" i="4"/>
  <c r="E1734" i="4"/>
  <c r="E1733" i="4"/>
  <c r="E1732" i="4"/>
  <c r="E1731" i="4"/>
  <c r="E1730" i="4"/>
  <c r="E1729" i="4"/>
  <c r="E1728" i="4"/>
  <c r="E1727" i="4"/>
  <c r="E1726" i="4"/>
  <c r="E1725" i="4"/>
  <c r="E1724" i="4"/>
  <c r="E1723" i="4"/>
  <c r="E1722" i="4"/>
  <c r="E1721" i="4"/>
  <c r="E1720" i="4"/>
  <c r="E1719" i="4"/>
  <c r="E1718" i="4"/>
  <c r="E1717" i="4"/>
  <c r="E1704" i="4"/>
  <c r="E1716" i="4"/>
  <c r="E1715" i="4"/>
  <c r="E1714" i="4"/>
  <c r="E1713" i="4"/>
  <c r="E1712" i="4"/>
  <c r="E1711" i="4"/>
  <c r="E1710" i="4"/>
  <c r="E1709" i="4"/>
  <c r="E1708" i="4"/>
  <c r="E1707" i="4"/>
  <c r="E1706" i="4"/>
  <c r="E1705" i="4"/>
  <c r="E1703" i="4"/>
  <c r="E1702" i="4"/>
  <c r="E1698" i="4"/>
  <c r="E1701" i="4"/>
  <c r="E1700" i="4"/>
  <c r="E1699" i="4"/>
  <c r="E1697" i="4"/>
  <c r="E1696" i="4"/>
  <c r="E1695" i="4"/>
  <c r="E1694" i="4"/>
  <c r="E1688" i="4"/>
  <c r="E1693" i="4"/>
  <c r="E1692" i="4"/>
  <c r="E1691" i="4"/>
  <c r="E1690" i="4"/>
  <c r="E1689" i="4"/>
  <c r="E1687" i="4"/>
  <c r="E1686" i="4"/>
  <c r="E1685" i="4"/>
  <c r="E1684" i="4"/>
  <c r="E1683" i="4"/>
  <c r="E1682" i="4"/>
  <c r="E1681" i="4"/>
  <c r="E1680" i="4"/>
  <c r="E1679" i="4"/>
  <c r="E1678" i="4"/>
  <c r="E1677" i="4"/>
  <c r="E1676" i="4"/>
  <c r="E1675" i="4"/>
  <c r="E1674" i="4"/>
  <c r="E1673" i="4"/>
  <c r="E1672" i="4"/>
  <c r="E1671" i="4"/>
  <c r="E1670" i="4"/>
  <c r="E1669" i="4"/>
  <c r="E1668" i="4"/>
  <c r="E1667" i="4"/>
  <c r="E1666" i="4"/>
  <c r="E1665" i="4"/>
  <c r="E1664" i="4"/>
  <c r="E1663" i="4"/>
  <c r="E1662" i="4"/>
  <c r="E1661" i="4"/>
  <c r="E1660" i="4"/>
  <c r="E1659" i="4"/>
  <c r="E1658" i="4"/>
  <c r="E1657" i="4"/>
  <c r="E1656" i="4"/>
  <c r="E1655" i="4"/>
  <c r="E1654" i="4"/>
  <c r="E1653" i="4"/>
  <c r="E1652" i="4"/>
  <c r="E1651" i="4"/>
  <c r="E1650" i="4"/>
  <c r="E1649" i="4"/>
  <c r="E1648" i="4"/>
  <c r="E1647" i="4"/>
  <c r="E1646" i="4"/>
  <c r="E1645" i="4"/>
  <c r="E1644" i="4"/>
  <c r="E1643" i="4"/>
  <c r="Q117" i="1"/>
  <c r="Q116" i="1"/>
  <c r="Q114" i="1"/>
  <c r="Q115" i="1"/>
  <c r="Q113" i="1"/>
  <c r="E1642" i="4"/>
  <c r="E1641" i="4"/>
  <c r="E1640" i="4"/>
  <c r="E1639" i="4"/>
  <c r="E1638" i="4"/>
  <c r="E1637" i="4"/>
  <c r="E1636" i="4"/>
  <c r="E1635" i="4"/>
  <c r="E1634" i="4"/>
  <c r="E1633" i="4"/>
  <c r="E1631" i="4"/>
  <c r="E1630" i="4"/>
  <c r="E1629" i="4"/>
  <c r="E1628" i="4"/>
  <c r="E1627" i="4"/>
  <c r="E1626" i="4"/>
  <c r="E1625" i="4"/>
  <c r="E1624" i="4"/>
  <c r="E1623" i="4"/>
  <c r="E1622" i="4"/>
  <c r="E1621" i="4"/>
  <c r="E1605" i="4"/>
  <c r="E1604" i="4"/>
  <c r="E1603" i="4"/>
  <c r="E1602" i="4"/>
  <c r="E1601" i="4"/>
  <c r="E1600" i="4"/>
  <c r="E1599" i="4"/>
  <c r="E1598" i="4"/>
  <c r="E1597" i="4"/>
  <c r="E1596" i="4"/>
  <c r="E1595" i="4"/>
  <c r="E1594" i="4"/>
  <c r="E1593" i="4"/>
  <c r="E1589" i="4"/>
  <c r="E1588" i="4"/>
  <c r="E1587" i="4"/>
  <c r="E1586" i="4"/>
  <c r="E1585" i="4"/>
  <c r="E1584" i="4"/>
  <c r="E1620" i="4"/>
  <c r="E1619" i="4"/>
  <c r="E1618" i="4"/>
  <c r="E1617" i="4"/>
  <c r="E1616" i="4"/>
  <c r="E1615" i="4"/>
  <c r="E1614" i="4"/>
  <c r="E1613" i="4"/>
  <c r="E1612" i="4"/>
  <c r="E1611" i="4"/>
  <c r="E1610" i="4"/>
  <c r="E1609" i="4"/>
  <c r="E1606" i="4"/>
  <c r="E1607" i="4"/>
  <c r="E1608" i="4"/>
  <c r="E1583" i="4"/>
  <c r="E1582" i="4"/>
  <c r="E1581" i="4"/>
  <c r="E1580" i="4"/>
  <c r="E1579" i="4"/>
  <c r="E1577" i="4"/>
  <c r="E1576" i="4"/>
  <c r="E1575" i="4"/>
  <c r="E1574" i="4"/>
  <c r="E1573" i="4"/>
  <c r="E1571" i="4"/>
  <c r="E1570" i="4"/>
  <c r="E1569" i="4"/>
  <c r="E1568" i="4"/>
  <c r="E1567" i="4"/>
  <c r="E1566" i="4"/>
  <c r="E1565" i="4"/>
  <c r="E1564" i="4"/>
  <c r="E1563" i="4"/>
  <c r="E1562" i="4"/>
  <c r="E1561" i="4"/>
  <c r="E1560" i="4"/>
  <c r="E1559" i="4"/>
  <c r="E1558" i="4"/>
  <c r="E1557" i="4"/>
  <c r="E1556" i="4"/>
  <c r="E1555" i="4"/>
  <c r="E1554" i="4"/>
  <c r="E1553" i="4"/>
  <c r="E1552" i="4"/>
  <c r="E1551" i="4"/>
  <c r="E1550" i="4"/>
  <c r="E1549" i="4"/>
  <c r="E1548" i="4"/>
  <c r="E1547" i="4"/>
  <c r="E1546" i="4"/>
  <c r="E1545" i="4"/>
  <c r="E1544" i="4"/>
  <c r="P123" i="1" s="1"/>
  <c r="E1543" i="4"/>
  <c r="E1542" i="4"/>
  <c r="E1541" i="4"/>
  <c r="E1540" i="4"/>
  <c r="E1539" i="4"/>
  <c r="E1538" i="4"/>
  <c r="E1537" i="4"/>
  <c r="E1536" i="4"/>
  <c r="E1535" i="4"/>
  <c r="E1534" i="4"/>
  <c r="E1533" i="4"/>
  <c r="E1532" i="4"/>
  <c r="E1531" i="4"/>
  <c r="E1529" i="4"/>
  <c r="E1528" i="4"/>
  <c r="E1527" i="4"/>
  <c r="E1526" i="4"/>
  <c r="E1525" i="4"/>
  <c r="E1524" i="4"/>
  <c r="E1523" i="4"/>
  <c r="E1522" i="4"/>
  <c r="E1521" i="4"/>
  <c r="E1520" i="4"/>
  <c r="E1519" i="4"/>
  <c r="E1517" i="4"/>
  <c r="E1516" i="4"/>
  <c r="E1515" i="4"/>
  <c r="E1514" i="4"/>
  <c r="E1513" i="4"/>
  <c r="E1512" i="4"/>
  <c r="E1511" i="4"/>
  <c r="E1510" i="4"/>
  <c r="E1509" i="4"/>
  <c r="E1508" i="4"/>
  <c r="E1507" i="4"/>
  <c r="E1506" i="4"/>
  <c r="E1504" i="4"/>
  <c r="E1503" i="4"/>
  <c r="E1502" i="4"/>
  <c r="E1501" i="4"/>
  <c r="E1500" i="4"/>
  <c r="E1499" i="4"/>
  <c r="E1498" i="4"/>
  <c r="E1497" i="4"/>
  <c r="E1496" i="4"/>
  <c r="E1495" i="4"/>
  <c r="E1494" i="4"/>
  <c r="E1493" i="4"/>
  <c r="E1492" i="4"/>
  <c r="E1491" i="4"/>
  <c r="E1490" i="4"/>
  <c r="E1489" i="4"/>
  <c r="E1488" i="4"/>
  <c r="E1487" i="4"/>
  <c r="E1486" i="4"/>
  <c r="E1485" i="4"/>
  <c r="E1484" i="4"/>
  <c r="E1483" i="4"/>
  <c r="E1482" i="4"/>
  <c r="E1481" i="4"/>
  <c r="E1480" i="4"/>
  <c r="E1479" i="4"/>
  <c r="E1478" i="4"/>
  <c r="E1477" i="4"/>
  <c r="E1476" i="4"/>
  <c r="E1475" i="4"/>
  <c r="E1474" i="4"/>
  <c r="E1473" i="4"/>
  <c r="E1472" i="4"/>
  <c r="E1471" i="4"/>
  <c r="E1470" i="4"/>
  <c r="E1469" i="4"/>
  <c r="E1468" i="4"/>
  <c r="E1467" i="4"/>
  <c r="E1466" i="4"/>
  <c r="E1463" i="4"/>
  <c r="E1462" i="4"/>
  <c r="E1461" i="4"/>
  <c r="E1460" i="4"/>
  <c r="E1459" i="4"/>
  <c r="E1458" i="4"/>
  <c r="E1457" i="4"/>
  <c r="E1456" i="4"/>
  <c r="E1455" i="4"/>
  <c r="E1454" i="4"/>
  <c r="E1453" i="4"/>
  <c r="E1452" i="4"/>
  <c r="E1451" i="4"/>
  <c r="E1450" i="4"/>
  <c r="E1449" i="4"/>
  <c r="E1448" i="4"/>
  <c r="E1447" i="4"/>
  <c r="E1446" i="4"/>
  <c r="E1444" i="4"/>
  <c r="E1443" i="4"/>
  <c r="E1442" i="4"/>
  <c r="E1441" i="4"/>
  <c r="E1440" i="4"/>
  <c r="E1439" i="4"/>
  <c r="E1438" i="4"/>
  <c r="E1437" i="4"/>
  <c r="E1436" i="4"/>
  <c r="E1435" i="4"/>
  <c r="E1434" i="4"/>
  <c r="E1433" i="4"/>
  <c r="E1432" i="4"/>
  <c r="E1431" i="4"/>
  <c r="E1430" i="4"/>
  <c r="E1429" i="4"/>
  <c r="E1428" i="4"/>
  <c r="E1427" i="4"/>
  <c r="E1426" i="4"/>
  <c r="E1425" i="4"/>
  <c r="E1424" i="4"/>
  <c r="E1423" i="4"/>
  <c r="E1422" i="4"/>
  <c r="E1421" i="4"/>
  <c r="E1420" i="4"/>
  <c r="E1419" i="4"/>
  <c r="E1418" i="4"/>
  <c r="E1417" i="4"/>
  <c r="E1416" i="4"/>
  <c r="E1415" i="4"/>
  <c r="E1414" i="4"/>
  <c r="E1413" i="4"/>
  <c r="E1412" i="4"/>
  <c r="E1411" i="4"/>
  <c r="E1410" i="4"/>
  <c r="E1409" i="4"/>
  <c r="E1408" i="4"/>
  <c r="E1407" i="4"/>
  <c r="E1406" i="4"/>
  <c r="E1405" i="4"/>
  <c r="E1404" i="4"/>
  <c r="E1403" i="4"/>
  <c r="E1402" i="4"/>
  <c r="E1400" i="4"/>
  <c r="E1399" i="4"/>
  <c r="E1398" i="4"/>
  <c r="E1397" i="4"/>
  <c r="E1396" i="4"/>
  <c r="E1395" i="4"/>
  <c r="E1394" i="4"/>
  <c r="E1393" i="4"/>
  <c r="E1392" i="4"/>
  <c r="E1391" i="4"/>
  <c r="E1390" i="4"/>
  <c r="E1389" i="4"/>
  <c r="E1388" i="4"/>
  <c r="E1387" i="4"/>
  <c r="E1386" i="4"/>
  <c r="E1385" i="4"/>
  <c r="E1384" i="4"/>
  <c r="E1383" i="4"/>
  <c r="E1382" i="4"/>
  <c r="E1381" i="4"/>
  <c r="E1380" i="4"/>
  <c r="E1379" i="4"/>
  <c r="E1378" i="4"/>
  <c r="E1377" i="4"/>
  <c r="E1376" i="4"/>
  <c r="E1375" i="4"/>
  <c r="E1374" i="4"/>
  <c r="E1373" i="4"/>
  <c r="E1372" i="4"/>
  <c r="E1371" i="4"/>
  <c r="E1370" i="4"/>
  <c r="E1369" i="4"/>
  <c r="E1368" i="4"/>
  <c r="E1367" i="4"/>
  <c r="E1366" i="4"/>
  <c r="E1365" i="4"/>
  <c r="E1364" i="4"/>
  <c r="E1363" i="4"/>
  <c r="E1362" i="4"/>
  <c r="E1361" i="4"/>
  <c r="E1360" i="4"/>
  <c r="E1359" i="4"/>
  <c r="E1358" i="4"/>
  <c r="E1357" i="4"/>
  <c r="E1356" i="4"/>
  <c r="E1355" i="4"/>
  <c r="E1354" i="4"/>
  <c r="E1353" i="4"/>
  <c r="E1351" i="4"/>
  <c r="E1350" i="4"/>
  <c r="E1349" i="4"/>
  <c r="E1348" i="4"/>
  <c r="E1347" i="4"/>
  <c r="E1346" i="4"/>
  <c r="E1344" i="4"/>
  <c r="E1343" i="4"/>
  <c r="E1342" i="4"/>
  <c r="E1341" i="4"/>
  <c r="E1340" i="4"/>
  <c r="E1339" i="4"/>
  <c r="E1338" i="4"/>
  <c r="E1337" i="4"/>
  <c r="E1336" i="4"/>
  <c r="E1335" i="4"/>
  <c r="E1334" i="4"/>
  <c r="E1333" i="4"/>
  <c r="E1332" i="4"/>
  <c r="E1331" i="4"/>
  <c r="E1330" i="4"/>
  <c r="E1329" i="4"/>
  <c r="E1328" i="4"/>
  <c r="E1327" i="4"/>
  <c r="E1326" i="4"/>
  <c r="E1325" i="4"/>
  <c r="E1324" i="4"/>
  <c r="E1323" i="4"/>
  <c r="E1322" i="4"/>
  <c r="E1321" i="4"/>
  <c r="E1320" i="4"/>
  <c r="E1319" i="4"/>
  <c r="E1318" i="4"/>
  <c r="E1317" i="4"/>
  <c r="E1316" i="4"/>
  <c r="E1315" i="4"/>
  <c r="E1314" i="4"/>
  <c r="E1313" i="4"/>
  <c r="E1312" i="4"/>
  <c r="E1311" i="4"/>
  <c r="E1310" i="4"/>
  <c r="E1309" i="4"/>
  <c r="P1300" i="4"/>
  <c r="E1308" i="4"/>
  <c r="E1307" i="4"/>
  <c r="E1305" i="4"/>
  <c r="E1304" i="4"/>
  <c r="E1303" i="4"/>
  <c r="E1302" i="4"/>
  <c r="E1301" i="4"/>
  <c r="E1300" i="4"/>
  <c r="E1299" i="4"/>
  <c r="E1298" i="4"/>
  <c r="E1297" i="4"/>
  <c r="E1296" i="4"/>
  <c r="E1295" i="4"/>
  <c r="E1294" i="4"/>
  <c r="E1293" i="4"/>
  <c r="E1292" i="4"/>
  <c r="E1291" i="4"/>
  <c r="E1290" i="4"/>
  <c r="E1289" i="4"/>
  <c r="E1288" i="4"/>
  <c r="E1287" i="4"/>
  <c r="E1286" i="4"/>
  <c r="E1285" i="4"/>
  <c r="E1284" i="4"/>
  <c r="E1283" i="4"/>
  <c r="E1282" i="4"/>
  <c r="E1281" i="4"/>
  <c r="E1280" i="4"/>
  <c r="BP179" i="1"/>
  <c r="BO179" i="1"/>
  <c r="BM126" i="1"/>
  <c r="BN126" i="1"/>
  <c r="BO126" i="1"/>
  <c r="BP126" i="1"/>
  <c r="BP174" i="1"/>
  <c r="BP175" i="1"/>
  <c r="BP176" i="1"/>
  <c r="BP177" i="1"/>
  <c r="BP178" i="1"/>
  <c r="BO174" i="1"/>
  <c r="BO175" i="1"/>
  <c r="BO176" i="1"/>
  <c r="BO177" i="1"/>
  <c r="BO178" i="1"/>
  <c r="BP171" i="1"/>
  <c r="BP172" i="1"/>
  <c r="BP173" i="1"/>
  <c r="BO171" i="1"/>
  <c r="BO172" i="1"/>
  <c r="BO173" i="1"/>
  <c r="BO137" i="1"/>
  <c r="BO135" i="1"/>
  <c r="BP135" i="1"/>
  <c r="BO136" i="1"/>
  <c r="BP136" i="1"/>
  <c r="BO168" i="1"/>
  <c r="BO169" i="1"/>
  <c r="BO170" i="1"/>
  <c r="BP167" i="1"/>
  <c r="BP168" i="1"/>
  <c r="BP169" i="1"/>
  <c r="BP170" i="1"/>
  <c r="BO166" i="1"/>
  <c r="BP166" i="1"/>
  <c r="BO167" i="1"/>
  <c r="BO160" i="1"/>
  <c r="BP160" i="1"/>
  <c r="BO161" i="1"/>
  <c r="BP161" i="1"/>
  <c r="BO162" i="1"/>
  <c r="BP162" i="1"/>
  <c r="E1278" i="4"/>
  <c r="E1277" i="4"/>
  <c r="E1276" i="4"/>
  <c r="E1275" i="4"/>
  <c r="E1274" i="4"/>
  <c r="E1273" i="4"/>
  <c r="E1272" i="4"/>
  <c r="E1271" i="4"/>
  <c r="E1268" i="4"/>
  <c r="E1267" i="4"/>
  <c r="E1266" i="4"/>
  <c r="E1264" i="4"/>
  <c r="E1263" i="4"/>
  <c r="E1262" i="4"/>
  <c r="E1261" i="4"/>
  <c r="E1260" i="4"/>
  <c r="E1259" i="4"/>
  <c r="E1258" i="4"/>
  <c r="E1257" i="4"/>
  <c r="E1256" i="4"/>
  <c r="E1255" i="4"/>
  <c r="E1254" i="4"/>
  <c r="E1253" i="4"/>
  <c r="E1252" i="4"/>
  <c r="E1251" i="4"/>
  <c r="E1250" i="4"/>
  <c r="E1249" i="4"/>
  <c r="E1248" i="4"/>
  <c r="E1247" i="4"/>
  <c r="E1246" i="4"/>
  <c r="E1245" i="4"/>
  <c r="E1244" i="4"/>
  <c r="E1243" i="4"/>
  <c r="E1242" i="4"/>
  <c r="E1241" i="4"/>
  <c r="E1240" i="4"/>
  <c r="E1239" i="4"/>
  <c r="E1238" i="4"/>
  <c r="E1237" i="4"/>
  <c r="E1236" i="4"/>
  <c r="E1235" i="4"/>
  <c r="E1231" i="4"/>
  <c r="E1229" i="4"/>
  <c r="E1225" i="4"/>
  <c r="E1224" i="4"/>
  <c r="E1223" i="4"/>
  <c r="E1222" i="4"/>
  <c r="E1221" i="4"/>
  <c r="E1220" i="4"/>
  <c r="E1219" i="4"/>
  <c r="E1218" i="4"/>
  <c r="E1217" i="4"/>
  <c r="E1216" i="4"/>
  <c r="E1215" i="4"/>
  <c r="E1214" i="4"/>
  <c r="E1213" i="4"/>
  <c r="E1211" i="4"/>
  <c r="E1210" i="4"/>
  <c r="E1209" i="4"/>
  <c r="E1208" i="4"/>
  <c r="Q102" i="1"/>
  <c r="Q103" i="1"/>
  <c r="E1207" i="4"/>
  <c r="E1206" i="4"/>
  <c r="E1205" i="4"/>
  <c r="E1204" i="4"/>
  <c r="E1203" i="4"/>
  <c r="E1202" i="4"/>
  <c r="E1201" i="4"/>
  <c r="E1200" i="4"/>
  <c r="E1199" i="4"/>
  <c r="E1198" i="4"/>
  <c r="E1197" i="4"/>
  <c r="E1196" i="4"/>
  <c r="E1195" i="4"/>
  <c r="Q101" i="1"/>
  <c r="E1194" i="4"/>
  <c r="E1193" i="4"/>
  <c r="E1192" i="4"/>
  <c r="E1191" i="4"/>
  <c r="E1188" i="4"/>
  <c r="E1187" i="4"/>
  <c r="E1185" i="4"/>
  <c r="E1184" i="4"/>
  <c r="E1183" i="4"/>
  <c r="E1182" i="4"/>
  <c r="E1179" i="4"/>
  <c r="E1178" i="4"/>
  <c r="E1177" i="4"/>
  <c r="E1176" i="4"/>
  <c r="E1175" i="4"/>
  <c r="E1174" i="4"/>
  <c r="E1173" i="4"/>
  <c r="E1170" i="4"/>
  <c r="E1169" i="4"/>
  <c r="E1168" i="4"/>
  <c r="E1167" i="4"/>
  <c r="E1165" i="4"/>
  <c r="E1164" i="4"/>
  <c r="E1163" i="4"/>
  <c r="E1162" i="4"/>
  <c r="E1161" i="4"/>
  <c r="E1160" i="4"/>
  <c r="E1159" i="4"/>
  <c r="E1158" i="4"/>
  <c r="E1157" i="4"/>
  <c r="E1156" i="4"/>
  <c r="E1155" i="4"/>
  <c r="E1154" i="4"/>
  <c r="E1153" i="4"/>
  <c r="E1152" i="4"/>
  <c r="E1151" i="4"/>
  <c r="E1150" i="4"/>
  <c r="E1149" i="4"/>
  <c r="E1148" i="4"/>
  <c r="E1147" i="4"/>
  <c r="E1146" i="4"/>
  <c r="E1145" i="4"/>
  <c r="E1144" i="4"/>
  <c r="E1143" i="4"/>
  <c r="E1142" i="4"/>
  <c r="E1141" i="4"/>
  <c r="E1140" i="4"/>
  <c r="E1139" i="4"/>
  <c r="E1138" i="4"/>
  <c r="E1137" i="4"/>
  <c r="E1136" i="4"/>
  <c r="E1135" i="4"/>
  <c r="E1134" i="4"/>
  <c r="E1133" i="4"/>
  <c r="E1132" i="4"/>
  <c r="E1131" i="4"/>
  <c r="E1130" i="4"/>
  <c r="E1129" i="4"/>
  <c r="E1128" i="4"/>
  <c r="E1127" i="4"/>
  <c r="E1126" i="4"/>
  <c r="BP163" i="1"/>
  <c r="BP165" i="1"/>
  <c r="BO163" i="1"/>
  <c r="BO164" i="1"/>
  <c r="BO165" i="1"/>
  <c r="BP157" i="1"/>
  <c r="BP158" i="1"/>
  <c r="BP159" i="1"/>
  <c r="BO157" i="1"/>
  <c r="BO158" i="1"/>
  <c r="BO159" i="1"/>
  <c r="T471" i="5"/>
  <c r="T470" i="5"/>
  <c r="T468" i="5"/>
  <c r="T467" i="5"/>
  <c r="S471" i="5"/>
  <c r="S470" i="5"/>
  <c r="S468" i="5"/>
  <c r="S467" i="5"/>
  <c r="R471" i="5"/>
  <c r="R470" i="5"/>
  <c r="R469" i="5"/>
  <c r="V469" i="5" s="1"/>
  <c r="R468" i="5"/>
  <c r="R467" i="5"/>
  <c r="Q471" i="5"/>
  <c r="E471" i="5"/>
  <c r="Q470" i="5"/>
  <c r="E470" i="5"/>
  <c r="Q469" i="5"/>
  <c r="Q480" i="5"/>
  <c r="AD490" i="5"/>
  <c r="AE490" i="5" s="1"/>
  <c r="Q468" i="5"/>
  <c r="Q467" i="5"/>
  <c r="E1125" i="4"/>
  <c r="E1124" i="4"/>
  <c r="E1123" i="4"/>
  <c r="E1122" i="4"/>
  <c r="E1121" i="4"/>
  <c r="E1120" i="4"/>
  <c r="E1119" i="4"/>
  <c r="E1118" i="4"/>
  <c r="E1117" i="4"/>
  <c r="E1116" i="4"/>
  <c r="E1115" i="4"/>
  <c r="E1114" i="4"/>
  <c r="E1112" i="4"/>
  <c r="E1111" i="4"/>
  <c r="E1110" i="4"/>
  <c r="E1109" i="4"/>
  <c r="E1108" i="4"/>
  <c r="E1106" i="4"/>
  <c r="E1105" i="4"/>
  <c r="E1104" i="4"/>
  <c r="E1103" i="4"/>
  <c r="E1102" i="4"/>
  <c r="E1101" i="4"/>
  <c r="E1100" i="4"/>
  <c r="E1099" i="4"/>
  <c r="F22" i="6"/>
  <c r="F13" i="6"/>
  <c r="BO155" i="1"/>
  <c r="BP155" i="1"/>
  <c r="BO156" i="1"/>
  <c r="BP156" i="1"/>
  <c r="BO146" i="1"/>
  <c r="BP146" i="1"/>
  <c r="BO147" i="1"/>
  <c r="BP147" i="1"/>
  <c r="BO148" i="1"/>
  <c r="BP148" i="1"/>
  <c r="BO149" i="1"/>
  <c r="BP149" i="1"/>
  <c r="BO150" i="1"/>
  <c r="BP150" i="1"/>
  <c r="BO151" i="1"/>
  <c r="BP151" i="1"/>
  <c r="BO152" i="1"/>
  <c r="BP152" i="1"/>
  <c r="BO153" i="1"/>
  <c r="BP153" i="1"/>
  <c r="BO154" i="1"/>
  <c r="BP154" i="1"/>
  <c r="BO139" i="1"/>
  <c r="BP139" i="1"/>
  <c r="BO140" i="1"/>
  <c r="BP140" i="1"/>
  <c r="BO134" i="1"/>
  <c r="BP134" i="1"/>
  <c r="BO138" i="1"/>
  <c r="BP138" i="1"/>
  <c r="BO130" i="1"/>
  <c r="BP130" i="1"/>
  <c r="BO131" i="1"/>
  <c r="BP131" i="1"/>
  <c r="BO132" i="1"/>
  <c r="BP132" i="1"/>
  <c r="BO133" i="1"/>
  <c r="BP133" i="1"/>
  <c r="BP80" i="1"/>
  <c r="BO145" i="1"/>
  <c r="BP145" i="1"/>
  <c r="BP125" i="1"/>
  <c r="BP127" i="1"/>
  <c r="BP128" i="1"/>
  <c r="BP129" i="1"/>
  <c r="BP137" i="1"/>
  <c r="BP141" i="1"/>
  <c r="BP142" i="1"/>
  <c r="BP143" i="1"/>
  <c r="BP144" i="1"/>
  <c r="BO125" i="1"/>
  <c r="BO127" i="1"/>
  <c r="BO128" i="1"/>
  <c r="BO129" i="1"/>
  <c r="BO141" i="1"/>
  <c r="BO142" i="1"/>
  <c r="BO143" i="1"/>
  <c r="BO144" i="1"/>
  <c r="BO124" i="1"/>
  <c r="BP124" i="1"/>
  <c r="BN124" i="1"/>
  <c r="BN125" i="1"/>
  <c r="BM124" i="1"/>
  <c r="BM125" i="1"/>
  <c r="E469" i="5"/>
  <c r="BP121" i="1"/>
  <c r="BP122" i="1"/>
  <c r="BP123" i="1"/>
  <c r="BO120" i="1"/>
  <c r="BO121" i="1"/>
  <c r="BO122" i="1"/>
  <c r="BO123" i="1"/>
  <c r="BN121" i="1"/>
  <c r="BN122" i="1"/>
  <c r="BN123" i="1"/>
  <c r="BM121" i="1"/>
  <c r="BM122" i="1"/>
  <c r="BM123" i="1"/>
  <c r="E1098" i="4"/>
  <c r="E1097" i="4"/>
  <c r="E1096" i="4"/>
  <c r="E1095" i="4"/>
  <c r="E1094" i="4"/>
  <c r="E1093" i="4"/>
  <c r="E1092" i="4"/>
  <c r="E1091" i="4"/>
  <c r="E1090" i="4"/>
  <c r="E1089" i="4"/>
  <c r="E1088" i="4"/>
  <c r="E1087" i="4"/>
  <c r="AC469" i="5" s="1"/>
  <c r="E1085" i="4"/>
  <c r="E1084" i="4"/>
  <c r="E1083" i="4"/>
  <c r="E1082" i="4"/>
  <c r="E1081" i="4"/>
  <c r="E1080" i="4"/>
  <c r="E1079" i="4"/>
  <c r="BP102" i="1"/>
  <c r="BP103" i="1"/>
  <c r="BO102" i="1"/>
  <c r="BO103" i="1"/>
  <c r="BM102" i="1"/>
  <c r="BM103" i="1"/>
  <c r="BP118" i="1"/>
  <c r="BP119" i="1"/>
  <c r="BP120" i="1"/>
  <c r="BO118" i="1"/>
  <c r="BO119" i="1"/>
  <c r="BN118" i="1"/>
  <c r="BN119" i="1"/>
  <c r="BN120" i="1"/>
  <c r="BM118" i="1"/>
  <c r="BM119" i="1"/>
  <c r="BM120" i="1"/>
  <c r="BP116" i="1"/>
  <c r="BP117" i="1"/>
  <c r="BO116" i="1"/>
  <c r="BO117" i="1"/>
  <c r="BN116" i="1"/>
  <c r="BN117" i="1"/>
  <c r="BM116" i="1"/>
  <c r="BM117" i="1"/>
  <c r="BP113" i="1"/>
  <c r="BP114" i="1"/>
  <c r="BP115" i="1"/>
  <c r="BO113" i="1"/>
  <c r="BO114" i="1"/>
  <c r="BO115" i="1"/>
  <c r="BN113" i="1"/>
  <c r="BN114" i="1"/>
  <c r="BN115" i="1"/>
  <c r="BM113" i="1"/>
  <c r="BM114" i="1"/>
  <c r="BM115" i="1"/>
  <c r="BP109" i="1"/>
  <c r="BP110" i="1"/>
  <c r="BP111" i="1"/>
  <c r="BP112" i="1"/>
  <c r="BO109" i="1"/>
  <c r="BO110" i="1"/>
  <c r="BO111" i="1"/>
  <c r="BO112" i="1"/>
  <c r="BN109" i="1"/>
  <c r="BN110" i="1"/>
  <c r="BN111" i="1"/>
  <c r="BN112" i="1"/>
  <c r="BM109" i="1"/>
  <c r="BM110" i="1"/>
  <c r="BM111" i="1"/>
  <c r="BM112" i="1"/>
  <c r="B14" i="6"/>
  <c r="C14" i="6" s="1"/>
  <c r="B12" i="6"/>
  <c r="C12" i="6" s="1"/>
  <c r="B11" i="6"/>
  <c r="C11" i="6" s="1"/>
  <c r="B10" i="6"/>
  <c r="C10" i="6" s="1"/>
  <c r="B9" i="6"/>
  <c r="C9" i="6" s="1"/>
  <c r="B8" i="6"/>
  <c r="C8" i="6" s="1"/>
  <c r="B7" i="6"/>
  <c r="C7" i="6" s="1"/>
  <c r="B5" i="6"/>
  <c r="C5" i="6" s="1"/>
  <c r="B4" i="6"/>
  <c r="C4" i="6" s="1"/>
  <c r="B3" i="6"/>
  <c r="C3" i="6" s="1"/>
  <c r="B2" i="6"/>
  <c r="C2" i="6" s="1"/>
  <c r="E641" i="5"/>
  <c r="E638" i="5"/>
  <c r="AG638" i="5" s="1"/>
  <c r="E626" i="5"/>
  <c r="E623" i="5"/>
  <c r="E637" i="5"/>
  <c r="AG637" i="5" s="1"/>
  <c r="E622" i="5"/>
  <c r="AG622" i="5" s="1"/>
  <c r="E608" i="5"/>
  <c r="AG608" i="5" s="1"/>
  <c r="E607" i="5"/>
  <c r="AG607" i="5" s="1"/>
  <c r="AG605" i="5"/>
  <c r="E588" i="5"/>
  <c r="E587" i="5"/>
  <c r="E589" i="5"/>
  <c r="E586" i="5"/>
  <c r="AG586" i="5" s="1"/>
  <c r="E576" i="5"/>
  <c r="E574" i="5"/>
  <c r="AG574" i="5" s="1"/>
  <c r="E567" i="5"/>
  <c r="AG567" i="5" s="1"/>
  <c r="BN99" i="1"/>
  <c r="BN104" i="1"/>
  <c r="BN105" i="1"/>
  <c r="BN106" i="1"/>
  <c r="BN107" i="1"/>
  <c r="BN108" i="1"/>
  <c r="BO104" i="1"/>
  <c r="BO105" i="1"/>
  <c r="BO106" i="1"/>
  <c r="BO107" i="1"/>
  <c r="BO108" i="1"/>
  <c r="BP104" i="1"/>
  <c r="BP105" i="1"/>
  <c r="BP106" i="1"/>
  <c r="BP107" i="1"/>
  <c r="BP108" i="1"/>
  <c r="BM99" i="1"/>
  <c r="BM100" i="1"/>
  <c r="BM101" i="1"/>
  <c r="BM104" i="1"/>
  <c r="BM105" i="1"/>
  <c r="BM106" i="1"/>
  <c r="BM107" i="1"/>
  <c r="BM108" i="1"/>
  <c r="E540" i="5"/>
  <c r="AG540" i="5" s="1"/>
  <c r="E529" i="5"/>
  <c r="AG529" i="5" s="1"/>
  <c r="E510" i="5"/>
  <c r="E509" i="5"/>
  <c r="E508" i="5"/>
  <c r="AG508" i="5" s="1"/>
  <c r="E507" i="5"/>
  <c r="AG507" i="5" s="1"/>
  <c r="E501" i="5"/>
  <c r="AG501" i="5" s="1"/>
  <c r="E500" i="5"/>
  <c r="E492" i="5"/>
  <c r="AG492" i="5" s="1"/>
  <c r="E491" i="5"/>
  <c r="E480" i="5"/>
  <c r="E468" i="5"/>
  <c r="E182" i="5"/>
  <c r="E71" i="5"/>
  <c r="E61" i="5"/>
  <c r="E49" i="5"/>
  <c r="E44" i="5"/>
  <c r="E33" i="5"/>
  <c r="AC575" i="5"/>
  <c r="BP101" i="1"/>
  <c r="BO101" i="1"/>
  <c r="BP100" i="1"/>
  <c r="BO100" i="1"/>
  <c r="BP99" i="1"/>
  <c r="BO99" i="1"/>
  <c r="BP44" i="1"/>
  <c r="E1016" i="4"/>
  <c r="E1015" i="4"/>
  <c r="E1014" i="4"/>
  <c r="E1013" i="4"/>
  <c r="E835" i="4"/>
  <c r="E834" i="4"/>
  <c r="E833" i="4"/>
  <c r="E832" i="4"/>
  <c r="E830" i="4"/>
  <c r="E829" i="4"/>
  <c r="E392" i="4"/>
  <c r="E391" i="4"/>
  <c r="E389" i="4"/>
  <c r="E388" i="4"/>
  <c r="E387" i="4"/>
  <c r="E386" i="4"/>
  <c r="E385" i="4"/>
  <c r="E384" i="4"/>
  <c r="E383" i="4"/>
  <c r="E382" i="4"/>
  <c r="E381" i="4"/>
  <c r="E380" i="4"/>
  <c r="E379" i="4"/>
  <c r="E377" i="4"/>
  <c r="E376" i="4"/>
  <c r="E375" i="4"/>
  <c r="E374" i="4"/>
  <c r="E373" i="4"/>
  <c r="E372" i="4"/>
  <c r="E371" i="4"/>
  <c r="E407" i="4"/>
  <c r="E406" i="4"/>
  <c r="E405" i="4"/>
  <c r="E403" i="4"/>
  <c r="E402" i="4"/>
  <c r="E401" i="4"/>
  <c r="E398" i="4"/>
  <c r="E396" i="4"/>
  <c r="E393" i="4"/>
  <c r="E370" i="4"/>
  <c r="E369" i="4"/>
  <c r="E368" i="4"/>
  <c r="E367" i="4"/>
  <c r="E363" i="4"/>
  <c r="E362"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1078" i="4"/>
  <c r="E1077" i="4"/>
  <c r="E1076" i="4"/>
  <c r="AC388" i="5" s="1"/>
  <c r="E1075" i="4"/>
  <c r="E1074" i="4"/>
  <c r="E1073" i="4"/>
  <c r="E1072" i="4"/>
  <c r="E1071" i="4"/>
  <c r="E1070" i="4"/>
  <c r="E1069" i="4"/>
  <c r="AC387" i="5" s="1"/>
  <c r="E1066" i="4"/>
  <c r="E1065" i="4"/>
  <c r="E1064" i="4"/>
  <c r="E1063" i="4"/>
  <c r="AC196" i="5" s="1"/>
  <c r="E1054" i="4"/>
  <c r="E1062" i="4"/>
  <c r="E1061" i="4"/>
  <c r="E1060" i="4"/>
  <c r="E1059" i="4"/>
  <c r="E1058" i="4"/>
  <c r="E1057" i="4"/>
  <c r="AC380" i="5" s="1"/>
  <c r="E1056" i="4"/>
  <c r="E1055" i="4"/>
  <c r="E1053" i="4"/>
  <c r="E1052" i="4"/>
  <c r="E1051" i="4"/>
  <c r="AC641" i="5" s="1"/>
  <c r="E1050" i="4"/>
  <c r="AC510" i="5" s="1"/>
  <c r="E1049" i="4"/>
  <c r="AC33" i="5" s="1"/>
  <c r="E1048" i="4"/>
  <c r="E1047" i="4"/>
  <c r="E1046" i="4"/>
  <c r="E1045" i="4"/>
  <c r="E1044" i="4"/>
  <c r="E1043" i="4"/>
  <c r="E1042" i="4"/>
  <c r="E1040" i="4"/>
  <c r="E1039" i="4"/>
  <c r="E1038" i="4"/>
  <c r="E1037" i="4"/>
  <c r="E1036" i="4"/>
  <c r="E1035" i="4"/>
  <c r="E1034" i="4"/>
  <c r="E1033" i="4"/>
  <c r="E1032" i="4"/>
  <c r="E1031" i="4"/>
  <c r="E1030" i="4"/>
  <c r="E1029" i="4"/>
  <c r="E1028" i="4"/>
  <c r="E1027" i="4"/>
  <c r="E1026" i="4"/>
  <c r="E1025" i="4"/>
  <c r="E1024" i="4"/>
  <c r="E1023" i="4"/>
  <c r="E1022" i="4"/>
  <c r="E1021" i="4"/>
  <c r="E1020" i="4"/>
  <c r="E1019" i="4"/>
  <c r="E1018" i="4"/>
  <c r="E1017" i="4"/>
  <c r="E1012" i="4"/>
  <c r="E1011" i="4"/>
  <c r="E1010" i="4"/>
  <c r="E1009" i="4"/>
  <c r="E1008" i="4"/>
  <c r="E1007" i="4"/>
  <c r="E1006" i="4"/>
  <c r="E1005" i="4"/>
  <c r="E1004" i="4"/>
  <c r="E1003" i="4"/>
  <c r="E1002" i="4"/>
  <c r="E1001" i="4"/>
  <c r="E1000" i="4"/>
  <c r="E999" i="4"/>
  <c r="E998" i="4"/>
  <c r="E997" i="4"/>
  <c r="E996" i="4"/>
  <c r="E995" i="4"/>
  <c r="E994" i="4"/>
  <c r="E993" i="4"/>
  <c r="E992" i="4"/>
  <c r="E991" i="4"/>
  <c r="E990" i="4"/>
  <c r="E989" i="4"/>
  <c r="E988" i="4"/>
  <c r="E987" i="4"/>
  <c r="E986" i="4"/>
  <c r="E985" i="4"/>
  <c r="E984" i="4"/>
  <c r="E983" i="4"/>
  <c r="E982" i="4"/>
  <c r="E981" i="4"/>
  <c r="E980" i="4"/>
  <c r="E979" i="4"/>
  <c r="E978" i="4"/>
  <c r="E977" i="4"/>
  <c r="E976" i="4"/>
  <c r="E975" i="4"/>
  <c r="E974" i="4"/>
  <c r="E973" i="4"/>
  <c r="E972" i="4"/>
  <c r="E971" i="4"/>
  <c r="E970" i="4"/>
  <c r="E969" i="4"/>
  <c r="E968" i="4"/>
  <c r="E967" i="4"/>
  <c r="E966" i="4"/>
  <c r="E965" i="4"/>
  <c r="E964" i="4"/>
  <c r="E963" i="4"/>
  <c r="E962" i="4"/>
  <c r="AC608" i="5" s="1"/>
  <c r="E961" i="4"/>
  <c r="E960" i="4"/>
  <c r="E959" i="4"/>
  <c r="E958" i="4"/>
  <c r="E957" i="4"/>
  <c r="E956" i="4"/>
  <c r="E955" i="4"/>
  <c r="E954" i="4"/>
  <c r="E953" i="4"/>
  <c r="E952" i="4"/>
  <c r="E951" i="4"/>
  <c r="E950" i="4"/>
  <c r="E949" i="4"/>
  <c r="E948" i="4"/>
  <c r="E947" i="4"/>
  <c r="E946" i="4"/>
  <c r="E945" i="4"/>
  <c r="E944" i="4"/>
  <c r="E943" i="4"/>
  <c r="E942" i="4"/>
  <c r="E941" i="4"/>
  <c r="E940" i="4"/>
  <c r="Q83" i="1"/>
  <c r="Q82" i="1"/>
  <c r="Q81" i="1"/>
  <c r="Q85" i="1"/>
  <c r="Q84" i="1"/>
  <c r="Q86" i="1"/>
  <c r="E939" i="4"/>
  <c r="E938" i="4"/>
  <c r="E937" i="4"/>
  <c r="E936" i="4"/>
  <c r="E935" i="4"/>
  <c r="E934" i="4"/>
  <c r="E933" i="4"/>
  <c r="E932" i="4"/>
  <c r="E931" i="4"/>
  <c r="E929" i="4"/>
  <c r="AC83" i="5" s="1"/>
  <c r="E928" i="4"/>
  <c r="E927" i="4"/>
  <c r="E926" i="4"/>
  <c r="E925" i="4"/>
  <c r="E924" i="4"/>
  <c r="E922" i="4"/>
  <c r="E921" i="4"/>
  <c r="E920" i="4"/>
  <c r="E919" i="4"/>
  <c r="E918" i="4"/>
  <c r="E917" i="4"/>
  <c r="AC44" i="5" s="1"/>
  <c r="E916" i="4"/>
  <c r="AC49" i="5" s="1"/>
  <c r="E915" i="4"/>
  <c r="E914" i="4"/>
  <c r="E913" i="4"/>
  <c r="E912" i="4"/>
  <c r="E911" i="4"/>
  <c r="E910" i="4"/>
  <c r="E909" i="4"/>
  <c r="E908" i="4"/>
  <c r="E907" i="4"/>
  <c r="E906" i="4"/>
  <c r="E905" i="4"/>
  <c r="E904" i="4"/>
  <c r="E903" i="4"/>
  <c r="E902" i="4"/>
  <c r="E900" i="4"/>
  <c r="E899" i="4"/>
  <c r="E898" i="4"/>
  <c r="E897" i="4"/>
  <c r="E896" i="4"/>
  <c r="E895" i="4"/>
  <c r="AC529" i="5" s="1"/>
  <c r="E894" i="4"/>
  <c r="E893" i="4"/>
  <c r="E892" i="4"/>
  <c r="E891" i="4"/>
  <c r="AC567" i="5" s="1"/>
  <c r="E890" i="4"/>
  <c r="E889" i="4"/>
  <c r="AC368" i="5" s="1"/>
  <c r="E888" i="4"/>
  <c r="E887" i="4"/>
  <c r="E886" i="4"/>
  <c r="E885" i="4"/>
  <c r="E868" i="4"/>
  <c r="E867" i="4"/>
  <c r="E866" i="4"/>
  <c r="E865" i="4"/>
  <c r="E864" i="4"/>
  <c r="E863" i="4"/>
  <c r="E862" i="4"/>
  <c r="E861" i="4"/>
  <c r="E860" i="4"/>
  <c r="E859" i="4"/>
  <c r="E858" i="4"/>
  <c r="E856" i="4"/>
  <c r="E855" i="4"/>
  <c r="E854" i="4"/>
  <c r="E853" i="4"/>
  <c r="E852" i="4"/>
  <c r="E851" i="4"/>
  <c r="E850" i="4"/>
  <c r="E849" i="4"/>
  <c r="E848" i="4"/>
  <c r="E847" i="4"/>
  <c r="E846" i="4"/>
  <c r="E845" i="4"/>
  <c r="E844" i="4"/>
  <c r="E843" i="4"/>
  <c r="E842" i="4"/>
  <c r="E841" i="4"/>
  <c r="E840" i="4"/>
  <c r="E839" i="4"/>
  <c r="E884" i="4"/>
  <c r="E883" i="4"/>
  <c r="E882" i="4"/>
  <c r="E881" i="4"/>
  <c r="E880" i="4"/>
  <c r="E879" i="4"/>
  <c r="E878" i="4"/>
  <c r="E877" i="4"/>
  <c r="E876" i="4"/>
  <c r="E875" i="4"/>
  <c r="E874" i="4"/>
  <c r="E873" i="4"/>
  <c r="E872" i="4"/>
  <c r="E871" i="4"/>
  <c r="E870" i="4"/>
  <c r="E869" i="4"/>
  <c r="E828" i="4"/>
  <c r="E827" i="4"/>
  <c r="E826" i="4"/>
  <c r="E825" i="4"/>
  <c r="E823" i="4"/>
  <c r="E822" i="4"/>
  <c r="E821" i="4"/>
  <c r="E818" i="4"/>
  <c r="E816" i="4"/>
  <c r="E815" i="4"/>
  <c r="E814" i="4"/>
  <c r="E813" i="4"/>
  <c r="E812" i="4"/>
  <c r="E811" i="4"/>
  <c r="AC468" i="5" s="1"/>
  <c r="E810" i="4"/>
  <c r="E809" i="4"/>
  <c r="E808" i="4"/>
  <c r="E807" i="4"/>
  <c r="E806" i="4"/>
  <c r="E805" i="4"/>
  <c r="E804" i="4"/>
  <c r="E803" i="4"/>
  <c r="AC236" i="5" s="1"/>
  <c r="E802" i="4"/>
  <c r="E801" i="4"/>
  <c r="AC181" i="5" s="1"/>
  <c r="E800" i="4"/>
  <c r="E799" i="4"/>
  <c r="E798" i="4"/>
  <c r="E797" i="4"/>
  <c r="E796" i="4"/>
  <c r="E795" i="4"/>
  <c r="E794" i="4"/>
  <c r="E793" i="4"/>
  <c r="E792" i="4"/>
  <c r="E791" i="4"/>
  <c r="E790" i="4"/>
  <c r="E789" i="4"/>
  <c r="AC2" i="5" s="1"/>
  <c r="E788" i="4"/>
  <c r="E787" i="4"/>
  <c r="AC492" i="5" s="1"/>
  <c r="E786" i="4"/>
  <c r="E785" i="4"/>
  <c r="E784" i="4"/>
  <c r="E783" i="4"/>
  <c r="E782" i="4"/>
  <c r="E781" i="4"/>
  <c r="E780" i="4"/>
  <c r="E779" i="4"/>
  <c r="E838" i="4"/>
  <c r="AC32" i="5" s="1"/>
  <c r="E837" i="4"/>
  <c r="AC509" i="5" s="1"/>
  <c r="E778" i="4"/>
  <c r="E777" i="4"/>
  <c r="E776" i="4"/>
  <c r="E775" i="4"/>
  <c r="E773" i="4"/>
  <c r="E772" i="4"/>
  <c r="E771" i="4"/>
  <c r="E770" i="4"/>
  <c r="E769" i="4"/>
  <c r="E768" i="4"/>
  <c r="E767" i="4"/>
  <c r="E766" i="4"/>
  <c r="E765" i="4"/>
  <c r="E764" i="4"/>
  <c r="E763" i="4"/>
  <c r="E762" i="4"/>
  <c r="E761" i="4"/>
  <c r="E760" i="4"/>
  <c r="E759" i="4"/>
  <c r="E758" i="4"/>
  <c r="E757" i="4"/>
  <c r="E756" i="4"/>
  <c r="E755" i="4"/>
  <c r="E754" i="4"/>
  <c r="E753" i="4"/>
  <c r="E752" i="4"/>
  <c r="AC12" i="5" s="1"/>
  <c r="E751" i="4"/>
  <c r="E750" i="4"/>
  <c r="E749" i="4"/>
  <c r="E748" i="4"/>
  <c r="E747" i="4"/>
  <c r="E746" i="4"/>
  <c r="E745" i="4"/>
  <c r="E744" i="4"/>
  <c r="E742" i="4"/>
  <c r="E741" i="4"/>
  <c r="E740" i="4"/>
  <c r="E739" i="4"/>
  <c r="E738" i="4"/>
  <c r="E737" i="4"/>
  <c r="E736" i="4"/>
  <c r="E735" i="4"/>
  <c r="E734" i="4"/>
  <c r="E733" i="4"/>
  <c r="E732" i="4"/>
  <c r="E731" i="4"/>
  <c r="E730" i="4"/>
  <c r="E729" i="4"/>
  <c r="E728" i="4"/>
  <c r="E727" i="4"/>
  <c r="E726" i="4"/>
  <c r="E725" i="4"/>
  <c r="E724" i="4"/>
  <c r="E723" i="4"/>
  <c r="E722" i="4"/>
  <c r="E720" i="4"/>
  <c r="E719" i="4"/>
  <c r="E718" i="4"/>
  <c r="E717" i="4"/>
  <c r="E716" i="4"/>
  <c r="E715" i="4"/>
  <c r="E714" i="4"/>
  <c r="E713" i="4"/>
  <c r="E712" i="4"/>
  <c r="E710" i="4"/>
  <c r="E709" i="4"/>
  <c r="E708" i="4"/>
  <c r="E707" i="4"/>
  <c r="E706" i="4"/>
  <c r="E705" i="4"/>
  <c r="E704" i="4"/>
  <c r="E703" i="4"/>
  <c r="E701" i="4"/>
  <c r="E702" i="4"/>
  <c r="E700" i="4"/>
  <c r="E699" i="4"/>
  <c r="E698" i="4"/>
  <c r="E697" i="4"/>
  <c r="E696" i="4"/>
  <c r="E695" i="4"/>
  <c r="E694" i="4"/>
  <c r="E693" i="4"/>
  <c r="E692" i="4"/>
  <c r="E691" i="4"/>
  <c r="E690" i="4"/>
  <c r="E689" i="4"/>
  <c r="E688" i="4"/>
  <c r="E687" i="4"/>
  <c r="E686" i="4"/>
  <c r="E685" i="4"/>
  <c r="E684" i="4"/>
  <c r="E683" i="4"/>
  <c r="E682" i="4"/>
  <c r="E680" i="4"/>
  <c r="E679" i="4"/>
  <c r="E678" i="4"/>
  <c r="E677" i="4"/>
  <c r="E675" i="4"/>
  <c r="E674" i="4"/>
  <c r="E673" i="4"/>
  <c r="E672" i="4"/>
  <c r="E671" i="4"/>
  <c r="E670" i="4"/>
  <c r="E669" i="4"/>
  <c r="E668" i="4"/>
  <c r="E667" i="4"/>
  <c r="E666" i="4"/>
  <c r="E665" i="4"/>
  <c r="E663" i="4"/>
  <c r="AC43" i="5" s="1"/>
  <c r="E662" i="4"/>
  <c r="AC24" i="5" s="1"/>
  <c r="E661" i="4"/>
  <c r="AC48" i="5" s="1"/>
  <c r="E660" i="4"/>
  <c r="E658" i="4"/>
  <c r="E657" i="4"/>
  <c r="E656" i="4"/>
  <c r="E655" i="4"/>
  <c r="E654" i="4"/>
  <c r="E653" i="4"/>
  <c r="E652" i="4"/>
  <c r="E651" i="4"/>
  <c r="E650" i="4"/>
  <c r="E649" i="4"/>
  <c r="E648" i="4"/>
  <c r="E647" i="4"/>
  <c r="E646" i="4"/>
  <c r="E643" i="4"/>
  <c r="E642" i="4"/>
  <c r="E641" i="4"/>
  <c r="E640" i="4"/>
  <c r="E639" i="4"/>
  <c r="E638" i="4"/>
  <c r="E637" i="4"/>
  <c r="E636" i="4"/>
  <c r="E635" i="4"/>
  <c r="E634" i="4"/>
  <c r="E633" i="4"/>
  <c r="AC70" i="5" s="1"/>
  <c r="E632" i="4"/>
  <c r="E631" i="4"/>
  <c r="E630" i="4"/>
  <c r="E629" i="4"/>
  <c r="E628" i="4"/>
  <c r="E627" i="4"/>
  <c r="E626" i="4"/>
  <c r="BP12" i="1"/>
  <c r="BM11" i="1"/>
  <c r="E625" i="4"/>
  <c r="E624" i="4"/>
  <c r="AC528" i="5" s="1"/>
  <c r="E623" i="4"/>
  <c r="E622" i="4"/>
  <c r="AC573" i="5" s="1"/>
  <c r="E620" i="4"/>
  <c r="E619" i="4"/>
  <c r="E618" i="4"/>
  <c r="E617" i="4"/>
  <c r="E616" i="4"/>
  <c r="E615" i="4"/>
  <c r="E614" i="4"/>
  <c r="E613" i="4"/>
  <c r="E612" i="4"/>
  <c r="E611" i="4"/>
  <c r="AC520" i="5" s="1"/>
  <c r="E610" i="4"/>
  <c r="E609" i="4"/>
  <c r="E607" i="4"/>
  <c r="E606" i="4"/>
  <c r="AC566" i="5" s="1"/>
  <c r="E605" i="4"/>
  <c r="E604" i="4"/>
  <c r="E602" i="4"/>
  <c r="E601" i="4"/>
  <c r="E600" i="4"/>
  <c r="E599" i="4"/>
  <c r="E598" i="4"/>
  <c r="E597" i="4"/>
  <c r="E596" i="4"/>
  <c r="E595" i="4"/>
  <c r="E594" i="4"/>
  <c r="E593" i="4"/>
  <c r="E592" i="4"/>
  <c r="AC554" i="5" s="1"/>
  <c r="E591" i="4"/>
  <c r="E590" i="4"/>
  <c r="E589" i="4"/>
  <c r="E588" i="4"/>
  <c r="E587" i="4"/>
  <c r="E586" i="4"/>
  <c r="E585" i="4"/>
  <c r="E584" i="4"/>
  <c r="E583" i="4"/>
  <c r="E582" i="4"/>
  <c r="AC553" i="5" s="1"/>
  <c r="E581" i="4"/>
  <c r="E580" i="4"/>
  <c r="E579" i="4"/>
  <c r="E578" i="4"/>
  <c r="E577" i="4"/>
  <c r="E576" i="4"/>
  <c r="E575" i="4"/>
  <c r="E574" i="4"/>
  <c r="E573" i="4"/>
  <c r="E572" i="4"/>
  <c r="E571" i="4"/>
  <c r="E570" i="4"/>
  <c r="E569" i="4"/>
  <c r="E568" i="4"/>
  <c r="E567" i="4"/>
  <c r="E566" i="4"/>
  <c r="E565" i="4"/>
  <c r="E564" i="4"/>
  <c r="E563" i="4"/>
  <c r="E562" i="4"/>
  <c r="E561" i="4"/>
  <c r="E560" i="4"/>
  <c r="E558" i="4"/>
  <c r="E557" i="4"/>
  <c r="E556" i="4"/>
  <c r="E555" i="4"/>
  <c r="E554" i="4"/>
  <c r="E553" i="4"/>
  <c r="E551" i="4"/>
  <c r="E550" i="4"/>
  <c r="E549" i="4"/>
  <c r="E548" i="4"/>
  <c r="E547" i="4"/>
  <c r="E546" i="4"/>
  <c r="E545" i="4"/>
  <c r="E544" i="4"/>
  <c r="E543" i="4"/>
  <c r="E542" i="4"/>
  <c r="E541" i="4"/>
  <c r="E540" i="4"/>
  <c r="E539" i="4"/>
  <c r="E538" i="4"/>
  <c r="E537" i="4"/>
  <c r="E536" i="4"/>
  <c r="E535" i="4"/>
  <c r="E534" i="4"/>
  <c r="E533" i="4"/>
  <c r="E530" i="4"/>
  <c r="E529" i="4"/>
  <c r="E516" i="4"/>
  <c r="E515" i="4"/>
  <c r="E514" i="4"/>
  <c r="E513" i="4"/>
  <c r="E512" i="4"/>
  <c r="E511" i="4"/>
  <c r="E510" i="4"/>
  <c r="E528" i="4"/>
  <c r="E527" i="4"/>
  <c r="E526" i="4"/>
  <c r="E525" i="4"/>
  <c r="E524" i="4"/>
  <c r="E523" i="4"/>
  <c r="E522" i="4"/>
  <c r="E521" i="4"/>
  <c r="E520" i="4"/>
  <c r="E519" i="4"/>
  <c r="E518" i="4"/>
  <c r="E491" i="4"/>
  <c r="E490" i="4"/>
  <c r="E489" i="4"/>
  <c r="E488" i="4"/>
  <c r="E487" i="4"/>
  <c r="E486" i="4"/>
  <c r="E485" i="4"/>
  <c r="E484" i="4"/>
  <c r="E483" i="4"/>
  <c r="E482" i="4"/>
  <c r="E481" i="4"/>
  <c r="E480" i="4"/>
  <c r="E479" i="4"/>
  <c r="E478" i="4"/>
  <c r="E477" i="4"/>
  <c r="E476" i="4"/>
  <c r="E475" i="4"/>
  <c r="E474" i="4"/>
  <c r="E473" i="4"/>
  <c r="E472" i="4"/>
  <c r="E471" i="4"/>
  <c r="E470" i="4"/>
  <c r="E469" i="4"/>
  <c r="AC467" i="5" s="1"/>
  <c r="E468" i="4"/>
  <c r="E467" i="4"/>
  <c r="E466" i="4"/>
  <c r="E465" i="4"/>
  <c r="E464" i="4"/>
  <c r="E463" i="4"/>
  <c r="E462" i="4"/>
  <c r="BP95" i="1"/>
  <c r="BO95" i="1"/>
  <c r="BN95" i="1"/>
  <c r="BM95" i="1"/>
  <c r="BO80" i="1"/>
  <c r="BN80" i="1"/>
  <c r="BP92" i="1"/>
  <c r="BP93" i="1"/>
  <c r="BP94" i="1"/>
  <c r="BP96" i="1"/>
  <c r="BP97" i="1"/>
  <c r="BP98" i="1"/>
  <c r="BP51" i="1"/>
  <c r="BP52" i="1"/>
  <c r="BP53" i="1"/>
  <c r="BP54" i="1"/>
  <c r="BP55" i="1"/>
  <c r="BO92" i="1"/>
  <c r="BO93" i="1"/>
  <c r="BO94" i="1"/>
  <c r="BO96" i="1"/>
  <c r="BO97" i="1"/>
  <c r="BO98" i="1"/>
  <c r="BO51" i="1"/>
  <c r="BO52" i="1"/>
  <c r="BO53" i="1"/>
  <c r="BO54" i="1"/>
  <c r="BO55" i="1"/>
  <c r="BN92" i="1"/>
  <c r="BN93" i="1"/>
  <c r="BN94" i="1"/>
  <c r="BN96" i="1"/>
  <c r="BN97" i="1"/>
  <c r="BN98" i="1"/>
  <c r="BN51" i="1"/>
  <c r="BN52" i="1"/>
  <c r="BN53" i="1"/>
  <c r="BN54" i="1"/>
  <c r="BN55" i="1"/>
  <c r="BM92" i="1"/>
  <c r="BM93" i="1"/>
  <c r="BM94" i="1"/>
  <c r="BM96" i="1"/>
  <c r="BM97" i="1"/>
  <c r="BM98" i="1"/>
  <c r="BM51" i="1"/>
  <c r="BM52" i="1"/>
  <c r="BM53" i="1"/>
  <c r="BM54" i="1"/>
  <c r="BM55" i="1"/>
  <c r="BP90" i="1"/>
  <c r="BP91" i="1"/>
  <c r="BO90" i="1"/>
  <c r="BO91" i="1"/>
  <c r="BM90" i="1"/>
  <c r="BM91" i="1"/>
  <c r="BN90" i="1"/>
  <c r="BN91" i="1"/>
  <c r="BP89" i="1"/>
  <c r="BO89" i="1"/>
  <c r="BN89" i="1"/>
  <c r="BM89" i="1"/>
  <c r="BP83" i="1"/>
  <c r="BP84" i="1"/>
  <c r="BP85" i="1"/>
  <c r="BP86" i="1"/>
  <c r="BP87" i="1"/>
  <c r="BP88" i="1"/>
  <c r="BO83" i="1"/>
  <c r="BO84" i="1"/>
  <c r="BO85" i="1"/>
  <c r="BO86" i="1"/>
  <c r="BO87" i="1"/>
  <c r="BO88" i="1"/>
  <c r="BN78" i="1"/>
  <c r="BN79" i="1"/>
  <c r="BN81" i="1"/>
  <c r="BN82" i="1"/>
  <c r="BN83" i="1"/>
  <c r="BN84" i="1"/>
  <c r="BN85" i="1"/>
  <c r="BN86" i="1"/>
  <c r="BN87" i="1"/>
  <c r="BN88" i="1"/>
  <c r="BM78" i="1"/>
  <c r="BM79" i="1"/>
  <c r="BM84" i="1"/>
  <c r="BM85" i="1"/>
  <c r="BM86" i="1"/>
  <c r="BM87" i="1"/>
  <c r="BM88" i="1"/>
  <c r="BO82" i="1"/>
  <c r="BP82" i="1"/>
  <c r="BO81" i="1"/>
  <c r="BO79" i="1"/>
  <c r="BO78" i="1"/>
  <c r="BP81" i="1"/>
  <c r="BP79" i="1"/>
  <c r="BP78" i="1"/>
  <c r="BP77" i="1"/>
  <c r="BO77" i="1"/>
  <c r="BN77" i="1"/>
  <c r="BM77" i="1"/>
  <c r="BP76" i="1"/>
  <c r="BO76" i="1"/>
  <c r="BN76" i="1"/>
  <c r="BM76" i="1"/>
  <c r="BP75" i="1"/>
  <c r="BN75" i="1"/>
  <c r="BM75" i="1"/>
  <c r="BO75" i="1"/>
  <c r="E509" i="4"/>
  <c r="E508" i="4"/>
  <c r="E507" i="4"/>
  <c r="E506" i="4"/>
  <c r="E505" i="4"/>
  <c r="E504" i="4"/>
  <c r="E503" i="4"/>
  <c r="E494" i="4"/>
  <c r="E495" i="4"/>
  <c r="AC458" i="5" s="1"/>
  <c r="E502" i="4"/>
  <c r="E500" i="4"/>
  <c r="E499" i="4"/>
  <c r="E498" i="4"/>
  <c r="E497" i="4"/>
  <c r="E496" i="4"/>
  <c r="E461" i="4"/>
  <c r="E460" i="4"/>
  <c r="E459" i="4"/>
  <c r="E458" i="4"/>
  <c r="E457" i="4"/>
  <c r="E452" i="4"/>
  <c r="AC588" i="5" s="1"/>
  <c r="E456" i="4"/>
  <c r="E455" i="4"/>
  <c r="E454" i="4"/>
  <c r="E453" i="4"/>
  <c r="E451" i="4"/>
  <c r="E450" i="4"/>
  <c r="E449" i="4"/>
  <c r="E448" i="4"/>
  <c r="E447" i="4"/>
  <c r="E446" i="4"/>
  <c r="E445" i="4"/>
  <c r="E444" i="4"/>
  <c r="E443" i="4"/>
  <c r="E442" i="4"/>
  <c r="E441" i="4"/>
  <c r="E440" i="4"/>
  <c r="E439" i="4"/>
  <c r="E438" i="4"/>
  <c r="E437" i="4"/>
  <c r="E436" i="4"/>
  <c r="E435" i="4"/>
  <c r="E434" i="4"/>
  <c r="E433" i="4"/>
  <c r="E431" i="4"/>
  <c r="E430" i="4"/>
  <c r="E429" i="4"/>
  <c r="E428" i="4"/>
  <c r="E427" i="4"/>
  <c r="E426" i="4"/>
  <c r="E425" i="4"/>
  <c r="E424" i="4"/>
  <c r="E423" i="4"/>
  <c r="E292" i="4"/>
  <c r="P50" i="1" s="1"/>
  <c r="BM59" i="1"/>
  <c r="BN59" i="1"/>
  <c r="BO59" i="1"/>
  <c r="BP59" i="1"/>
  <c r="E417" i="4"/>
  <c r="E416" i="4"/>
  <c r="E414" i="4"/>
  <c r="E413" i="4"/>
  <c r="E412" i="4"/>
  <c r="E411" i="4"/>
  <c r="E410" i="4"/>
  <c r="E409" i="4"/>
  <c r="E422" i="4"/>
  <c r="E421" i="4"/>
  <c r="E420" i="4"/>
  <c r="E419" i="4"/>
  <c r="AC638" i="5" s="1"/>
  <c r="E418" i="4"/>
  <c r="E315" i="4"/>
  <c r="E314" i="4"/>
  <c r="E313" i="4"/>
  <c r="E312" i="4"/>
  <c r="E310" i="4"/>
  <c r="E309" i="4"/>
  <c r="E308" i="4"/>
  <c r="E307" i="4"/>
  <c r="E306" i="4"/>
  <c r="E305" i="4"/>
  <c r="E304" i="4"/>
  <c r="E302" i="4"/>
  <c r="E301" i="4"/>
  <c r="E293" i="4"/>
  <c r="E294" i="4"/>
  <c r="AC491" i="5" s="1"/>
  <c r="E300" i="4"/>
  <c r="E299" i="4"/>
  <c r="E298" i="4"/>
  <c r="E297" i="4"/>
  <c r="E295" i="4"/>
  <c r="AC500" i="5" s="1"/>
  <c r="E296" i="4"/>
  <c r="BM48" i="1"/>
  <c r="BN48" i="1"/>
  <c r="BO48" i="1"/>
  <c r="BP48" i="1"/>
  <c r="E319" i="4"/>
  <c r="P48" i="1" s="1"/>
  <c r="E318" i="4"/>
  <c r="E317" i="4"/>
  <c r="E316" i="4"/>
  <c r="E285" i="4"/>
  <c r="E284" i="4"/>
  <c r="E283" i="4"/>
  <c r="E282" i="4"/>
  <c r="E281" i="4"/>
  <c r="E280" i="4"/>
  <c r="E278" i="4"/>
  <c r="E277" i="4"/>
  <c r="E276" i="4"/>
  <c r="E275" i="4"/>
  <c r="E272" i="4"/>
  <c r="E271" i="4"/>
  <c r="E270" i="4"/>
  <c r="E269" i="4"/>
  <c r="E268" i="4"/>
  <c r="BP45" i="1"/>
  <c r="E266" i="4"/>
  <c r="E267" i="4"/>
  <c r="E265" i="4"/>
  <c r="E264" i="4"/>
  <c r="E262" i="4"/>
  <c r="E261" i="4"/>
  <c r="E289" i="4"/>
  <c r="E288" i="4"/>
  <c r="E287" i="4"/>
  <c r="E286" i="4"/>
  <c r="E260" i="4"/>
  <c r="E259" i="4"/>
  <c r="E258" i="4"/>
  <c r="E257" i="4"/>
  <c r="E256" i="4"/>
  <c r="E255" i="4"/>
  <c r="E254" i="4"/>
  <c r="E253" i="4"/>
  <c r="E252" i="4"/>
  <c r="E251" i="4"/>
  <c r="E245" i="4"/>
  <c r="E250" i="4"/>
  <c r="E249" i="4"/>
  <c r="E248" i="4"/>
  <c r="E247" i="4"/>
  <c r="E246" i="4"/>
  <c r="E244" i="4"/>
  <c r="E243" i="4"/>
  <c r="E241" i="4"/>
  <c r="E240" i="4"/>
  <c r="E239" i="4"/>
  <c r="E238" i="4"/>
  <c r="E237" i="4"/>
  <c r="E236" i="4"/>
  <c r="E235" i="4"/>
  <c r="E80" i="4"/>
  <c r="AC506" i="5" s="1"/>
  <c r="E79" i="4"/>
  <c r="E78" i="4"/>
  <c r="E77" i="4"/>
  <c r="E76" i="4"/>
  <c r="E279" i="4"/>
  <c r="BN43" i="1"/>
  <c r="BO43" i="1"/>
  <c r="BP43" i="1"/>
  <c r="BN44" i="1"/>
  <c r="BO44" i="1"/>
  <c r="E234" i="4"/>
  <c r="E233" i="4"/>
  <c r="E232" i="4"/>
  <c r="E231" i="4"/>
  <c r="E230" i="4"/>
  <c r="E229" i="4"/>
  <c r="E228" i="4"/>
  <c r="E227" i="4"/>
  <c r="E226" i="4"/>
  <c r="E224" i="4"/>
  <c r="E222" i="4"/>
  <c r="E221" i="4"/>
  <c r="E220" i="4"/>
  <c r="E219" i="4"/>
  <c r="E218" i="4"/>
  <c r="E217" i="4"/>
  <c r="E215" i="4"/>
  <c r="E214" i="4"/>
  <c r="E213" i="4"/>
  <c r="E212" i="4"/>
  <c r="E211" i="4"/>
  <c r="E210" i="4"/>
  <c r="E209" i="4"/>
  <c r="E208" i="4"/>
  <c r="E207" i="4"/>
  <c r="E206" i="4"/>
  <c r="E205" i="4"/>
  <c r="E204" i="4"/>
  <c r="E202" i="4"/>
  <c r="E201" i="4"/>
  <c r="E200" i="4"/>
  <c r="E199" i="4"/>
  <c r="E198" i="4"/>
  <c r="E197" i="4"/>
  <c r="E195" i="4"/>
  <c r="E194" i="4"/>
  <c r="E193" i="4"/>
  <c r="E192" i="4"/>
  <c r="E191" i="4"/>
  <c r="E189" i="4"/>
  <c r="E188"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BM38" i="1"/>
  <c r="BN38" i="1"/>
  <c r="BO38" i="1"/>
  <c r="BP38" i="1"/>
  <c r="E159" i="4"/>
  <c r="E158" i="4"/>
  <c r="E157" i="4"/>
  <c r="E156" i="4"/>
  <c r="E154" i="4"/>
  <c r="E152" i="4"/>
  <c r="E150" i="4"/>
  <c r="E149" i="4"/>
  <c r="E148" i="4"/>
  <c r="E147" i="4"/>
  <c r="E146" i="4"/>
  <c r="E134" i="4"/>
  <c r="AC479" i="5" s="1"/>
  <c r="E135" i="4"/>
  <c r="AC490" i="5" s="1"/>
  <c r="E145" i="4"/>
  <c r="E144" i="4"/>
  <c r="E143" i="4"/>
  <c r="E142" i="4"/>
  <c r="E141" i="4"/>
  <c r="E140" i="4"/>
  <c r="E139" i="4"/>
  <c r="E138" i="4"/>
  <c r="E133" i="4"/>
  <c r="E137" i="4"/>
  <c r="E136" i="4"/>
  <c r="E131" i="4"/>
  <c r="E130" i="4"/>
  <c r="E129" i="4"/>
  <c r="E128" i="4"/>
  <c r="E123" i="4"/>
  <c r="E126" i="4"/>
  <c r="E125" i="4"/>
  <c r="E124" i="4"/>
  <c r="E119" i="4"/>
  <c r="E122" i="4"/>
  <c r="E121" i="4"/>
  <c r="E120" i="4"/>
  <c r="E117" i="4"/>
  <c r="E116" i="4"/>
  <c r="E115" i="4"/>
  <c r="E114" i="4"/>
  <c r="E113" i="4"/>
  <c r="E112" i="4"/>
  <c r="E111" i="4"/>
  <c r="E109" i="4"/>
  <c r="E108" i="4"/>
  <c r="E107" i="4"/>
  <c r="E106" i="4"/>
  <c r="E105" i="4"/>
  <c r="E104" i="4"/>
  <c r="BP20" i="1"/>
  <c r="BP13" i="1"/>
  <c r="BP9" i="1"/>
  <c r="BP14" i="1"/>
  <c r="BP15" i="1"/>
  <c r="BP16" i="1"/>
  <c r="BP17" i="1"/>
  <c r="BP18" i="1"/>
  <c r="BP19" i="1"/>
  <c r="BP21" i="1"/>
  <c r="BP22" i="1"/>
  <c r="BP23" i="1"/>
  <c r="BP24" i="1"/>
  <c r="BP25" i="1"/>
  <c r="BP29" i="1"/>
  <c r="BP30" i="1"/>
  <c r="BP31" i="1"/>
  <c r="BP32" i="1"/>
  <c r="BP33" i="1"/>
  <c r="BP34" i="1"/>
  <c r="BP35" i="1"/>
  <c r="BP36" i="1"/>
  <c r="BP37" i="1"/>
  <c r="BP39" i="1"/>
  <c r="BP40" i="1"/>
  <c r="BP41" i="1"/>
  <c r="BP26" i="1"/>
  <c r="BP27" i="1"/>
  <c r="BP28" i="1"/>
  <c r="BP42" i="1"/>
  <c r="BP46" i="1"/>
  <c r="BP47" i="1"/>
  <c r="BP49" i="1"/>
  <c r="BP56" i="1"/>
  <c r="BP57" i="1"/>
  <c r="BP58" i="1"/>
  <c r="BP50" i="1"/>
  <c r="BP60" i="1"/>
  <c r="BP61" i="1"/>
  <c r="BP62" i="1"/>
  <c r="BP63" i="1"/>
  <c r="BP64" i="1"/>
  <c r="BP65" i="1"/>
  <c r="BP67" i="1"/>
  <c r="BP68" i="1"/>
  <c r="BP69" i="1"/>
  <c r="BP70" i="1"/>
  <c r="BP71" i="1"/>
  <c r="BP72" i="1"/>
  <c r="BP73" i="1"/>
  <c r="BP74" i="1"/>
  <c r="BP2" i="1"/>
  <c r="BP3" i="1"/>
  <c r="BP4" i="1"/>
  <c r="BP5" i="1"/>
  <c r="BP6" i="1"/>
  <c r="BP7" i="1"/>
  <c r="BP8" i="1"/>
  <c r="BP10" i="1"/>
  <c r="BP11" i="1"/>
  <c r="E93" i="4"/>
  <c r="E91" i="4"/>
  <c r="E89" i="4"/>
  <c r="E88" i="4"/>
  <c r="E87" i="4"/>
  <c r="E86" i="4"/>
  <c r="E85" i="4"/>
  <c r="E84" i="4"/>
  <c r="E83" i="4"/>
  <c r="E82" i="4"/>
  <c r="E81" i="4"/>
  <c r="E97" i="4"/>
  <c r="E96" i="4"/>
  <c r="E95" i="4"/>
  <c r="E94" i="4"/>
  <c r="E102" i="4"/>
  <c r="E101" i="4"/>
  <c r="E100" i="4"/>
  <c r="E99" i="4"/>
  <c r="E98" i="4"/>
  <c r="E63" i="4"/>
  <c r="E62" i="4"/>
  <c r="E61" i="4"/>
  <c r="E60" i="4"/>
  <c r="E59" i="4"/>
  <c r="E57" i="4"/>
  <c r="E56" i="4"/>
  <c r="E55" i="4"/>
  <c r="E54" i="4"/>
  <c r="E53" i="4"/>
  <c r="BM22" i="1"/>
  <c r="BO32" i="1"/>
  <c r="BO29" i="1"/>
  <c r="BO30" i="1"/>
  <c r="BO31" i="1"/>
  <c r="BO33" i="1"/>
  <c r="BO34" i="1"/>
  <c r="BO35" i="1"/>
  <c r="BO36" i="1"/>
  <c r="BO37" i="1"/>
  <c r="BO39" i="1"/>
  <c r="BO40" i="1"/>
  <c r="BO41" i="1"/>
  <c r="BO26" i="1"/>
  <c r="BO27" i="1"/>
  <c r="BO28" i="1"/>
  <c r="BO42" i="1"/>
  <c r="BO45" i="1"/>
  <c r="BO46" i="1"/>
  <c r="BO47" i="1"/>
  <c r="BO49" i="1"/>
  <c r="BO56" i="1"/>
  <c r="BO57" i="1"/>
  <c r="BO58" i="1"/>
  <c r="BO50" i="1"/>
  <c r="BO60" i="1"/>
  <c r="BO61" i="1"/>
  <c r="BO62" i="1"/>
  <c r="BO63" i="1"/>
  <c r="BO64" i="1"/>
  <c r="BO65" i="1"/>
  <c r="BO67" i="1"/>
  <c r="BO68" i="1"/>
  <c r="BO69" i="1"/>
  <c r="BO70" i="1"/>
  <c r="BO71" i="1"/>
  <c r="BO72" i="1"/>
  <c r="BO73" i="1"/>
  <c r="BO74" i="1"/>
  <c r="BO12" i="1"/>
  <c r="BO13" i="1"/>
  <c r="BO14" i="1"/>
  <c r="BO15" i="1"/>
  <c r="BO16" i="1"/>
  <c r="BO17" i="1"/>
  <c r="BO18" i="1"/>
  <c r="BO19" i="1"/>
  <c r="BO20" i="1"/>
  <c r="BO21" i="1"/>
  <c r="BO22" i="1"/>
  <c r="BO23" i="1"/>
  <c r="BO24" i="1"/>
  <c r="BO25" i="1"/>
  <c r="BO11" i="1"/>
  <c r="E24" i="4"/>
  <c r="E23" i="4"/>
  <c r="E22" i="4"/>
  <c r="E20" i="4"/>
  <c r="E19" i="4"/>
  <c r="E18" i="4"/>
  <c r="E16" i="4"/>
  <c r="E15" i="4"/>
  <c r="E14" i="4"/>
  <c r="E13" i="4"/>
  <c r="E12" i="4"/>
  <c r="E11" i="4"/>
  <c r="E40" i="4"/>
  <c r="E28" i="4"/>
  <c r="E27" i="4"/>
  <c r="E26" i="4"/>
  <c r="E10" i="4"/>
  <c r="E2" i="4"/>
  <c r="E39" i="4"/>
  <c r="E33" i="4"/>
  <c r="E32" i="4"/>
  <c r="E31" i="4"/>
  <c r="E30" i="4"/>
  <c r="E6" i="4"/>
  <c r="E5" i="4"/>
  <c r="E4" i="4"/>
  <c r="E3" i="4"/>
  <c r="E38" i="4"/>
  <c r="E37" i="4"/>
  <c r="E36" i="4"/>
  <c r="E35" i="4"/>
  <c r="E34" i="4"/>
  <c r="E9" i="4"/>
  <c r="E7" i="4"/>
  <c r="E75" i="4"/>
  <c r="E73" i="4"/>
  <c r="E72" i="4"/>
  <c r="E71" i="4"/>
  <c r="E70" i="4"/>
  <c r="E69" i="4"/>
  <c r="E68" i="4"/>
  <c r="E64" i="4"/>
  <c r="E52" i="4"/>
  <c r="E51" i="4"/>
  <c r="E50" i="4"/>
  <c r="E49" i="4"/>
  <c r="E48" i="4"/>
  <c r="E47" i="4"/>
  <c r="E46" i="4"/>
  <c r="E74" i="4"/>
  <c r="E58" i="4"/>
  <c r="AC539" i="5" s="1"/>
  <c r="E66" i="4"/>
  <c r="AC621" i="5" s="1"/>
  <c r="E65" i="4"/>
  <c r="E45" i="4"/>
  <c r="E43" i="4"/>
  <c r="E44" i="4"/>
  <c r="E42" i="4"/>
  <c r="E41" i="4"/>
  <c r="BN25" i="1"/>
  <c r="BM25" i="1"/>
  <c r="BN24" i="1"/>
  <c r="BM24" i="1"/>
  <c r="BM19" i="1"/>
  <c r="BN19" i="1"/>
  <c r="BM17" i="1"/>
  <c r="BM15" i="1"/>
  <c r="BN15" i="1"/>
  <c r="BM14" i="1"/>
  <c r="BN14" i="1"/>
  <c r="BM16" i="1"/>
  <c r="BN17" i="1"/>
  <c r="BM18" i="1"/>
  <c r="BN18" i="1"/>
  <c r="BM20" i="1"/>
  <c r="BN20" i="1"/>
  <c r="BM21" i="1"/>
  <c r="BN21" i="1"/>
  <c r="BN22" i="1"/>
  <c r="BM23" i="1"/>
  <c r="BN23" i="1"/>
  <c r="BM32" i="1"/>
  <c r="BN32" i="1"/>
  <c r="BM29" i="1"/>
  <c r="BN29" i="1"/>
  <c r="BM30" i="1"/>
  <c r="BN30" i="1"/>
  <c r="BM31" i="1"/>
  <c r="BN31" i="1"/>
  <c r="BM33" i="1"/>
  <c r="BN33" i="1"/>
  <c r="BM34" i="1"/>
  <c r="BN34" i="1"/>
  <c r="BM35" i="1"/>
  <c r="BN35" i="1"/>
  <c r="BM36" i="1"/>
  <c r="BN36" i="1"/>
  <c r="BM37" i="1"/>
  <c r="BN37" i="1"/>
  <c r="BM39" i="1"/>
  <c r="BN39" i="1"/>
  <c r="BM40" i="1"/>
  <c r="BN40" i="1"/>
  <c r="BM41" i="1"/>
  <c r="BN41" i="1"/>
  <c r="BM26" i="1"/>
  <c r="BN26" i="1"/>
  <c r="BM27" i="1"/>
  <c r="BN27" i="1"/>
  <c r="BM28" i="1"/>
  <c r="BN28" i="1"/>
  <c r="BM42" i="1"/>
  <c r="BN42" i="1"/>
  <c r="BM45" i="1"/>
  <c r="BN45" i="1"/>
  <c r="BM46" i="1"/>
  <c r="BN46" i="1"/>
  <c r="BM47" i="1"/>
  <c r="BN47" i="1"/>
  <c r="BM49" i="1"/>
  <c r="BN49" i="1"/>
  <c r="BM56" i="1"/>
  <c r="BN56" i="1"/>
  <c r="BM57" i="1"/>
  <c r="BN57" i="1"/>
  <c r="BM58" i="1"/>
  <c r="BN58" i="1"/>
  <c r="BM50" i="1"/>
  <c r="BN50" i="1"/>
  <c r="BM60" i="1"/>
  <c r="BN60" i="1"/>
  <c r="BM61" i="1"/>
  <c r="BN61" i="1"/>
  <c r="BM62" i="1"/>
  <c r="BN62" i="1"/>
  <c r="BM63" i="1"/>
  <c r="BN63" i="1"/>
  <c r="BM64" i="1"/>
  <c r="BN64" i="1"/>
  <c r="BM65" i="1"/>
  <c r="BN65" i="1"/>
  <c r="BM67" i="1"/>
  <c r="BN67" i="1"/>
  <c r="BM68" i="1"/>
  <c r="BN68" i="1"/>
  <c r="BM69" i="1"/>
  <c r="BN69" i="1"/>
  <c r="BM70" i="1"/>
  <c r="BN70" i="1"/>
  <c r="BM71" i="1"/>
  <c r="BN71" i="1"/>
  <c r="BM72" i="1"/>
  <c r="BN72" i="1"/>
  <c r="BM73" i="1"/>
  <c r="BN73" i="1"/>
  <c r="BM74" i="1"/>
  <c r="BN74" i="1"/>
  <c r="BM13" i="1"/>
  <c r="BN13" i="1"/>
  <c r="BM12" i="1"/>
  <c r="BN12" i="1"/>
  <c r="BN11" i="1"/>
  <c r="BM10" i="1"/>
  <c r="BN10" i="1"/>
  <c r="BO10" i="1"/>
  <c r="BM9" i="1"/>
  <c r="BN9" i="1"/>
  <c r="BO9" i="1"/>
  <c r="BM8" i="1"/>
  <c r="BN8" i="1"/>
  <c r="BO8" i="1"/>
  <c r="BM6" i="1"/>
  <c r="BN6" i="1"/>
  <c r="BO6" i="1"/>
  <c r="BM7" i="1"/>
  <c r="BN7" i="1"/>
  <c r="BO7" i="1"/>
  <c r="BM5" i="1"/>
  <c r="BN5" i="1"/>
  <c r="BO5" i="1"/>
  <c r="BM4" i="1"/>
  <c r="BN4" i="1"/>
  <c r="BO4" i="1"/>
  <c r="BM3" i="1"/>
  <c r="BN3" i="1"/>
  <c r="BO3" i="1"/>
  <c r="BO2" i="1"/>
  <c r="BN2" i="1"/>
  <c r="BM2" i="1"/>
  <c r="AG481" i="5" l="1"/>
  <c r="AF480" i="5"/>
  <c r="AH480" i="5"/>
  <c r="AG482" i="5"/>
  <c r="AF482" i="5"/>
  <c r="AD480" i="5"/>
  <c r="AE480" i="5" s="1"/>
  <c r="AD482" i="5"/>
  <c r="AE482" i="5" s="1"/>
  <c r="AG19" i="5"/>
  <c r="AF19" i="5"/>
  <c r="AH477" i="5"/>
  <c r="AI477" i="5" s="1"/>
  <c r="AE576" i="5"/>
  <c r="AI568" i="5"/>
  <c r="AI591" i="5"/>
  <c r="AE587" i="5"/>
  <c r="AI626" i="5"/>
  <c r="AI641" i="5"/>
  <c r="AG474" i="5"/>
  <c r="AI588" i="5"/>
  <c r="AE612" i="5"/>
  <c r="AI606" i="5"/>
  <c r="AE559" i="5"/>
  <c r="AG559" i="5"/>
  <c r="AI559" i="5"/>
  <c r="AE560" i="5"/>
  <c r="AG560" i="5"/>
  <c r="AI560" i="5"/>
  <c r="AG477" i="5"/>
  <c r="AE508" i="5"/>
  <c r="AE501" i="5"/>
  <c r="AE531" i="5"/>
  <c r="AE507" i="5"/>
  <c r="AE500" i="5"/>
  <c r="AE530" i="5"/>
  <c r="AE514" i="5"/>
  <c r="AE529" i="5"/>
  <c r="AE513" i="5"/>
  <c r="AI491" i="5"/>
  <c r="AG491" i="5"/>
  <c r="AE512" i="5"/>
  <c r="AE492" i="5"/>
  <c r="AI500" i="5"/>
  <c r="AG500" i="5"/>
  <c r="AE511" i="5"/>
  <c r="AE504" i="5"/>
  <c r="AE524" i="5"/>
  <c r="AE510" i="5"/>
  <c r="AE503" i="5"/>
  <c r="AE523" i="5"/>
  <c r="AI509" i="5"/>
  <c r="AG509" i="5"/>
  <c r="AG480" i="5"/>
  <c r="AE509" i="5"/>
  <c r="AE502" i="5"/>
  <c r="AI510" i="5"/>
  <c r="AG510" i="5"/>
  <c r="AG479" i="5"/>
  <c r="AE521" i="5"/>
  <c r="AH7" i="5"/>
  <c r="AI7" i="5" s="1"/>
  <c r="AH5" i="5"/>
  <c r="AI5" i="5" s="1"/>
  <c r="AG5" i="5"/>
  <c r="AH4" i="5"/>
  <c r="AI4" i="5" s="1"/>
  <c r="AG4" i="5"/>
  <c r="AH3" i="5"/>
  <c r="AI3" i="5" s="1"/>
  <c r="AG7" i="5"/>
  <c r="AG8" i="5"/>
  <c r="AF7" i="5"/>
  <c r="AF8" i="5"/>
  <c r="AD7" i="5"/>
  <c r="AE7" i="5" s="1"/>
  <c r="AD8" i="5"/>
  <c r="AE8" i="5" s="1"/>
  <c r="L14" i="5"/>
  <c r="AH14" i="5" s="1"/>
  <c r="AI14" i="5" s="1"/>
  <c r="AH288" i="5"/>
  <c r="AI288" i="5" s="1"/>
  <c r="AH371" i="5"/>
  <c r="AI371" i="5" s="1"/>
  <c r="AI577" i="5"/>
  <c r="AD467" i="5"/>
  <c r="AE467" i="5" s="1"/>
  <c r="AH304" i="5"/>
  <c r="AI304" i="5" s="1"/>
  <c r="AI589" i="5"/>
  <c r="AF276" i="5"/>
  <c r="AE613" i="5"/>
  <c r="AD479" i="5"/>
  <c r="AE479" i="5" s="1"/>
  <c r="AI623" i="5"/>
  <c r="AD3" i="5"/>
  <c r="AE3" i="5" s="1"/>
  <c r="AF250" i="5"/>
  <c r="AF85" i="5"/>
  <c r="AF196" i="5"/>
  <c r="AD447" i="5"/>
  <c r="AE447" i="5" s="1"/>
  <c r="AF458" i="5"/>
  <c r="P218" i="1"/>
  <c r="P213" i="1"/>
  <c r="P232" i="1"/>
  <c r="P228" i="1"/>
  <c r="P204" i="1"/>
  <c r="P214" i="1"/>
  <c r="P200" i="1"/>
  <c r="P230" i="1"/>
  <c r="P235" i="1"/>
  <c r="P238" i="1"/>
  <c r="P205" i="1"/>
  <c r="P211" i="1"/>
  <c r="P141" i="1"/>
  <c r="P216" i="1"/>
  <c r="P221" i="1"/>
  <c r="P223" i="1"/>
  <c r="P224" i="1"/>
  <c r="P229" i="1"/>
  <c r="P199" i="1"/>
  <c r="P203" i="1"/>
  <c r="P225" i="1"/>
  <c r="P227" i="1"/>
  <c r="P219" i="1"/>
  <c r="P206" i="1"/>
  <c r="P212" i="1"/>
  <c r="P197" i="1"/>
  <c r="P209" i="1"/>
  <c r="P222" i="1"/>
  <c r="P226" i="1"/>
  <c r="P201" i="1"/>
  <c r="P220" i="1"/>
  <c r="P233" i="1"/>
  <c r="P236" i="1"/>
  <c r="P208" i="1"/>
  <c r="P198" i="1"/>
  <c r="P231" i="1"/>
  <c r="AH62" i="5"/>
  <c r="AI62" i="5" s="1"/>
  <c r="AH18" i="5"/>
  <c r="AI18" i="5" s="1"/>
  <c r="AD333" i="5"/>
  <c r="AE333" i="5" s="1"/>
  <c r="AD275" i="5"/>
  <c r="AE275" i="5" s="1"/>
  <c r="AD193" i="5"/>
  <c r="AE193" i="5" s="1"/>
  <c r="AD60" i="5"/>
  <c r="AE60" i="5" s="1"/>
  <c r="AF370" i="5"/>
  <c r="AG33" i="5"/>
  <c r="AH86" i="5"/>
  <c r="AI86" i="5" s="1"/>
  <c r="AD382" i="5"/>
  <c r="AE382" i="5" s="1"/>
  <c r="AD236" i="5"/>
  <c r="AE236" i="5" s="1"/>
  <c r="AD84" i="5"/>
  <c r="AE84" i="5" s="1"/>
  <c r="AD37" i="5"/>
  <c r="AE37" i="5" s="1"/>
  <c r="AD5" i="5"/>
  <c r="AE5" i="5" s="1"/>
  <c r="AH448" i="5"/>
  <c r="AI448" i="5" s="1"/>
  <c r="AD70" i="5"/>
  <c r="AE70" i="5" s="1"/>
  <c r="AD471" i="5"/>
  <c r="AE471" i="5" s="1"/>
  <c r="AD324" i="5"/>
  <c r="AE324" i="5" s="1"/>
  <c r="AD265" i="5"/>
  <c r="AE265" i="5" s="1"/>
  <c r="AG71" i="5"/>
  <c r="AH71" i="5"/>
  <c r="AI71" i="5" s="1"/>
  <c r="AH32" i="5"/>
  <c r="AI32" i="5" s="1"/>
  <c r="AF288" i="5"/>
  <c r="AF209" i="5"/>
  <c r="AI524" i="5"/>
  <c r="AF479" i="5"/>
  <c r="AD474" i="5"/>
  <c r="AE474" i="5" s="1"/>
  <c r="AD446" i="5"/>
  <c r="AE446" i="5" s="1"/>
  <c r="AG448" i="5"/>
  <c r="AF369" i="5"/>
  <c r="AD49" i="5"/>
  <c r="AE49" i="5" s="1"/>
  <c r="AG334" i="5"/>
  <c r="AF193" i="5"/>
  <c r="AF186" i="5"/>
  <c r="AE543" i="5"/>
  <c r="AI610" i="5"/>
  <c r="AI511" i="5"/>
  <c r="L17" i="5"/>
  <c r="AH17" i="5" s="1"/>
  <c r="AI17" i="5" s="1"/>
  <c r="L16" i="5"/>
  <c r="AH16" i="5" s="1"/>
  <c r="AI16" i="5" s="1"/>
  <c r="AI514" i="5"/>
  <c r="V12" i="5"/>
  <c r="AG13" i="5" s="1"/>
  <c r="AH277" i="5"/>
  <c r="AI277" i="5" s="1"/>
  <c r="AF474" i="5"/>
  <c r="AD472" i="5"/>
  <c r="AE472" i="5" s="1"/>
  <c r="AD388" i="5"/>
  <c r="AE388" i="5" s="1"/>
  <c r="AH396" i="5"/>
  <c r="AI396" i="5" s="1"/>
  <c r="AF397" i="5"/>
  <c r="AH74" i="5"/>
  <c r="AI74" i="5" s="1"/>
  <c r="AD370" i="5"/>
  <c r="AE370" i="5" s="1"/>
  <c r="AD312" i="5"/>
  <c r="AE312" i="5" s="1"/>
  <c r="AD287" i="5"/>
  <c r="AE287" i="5" s="1"/>
  <c r="AD253" i="5"/>
  <c r="AE253" i="5" s="1"/>
  <c r="AD219" i="5"/>
  <c r="AE219" i="5" s="1"/>
  <c r="AD182" i="5"/>
  <c r="AE182" i="5" s="1"/>
  <c r="AD71" i="5"/>
  <c r="AE71" i="5" s="1"/>
  <c r="AD48" i="5"/>
  <c r="AE48" i="5" s="1"/>
  <c r="AD33" i="5"/>
  <c r="AE33" i="5" s="1"/>
  <c r="AD12" i="5"/>
  <c r="AE12" i="5" s="1"/>
  <c r="AG382" i="5"/>
  <c r="AG333" i="5"/>
  <c r="AF291" i="5"/>
  <c r="AH265" i="5"/>
  <c r="AI265" i="5" s="1"/>
  <c r="AF228" i="5"/>
  <c r="AF83" i="5"/>
  <c r="AG52" i="5"/>
  <c r="AF35" i="5"/>
  <c r="AF4" i="5"/>
  <c r="AE611" i="5"/>
  <c r="AD468" i="5"/>
  <c r="AE468" i="5" s="1"/>
  <c r="AD458" i="5"/>
  <c r="AE458" i="5" s="1"/>
  <c r="AF388" i="5"/>
  <c r="AH324" i="5"/>
  <c r="AI324" i="5" s="1"/>
  <c r="AD311" i="5"/>
  <c r="AE311" i="5" s="1"/>
  <c r="AD277" i="5"/>
  <c r="AE277" i="5" s="1"/>
  <c r="AD251" i="5"/>
  <c r="AE251" i="5" s="1"/>
  <c r="AD86" i="5"/>
  <c r="AE86" i="5" s="1"/>
  <c r="AD62" i="5"/>
  <c r="AE62" i="5" s="1"/>
  <c r="AD44" i="5"/>
  <c r="AE44" i="5" s="1"/>
  <c r="AF380" i="5"/>
  <c r="AF323" i="5"/>
  <c r="AF289" i="5"/>
  <c r="AF263" i="5"/>
  <c r="AG219" i="5"/>
  <c r="AF183" i="5"/>
  <c r="AF73" i="5"/>
  <c r="AF49" i="5"/>
  <c r="AF33" i="5"/>
  <c r="AF3" i="5"/>
  <c r="AH85" i="5"/>
  <c r="AI85" i="5" s="1"/>
  <c r="AE638" i="5"/>
  <c r="L474" i="5"/>
  <c r="AH474" i="5" s="1"/>
  <c r="AI474" i="5" s="1"/>
  <c r="AF52" i="5"/>
  <c r="AD185" i="5"/>
  <c r="AE185" i="5" s="1"/>
  <c r="L470" i="5"/>
  <c r="AF312" i="5"/>
  <c r="AG288" i="5"/>
  <c r="AG252" i="5"/>
  <c r="AF208" i="5"/>
  <c r="AF181" i="5"/>
  <c r="AF71" i="5"/>
  <c r="AF45" i="5"/>
  <c r="AH24" i="5"/>
  <c r="AI24" i="5" s="1"/>
  <c r="AF368" i="5"/>
  <c r="AF185" i="5"/>
  <c r="L473" i="5"/>
  <c r="AH473" i="5" s="1"/>
  <c r="AI473" i="5" s="1"/>
  <c r="AI507" i="5"/>
  <c r="AD52" i="5"/>
  <c r="AE52" i="5" s="1"/>
  <c r="AG277" i="5"/>
  <c r="AE594" i="5"/>
  <c r="AD186" i="5"/>
  <c r="AE186" i="5" s="1"/>
  <c r="AI594" i="5"/>
  <c r="AD380" i="5"/>
  <c r="AE380" i="5" s="1"/>
  <c r="AD289" i="5"/>
  <c r="AE289" i="5" s="1"/>
  <c r="AD220" i="5"/>
  <c r="AE220" i="5" s="1"/>
  <c r="AD74" i="5"/>
  <c r="AE74" i="5" s="1"/>
  <c r="AD50" i="5"/>
  <c r="AE50" i="5" s="1"/>
  <c r="AD34" i="5"/>
  <c r="AE34" i="5" s="1"/>
  <c r="AH305" i="5"/>
  <c r="AI305" i="5" s="1"/>
  <c r="AF61" i="5"/>
  <c r="AG17" i="5"/>
  <c r="AD323" i="5"/>
  <c r="AE323" i="5" s="1"/>
  <c r="AI590" i="5"/>
  <c r="AF334" i="5"/>
  <c r="AH193" i="5"/>
  <c r="AI193" i="5" s="1"/>
  <c r="AH60" i="5"/>
  <c r="AI60" i="5" s="1"/>
  <c r="AG305" i="5"/>
  <c r="AH192" i="5"/>
  <c r="AI192" i="5" s="1"/>
  <c r="AG15" i="5"/>
  <c r="AF448" i="5"/>
  <c r="AH368" i="5"/>
  <c r="AI368" i="5" s="1"/>
  <c r="AF219" i="5"/>
  <c r="AD196" i="5"/>
  <c r="AE196" i="5" s="1"/>
  <c r="AH70" i="5"/>
  <c r="AI70" i="5" s="1"/>
  <c r="AG60" i="5"/>
  <c r="AF48" i="5"/>
  <c r="AF16" i="5"/>
  <c r="AD469" i="5"/>
  <c r="AE469" i="5" s="1"/>
  <c r="AG18" i="5"/>
  <c r="AD477" i="5"/>
  <c r="AE477" i="5" s="1"/>
  <c r="AI586" i="5"/>
  <c r="AI544" i="5"/>
  <c r="AH33" i="5"/>
  <c r="AI33" i="5" s="1"/>
  <c r="AD369" i="5"/>
  <c r="AE369" i="5" s="1"/>
  <c r="AD286" i="5"/>
  <c r="AE286" i="5" s="1"/>
  <c r="AD208" i="5"/>
  <c r="AE208" i="5" s="1"/>
  <c r="AD45" i="5"/>
  <c r="AE45" i="5" s="1"/>
  <c r="AD24" i="5"/>
  <c r="AE24" i="5" s="1"/>
  <c r="AF381" i="5"/>
  <c r="AG324" i="5"/>
  <c r="AF290" i="5"/>
  <c r="AF265" i="5"/>
  <c r="AH220" i="5"/>
  <c r="AI220" i="5" s="1"/>
  <c r="AF192" i="5"/>
  <c r="AF50" i="5"/>
  <c r="AH34" i="5"/>
  <c r="AI34" i="5" s="1"/>
  <c r="AF14" i="5"/>
  <c r="AD397" i="5"/>
  <c r="AE397" i="5" s="1"/>
  <c r="AG368" i="5"/>
  <c r="AH264" i="5"/>
  <c r="AI264" i="5" s="1"/>
  <c r="AH209" i="5"/>
  <c r="AI209" i="5" s="1"/>
  <c r="AG70" i="5"/>
  <c r="AF60" i="5"/>
  <c r="AE570" i="5"/>
  <c r="AI540" i="5"/>
  <c r="AI502" i="5"/>
  <c r="L15" i="5"/>
  <c r="AH15" i="5" s="1"/>
  <c r="AI15" i="5" s="1"/>
  <c r="AH186" i="5"/>
  <c r="AI186" i="5" s="1"/>
  <c r="AG186" i="5"/>
  <c r="AG264" i="5"/>
  <c r="AG209" i="5"/>
  <c r="AF70" i="5"/>
  <c r="AF34" i="5"/>
  <c r="AE606" i="5"/>
  <c r="AG591" i="5"/>
  <c r="AE589" i="5"/>
  <c r="AI504" i="5"/>
  <c r="AD470" i="5"/>
  <c r="AE470" i="5" s="1"/>
  <c r="L468" i="5"/>
  <c r="AF477" i="5"/>
  <c r="AD473" i="5"/>
  <c r="AE473" i="5" s="1"/>
  <c r="AD396" i="5"/>
  <c r="AE396" i="5" s="1"/>
  <c r="AF446" i="5"/>
  <c r="AI638" i="5"/>
  <c r="AI512" i="5"/>
  <c r="AH380" i="5"/>
  <c r="AI380" i="5" s="1"/>
  <c r="AH289" i="5"/>
  <c r="AI289" i="5" s="1"/>
  <c r="AD368" i="5"/>
  <c r="AE368" i="5" s="1"/>
  <c r="AD304" i="5"/>
  <c r="AE304" i="5" s="1"/>
  <c r="AD276" i="5"/>
  <c r="AE276" i="5" s="1"/>
  <c r="AD250" i="5"/>
  <c r="AE250" i="5" s="1"/>
  <c r="AD197" i="5"/>
  <c r="AE197" i="5" s="1"/>
  <c r="AD85" i="5"/>
  <c r="AE85" i="5" s="1"/>
  <c r="AD61" i="5"/>
  <c r="AE61" i="5" s="1"/>
  <c r="AD43" i="5"/>
  <c r="AE43" i="5" s="1"/>
  <c r="AD18" i="5"/>
  <c r="AE18" i="5" s="1"/>
  <c r="AG380" i="5"/>
  <c r="AF313" i="5"/>
  <c r="AF253" i="5"/>
  <c r="AG48" i="5"/>
  <c r="AG32" i="5"/>
  <c r="AH334" i="5"/>
  <c r="AI334" i="5" s="1"/>
  <c r="AF32" i="5"/>
  <c r="AH2" i="5"/>
  <c r="AI2" i="5" s="1"/>
  <c r="AE623" i="5"/>
  <c r="AE540" i="5"/>
  <c r="AI532" i="5"/>
  <c r="AF287" i="5"/>
  <c r="AH458" i="5"/>
  <c r="AI458" i="5" s="1"/>
  <c r="AG371" i="5"/>
  <c r="AF252" i="5"/>
  <c r="AG208" i="5"/>
  <c r="AF473" i="5"/>
  <c r="AD387" i="5"/>
  <c r="AE387" i="5" s="1"/>
  <c r="AF396" i="5"/>
  <c r="AH287" i="5"/>
  <c r="AI287" i="5" s="1"/>
  <c r="AH43" i="5"/>
  <c r="AI43" i="5" s="1"/>
  <c r="AD381" i="5"/>
  <c r="AE381" i="5" s="1"/>
  <c r="AD290" i="5"/>
  <c r="AE290" i="5" s="1"/>
  <c r="AD228" i="5"/>
  <c r="AE228" i="5" s="1"/>
  <c r="AD83" i="5"/>
  <c r="AE83" i="5" s="1"/>
  <c r="AD35" i="5"/>
  <c r="AE35" i="5" s="1"/>
  <c r="AD4" i="5"/>
  <c r="AE4" i="5" s="1"/>
  <c r="AH369" i="5"/>
  <c r="AI369" i="5" s="1"/>
  <c r="AF311" i="5"/>
  <c r="AF277" i="5"/>
  <c r="AF251" i="5"/>
  <c r="AF197" i="5"/>
  <c r="AF86" i="5"/>
  <c r="AG62" i="5"/>
  <c r="AF44" i="5"/>
  <c r="AF24" i="5"/>
  <c r="AG458" i="5"/>
  <c r="AF371" i="5"/>
  <c r="AF305" i="5"/>
  <c r="AD252" i="5"/>
  <c r="AE252" i="5" s="1"/>
  <c r="AH196" i="5"/>
  <c r="AI196" i="5" s="1"/>
  <c r="AG74" i="5"/>
  <c r="AF62" i="5"/>
  <c r="AF18" i="5"/>
  <c r="AE593" i="5"/>
  <c r="AE588" i="5"/>
  <c r="AE577" i="5"/>
  <c r="AI574" i="5"/>
  <c r="L13" i="5"/>
  <c r="AH13" i="5" s="1"/>
  <c r="AI13" i="5" s="1"/>
  <c r="AI609" i="5"/>
  <c r="AI587" i="5"/>
  <c r="AI576" i="5"/>
  <c r="AE571" i="5"/>
  <c r="AE532" i="5"/>
  <c r="AH185" i="5"/>
  <c r="AI185" i="5" s="1"/>
  <c r="AH370" i="5"/>
  <c r="AI370" i="5" s="1"/>
  <c r="AF333" i="5"/>
  <c r="AG289" i="5"/>
  <c r="AG276" i="5"/>
  <c r="AH228" i="5"/>
  <c r="AI228" i="5" s="1"/>
  <c r="AG196" i="5"/>
  <c r="AF74" i="5"/>
  <c r="AH61" i="5"/>
  <c r="AI61" i="5" s="1"/>
  <c r="AG3" i="5"/>
  <c r="AD448" i="5"/>
  <c r="AE448" i="5" s="1"/>
  <c r="AH387" i="5"/>
  <c r="AI387" i="5" s="1"/>
  <c r="AI593" i="5"/>
  <c r="AH52" i="5"/>
  <c r="AI52" i="5" s="1"/>
  <c r="AD371" i="5"/>
  <c r="AE371" i="5" s="1"/>
  <c r="AD313" i="5"/>
  <c r="AE313" i="5" s="1"/>
  <c r="AD288" i="5"/>
  <c r="AE288" i="5" s="1"/>
  <c r="AD263" i="5"/>
  <c r="AE263" i="5" s="1"/>
  <c r="AD183" i="5"/>
  <c r="AE183" i="5" s="1"/>
  <c r="AD73" i="5"/>
  <c r="AE73" i="5" s="1"/>
  <c r="AF304" i="5"/>
  <c r="AF275" i="5"/>
  <c r="AF236" i="5"/>
  <c r="AG193" i="5"/>
  <c r="AF84" i="5"/>
  <c r="AH37" i="5"/>
  <c r="AI37" i="5" s="1"/>
  <c r="AF17" i="5"/>
  <c r="AF5" i="5"/>
  <c r="AG370" i="5"/>
  <c r="AG228" i="5"/>
  <c r="AG16" i="5"/>
  <c r="AI613" i="5"/>
  <c r="AI531" i="5"/>
  <c r="AI523" i="5"/>
  <c r="AG185" i="5"/>
  <c r="AG613" i="5"/>
  <c r="AG606" i="5"/>
  <c r="AI567" i="5"/>
  <c r="AF286" i="5"/>
  <c r="AG286" i="5"/>
  <c r="AH286" i="5"/>
  <c r="AI286" i="5" s="1"/>
  <c r="AG623" i="5"/>
  <c r="AD209" i="5"/>
  <c r="AE209" i="5" s="1"/>
  <c r="AG85" i="5"/>
  <c r="AF37" i="5"/>
  <c r="AG396" i="5"/>
  <c r="AH313" i="5"/>
  <c r="AI313" i="5" s="1"/>
  <c r="AD305" i="5"/>
  <c r="AE305" i="5" s="1"/>
  <c r="AH276" i="5"/>
  <c r="AI276" i="5" s="1"/>
  <c r="AF264" i="5"/>
  <c r="AH251" i="5"/>
  <c r="AI251" i="5" s="1"/>
  <c r="AH208" i="5"/>
  <c r="AI208" i="5" s="1"/>
  <c r="AH45" i="5"/>
  <c r="AI45" i="5" s="1"/>
  <c r="AG2" i="5"/>
  <c r="AE610" i="5"/>
  <c r="AE591" i="5"/>
  <c r="AG587" i="5"/>
  <c r="AI569" i="5"/>
  <c r="AI546" i="5"/>
  <c r="AH447" i="5"/>
  <c r="AI447" i="5" s="1"/>
  <c r="AH381" i="5"/>
  <c r="AI381" i="5" s="1"/>
  <c r="AD334" i="5"/>
  <c r="AE334" i="5" s="1"/>
  <c r="AG313" i="5"/>
  <c r="AG251" i="5"/>
  <c r="AH73" i="5"/>
  <c r="AI73" i="5" s="1"/>
  <c r="AG45" i="5"/>
  <c r="AF15" i="5"/>
  <c r="AF2" i="5"/>
  <c r="AG577" i="5"/>
  <c r="AG37" i="5"/>
  <c r="AI503" i="5"/>
  <c r="AG447" i="5"/>
  <c r="AG381" i="5"/>
  <c r="AH333" i="5"/>
  <c r="AI333" i="5" s="1"/>
  <c r="AG304" i="5"/>
  <c r="AG287" i="5"/>
  <c r="AD264" i="5"/>
  <c r="AE264" i="5" s="1"/>
  <c r="AG73" i="5"/>
  <c r="AH50" i="5"/>
  <c r="AI50" i="5" s="1"/>
  <c r="AH35" i="5"/>
  <c r="AI35" i="5" s="1"/>
  <c r="AG14" i="5"/>
  <c r="AG641" i="5"/>
  <c r="AI622" i="5"/>
  <c r="AI605" i="5"/>
  <c r="AE574" i="5"/>
  <c r="AI612" i="5"/>
  <c r="AF447" i="5"/>
  <c r="AH388" i="5"/>
  <c r="AI388" i="5" s="1"/>
  <c r="AH263" i="5"/>
  <c r="AI263" i="5" s="1"/>
  <c r="AH84" i="5"/>
  <c r="AI84" i="5" s="1"/>
  <c r="AG50" i="5"/>
  <c r="AG35" i="5"/>
  <c r="AD32" i="5"/>
  <c r="AE32" i="5" s="1"/>
  <c r="AE569" i="5"/>
  <c r="AE546" i="5"/>
  <c r="AI480" i="5"/>
  <c r="AF382" i="5"/>
  <c r="L469" i="5"/>
  <c r="AH469" i="5" s="1"/>
  <c r="AI469" i="5" s="1"/>
  <c r="AI608" i="5"/>
  <c r="AI571" i="5"/>
  <c r="AI530" i="5"/>
  <c r="AI501" i="5"/>
  <c r="AG388" i="5"/>
  <c r="AG369" i="5"/>
  <c r="AG263" i="5"/>
  <c r="AH250" i="5"/>
  <c r="AI250" i="5" s="1"/>
  <c r="AG220" i="5"/>
  <c r="AG192" i="5"/>
  <c r="AG84" i="5"/>
  <c r="AH44" i="5"/>
  <c r="AI44" i="5" s="1"/>
  <c r="AE641" i="5"/>
  <c r="AG612" i="5"/>
  <c r="AE609" i="5"/>
  <c r="AE590" i="5"/>
  <c r="AD491" i="5"/>
  <c r="AE491" i="5" s="1"/>
  <c r="AI607" i="5"/>
  <c r="AI570" i="5"/>
  <c r="AI529" i="5"/>
  <c r="AH312" i="5"/>
  <c r="AI312" i="5" s="1"/>
  <c r="AH275" i="5"/>
  <c r="AI275" i="5" s="1"/>
  <c r="AG250" i="5"/>
  <c r="AF220" i="5"/>
  <c r="AH197" i="5"/>
  <c r="AI197" i="5" s="1"/>
  <c r="AG61" i="5"/>
  <c r="AG44" i="5"/>
  <c r="AG24" i="5"/>
  <c r="AE622" i="5"/>
  <c r="AE605" i="5"/>
  <c r="AG568" i="5"/>
  <c r="AH183" i="5"/>
  <c r="AI183" i="5" s="1"/>
  <c r="AH446" i="5"/>
  <c r="AI446" i="5" s="1"/>
  <c r="AG312" i="5"/>
  <c r="AH291" i="5"/>
  <c r="AI291" i="5" s="1"/>
  <c r="AG275" i="5"/>
  <c r="AG197" i="5"/>
  <c r="AG183" i="5"/>
  <c r="AG589" i="5"/>
  <c r="AG576" i="5"/>
  <c r="AH182" i="5"/>
  <c r="AI182" i="5" s="1"/>
  <c r="AG446" i="5"/>
  <c r="AG291" i="5"/>
  <c r="AH219" i="5"/>
  <c r="AI219" i="5" s="1"/>
  <c r="AH49" i="5"/>
  <c r="AI49" i="5" s="1"/>
  <c r="AE586" i="5"/>
  <c r="AE568" i="5"/>
  <c r="AE544" i="5"/>
  <c r="AI533" i="5"/>
  <c r="AI513" i="5"/>
  <c r="AI521" i="5"/>
  <c r="AG387" i="5"/>
  <c r="AF324" i="5"/>
  <c r="AH253" i="5"/>
  <c r="AI253" i="5" s="1"/>
  <c r="AH83" i="5"/>
  <c r="AI83" i="5" s="1"/>
  <c r="AG49" i="5"/>
  <c r="AG34" i="5"/>
  <c r="AI611" i="5"/>
  <c r="AE608" i="5"/>
  <c r="AI543" i="5"/>
  <c r="AF184" i="5"/>
  <c r="AF387" i="5"/>
  <c r="AH311" i="5"/>
  <c r="AI311" i="5" s="1"/>
  <c r="AG290" i="5"/>
  <c r="AG253" i="5"/>
  <c r="AH236" i="5"/>
  <c r="AI236" i="5" s="1"/>
  <c r="AD181" i="5"/>
  <c r="AE181" i="5" s="1"/>
  <c r="AG83" i="5"/>
  <c r="AG43" i="5"/>
  <c r="AG626" i="5"/>
  <c r="AI592" i="5"/>
  <c r="AG543" i="5"/>
  <c r="AG311" i="5"/>
  <c r="AG265" i="5"/>
  <c r="AG236" i="5"/>
  <c r="AF43" i="5"/>
  <c r="AI637" i="5"/>
  <c r="AE533" i="5"/>
  <c r="AG473" i="5"/>
  <c r="AH397" i="5"/>
  <c r="AI397" i="5" s="1"/>
  <c r="AH323" i="5"/>
  <c r="AI323" i="5" s="1"/>
  <c r="AG86" i="5"/>
  <c r="AE626" i="5"/>
  <c r="AG588" i="5"/>
  <c r="AE567" i="5"/>
  <c r="AH479" i="5"/>
  <c r="AI479" i="5" s="1"/>
  <c r="AG397" i="5"/>
  <c r="AH382" i="5"/>
  <c r="AI382" i="5" s="1"/>
  <c r="AG323" i="5"/>
  <c r="AH252" i="5"/>
  <c r="AI252" i="5" s="1"/>
  <c r="AH48" i="5"/>
  <c r="AI48" i="5" s="1"/>
  <c r="AE607" i="5"/>
  <c r="AE592" i="5"/>
  <c r="AH290" i="5"/>
  <c r="AI290" i="5" s="1"/>
  <c r="AE637" i="5"/>
  <c r="AI508" i="5"/>
  <c r="AI492" i="5"/>
  <c r="AH184" i="5"/>
  <c r="AI184" i="5" s="1"/>
  <c r="AG184" i="5"/>
  <c r="AD184" i="5"/>
  <c r="AE184" i="5" s="1"/>
  <c r="AH181" i="5"/>
  <c r="AI181" i="5" s="1"/>
  <c r="AG182" i="5"/>
  <c r="AF182" i="5"/>
  <c r="AG181" i="5"/>
  <c r="L12" i="5"/>
  <c r="AD16" i="5"/>
  <c r="AE16" i="5" s="1"/>
  <c r="AD14" i="5"/>
  <c r="AE14" i="5" s="1"/>
  <c r="AD17" i="5"/>
  <c r="AE17" i="5" s="1"/>
  <c r="AD15" i="5"/>
  <c r="AE15" i="5" s="1"/>
  <c r="AD13" i="5"/>
  <c r="AE13" i="5" s="1"/>
  <c r="AD291" i="5"/>
  <c r="AE291" i="5" s="1"/>
  <c r="L471" i="5"/>
  <c r="L467" i="5"/>
  <c r="L472" i="5"/>
  <c r="P202" i="1"/>
  <c r="P207" i="1"/>
  <c r="P215" i="1"/>
  <c r="P180" i="1"/>
  <c r="P181" i="1"/>
  <c r="P196" i="1"/>
  <c r="P168" i="1"/>
  <c r="P178" i="1"/>
  <c r="P187" i="1"/>
  <c r="P193" i="1"/>
  <c r="P189" i="1"/>
  <c r="P183" i="1"/>
  <c r="P194" i="1"/>
  <c r="P191" i="1"/>
  <c r="P186" i="1"/>
  <c r="P195" i="1"/>
  <c r="P188" i="1"/>
  <c r="P179" i="1"/>
  <c r="P174" i="1"/>
  <c r="P172" i="1"/>
  <c r="P136" i="1"/>
  <c r="P173" i="1"/>
  <c r="P171" i="1"/>
  <c r="P163" i="1"/>
  <c r="P154" i="1"/>
  <c r="P170" i="1"/>
  <c r="P157" i="1"/>
  <c r="P160" i="1"/>
  <c r="P164" i="1"/>
  <c r="P166" i="1"/>
  <c r="P131" i="1"/>
  <c r="P132" i="1"/>
  <c r="P137" i="1"/>
  <c r="P138" i="1"/>
  <c r="P146" i="1"/>
  <c r="P143" i="1"/>
  <c r="P133" i="1"/>
  <c r="P134" i="1"/>
  <c r="P139" i="1"/>
  <c r="P159" i="1"/>
  <c r="P161" i="1"/>
  <c r="P151" i="1"/>
  <c r="P155" i="1"/>
  <c r="P130" i="1"/>
  <c r="P152" i="1"/>
  <c r="P144" i="1"/>
  <c r="P158" i="1"/>
  <c r="P142" i="1"/>
  <c r="P169" i="1"/>
  <c r="P135" i="1"/>
  <c r="P145" i="1"/>
  <c r="P140" i="1"/>
  <c r="P156" i="1"/>
  <c r="P127" i="1"/>
  <c r="P112" i="1"/>
  <c r="P125" i="1"/>
  <c r="P118" i="1"/>
  <c r="P106" i="1"/>
  <c r="P121" i="1"/>
  <c r="P111" i="1"/>
  <c r="P128" i="1"/>
  <c r="P129" i="1"/>
  <c r="P114" i="1"/>
  <c r="P109" i="1"/>
  <c r="P113" i="1"/>
  <c r="P122" i="1"/>
  <c r="P117" i="1"/>
  <c r="P108" i="1"/>
  <c r="P120" i="1"/>
  <c r="P115" i="1"/>
  <c r="P107" i="1"/>
  <c r="P105" i="1"/>
  <c r="P124" i="1"/>
  <c r="P110" i="1"/>
  <c r="P119" i="1"/>
  <c r="P101" i="1"/>
  <c r="P126" i="1"/>
  <c r="P102" i="1"/>
  <c r="P104" i="1"/>
  <c r="P103" i="1"/>
  <c r="P32" i="1"/>
  <c r="P30" i="1"/>
  <c r="P57" i="1"/>
  <c r="P22" i="1"/>
  <c r="P25" i="1"/>
  <c r="P31" i="1"/>
  <c r="P90" i="1"/>
  <c r="P54" i="1"/>
  <c r="P33" i="1"/>
  <c r="P96" i="1"/>
  <c r="V471" i="5"/>
  <c r="AG472" i="5" s="1"/>
  <c r="AC637" i="5"/>
  <c r="P51" i="1"/>
  <c r="P35" i="1"/>
  <c r="P89" i="1"/>
  <c r="P100" i="1"/>
  <c r="P43" i="1"/>
  <c r="P41" i="1"/>
  <c r="P56" i="1"/>
  <c r="P70" i="1"/>
  <c r="P53" i="1"/>
  <c r="P95" i="1"/>
  <c r="P69" i="1"/>
  <c r="P84" i="1"/>
  <c r="P52" i="1"/>
  <c r="P23" i="1"/>
  <c r="P37" i="1"/>
  <c r="P61" i="1"/>
  <c r="P60" i="1"/>
  <c r="P66" i="1"/>
  <c r="P47" i="1"/>
  <c r="P20" i="1"/>
  <c r="P46" i="1"/>
  <c r="P72" i="1"/>
  <c r="P81" i="1"/>
  <c r="P82" i="1"/>
  <c r="P83" i="1"/>
  <c r="P88" i="1"/>
  <c r="P92" i="1"/>
  <c r="P29" i="1"/>
  <c r="P58" i="1"/>
  <c r="P71" i="1"/>
  <c r="P62" i="1"/>
  <c r="P39" i="1"/>
  <c r="P67" i="1"/>
  <c r="P75" i="1"/>
  <c r="P21" i="1"/>
  <c r="P85" i="1"/>
  <c r="P55" i="1"/>
  <c r="P36" i="1"/>
  <c r="P65" i="1"/>
  <c r="P73" i="1"/>
  <c r="P76" i="1"/>
  <c r="AC605" i="5"/>
  <c r="P38" i="1"/>
  <c r="P42" i="1"/>
  <c r="P44" i="1"/>
  <c r="P64" i="1"/>
  <c r="P68" i="1"/>
  <c r="P74" i="1"/>
  <c r="P78" i="1"/>
  <c r="P26" i="1"/>
  <c r="P59" i="1"/>
  <c r="P87" i="1"/>
  <c r="P80" i="1"/>
  <c r="P34" i="1"/>
  <c r="P40" i="1"/>
  <c r="P86" i="1"/>
  <c r="P93" i="1"/>
  <c r="P45" i="1"/>
  <c r="P79" i="1"/>
  <c r="P91" i="1"/>
  <c r="P24" i="1"/>
  <c r="P27" i="1"/>
  <c r="P77" i="1"/>
  <c r="P94" i="1"/>
  <c r="AC505" i="5"/>
  <c r="AC507" i="5"/>
  <c r="P63" i="1"/>
  <c r="P97" i="1"/>
  <c r="AC586" i="5"/>
  <c r="AC60" i="5"/>
  <c r="P98" i="1"/>
  <c r="AC499" i="5"/>
  <c r="AC508" i="5"/>
  <c r="P99" i="1"/>
  <c r="AC607" i="5"/>
  <c r="AC589" i="5"/>
  <c r="P49" i="1"/>
  <c r="AC585" i="5"/>
  <c r="V467" i="5"/>
  <c r="V470" i="5"/>
  <c r="V468" i="5"/>
  <c r="AF469" i="5" s="1"/>
  <c r="AH12" i="5" l="1"/>
  <c r="AI12" i="5" s="1"/>
  <c r="AF12" i="5"/>
  <c r="AG12" i="5"/>
  <c r="AF13" i="5"/>
  <c r="AF472" i="5"/>
  <c r="AF470" i="5"/>
  <c r="AG470" i="5"/>
  <c r="AH470" i="5"/>
  <c r="AI470" i="5" s="1"/>
  <c r="AF471" i="5"/>
  <c r="AG471" i="5"/>
  <c r="AH471" i="5"/>
  <c r="AI471" i="5" s="1"/>
  <c r="AH472" i="5"/>
  <c r="AI472" i="5" s="1"/>
  <c r="AG469" i="5"/>
  <c r="AH468" i="5"/>
  <c r="AI468" i="5" s="1"/>
  <c r="AF468" i="5"/>
  <c r="AG468" i="5"/>
  <c r="AH467" i="5"/>
  <c r="AI467" i="5" s="1"/>
  <c r="AF467" i="5"/>
  <c r="AG46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tc={BB9152FC-8D13-4A70-8227-8E412D538D5D}</author>
  </authors>
  <commentList>
    <comment ref="E95" authorId="0" shapeId="0" xr:uid="{BB9152FC-8D13-4A70-8227-8E412D538D5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 then this is probably length not width. Needs confirmation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tc={BCB9F8DA-E340-4827-A0E4-9243F783C080}</author>
    <author>tc={CB55C860-F30D-4B7B-BF93-85DA5F571612}</author>
    <author>tc={C30A5955-BF08-4DC7-9788-0876A028369B}</author>
    <author>tc={89C4F1DF-BC21-4DA4-9281-6A9648C4AAF6}</author>
    <author>tc={A85349CC-7F3B-4CA1-94B4-8C12B6F82221}</author>
    <author>tc={AF9EF253-14F6-4F61-B031-67A1CF081B45}</author>
    <author>tc={F9826FAF-07A1-41DE-B53B-C981167510D1}</author>
    <author>tc={A0248B46-B890-4B69-9C4C-8FEBFDE7DFD0}</author>
    <author>tc={938BF9D8-C4C4-494C-8E28-9B13752EA49E}</author>
    <author>tc={104E972F-0FCC-45FF-97F2-3D3A2D304D6F}</author>
    <author>tc={26FFE50C-5092-4EDA-A240-CC29A8C50827}</author>
    <author>tc={3BB34AFE-4E39-4300-AB71-F744A5471003}</author>
    <author>tc={E734D5DF-3BD4-4F0E-9878-BC3A0EF81461}</author>
    <author>tc={B611D790-D0B9-475F-AD86-FE8833953F29}</author>
    <author>tc={BCA726D3-E922-45F4-9CF1-12881616AC0A}</author>
    <author>tc={53670406-116F-4E72-873C-D9302C277B23}</author>
    <author>tc={A3B0AEB1-1131-4C3B-A238-ED8480D602C9}</author>
    <author>tc={9639981A-6FB4-47A4-948F-1C0C83E61309}</author>
    <author>tc={C8F45217-2919-4C44-A205-87B0DE5B3E0E}</author>
    <author>tc={DC228FEF-170E-4842-A2E9-D3D174BDE659}</author>
    <author>tc={D9984715-710B-4C58-8A94-54D6CBC501A8}</author>
    <author>tc={2C08DD67-A205-4002-9C40-432B46D52D84}</author>
    <author>tc={18DA531E-8654-4FF3-9983-4A403AEFA572}</author>
    <author>tc={8C1873BE-F1A1-455F-8032-491839E24715}</author>
    <author>tc={D2845746-24E3-42DA-A767-25F13AA0CB67}</author>
    <author>tc={9F4B39A6-D59D-42CD-854F-D47724390E27}</author>
    <author>tc={6427E584-57F8-4EB6-A9BB-61E5E326CABF}</author>
    <author>tc={FBF0109B-7F17-46F5-AAA5-B07A7403E795}</author>
    <author>tc={26E32F96-77DF-4B36-A43C-1DD2B6F60E0C}</author>
    <author>tc={E1A4CFFB-68EA-4E27-89B6-1E41C833DC50}</author>
    <author>tc={19FDD775-BBCB-49F2-9342-69F72CACC0F8}</author>
    <author>tc={6B87275C-F0B0-467F-B90E-355AE6E72EDA}</author>
    <author>tc={8D91108B-F72B-4B81-833E-6FD089864DB7}</author>
    <author>tc={23B50B21-A598-47C6-AAD3-0E32266BBCF5}</author>
    <author>tc={70E7B059-06FA-43EF-A52F-8540F2DA8D44}</author>
    <author>tc={2EDE7F17-B655-4AE8-83DF-E9A75E4A1D7F}</author>
    <author>tc={92D92F67-6D95-43CC-87DB-E902A0C22D5E}</author>
    <author>tc={3712F9B7-4BF7-4B32-B3F7-42D349E7FA72}</author>
    <author>tc={4B7B3839-B4ED-4AAE-8626-C401995CE07F}</author>
    <author>tc={5A8086DD-83E8-476F-8D7E-68A85C4CE579}</author>
    <author>tc={470AC684-D80E-42E2-B335-B26FD5C57E1E}</author>
    <author>tc={862F5B52-5289-4B3E-828A-336BFB01D1DC}</author>
    <author>tc={0E3D1185-7373-4A07-B252-87371530315E}</author>
    <author>tc={6FBC0619-9602-49D0-A63A-434FD865F788}</author>
    <author>tc={B566AC36-8E3B-4ADA-85CA-3544D3A2BEC0}</author>
    <author>tc={083D9799-6EE1-4562-8DE1-C57A3AA82F2D}</author>
    <author>tc={2E90DD3D-9B54-43C0-A439-79F717C89AA4}</author>
    <author>tc={4F1259A3-E1C7-4A37-AED2-0B21F93C3226}</author>
    <author>tc={45F6E6C7-28D1-4C5A-AB69-E3C483E771BE}</author>
    <author>tc={2A9BB979-322E-4AEB-9FDE-0489204AE531}</author>
    <author>tc={50075D34-5988-47AF-A885-574C59C3FA92}</author>
    <author>tc={95D5F542-ADB4-48A6-8E8C-5104CFCA0D5D}</author>
    <author>tc={AF49D35F-0074-4B1C-8153-B7323305A420}</author>
    <author>tc={C208742D-DC9C-43CC-8D2D-37FC96E9CAC8}</author>
    <author>tc={C258D218-BE58-4879-AEC5-E626BCD726D4}</author>
    <author>tc={06F27E6F-AEE9-4AD2-9463-B8F0BE8BC90C}</author>
    <author>tc={8593090A-02F3-4593-A9AF-F9EAD66CA3AD}</author>
    <author>tc={88C67C38-B052-464B-A3E7-51550DFE3565}</author>
    <author>tc={53F9BE4C-4817-4D80-ABB7-77649A62B5C6}</author>
    <author>tc={51020E8F-0ECE-4F03-B22C-487F1200969D}</author>
    <author>tc={EF3DFB42-9C71-4530-95E7-7EA4FA2FFFC1}</author>
    <author>tc={9D3E02FB-8629-4A09-8D8D-45CD37574214}</author>
    <author>tc={4401958A-C41E-4E71-AAF1-188AEAB4285E}</author>
    <author>tc={E8722FDA-E380-4BE2-82FF-FE75CA72D49F}</author>
    <author>tc={A82C687A-6575-4E15-857C-C2366E0D5485}</author>
    <author>tc={0A6E0D40-D3F1-444C-BC17-4AEF6F57FDD6}</author>
    <author>tc={00B0F3E4-A59E-4812-BA8E-49FAE1A6BAAE}</author>
    <author>tc={C1A827A0-3F65-4191-AFAE-087CCCFBABB0}</author>
    <author>tc={8CBC0130-CF7B-4F17-BF87-CFDF3E2A446A}</author>
    <author>tc={B050474B-BD28-4006-8BF8-8664A29DE104}</author>
    <author>tc={F9D8B0F4-851D-4404-BDBD-DE510428C8AD}</author>
    <author>tc={CEA1A965-9FE3-4EA0-BE56-1FE62738064E}</author>
    <author>tc={9636C376-AE7C-492D-BE81-B497EF02B06B}</author>
    <author>tc={886602BE-AB53-41E2-9EEF-0F5F5E3EB13F}</author>
    <author>tc={F705833F-AB64-4C9B-8646-9E24B5EA09A8}</author>
    <author>tc={B1699023-24F6-46AA-BA4C-2750AE57104C}</author>
    <author>tc={B271AC4D-E982-4947-A0C1-31A3D7A6DD68}</author>
    <author>tc={BC62C115-3523-4F40-87D3-A6853C9A2CDB}</author>
    <author>tc={8FF8D696-95AF-4A22-B1F2-2EA029B9C6AA}</author>
  </authors>
  <commentList>
    <comment ref="C14" authorId="0" shapeId="0" xr:uid="{BCB9F8DA-E340-4827-A0E4-9243F783C0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Inconsistencies with VICDAC database again. Need to verify/correct</t>
        </r>
      </text>
    </comment>
    <comment ref="AZ26" authorId="1" shapeId="0" xr:uid="{CB55C860-F30D-4B7B-BF93-85DA5F57161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OFRA -&gt; OFAV (note the vertical rows of bumps)
Reply:
    @Sarah Von Hoene @Samuel Gittens
Reply:
    Ohh yes I do notice now ! thank you </t>
        </r>
      </text>
    </comment>
    <comment ref="V28" authorId="2" shapeId="0" xr:uid="{C30A5955-BF08-4DC7-9788-0876A028369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2 according to M.S. notes, 1 with SCTLD &amp; 1 with suspected SCTLD @Sarah Von Hoene @Samuel Gittens
Reply:
    Ohh snap thank you, missed that detail </t>
        </r>
      </text>
    </comment>
    <comment ref="BP42" authorId="3" shapeId="0" xr:uid="{89C4F1DF-BC21-4DA4-9281-6A9648C4AAF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19 -&gt; 16
When there are a bunch of small pieces look closely, they are likely one single colony that has been divided by partial mortality. This is where backing up away from the coral for photos is KEY.</t>
        </r>
      </text>
    </comment>
    <comment ref="BE46" authorId="4" shapeId="0" xr:uid="{A85349CC-7F3B-4CA1-94B4-8C12B6F8222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0 -&gt; 1
@Sarah Von Hoene (I initially labelled this as SSID as well, but there are not 4 quality photos of the colony. So, I referenced the Diver's log of treated corals and used their in person ID. It's not ideal, but probably better than relying on the photo here.)</t>
        </r>
      </text>
    </comment>
    <comment ref="G47" authorId="5" shapeId="0" xr:uid="{AF9EF253-14F6-4F61-B031-67A1CF081B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Photos uploaded into wrong folder. Cinnamon Bay photos included in this count were removed</t>
        </r>
      </text>
    </comment>
    <comment ref="BQ47" authorId="6" shapeId="0" xr:uid="{F9826FAF-07A1-41DE-B53B-C981167510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Noted deleted. This dive was only KB &amp; SG</t>
        </r>
      </text>
    </comment>
    <comment ref="BR47" authorId="7" shapeId="0" xr:uid="{A0248B46-B890-4B69-9C4C-8FEBFDE7DF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Tag # was not listed @Sarah Von Hoene</t>
        </r>
      </text>
    </comment>
    <comment ref="BR49" authorId="8" shapeId="0" xr:uid="{938BF9D8-C4C4-494C-8E28-9B13752EA49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4119 is not in Cinnamon Bay</t>
        </r>
      </text>
    </comment>
    <comment ref="AY50" authorId="9" shapeId="0" xr:uid="{104E972F-0FCC-45FF-97F2-3D3A2D304D6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0-&gt;1
Reply:
    Questionable coral. Going with initial diver ID of OFAV
Reply:
    ahh okay :)</t>
        </r>
      </text>
    </comment>
    <comment ref="AR52" authorId="10" shapeId="0" xr:uid="{26FFE50C-5092-4EDA-A240-CC29A8C508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1-&gt;0
I think what you counted as a CNAT is the Mycetophilia</t>
        </r>
      </text>
    </comment>
    <comment ref="BH68" authorId="11" shapeId="0" xr:uid="{3BB34AFE-4E39-4300-AB71-F744A547100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@Samuel Gittens what is this other? In the future, if you count an "other" note the species name in the notes section. Thanks!
Reply:
    Yes, please put the species name in the note. I did not count an "other" species. So, I'm changing this to 0</t>
        </r>
      </text>
    </comment>
    <comment ref="L69" authorId="12" shapeId="0" xr:uid="{E734D5DF-3BD4-4F0E-9878-BC3A0EF8146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Make sure when you enter and when you QAQC, you are checking the Non-Treatment folder for any stray treatment photos that were accidently put there. There were quite a few for Elk Bay, Dive1 that were missed this way. </t>
        </r>
      </text>
    </comment>
    <comment ref="H75" authorId="13" shapeId="0" xr:uid="{B611D790-D0B9-475F-AD86-FE8833953F2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When entering and during QAQC, make sure to fill in the latitude and longitude using the site info in the Metadata tab</t>
        </r>
      </text>
    </comment>
    <comment ref="BH75" authorId="14" shapeId="0" xr:uid="{BCA726D3-E922-45F4-9CF1-12881616AC0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2 -&gt; 0
When there are other species treated, please list them in the Notes in addition to tallying them here.</t>
        </r>
      </text>
    </comment>
    <comment ref="BA76" authorId="15" shapeId="0" xr:uid="{53670406-116F-4E72-873C-D9302C277B2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Can we get a second check on all the orbicellas this day? I have 6 Orb spp., 6 Ofra, 11 Ofav -- Sam's counts are entered. @Moriah Sevier 
Reply:
    @Moriah Sevier friendly reminder to give us a third count when you get a chance. :) 
Reply:
    19 -&gt; 21
I have 0 OX, 2 OFRA, 21 OFAV, &amp; 3 OA</t>
        </r>
      </text>
    </comment>
    <comment ref="BA81" authorId="16" shapeId="0" xr:uid="{A3B0AEB1-1131-4C3B-A238-ED8480D602C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@Sarah Von Hoene  did you treat the last OFAV from your pictures ? I did not see an after photo with treatment on it. 
Reply:
    No, I think those were predation marks. I moved the photos to non-treatment. 
Reply:
    Ohh okay thanks </t>
        </r>
      </text>
    </comment>
    <comment ref="BB82" authorId="17" shapeId="0" xr:uid="{9639981A-6FB4-47A4-948F-1C0C83E6130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0 -&gt; 1
There was a lobey, OANN/OFAV looking thing that I think was counted as an OANN</t>
        </r>
      </text>
    </comment>
    <comment ref="AQ86" authorId="18" shapeId="0" xr:uid="{C8F45217-2919-4C44-A205-87B0DE5B3E0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4 -&gt; 3, the one Kayla treated is the same as the one I treated
</t>
        </r>
      </text>
    </comment>
    <comment ref="L87" authorId="19" shapeId="0" xr:uid="{DC228FEF-170E-4842-A2E9-D3D174BDE6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Waiting for Kayla's photo uploads for all 6/14 and 6/15 dives. Will do QAQC once everything's uploaded.
Reply:
    Photos are in!
Reply:
    Yes I inputted the data from Kayla's photos for 6/14 and 6/15 so you should be able to QAQC when you are ready 
Reply:
    QAQC in progress
Reply:
    done</t>
        </r>
      </text>
    </comment>
    <comment ref="AY93" authorId="20" shapeId="0" xr:uid="{D9984715-710B-4C58-8A94-54D6CBC501A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1 -&gt;0
Debatable, but I think this was one of those weird lobey OFAVs</t>
        </r>
      </text>
    </comment>
    <comment ref="AO98" authorId="21" shapeId="0" xr:uid="{2C08DD67-A205-4002-9C40-432B46D52D8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0-&gt;1
Reply:
    -&gt;0 I think what you are counting as AGGspp is actually the PAST. It's a dark plating form when they are usually yellow, mounding, and bumpy.</t>
        </r>
      </text>
    </comment>
    <comment ref="N99" authorId="22" shapeId="0" xr:uid="{18DA531E-8654-4FF3-9983-4A403AEFA57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2-&gt;3
Include "visitor" divers in the count
Reply:
    @Kayla Budd what if they don't help treat? Asking about whether I should count Tasha or not, looks like she only had non-treatment photos
Reply:
    Yes include them if they were present on the treatment dive
Reply:
    @Sarah Von Hoene are Davis's treatment photos on your camera?
Reply:
    Nevermind, I found the note. Please remember to list all divers in the file names when sharing a camera. Thanks!</t>
        </r>
      </text>
    </comment>
    <comment ref="BA107" authorId="23" shapeId="0" xr:uid="{8C1873BE-F1A1-455F-8032-491839E2471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Switched Ofr with OFa</t>
        </r>
      </text>
    </comment>
    <comment ref="AZ109" authorId="24" shapeId="0" xr:uid="{D2845746-24E3-42DA-A767-25F13AA0CB6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Switched ofr w/ ofa</t>
        </r>
      </text>
    </comment>
    <comment ref="BQ113" authorId="25" shapeId="0" xr:uid="{9F4B39A6-D59D-42CD-854F-D47724390E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P17155365 from Mo's photos is S. radians. Good catch!</t>
        </r>
      </text>
    </comment>
    <comment ref="BP124" authorId="26" shapeId="0" xr:uid="{6427E584-57F8-4EB6-A9BB-61E5E326CAB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40-&gt;39
This one was a mess bc of the coral treated by multiple people AND on multiple dives</t>
        </r>
      </text>
    </comment>
    <comment ref="BR124" authorId="27" shapeId="0" xr:uid="{FBF0109B-7F17-46F5-AAA5-B07A7403E79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Please read the metadata regarding this column. I've edited it to be more clear</t>
        </r>
      </text>
    </comment>
    <comment ref="BP128" authorId="28" shapeId="0" xr:uid="{26E32F96-77DF-4B36-A43C-1DD2B6F60E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count was off by -7 (26)</t>
        </r>
      </text>
    </comment>
    <comment ref="BP129" authorId="29" shapeId="0" xr:uid="{E1A4CFFB-68EA-4E27-89B6-1E41C833DC5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I'm not sure what happened here. Orbicellids and 1 CNAT were counted when only Pseudodiploria species appear in treatment files</t>
        </r>
      </text>
    </comment>
    <comment ref="BR154" authorId="30" shapeId="0" xr:uid="{19FDD775-BBCB-49F2-9342-69F72CACC0F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Revisited tags go here even if they arent ours</t>
        </r>
      </text>
    </comment>
    <comment ref="AT157" authorId="31" shapeId="0" xr:uid="{6B87275C-F0B0-467F-B90E-355AE6E72ED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Mo's camera died and her notes mention more corals that weren't recorded anywhere. She had them in her dive log. 
Make sure to read dive notes so these aren't missed.
</t>
        </r>
      </text>
    </comment>
    <comment ref="BQ157" authorId="32" shapeId="0" xr:uid="{8D91108B-F72B-4B81-833E-6FD089864DB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Other is 0. What's going on here?</t>
        </r>
      </text>
    </comment>
    <comment ref="N182" authorId="33" shapeId="0" xr:uid="{23B50B21-A598-47C6-AAD3-0E32266BBC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@Sarah Von Hoene please check to see if you had photos or did any treatment for this dive. 
When entering data, please make sure all divers have photos uploaded or have indicated that they did not take photos.</t>
        </r>
      </text>
    </comment>
    <comment ref="BP228" authorId="34" shapeId="0" xr:uid="{70E7B059-06FA-43EF-A52F-8540F2DA8D4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had a really hard time w/ MS photo IDs, OA count might be off (SVH 12/27) </t>
        </r>
      </text>
    </comment>
    <comment ref="G266" authorId="35" shapeId="0" xr:uid="{2EDE7F17-B655-4AE8-83DF-E9A75E4A1D7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Haulover South</t>
        </r>
      </text>
    </comment>
    <comment ref="G267" authorId="36" shapeId="0" xr:uid="{92D92F67-6D95-43CC-87DB-E902A0C22D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Haulover South</t>
        </r>
      </text>
    </comment>
    <comment ref="BQ267" authorId="37" shapeId="0" xr:uid="{3712F9B7-4BF7-4B32-B3F7-42D349E7FA7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 added the CNAT that was collected on a NonTreatment dive here</t>
        </r>
      </text>
    </comment>
    <comment ref="P273" authorId="38" shapeId="0" xr:uid="{4B7B3839-B4ED-4AAE-8626-C401995CE07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Estimated from photos</t>
        </r>
      </text>
    </comment>
    <comment ref="BQ310" authorId="39" shapeId="0" xr:uid="{5A8086DD-83E8-476F-8D7E-68A85C4CE57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@Kayla Budd please remove 926 and reduce the total # of tags by one (unless we are also removing CWORI tags adn then reduce the total by 2) I have found no pics of 926, and what you state is 926 in your notes is shown to be 920 in my photos. 
Reply:
    @Moriah Sevier nothing other than this comment indicated that a change needed to be made. I just saw this and made the correction</t>
        </r>
      </text>
    </comment>
    <comment ref="M313" authorId="40" shapeId="0" xr:uid="{470AC684-D80E-42E2-B335-B26FD5C57E1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@Kayla Budd moe changed this from 2 to 3 @4/21/2023 noonish=after you gave to Krisitin Ewen......... because we were also counting them for dives 1 on 3/21 and 3/22. If Logans Tags/CWORI are not to be counted then they need to be removed from this and the other 2 counts i have made notes on 
Reply:
    CWORI tags can be included here going forward because they are not recorded elsewhere
Reply:
    WINNING!</t>
        </r>
      </text>
    </comment>
    <comment ref="BQ313" authorId="41" shapeId="0" xr:uid="{862F5B52-5289-4B3E-828A-336BFB01D1D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@Kayla Budd please chagne 841 to be 941 as shown in our pics
Reply:
    @Moriah Sevier nothing other than this comment indicated that a change needed to be made. I just saw this and made the correction</t>
        </r>
      </text>
    </comment>
    <comment ref="BQ335" authorId="42" shapeId="0" xr:uid="{0E3D1185-7373-4A07-B252-8737153031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Please do not put instructions for our team in the sheet. This data is shared.
Reply:
    "pull DCYL w/p from nontreatment pic p4207743"</t>
        </r>
      </text>
    </comment>
    <comment ref="BR349" authorId="43" shapeId="0" xr:uid="{6FBC0619-9602-49D0-A63A-434FD865F78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@Nicholas Durgadeen please make sure you are taking note of all corals with tags so that they can all get entered here. IF there was a new tag installed it would go to the left in column "notes". The t-stick pictures even when a coral is not treated must be accounted for here (unless new tag). This is the only place not treated but visited tagged /T sticked are noted and these notes are used for checking which T stick photographs should be uploaded at full resolution for fate tracking by Kayla and Avery. This is how Kayla and Avery hunt down photos that should have been uploaded (full resolution to fate tracking ) by us if we fail to do so. All these colums on the far right are important
:)
</t>
        </r>
      </text>
    </comment>
    <comment ref="BO352" authorId="44" shapeId="0" xr:uid="{B566AC36-8E3B-4ADA-85CA-3544D3A2BEC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this is correct now, going to put my initials on the QAQC numbers match now 
Reply:
    This coral is treated and amputated so the summ all should still be 23 not 24
unless it counts as 2 interventions then it should be 24
Reply:
    @Kayla Budd 
Reply:
    We may have discussed already, but all amputations should also receive treatment on the wound.</t>
        </r>
      </text>
    </comment>
    <comment ref="BR362" authorId="45" shapeId="0" xr:uid="{083D9799-6EE1-4562-8DE1-C57A3AA82F2D}">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@Kayla Budd The dcyl here should have CWORI tags because we have collected from 2 or 3 now. Did we install tags?
Reply:
    need to check photos or dive notes. i don't know from memory. some dcyls there do have tags. </t>
        </r>
      </text>
    </comment>
    <comment ref="BL369" authorId="46" shapeId="0" xr:uid="{2E90DD3D-9B54-43C0-A439-79F717C89AA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@Amanda Badai @Kayla Budd corals that get collected for CWORI or any other entity are not fragments of opportunity...instead they go under the "coral collection" column ~ 8 columns to the right in this tab. I have changed this here to now be correct. 
Reply:
    These are also usually counted as a cull or an amputation. </t>
        </r>
      </text>
    </comment>
    <comment ref="R371" authorId="47" shapeId="0" xr:uid="{4F1259A3-E1C7-4A37-AED2-0B21F93C322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cull of dying mmea went to CWORI in heart bag</t>
        </r>
      </text>
    </comment>
    <comment ref="BU371" authorId="48" shapeId="0" xr:uid="{45F6E6C7-28D1-4C5A-AB69-E3C483E771B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mmea that was in the heart bag that went to CWORI
</t>
        </r>
      </text>
    </comment>
    <comment ref="R372" authorId="49" shapeId="0" xr:uid="{2A9BB979-322E-4AEB-9FDE-0489204AE53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@Moriah Sevier MMEA collection mentioned in notes but not accounted for in tallies</t>
        </r>
      </text>
    </comment>
    <comment ref="AP372" authorId="50" shapeId="0" xr:uid="{50075D34-5988-47AF-A885-574C59C3FA9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moe took this one out because it was not treated it was culled</t>
        </r>
      </text>
    </comment>
    <comment ref="BU372" authorId="51" shapeId="0" xr:uid="{95D5F542-ADB4-48A6-8E8C-5104CFCA0D5D}">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itty bitty mmea that went to cwori
Reply:
    in star bag, 100% healthy just tiney </t>
        </r>
      </text>
    </comment>
    <comment ref="BL378" authorId="52" shapeId="0" xr:uid="{AF49D35F-0074-4B1C-8153-B7323305A42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@Moriah Sevier this was missed on initial data entry AND QAQC</t>
        </r>
      </text>
    </comment>
    <comment ref="BR378" authorId="53" shapeId="0" xr:uid="{C208742D-DC9C-43CC-8D2D-37FC96E9CAC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913 added by moe during the QAQC
Reply:
    957 added after QAQC when geotagging</t>
        </r>
      </text>
    </comment>
    <comment ref="BV384" authorId="54" shapeId="0" xr:uid="{C258D218-BE58-4879-AEC5-E626BCD726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@Amanda Badai please put your initials in this column for each dive entered, once the data has been entered in the treatment used tab</t>
        </r>
      </text>
    </comment>
    <comment ref="BV385" authorId="55" shapeId="0" xr:uid="{06F27E6F-AEE9-4AD2-9463-B8F0BE8BC9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@Kayla Budd can you add Nick and I's initials to the drop down box pleas?</t>
        </r>
      </text>
    </comment>
    <comment ref="BQ391" authorId="56" shapeId="0" xr:uid="{8593090A-02F3-4593-A9AF-F9EAD66CA3A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Lionfish size?</t>
        </r>
      </text>
    </comment>
    <comment ref="BQ394" authorId="57" shapeId="0" xr:uid="{88C67C38-B052-464B-A3E7-51550DFE356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looks like it was the same fish</t>
        </r>
      </text>
    </comment>
    <comment ref="BQ400" authorId="58" shapeId="0" xr:uid="{53F9BE4C-4817-4D80-ABB7-77649A62B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Lionfish size?
</t>
        </r>
      </text>
    </comment>
    <comment ref="BR402" authorId="59" shapeId="0" xr:uid="{51020E8F-0ECE-4F03-B22C-487F1200969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 STICK PICS ON 7/11 , NONE WITH THIS TREATMENT" Transferrec to comments instead of Tags Re-visited</t>
        </r>
      </text>
    </comment>
    <comment ref="BR404" authorId="60" shapeId="0" xr:uid="{EF3DFB42-9C71-4530-95E7-7EA4FA2FFF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needs to be entered as a list. It is currently entered as "966916980967" @Amanda Badai 
Reply:
    @Moriah Sevier I think this has caused the problem you are now running into bc Excel auto formatted it to have commas where they would be if it were one number
Reply:
    @Amanda Badai I've tagged you here to make corrections because you were the QAQCer. </t>
        </r>
      </text>
    </comment>
    <comment ref="BR408" authorId="61" shapeId="0" xr:uid="{9D3E02FB-8629-4A09-8D8D-45CD3757421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Change to list @Amanda Badai </t>
        </r>
      </text>
    </comment>
    <comment ref="G409" authorId="62" shapeId="0" xr:uid="{4401958A-C41E-4E71-AAF1-188AEAB428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@Kayla Budd we should have a Nearshore Rams Head and an Offshore Rams head site, they are so far apart and also that is how they have been defined in the master dive log so far. Feedback?
Reply:
    We can look at the coordinates and check to see if they are 400m apart</t>
        </r>
      </text>
    </comment>
    <comment ref="BR411" authorId="63" shapeId="0" xr:uid="{E8722FDA-E380-4BE2-82FF-FE75CA72D49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@Amanda Badai Please change this to a list of numbers (926, 961, 937 is what I would assume this is supposed to be)</t>
        </r>
      </text>
    </comment>
    <comment ref="BR414" authorId="64" shapeId="0" xr:uid="{A82C687A-6575-4E15-857C-C2366E0D548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moe added 957</t>
        </r>
      </text>
    </comment>
    <comment ref="BR415" authorId="65" shapeId="0" xr:uid="{0A6E0D40-D3F1-444C-BC17-4AEF6F57FDD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@Amanda Badai 3338 was added by moe in qaqc</t>
        </r>
      </text>
    </comment>
    <comment ref="BR416" authorId="66" shapeId="0" xr:uid="{00B0F3E4-A59E-4812-BA8E-49FAE1A6BAA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3884 was added by moe during qaqc- was in sams nontreatment pics=tag is hard to see if seen at  all</t>
        </r>
      </text>
    </comment>
    <comment ref="BR418" authorId="67" shapeId="0" xr:uid="{C1A827A0-3F65-4191-AFAE-087CCCFB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amanda added tag 944</t>
        </r>
      </text>
    </comment>
    <comment ref="BR419" authorId="68" shapeId="0" xr:uid="{8CBC0130-CF7B-4F17-BF87-CFDF3E2A446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amanda added tag 902</t>
        </r>
      </text>
    </comment>
    <comment ref="BR423" authorId="69" shapeId="0" xr:uid="{B050474B-BD28-4006-8BF8-8664A29DE10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all tags were added during qaqc</t>
        </r>
      </text>
    </comment>
    <comment ref="BR424" authorId="70" shapeId="0" xr:uid="{F9D8B0F4-851D-4404-BDBD-DE510428C8A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amanda added tags 923,982, and 941</t>
        </r>
      </text>
    </comment>
    <comment ref="BR425" authorId="71" shapeId="0" xr:uid="{CEA1A965-9FE3-4EA0-BE56-1FE62738064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amanda added tag 999</t>
        </r>
      </text>
    </comment>
    <comment ref="BR426" authorId="72" shapeId="0" xr:uid="{9636C376-AE7C-492D-BE81-B497EF02B06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amanda added tag 920</t>
        </r>
      </text>
    </comment>
    <comment ref="BR428" authorId="73" shapeId="0" xr:uid="{886602BE-AB53-41E2-9EEF-0F5F5E3EB13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blinders rocks added during qaqc</t>
        </r>
      </text>
    </comment>
    <comment ref="BR429" authorId="74" shapeId="0" xr:uid="{F705833F-AB64-4C9B-8646-9E24B5EA09A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blinders rocks added during qaqc</t>
        </r>
      </text>
    </comment>
    <comment ref="G431" authorId="75" shapeId="0" xr:uid="{B1699023-24F6-46AA-BA4C-2750AE57104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@Kayla Budd @Moriah Sevier can you add Haulover North to the drop down box please, and what are the coordinates for this site?</t>
        </r>
      </text>
    </comment>
    <comment ref="BR441" authorId="76" shapeId="0" xr:uid="{B271AC4D-E982-4947-A0C1-31A3D7A6DD6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amanda added tag 3338 </t>
        </r>
      </text>
    </comment>
    <comment ref="BR442" authorId="77" shapeId="0" xr:uid="{BC62C115-3523-4F40-87D3-A6853C9A2CD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amanda added tag 3884</t>
        </r>
      </text>
    </comment>
    <comment ref="G454" authorId="78" shapeId="0" xr:uid="{8FF8D696-95AF-4A22-B1F2-2EA029B9C6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Turner Point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tc={0DC24555-1F40-44E5-8942-EDAD0F090CFC}</author>
    <author>tc={26E231A0-BDCE-4ACA-8A94-2E56CBAFB30A}</author>
    <author>tc={499BDB8E-7446-49B7-99EA-45027EDC66C8}</author>
    <author>tc={146C62A8-CDA1-4E74-BB58-2331DB6AF99B}</author>
    <author>tc={97D76876-DD2B-4449-8216-83E95FC86AB2}</author>
    <author>tc={D500153E-17AD-464C-8196-9B1CEE1DEC0F}</author>
    <author>tc={4A1E1472-029C-4379-99E9-7B5CB852E848}</author>
    <author>tc={358C5D31-9604-40FC-A1AF-5D38257EC6E8}</author>
    <author>tc={621F9BC0-F636-4A9F-A837-B3D40136E441}</author>
    <author>tc={7C80579C-2E34-4190-A37E-387320BC4179}</author>
    <author>tc={845827C4-C77A-4DAE-9867-181F22991671}</author>
    <author>tc={F089D9EC-EB1F-40A9-B8D6-7631C763E170}</author>
    <author>tc={003AC60B-8E2D-4599-8C1E-8673A893C6E5}</author>
    <author>tc={211FA4DD-609F-4F97-9D48-C1C758B29816}</author>
    <author>tc={B843F430-6630-4C56-BCC3-CA462B7A02EA}</author>
    <author>tc={D5CE3E6C-E06A-42A4-8C50-11CD30202953}</author>
    <author>tc={BB5291D4-A6A0-40AA-8E3A-5D1261164923}</author>
    <author>tc={70B8357C-0078-4FA2-A1A8-E3EC52F35B0A}</author>
    <author>tc={7A147D12-749A-4E67-AEBB-D87E00959AA7}</author>
    <author>tc={D10FDBBD-4BA0-4D18-A35B-55DA6B2B163F}</author>
    <author>tc={EEBB64BA-2F30-478F-B20C-135FB35439E8}</author>
    <author>tc={B85D6B74-FEC5-48FD-B88F-B48AE45C133A}</author>
    <author>tc={7B568591-CCE1-45CA-92CD-B4219EC2347B}</author>
  </authors>
  <commentList>
    <comment ref="F133" authorId="0" shapeId="0" xr:uid="{0DC24555-1F40-44E5-8942-EDAD0F090CF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tag does not show up in tag info tab ...is is supposed to be 3338 from
Resolved</t>
        </r>
      </text>
    </comment>
    <comment ref="F211" authorId="1" shapeId="0" xr:uid="{26E231A0-BDCE-4ACA-8A94-2E56CBAFB30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tag does not show up in tag info tab ...why so?
Added</t>
        </r>
      </text>
    </comment>
    <comment ref="K2844" authorId="2" shapeId="0" xr:uid="{499BDB8E-7446-49B7-99EA-45027EDC66C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@Kayla Budd Am I good to go ahead and add that row in? 
Reply:
    Looks like Moe fixed it. Thanks for asking</t>
        </r>
      </text>
    </comment>
    <comment ref="E3009" authorId="3" shapeId="0" xr:uid="{146C62A8-CDA1-4E74-BB58-2331DB6AF99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"19-16" was initially inputted but needed to be "19-6"</t>
        </r>
      </text>
    </comment>
    <comment ref="E3025" authorId="4" shapeId="0" xr:uid="{97D76876-DD2B-4449-8216-83E95FC86AB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"16-19" was initially inputted but needed to be "19-16"</t>
        </r>
      </text>
    </comment>
    <comment ref="E3026" authorId="5" shapeId="0" xr:uid="{D500153E-17AD-464C-8196-9B1CEE1DEC0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"19-9" was initially inputted but needed to be "10-9"</t>
        </r>
      </text>
    </comment>
    <comment ref="E3126" authorId="6" shapeId="0" xr:uid="{4A1E1472-029C-4379-99E9-7B5CB852E84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"20-29" was initially inputted but needed to be "20-19"</t>
        </r>
      </text>
    </comment>
    <comment ref="E3165" authorId="7" shapeId="0" xr:uid="{358C5D31-9604-40FC-A1AF-5D38257EC6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"-42-34" was initially inputted but needed to be "42-34"</t>
        </r>
      </text>
    </comment>
    <comment ref="E3208" authorId="8" shapeId="0" xr:uid="{621F9BC0-F636-4A9F-A837-B3D40136E4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"21-26" was initially inputted but needed to be "21-16"</t>
        </r>
      </text>
    </comment>
    <comment ref="E3268" authorId="9" shapeId="0" xr:uid="{7C80579C-2E34-4190-A37E-387320BC417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"2-14" was initially inputted but needed to be "20-14"</t>
        </r>
      </text>
    </comment>
    <comment ref="E3889" authorId="10" shapeId="0" xr:uid="{845827C4-C77A-4DAE-9867-181F229916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estimated from photos</t>
        </r>
      </text>
    </comment>
    <comment ref="D4808" authorId="11" shapeId="0" xr:uid="{F089D9EC-EB1F-40A9-B8D6-7631C763E17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ofav to oann</t>
        </r>
      </text>
    </comment>
    <comment ref="E5091" authorId="12" shapeId="0" xr:uid="{003AC60B-8E2D-4599-8C1E-8673A893C6E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=35-0+
21-11 ( I believe it is 35-0+21-16 )</t>
        </r>
      </text>
    </comment>
    <comment ref="E5092" authorId="13" shapeId="0" xr:uid="{211FA4DD-609F-4F97-9D48-C1C758B298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Was 11-10 ( I believe it is 16-10) </t>
        </r>
      </text>
    </comment>
    <comment ref="K5228" authorId="14" shapeId="0" xr:uid="{B843F430-6630-4C56-BCC3-CA462B7A02E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moe guessed start volume for first syringe </t>
        </r>
      </text>
    </comment>
    <comment ref="D5234" authorId="15" shapeId="0" xr:uid="{D5CE3E6C-E06A-42A4-8C50-11CD3020295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@Nicholas Durgadeen this is the coral in your nontreatment file, before the syringe pics..was it treated ? 
Reply:
    @Nicholas Durgadeen i moved these pics to the treatment pics because i counted it as a treated coral....for now </t>
        </r>
      </text>
    </comment>
    <comment ref="K5255" authorId="16" shapeId="0" xr:uid="{BB5291D4-A6A0-40AA-8E3A-5D126116492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moe subrtracted 2 for water in tip 
</t>
        </r>
      </text>
    </comment>
    <comment ref="K5256" authorId="17" shapeId="0" xr:uid="{70B8357C-0078-4FA2-A1A8-E3EC52F35B0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when there still treatment in the tip of the syringe but it can not be pushed out anymore=0</t>
        </r>
      </text>
    </comment>
    <comment ref="K5284" authorId="18" shapeId="0" xr:uid="{7A147D12-749A-4E67-AEBB-D87E00959AA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8/30 dive 2 was added during qaqc</t>
        </r>
      </text>
    </comment>
    <comment ref="K5305" authorId="19" shapeId="0" xr:uid="{D10FDBBD-4BA0-4D18-A35B-55DA6B2B163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these next 4 rows were added during qaqc. They were entered previously as data from 8/30 and not 8/31. treatment volumes were fixed also. </t>
        </r>
      </text>
    </comment>
    <comment ref="K5322" authorId="20" shapeId="0" xr:uid="{EEBB64BA-2F30-478F-B20C-135FB35439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blinders rocks dive 1 and 2 added during qaqc</t>
        </r>
      </text>
    </comment>
    <comment ref="K5408" authorId="21" shapeId="0" xr:uid="{B85D6B74-FEC5-48FD-B88F-B48AE45C133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moe added this row during qaqc</t>
        </r>
      </text>
    </comment>
    <comment ref="A5410" authorId="22" shapeId="0" xr:uid="{7B568591-CCE1-45CA-92CD-B4219EC234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Mennebeck bay to brown bay during qaqc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tc={886C530C-F02A-47FD-966F-EF1C82F38AA4}</author>
    <author>tc={D3819C6B-264A-48C5-992F-06683E6536B4}</author>
    <author>tc={8728F5D5-F6E2-461A-9A97-92C5DA957993}</author>
    <author>tc={976D0EC1-1398-4D2E-A6BB-1FCE498E01B5}</author>
    <author>tc={7562A015-A238-420A-969D-3FD28C165480}</author>
    <author>tc={2DE705A0-B46C-4119-9C8D-AC837349E185}</author>
    <author>tc={E9023FEF-7AE8-4C01-AF8E-5A3DEA3CF20A}</author>
    <author>tc={E44CDD05-C227-493D-A851-E574DC08AE26}</author>
    <author>tc={C7D48995-CDB2-4688-9511-BBF08781F6F4}</author>
    <author>tc={7A7E1849-E71D-4C1E-B27A-D52EEF0CBAD8}</author>
  </authors>
  <commentList>
    <comment ref="C1" authorId="0" shapeId="0" xr:uid="{886C530C-F02A-47FD-966F-EF1C82F38AA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@Kayla Budd the equation is not correct. we need to redo the weighing and measuring with a larger start weight i think </t>
        </r>
      </text>
    </comment>
    <comment ref="F52" authorId="1" shapeId="0" xr:uid="{D3819C6B-264A-48C5-992F-06683E6536B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Waiting on info from leslie &amp; dinorah on how to record this
Reply:
    Not recording this in VICDAC database. Keep for our own records.</t>
        </r>
      </text>
    </comment>
    <comment ref="F62" authorId="2" shapeId="0" xr:uid="{8728F5D5-F6E2-461A-9A97-92C5DA95799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 estimated based on the photo from our chat. 7 syringes * approx 45mL @Moriah Sevier please verify if possible</t>
        </r>
      </text>
    </comment>
    <comment ref="F68" authorId="3" shapeId="0" xr:uid="{976D0EC1-1398-4D2E-A6BB-1FCE498E01B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Need to check notes and make sure that these have been converted to mL
Reply:
    yes these were values from our syringes which are in ml. I do not weigh out the waste so these are for sure all ml @Kayla Budd </t>
        </r>
      </text>
    </comment>
    <comment ref="C92" authorId="4" shapeId="0" xr:uid="{7562A015-A238-420A-969D-3FD28C1654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Calculation updated with info from MLBS 8.21.23</t>
        </r>
      </text>
    </comment>
    <comment ref="F93" authorId="5" shapeId="0" xr:uid="{2DE705A0-B46C-4119-9C8D-AC837349E18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doesn't make sense. We went out and treated on 7/5 so we must have taken the 7/4 mix into the field and not thrown it out the same day it was mixed. There was no more mixed before the 7/5 treatment.
Reply:
    I put it on 6/28</t>
        </r>
      </text>
    </comment>
    <comment ref="C100" authorId="6" shapeId="0" xr:uid="{E9023FEF-7AE8-4C01-AF8E-5A3DEA3CF20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@Kayla Budd my syringe had about 30 ml in it though so i know the calculation is off. it is closer to a 1:1
Reply:
    Next time we mix any treatment, lets measure it again before I update the intervention data</t>
        </r>
      </text>
    </comment>
    <comment ref="G101" authorId="7" shapeId="0" xr:uid="{E44CDD05-C227-493D-A851-E574DC08AE2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@Kayla Budd </t>
        </r>
      </text>
    </comment>
    <comment ref="F114" authorId="8" shapeId="0" xr:uid="{C7D48995-CDB2-4688-9511-BBF08781F6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have to weigh out / or put into syringes the remainder in the tub and add it to the syringes i alreasdy wasted. 531+pint jar</t>
        </r>
      </text>
    </comment>
    <comment ref="G117" authorId="9" shapeId="0" xr:uid="{7A7E1849-E71D-4C1E-B27A-D52EEF0CBAD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@Kayla Budd  nick emptied the syringes so i am going to use our treatment volumes from weds and theirs from tues and subtract them from the 450 to get an estimate on Ml wasted. They did not treat a singe thing on Thurs. Ill do this after  the 2y summary is complete
Reply:
    Please put it in the next row for the date it was wasted instead of trying to backdate the waste to the day it was mixed.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tc={9F96ECB4-4585-4338-A96F-5DCBAA4983EF}</author>
    <author>tc={B57FE45B-E9D6-449C-B349-A712AA769AB8}</author>
    <author>tc={22B5CC50-554B-4273-BC4E-6BD9E70059B1}</author>
    <author>tc={FCE26DE5-9DDD-4A1F-8F4E-58C147BC4F23}</author>
    <author>tc={8CD20F47-49A6-48DC-AA57-85F4A7245125}</author>
  </authors>
  <commentList>
    <comment ref="I63" authorId="0" shapeId="0" xr:uid="{9F96ECB4-4585-4338-A96F-5DCBAA4983E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New Waypoint</t>
        </r>
      </text>
    </comment>
    <comment ref="B88" authorId="1" shapeId="0" xr:uid="{B57FE45B-E9D6-449C-B349-A712AA769AB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Detached and is now missing.</t>
        </r>
      </text>
    </comment>
    <comment ref="D90" authorId="2" shapeId="0" xr:uid="{22B5CC50-554B-4273-BC4E-6BD9E70059B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is this one an ofav or ofra we need to decide </t>
        </r>
      </text>
    </comment>
    <comment ref="L90" authorId="3" shapeId="0" xr:uid="{FCE26DE5-9DDD-4A1F-8F4E-58C147BC4F2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@Kayla Budd Species Changed?</t>
        </r>
      </text>
    </comment>
    <comment ref="M96" authorId="4" shapeId="0" xr:uid="{8CD20F47-49A6-48DC-AA57-85F4A724512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@Moriah Sevier ?
Reply:
    Blinders Rocks Proper (Not Amandas Site)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tc={246CCA60-F025-4BDD-9EBC-5911AD6AFFCF}</author>
    <author>tc={D6586128-5040-489E-8539-75EB912600BC}</author>
    <author>tc={6F39267B-1BB0-4893-B917-F7F718C73B02}</author>
    <author>tc={32834295-09E9-418D-8308-36B0D17B403C}</author>
    <author>tc={87695E70-0E74-4FE7-A62D-41535BD9AA62}</author>
    <author>tc={67DD7130-AAD2-49CB-B214-6DF09751FDCD}</author>
    <author>tc={9941C266-5CEA-4510-A397-61D5197446C2}</author>
    <author>tc={2BE107AB-94EE-42BB-B730-04AAC98CA47D}</author>
    <author>tc={3147CEAE-0D6B-41C1-B057-58D3B641D9F9}</author>
    <author>tc={B434B4B3-2E0E-4FC3-9DE6-2B981AF2FC1C}</author>
    <author>tc={2579AC1C-947B-495C-B345-4607499AC74E}</author>
    <author>tc={0F386A8A-915A-4020-B119-7401A5B529CF}</author>
    <author>tc={C606BDD2-695F-439E-BE5C-E7CCAAA1FD34}</author>
    <author>tc={654385D8-4170-4007-B8CA-D7DDD1FD0B81}</author>
    <author>tc={81DCDD37-0EC1-4150-8A6E-B8C086A1A905}</author>
    <author>tc={21588428-74FF-4E5C-BD7C-64A8AC91636D}</author>
    <author>tc={AA6F058D-E1F1-47A4-A5F2-F3AD6AFEB686}</author>
    <author>tc={4B3332B9-75E8-4369-95DA-8D27E1E686FE}</author>
    <author>tc={04967C0A-0BC2-453A-A7E8-447DA09EB909}</author>
    <author>tc={F7E07FB3-F674-46E5-8D36-63B17A7F8E8D}</author>
    <author>tc={F02FE459-E730-41BE-9622-B00AFAF00FAF}</author>
  </authors>
  <commentList>
    <comment ref="B57" authorId="0" shapeId="0" xr:uid="{246CCA60-F025-4BDD-9EBC-5911AD6AFF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These pictures aren't uploaded</t>
        </r>
      </text>
    </comment>
    <comment ref="AC61" authorId="1" shapeId="0" xr:uid="{D6586128-5040-489E-8539-75EB912600B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Got this from the photos, it not on the treatment used page</t>
        </r>
      </text>
    </comment>
    <comment ref="B63" authorId="2" shapeId="0" xr:uid="{6F39267B-1BB0-4893-B917-F7F718C73B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date doesn't have photos uploaded</t>
        </r>
      </text>
    </comment>
    <comment ref="B65" authorId="3" shapeId="0" xr:uid="{32834295-09E9-418D-8308-36B0D17B403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date doesn't have photos uploaded</t>
        </r>
      </text>
    </comment>
    <comment ref="B68" authorId="4" shapeId="0" xr:uid="{87695E70-0E74-4FE7-A62D-41535BD9AA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date doesn't have photos uploaded</t>
        </r>
      </text>
    </comment>
    <comment ref="H186" authorId="5" shapeId="0" xr:uid="{67DD7130-AAD2-49CB-B214-6DF09751FDC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photos from SGJ</t>
        </r>
      </text>
    </comment>
    <comment ref="AJ191" authorId="6" shapeId="0" xr:uid="{9941C266-5CEA-4510-A397-61D5197446C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@Avery Coble </t>
        </r>
      </text>
    </comment>
    <comment ref="B213" authorId="7" shapeId="0" xr:uid="{2BE107AB-94EE-42BB-B730-04AAC98CA47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photos for this date are not uploaded</t>
        </r>
      </text>
    </comment>
    <comment ref="AC228" authorId="8" shapeId="0" xr:uid="{3147CEAE-0D6B-41C1-B057-58D3B641D9F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Pictures of the syringe before application but no from after  </t>
        </r>
      </text>
    </comment>
    <comment ref="AC250" authorId="9" shapeId="0" xr:uid="{B434B4B3-2E0E-4FC3-9DE6-2B981AF2FC1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It was treated, but totals are not in Treatment Used sheet (or tag number is not recorded)
Reply:
    The amount isn't in the photos either. Just the lesion treated. Also the photos for this date only have 3 angles and nothing to reference for measuring </t>
        </r>
      </text>
    </comment>
    <comment ref="AC285" authorId="10" shapeId="0" xr:uid="{2579AC1C-947B-495C-B345-4607499AC74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pictures look like there is new mortality on the colony but no record of treatment in photos or in excel so would like another opinnion</t>
        </r>
      </text>
    </comment>
    <comment ref="AC333" authorId="11" shapeId="0" xr:uid="{0F386A8A-915A-4020-B119-7401A5B529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Treated, but amount is not noted in Treatment Used</t>
        </r>
      </text>
    </comment>
    <comment ref="B337" authorId="12" shapeId="0" xr:uid="{C606BDD2-695F-439E-BE5C-E7CCAAA1FD3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date doesn't have photos uploaded</t>
        </r>
      </text>
    </comment>
    <comment ref="B338" authorId="13" shapeId="0" xr:uid="{654385D8-4170-4007-B8CA-D7DDD1FD0B8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date doesn't have photos uploaded</t>
        </r>
      </text>
    </comment>
    <comment ref="B357" authorId="14" shapeId="0" xr:uid="{81DCDD37-0EC1-4150-8A6E-B8C086A1A90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Photos are not uploaded for this date</t>
        </r>
      </text>
    </comment>
    <comment ref="B358" authorId="15" shapeId="0" xr:uid="{21588428-74FF-4E5C-BD7C-64A8AC91636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Photo's are not uploaded for this date</t>
        </r>
      </text>
    </comment>
    <comment ref="AC389" authorId="16" shapeId="0" xr:uid="{AA6F058D-E1F1-47A4-A5F2-F3AD6AFEB68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isn't on the treatment used page but it is in the photos</t>
        </r>
      </text>
    </comment>
    <comment ref="AC395" authorId="17" shapeId="0" xr:uid="{4B3332B9-75E8-4369-95DA-8D27E1E686F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on the treatment used page but isn't in the photos
Reply:
    AC confirmed treatment was needed from tagged records</t>
        </r>
      </text>
    </comment>
    <comment ref="AJ499" authorId="18" shapeId="0" xr:uid="{04967C0A-0BC2-453A-A7E8-447DA09EB90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@Avery Coble </t>
        </r>
      </text>
    </comment>
    <comment ref="Z524" authorId="19" shapeId="0" xr:uid="{F7E07FB3-F674-46E5-8D36-63B17A7F8E8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 don't see these photos in the file, but if there are no new or regressing lesions then halted should still be 12</t>
        </r>
      </text>
    </comment>
    <comment ref="B572" authorId="20" shapeId="0" xr:uid="{F02FE459-E730-41BE-9622-B00AFAF00F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photos for this date haven't been uploaded yet</t>
        </r>
      </text>
    </comment>
  </commentList>
</comments>
</file>

<file path=xl/sharedStrings.xml><?xml version="1.0" encoding="utf-8"?>
<sst xmlns="http://schemas.openxmlformats.org/spreadsheetml/2006/main" count="35071" uniqueCount="1370">
  <si>
    <t>InterventionData Sheet</t>
  </si>
  <si>
    <t>Only enter dives for which some kind of intervention was done (visiting tagged corals, amputation, culling, or amox treatments)</t>
  </si>
  <si>
    <t>Do not type messages to one another or any information you do not want to share with everyone who may access the VICDAC database in any of the cells in this sheet (use comments instead).</t>
  </si>
  <si>
    <t>Definitions:</t>
  </si>
  <si>
    <t>Amputation:</t>
  </si>
  <si>
    <t>A diseased portion of the colony was removed, leaving living tissue behind. Amputated portions may or may not be transported to an on-land facility for treatment</t>
  </si>
  <si>
    <t>Culling:</t>
  </si>
  <si>
    <t>An entire diseased colony was removed, leaving no living tissue behind. Culled colonies may or may not be transported to an on-land facility for treatment</t>
  </si>
  <si>
    <t>Collection:</t>
  </si>
  <si>
    <t>A living portion of a colony or whole colony was removed. These should always be transported to an on-land facility for care &amp; preservation</t>
  </si>
  <si>
    <t>Jurisdiction</t>
  </si>
  <si>
    <t>NPS-UVI Coral Disease Treatment Team Sites</t>
  </si>
  <si>
    <t>Columns:</t>
  </si>
  <si>
    <t>Description:</t>
  </si>
  <si>
    <t>Site Name</t>
  </si>
  <si>
    <t>Abbreviation</t>
  </si>
  <si>
    <t>GPS Lat</t>
  </si>
  <si>
    <t>GPS Long</t>
  </si>
  <si>
    <t>Notes</t>
  </si>
  <si>
    <t>Corrections made during QAQC</t>
  </si>
  <si>
    <t>Site ID/ # (see below)</t>
  </si>
  <si>
    <t>a unique number for that specific location recorded in SCTLD Roving Survey.xlsx spreadsheet.</t>
  </si>
  <si>
    <t>NPS STJ</t>
  </si>
  <si>
    <t>Johnson's Reef</t>
  </si>
  <si>
    <t>JR</t>
  </si>
  <si>
    <r>
      <t xml:space="preserve">Corrections made </t>
    </r>
    <r>
      <rPr>
        <b/>
        <sz val="11"/>
        <color theme="1"/>
        <rFont val="Calibri"/>
        <family val="2"/>
        <scheme val="minor"/>
      </rPr>
      <t>after</t>
    </r>
    <r>
      <rPr>
        <sz val="11"/>
        <color theme="1"/>
        <rFont val="Calibri"/>
        <family val="2"/>
        <scheme val="minor"/>
      </rPr>
      <t xml:space="preserve"> QAQC</t>
    </r>
  </si>
  <si>
    <t>Original ID</t>
  </si>
  <si>
    <t>These were changed; Preserve for records; unique ID from VICDAC sheet for an intervention at a site prior to 5/2022</t>
  </si>
  <si>
    <t>Yawzi</t>
  </si>
  <si>
    <t>YP</t>
  </si>
  <si>
    <t>Awaiting a response from data entry or QAQC person</t>
  </si>
  <si>
    <t>New Intervention ID</t>
  </si>
  <si>
    <t xml:space="preserve">These were changed; Preserve for Records; unique ID from VICDAC sheet for an intervention 5/20/22-6/28/22. Leave blank until entering into VICDAC datasheet. </t>
  </si>
  <si>
    <t>Parrot Bay</t>
  </si>
  <si>
    <t>PB</t>
  </si>
  <si>
    <t>New, New Intervention ID</t>
  </si>
  <si>
    <r>
      <t xml:space="preserve">A unique ID from VICDAC sheet for an intervention after 6/28/22. </t>
    </r>
    <r>
      <rPr>
        <b/>
        <u/>
        <sz val="11"/>
        <color rgb="FF444444"/>
        <rFont val="Calibri"/>
        <family val="2"/>
      </rPr>
      <t>Leave blank</t>
    </r>
    <r>
      <rPr>
        <sz val="11"/>
        <color rgb="FF444444"/>
        <rFont val="Calibri"/>
        <family val="2"/>
        <charset val="1"/>
      </rPr>
      <t xml:space="preserve"> until entering into VICDAC datasheet.</t>
    </r>
  </si>
  <si>
    <t>Little Maho</t>
  </si>
  <si>
    <t>LM</t>
  </si>
  <si>
    <t>Cinnamon Bay</t>
  </si>
  <si>
    <t>CB</t>
  </si>
  <si>
    <t>Includes Cinnamon Cay &amp; America Point</t>
  </si>
  <si>
    <t>Island</t>
  </si>
  <si>
    <t>STJ (St. John)</t>
  </si>
  <si>
    <t>3 Moorings</t>
  </si>
  <si>
    <t>3M</t>
  </si>
  <si>
    <t>Project Code</t>
  </si>
  <si>
    <t>Code assigned to a project. Our code is "NPS_STJ_HIM"</t>
  </si>
  <si>
    <t>Brown Bay</t>
  </si>
  <si>
    <t>BB</t>
  </si>
  <si>
    <t>Field Team</t>
  </si>
  <si>
    <t>Team conducting the intervention. Our team name is "UVI"</t>
  </si>
  <si>
    <t>Reef Bay</t>
  </si>
  <si>
    <t>RB</t>
  </si>
  <si>
    <t>Site Name/Landmark</t>
  </si>
  <si>
    <t>Name of site or closest landmark (see list to the left)</t>
  </si>
  <si>
    <t>Waterlemon Bay</t>
  </si>
  <si>
    <t>WB</t>
  </si>
  <si>
    <t>Latitude and longitude</t>
  </si>
  <si>
    <t>Representative site coordinates (See Left). Copy coordinates from list to the left  into the InterventionData sheet</t>
  </si>
  <si>
    <t>Anna Point</t>
  </si>
  <si>
    <t>AP</t>
  </si>
  <si>
    <t>Date</t>
  </si>
  <si>
    <t>Date of the intervention</t>
  </si>
  <si>
    <t>Mary Point</t>
  </si>
  <si>
    <t>MP</t>
  </si>
  <si>
    <t>Recorder Initials</t>
  </si>
  <si>
    <t>Initials of the person entering the data. Please only add your initials when you are actively working on a row (and only work one row at a time).</t>
  </si>
  <si>
    <t>Territorial</t>
  </si>
  <si>
    <t>Elk Bay</t>
  </si>
  <si>
    <t>EB</t>
  </si>
  <si>
    <t>QA/QC</t>
  </si>
  <si>
    <t>Initials of the person verifying the data was entered accurately</t>
  </si>
  <si>
    <t>An orange highlight here means the QAQC'er is awaiting a response</t>
  </si>
  <si>
    <t>Hansen Bay</t>
  </si>
  <si>
    <t>HB</t>
  </si>
  <si>
    <t>New Tags</t>
  </si>
  <si>
    <t>Number of new tags placed during this intervention (This includes any and all tags that we place.)</t>
  </si>
  <si>
    <t>Threadneedle Point</t>
  </si>
  <si>
    <t>TP</t>
  </si>
  <si>
    <t>Number of Divers</t>
  </si>
  <si>
    <t xml:space="preserve">Total number of divers present </t>
  </si>
  <si>
    <t>(Find this info in the Master Dive Log)</t>
  </si>
  <si>
    <t>The Narrows</t>
  </si>
  <si>
    <t>TN</t>
  </si>
  <si>
    <t>Experimental or Standard Treatment</t>
  </si>
  <si>
    <t>Indicate if treatments are established protocols (standard), or a novel treatment pending results for further use</t>
  </si>
  <si>
    <t>Blinders Rocks</t>
  </si>
  <si>
    <t>BR</t>
  </si>
  <si>
    <t>Total Treatment Used (mL/cc)</t>
  </si>
  <si>
    <t>Total amount of treatment used (sum function referencing the TreatmentUsed sheet). mL=CC. This is often done by the QAQC'er. Data is likely not available in the TreatmentUsed sheet at initial data entry.</t>
  </si>
  <si>
    <t>Booby Rock</t>
  </si>
  <si>
    <t>BBR</t>
  </si>
  <si>
    <t>E. Elk Bay. Core Treats the S. Haulover side</t>
  </si>
  <si>
    <t>C_[SPP]</t>
  </si>
  <si>
    <t>Number of colonies of each species that were culled. If species culled is not listed (EFAS), manually enter the total culled into the column labelled "Sum_Cull" and list the species culled in the "Notes" column</t>
  </si>
  <si>
    <t>Tektite</t>
  </si>
  <si>
    <t>TK</t>
  </si>
  <si>
    <t>AMP_[SPP]</t>
  </si>
  <si>
    <t>Number of colonies of each species that had one or more diseased portions amputatated, but some portion of the colony was left in the field</t>
  </si>
  <si>
    <t>Pope Point</t>
  </si>
  <si>
    <t>PP</t>
  </si>
  <si>
    <t>AMOX_[SPP]</t>
  </si>
  <si>
    <t>Number of colonies of each species that received antibiotic treatment</t>
  </si>
  <si>
    <t>Hurricane Hole Otter</t>
  </si>
  <si>
    <t>HO</t>
  </si>
  <si>
    <t>AMOX_OTHER</t>
  </si>
  <si>
    <t>Number of colonies of unlisted species that received antibiotic treatment. List species in Notes</t>
  </si>
  <si>
    <t>Hurricane Hole Princess</t>
  </si>
  <si>
    <t>HP</t>
  </si>
  <si>
    <t>Sum_Cull</t>
  </si>
  <si>
    <t>Total number of colonies culled (sum function)</t>
  </si>
  <si>
    <t>Hurricane Hole Water</t>
  </si>
  <si>
    <t>HW</t>
  </si>
  <si>
    <t>Sum_Amp</t>
  </si>
  <si>
    <t>Total number of colonies that had one or more diseased portions amputatated (sum function)</t>
  </si>
  <si>
    <t>Mardenboro Point</t>
  </si>
  <si>
    <t>MDP</t>
  </si>
  <si>
    <t>Sum_AMOX</t>
  </si>
  <si>
    <t>Total number of colonies treated with antibiotics (sum function)</t>
  </si>
  <si>
    <t>Ram's Head</t>
  </si>
  <si>
    <t>RH</t>
  </si>
  <si>
    <t>Sum_All</t>
  </si>
  <si>
    <t>Total number of colonies treated using any method (sum function)</t>
  </si>
  <si>
    <t>Mennebeck Bay</t>
  </si>
  <si>
    <t>MB</t>
  </si>
  <si>
    <r>
      <t xml:space="preserve"> List any species that were treated and counted in the AMOX_OTHER column, any new tags placed, any amputated or culled species that do not have their own column; detail any activities in the Marine Debris Removal, Lionfish Removal (including size), Fragments of Opportunity, and Coral Collection columns here. Add any other notes you think may be useful, but remember data in this sheet are transferred to VICDAC (incl NPS, DPNR, UVI, NOAA, etc.). </t>
    </r>
    <r>
      <rPr>
        <b/>
        <u/>
        <sz val="11"/>
        <color theme="1"/>
        <rFont val="Calibri"/>
        <family val="2"/>
        <scheme val="minor"/>
      </rPr>
      <t xml:space="preserve">Do not type messages to one another or any information that you do not want to share across all of these entities and everyone who may access this database in any of the cells in this sheet </t>
    </r>
    <r>
      <rPr>
        <sz val="11"/>
        <color theme="1"/>
        <rFont val="Calibri"/>
        <family val="2"/>
        <scheme val="minor"/>
      </rPr>
      <t>(use comments instead). If no notes, enter "-".</t>
    </r>
  </si>
  <si>
    <t>Haulover North</t>
  </si>
  <si>
    <t>HN</t>
  </si>
  <si>
    <t>For now, grey columns are not copied to the VICDAC database. These activities must be accounted for in the Notes column in order to share the data</t>
  </si>
  <si>
    <t>Tags re-visited</t>
  </si>
  <si>
    <t>If previously tagged corals were visited, list the tag #s of corals visited on this dive here (both treated and not treated), List NPS-UVI tags first, List new tags in the notes column, enter "-" if no tags were visited</t>
  </si>
  <si>
    <t>Marine Debris Removal? (Y/N)</t>
  </si>
  <si>
    <t>If any marine debris was collected on the dive, enter "Y" otherwise enter "N". If none, enter "0" (added 3/3/23)</t>
  </si>
  <si>
    <t>Lionfish Removal? (Count)</t>
  </si>
  <si>
    <t>Record how many lionfish were removed this dive &amp; list in "Notes". If none, enter "0"(added 3/3/23)</t>
  </si>
  <si>
    <t>Retired/Absorbed Sites</t>
  </si>
  <si>
    <t>Fragments of Opportunity (Count) See Notes</t>
  </si>
  <si>
    <t>Record how many corals were reattached to the reef and list them by species in the notes section. If none, enter "0" (added 3/3/23)</t>
  </si>
  <si>
    <t>Cinnamon Cay</t>
  </si>
  <si>
    <t>Do Not use these in Intervention Data Sheet</t>
  </si>
  <si>
    <t>Coral Collection (Count) See Notes</t>
  </si>
  <si>
    <t>Record how many corals were collected this dive. Record species, tag #, &amp; storage location in Notes column. If none, enter "0" (added 3/3/23). These should also be accounted for in the C_[SPP] or AMP_[SPP] columns</t>
  </si>
  <si>
    <t>America Point</t>
  </si>
  <si>
    <t>TreatmentUsed Sheet Updated by</t>
  </si>
  <si>
    <t>Initials of the person who entered the data in the TreatmentUsed sheet and updated the sum function in the Total Treatment Used (mL/cc) column</t>
  </si>
  <si>
    <t>TreatmentUsed Sheet</t>
  </si>
  <si>
    <r>
      <t xml:space="preserve">Please DO NOT attempt to sort this sheet or change lock settings. To make edits please read through the metadata. </t>
    </r>
    <r>
      <rPr>
        <sz val="11"/>
        <color rgb="FFFF0000"/>
        <rFont val="Calibri"/>
        <family val="2"/>
        <scheme val="minor"/>
      </rPr>
      <t xml:space="preserve">This sheet populates data into both the InterventionData and FateTracking sheets. Altering or reorganizing data will change values in those sheets. </t>
    </r>
  </si>
  <si>
    <t>Yellow highlight indicates changes were made after initial data entery</t>
  </si>
  <si>
    <t>Only enter Corals in This Sheet That Have Received Treatment</t>
  </si>
  <si>
    <t>ALAM</t>
  </si>
  <si>
    <t>Agaricia lamarcki</t>
  </si>
  <si>
    <t>Orange highlight indicates that the QAQCer requests a review from the Team Lead or Data Manager</t>
  </si>
  <si>
    <t>AGspp</t>
  </si>
  <si>
    <t>Agaricia species</t>
  </si>
  <si>
    <t>Site Name/ Landmark</t>
  </si>
  <si>
    <t>Name of site or closest landmark (see list for InterventionData Sheet)</t>
  </si>
  <si>
    <t>MMEA</t>
  </si>
  <si>
    <t>Meandrina meandrites</t>
  </si>
  <si>
    <t>Date treatment was applied</t>
  </si>
  <si>
    <t>DCYL</t>
  </si>
  <si>
    <t>Dendrogyra cylindrus</t>
  </si>
  <si>
    <t>Dive #</t>
  </si>
  <si>
    <t>When only one dive is conducted, Dive # should be 1; When multiple dives are conducted, number the dives in sequence according to the dive log and photo folders</t>
  </si>
  <si>
    <t>CNAT</t>
  </si>
  <si>
    <t>Colpophyllia natans</t>
  </si>
  <si>
    <t>Species</t>
  </si>
  <si>
    <t>Species code of the coral treated (see left)</t>
  </si>
  <si>
    <t>PSTR</t>
  </si>
  <si>
    <t>Pseudodiploria strigosa</t>
  </si>
  <si>
    <t>Treatment Used (mL/cc)</t>
  </si>
  <si>
    <t xml:space="preserve">Enter a formula reverencing syringe photos in the following format: =sum([Syringe1start]-[Syringe1end]+[Syringe2start]-[Syringe2end]…). If &lt;1mL was used, enter "1" in this column. </t>
  </si>
  <si>
    <t>PCLI</t>
  </si>
  <si>
    <t>Pseudodiploria clivosa</t>
  </si>
  <si>
    <t>Tag# (if tagged)</t>
  </si>
  <si>
    <t>If a coral is tagged, enter the tag number regardless of who's tag it is. If it is not one of our tags, also note the color in the notes. If a coral is not tagged, enter "-"</t>
  </si>
  <si>
    <t>DLAB</t>
  </si>
  <si>
    <t>Diploria labyrinthiformis</t>
  </si>
  <si>
    <t>Applied By (diver)</t>
  </si>
  <si>
    <t>Initials of the diver(s) who applied the treatment</t>
  </si>
  <si>
    <t>DSTO</t>
  </si>
  <si>
    <t>Dichocoenia stokesii</t>
  </si>
  <si>
    <t>Retreat? (Y/N)</t>
  </si>
  <si>
    <t>If this coral was previously treated, indicate this by selecting Y. Otherwise, select N. (This record began 1/1/2023)</t>
  </si>
  <si>
    <t>EFAS</t>
  </si>
  <si>
    <t>Eusmilia fastigiata</t>
  </si>
  <si>
    <t>Initials of person verifying the data was entered accurately</t>
  </si>
  <si>
    <t>MYCET</t>
  </si>
  <si>
    <t>Mycetophyllia species</t>
  </si>
  <si>
    <t>Date of QAQC</t>
  </si>
  <si>
    <t>Date the data was verified</t>
  </si>
  <si>
    <t>OANN</t>
  </si>
  <si>
    <t>Orbicella annularis</t>
  </si>
  <si>
    <t>Any notes you think are useful, color of non-NPS-UVI tags</t>
  </si>
  <si>
    <t>OFRA</t>
  </si>
  <si>
    <t>Orbicella franksi</t>
  </si>
  <si>
    <t>To unlock the sheet to allow edits: Navigate to the Review tab, click unprotect sheet, enter the password. To protect the sheet when finished: Navigate to the Review tab, click protect sheet, enter the password, click ok, enter the password. The password is "edit". Please remember to protect the worksheet again when finished.</t>
  </si>
  <si>
    <t>OFAV</t>
  </si>
  <si>
    <t>Orbicella faveolata</t>
  </si>
  <si>
    <t>OX</t>
  </si>
  <si>
    <t>Orbicella species</t>
  </si>
  <si>
    <t>MCAV</t>
  </si>
  <si>
    <t>Montastraea cavernosa</t>
  </si>
  <si>
    <t>SBOU</t>
  </si>
  <si>
    <t>Solenastrea bournoni</t>
  </si>
  <si>
    <t>SINT</t>
  </si>
  <si>
    <t>Stephanocoenia intersepta</t>
  </si>
  <si>
    <t>SSID</t>
  </si>
  <si>
    <t>Siderastrea siderea</t>
  </si>
  <si>
    <t>MDEC</t>
  </si>
  <si>
    <t>Madracis decactis</t>
  </si>
  <si>
    <t>HCUC</t>
  </si>
  <si>
    <t>Heliocereus cucullata</t>
  </si>
  <si>
    <t>PPOR</t>
  </si>
  <si>
    <t>Porites porites</t>
  </si>
  <si>
    <t>PAST</t>
  </si>
  <si>
    <t>Porites astreoides</t>
  </si>
  <si>
    <t>PFUR</t>
  </si>
  <si>
    <t>Porites furcata</t>
  </si>
  <si>
    <t>FFRA</t>
  </si>
  <si>
    <t>Favia fragum</t>
  </si>
  <si>
    <t>APAL</t>
  </si>
  <si>
    <t>Acropora palmata</t>
  </si>
  <si>
    <t>PDIV</t>
  </si>
  <si>
    <t>Porities divaricata</t>
  </si>
  <si>
    <t>SRAD</t>
  </si>
  <si>
    <t>Siderastrea radians</t>
  </si>
  <si>
    <t>SCOL</t>
  </si>
  <si>
    <t>Scolymia spp.</t>
  </si>
  <si>
    <t>TagInfo Sheet</t>
  </si>
  <si>
    <t>Tag #</t>
  </si>
  <si>
    <t>Number that appears on this coral's ID tag</t>
  </si>
  <si>
    <t>Tag Color</t>
  </si>
  <si>
    <t>Color of this coral's ID tag</t>
  </si>
  <si>
    <t>Species code of the coral treated (see TreatmentUsed Sheet info)</t>
  </si>
  <si>
    <t>Lat</t>
  </si>
  <si>
    <t>Latitude in decimal degrees, converted from degrees, minutes</t>
  </si>
  <si>
    <t>Long</t>
  </si>
  <si>
    <t>Longitude in decimal degrees, converted from degrees, minutes</t>
  </si>
  <si>
    <t>Date tagged</t>
  </si>
  <si>
    <t>Date this coral was initially tagged</t>
  </si>
  <si>
    <t>Time Tagged</t>
  </si>
  <si>
    <t>Time this coral was initially Tagged</t>
  </si>
  <si>
    <t>Lat/Long not converted</t>
  </si>
  <si>
    <t>Latitude and Longitude in degrees, minutes copied from garmin basecamp</t>
  </si>
  <si>
    <t>Tagged By</t>
  </si>
  <si>
    <t>Initials of the person who tagged this coral</t>
  </si>
  <si>
    <t>Any notes you think are useful</t>
  </si>
  <si>
    <t>FateTracking Sheet</t>
  </si>
  <si>
    <t>Helpful Measurements:</t>
  </si>
  <si>
    <t>Item</t>
  </si>
  <si>
    <t>Length (mm) - Greatest measurement</t>
  </si>
  <si>
    <t>Width (mm, if applicable) - Smallest measurement</t>
  </si>
  <si>
    <t>Yellow Mechanical Pencil:</t>
  </si>
  <si>
    <t>N/A</t>
  </si>
  <si>
    <t>Date this colony was observed</t>
  </si>
  <si>
    <t>Purple Tags Number height</t>
  </si>
  <si>
    <t>Days Since Last Record</t>
  </si>
  <si>
    <t>Days since this colony was last observed (last record)</t>
  </si>
  <si>
    <t>Purple Tags:</t>
  </si>
  <si>
    <t>Live Tissue (cm2)</t>
  </si>
  <si>
    <t>Area of live tissue (cm2) as calculated using ImageJ</t>
  </si>
  <si>
    <t xml:space="preserve">Yellow Tags </t>
  </si>
  <si>
    <t>(Measured in direction of text)</t>
  </si>
  <si>
    <t>SCTLD Recent Mortality (cm2)</t>
  </si>
  <si>
    <t>Area of recent mortality attributed to SCTLD (cm2) as calculated using ImageJ. Recent mortality is defined as stark white denuded skeleton</t>
  </si>
  <si>
    <t>Yellow Tag UVi "I" height</t>
  </si>
  <si>
    <t>Other Recent Mortality (cm2)</t>
  </si>
  <si>
    <t>Area of recent mortality not attributed to SCTLD (cm2) as calculated using ImageJ. Recent mortality is defined as stark white denuded skeleton. Note reason for mortality in Notes column</t>
  </si>
  <si>
    <t>Green Tags number height</t>
  </si>
  <si>
    <t># New Lesions (count)</t>
  </si>
  <si>
    <t>Number of lesions present during this observation and not present during the last observation</t>
  </si>
  <si>
    <t>Green Tag</t>
  </si>
  <si>
    <t># Total Active Lesions (count)</t>
  </si>
  <si>
    <t>Number of total active lesions. Active lesions are defined as lesions with recent mortality (stark white denuded skeleton)</t>
  </si>
  <si>
    <t>Large Slates (MLBS):</t>
  </si>
  <si>
    <t>Acute Lesions Present? (yes/no)</t>
  </si>
  <si>
    <t>Are acute lesions present calculated as follows: =IF([Greatest Lesion Expansion]&gt;4.999, "Yes", "No")</t>
  </si>
  <si>
    <t>Short T-Stick:</t>
  </si>
  <si>
    <t>Amount of treatment used as calculated in the TreatmentUsed sheet</t>
  </si>
  <si>
    <t>Long T-Stick:</t>
  </si>
  <si>
    <t>Change in Live Tissue (-/+ cm2)</t>
  </si>
  <si>
    <t>Change in live tissue calculated as follows: =[Record2LiveTissue]-[Record1LiveTissue]</t>
  </si>
  <si>
    <t>Kayla's small slate:</t>
  </si>
  <si>
    <t>Rate of Change (cm2/day)</t>
  </si>
  <si>
    <t>Rage of change in live tissue calculated as follows: =[Change in Live Tissue]/[Days Since Last Record]</t>
  </si>
  <si>
    <t>Any notes you think are useful and reason(s) for Other Recent Mortality</t>
  </si>
  <si>
    <t xml:space="preserve">Row highlight meanings </t>
  </si>
  <si>
    <t>red</t>
  </si>
  <si>
    <t xml:space="preserve">angle or measurment messed up, reconsider using this data </t>
  </si>
  <si>
    <t>yellow</t>
  </si>
  <si>
    <t xml:space="preserve">date missing </t>
  </si>
  <si>
    <t>Waste &amp; Transfer Sheet</t>
  </si>
  <si>
    <t>1 mL Base2b-Amox mixture = 1.475 g</t>
  </si>
  <si>
    <t>Date of action (mixing, transfer, or disposal). Use a new row for a new date. All actions performed on the same date can be included in the same row.</t>
  </si>
  <si>
    <t>Mixed (mg)</t>
  </si>
  <si>
    <t>Amount of treatment mixed using the formula =sum([Base 2b], [Amox])</t>
  </si>
  <si>
    <t>Mixed (mL)</t>
  </si>
  <si>
    <t>Leave this blank until we calculate the conversion</t>
  </si>
  <si>
    <t>Transferred (mL)</t>
  </si>
  <si>
    <t>Amount of treatment transferred</t>
  </si>
  <si>
    <t>Transferred To</t>
  </si>
  <si>
    <t>Who treatment was transferred to (organization)</t>
  </si>
  <si>
    <t>Thrown Out (mL)</t>
  </si>
  <si>
    <t>Amount of treatment thrown away</t>
  </si>
  <si>
    <t xml:space="preserve">New "Intervention" ID </t>
  </si>
  <si>
    <t>New, New "Intervention ID"</t>
  </si>
  <si>
    <t>Latitude</t>
  </si>
  <si>
    <t>Longitude</t>
  </si>
  <si>
    <t>Number of divers</t>
  </si>
  <si>
    <t>Treatment Discarded (mL)</t>
  </si>
  <si>
    <t>C_MMEA</t>
  </si>
  <si>
    <t>C_AGGSPP</t>
  </si>
  <si>
    <t>C_DCYL</t>
  </si>
  <si>
    <t>C_CNAT</t>
  </si>
  <si>
    <t>C_EFAS</t>
  </si>
  <si>
    <t>C_PSTR</t>
  </si>
  <si>
    <t>C_DLAB</t>
  </si>
  <si>
    <t>C_DSTO</t>
  </si>
  <si>
    <t>C_OA</t>
  </si>
  <si>
    <t>C_OFRA</t>
  </si>
  <si>
    <t>C_OFAV</t>
  </si>
  <si>
    <t>C_MCAV</t>
  </si>
  <si>
    <t>C_SSID</t>
  </si>
  <si>
    <t>AMP_MMEA</t>
  </si>
  <si>
    <t>AMP_DCYL</t>
  </si>
  <si>
    <t>AMP_CNAT</t>
  </si>
  <si>
    <t>AMP_PSTR</t>
  </si>
  <si>
    <t>AMP_DLAB</t>
  </si>
  <si>
    <t>AMP_OA</t>
  </si>
  <si>
    <t>AMP_OFRA</t>
  </si>
  <si>
    <t>AMP_OFAV</t>
  </si>
  <si>
    <t>AMP_MCAV</t>
  </si>
  <si>
    <t>AMP_SSID</t>
  </si>
  <si>
    <t>AMOX_AGGSPP</t>
  </si>
  <si>
    <t>AMOX_MMEA</t>
  </si>
  <si>
    <t>AMOX_DCYL</t>
  </si>
  <si>
    <t>AMOX_CNAT</t>
  </si>
  <si>
    <t>AMOX_PSTR</t>
  </si>
  <si>
    <t>AMOX_PCLI</t>
  </si>
  <si>
    <t>AMOX_DLAB</t>
  </si>
  <si>
    <t>AMOX_DSTO</t>
  </si>
  <si>
    <t>AMOX_EFAS</t>
  </si>
  <si>
    <t>AMOX_MYCET</t>
  </si>
  <si>
    <t>AMOX_OANN</t>
  </si>
  <si>
    <t>AMOX_OFRA</t>
  </si>
  <si>
    <t>AMOX_OFAV</t>
  </si>
  <si>
    <t>AMOX_ORBSP</t>
  </si>
  <si>
    <t>AMOX_MCAV</t>
  </si>
  <si>
    <t>AMOX_SBOU</t>
  </si>
  <si>
    <t>AMOX_SINT</t>
  </si>
  <si>
    <t>AMOX_SSID</t>
  </si>
  <si>
    <t>AMOX_MDEC</t>
  </si>
  <si>
    <t>Disregard This Column</t>
  </si>
  <si>
    <t>Sum_CULL</t>
  </si>
  <si>
    <t>Sum_AMP</t>
  </si>
  <si>
    <t>Tags re-visited (treated and untreated)</t>
  </si>
  <si>
    <t>STJ</t>
  </si>
  <si>
    <t>NPS_STJ_HIM</t>
  </si>
  <si>
    <t>UVI</t>
  </si>
  <si>
    <t>KAB</t>
  </si>
  <si>
    <t>SG</t>
  </si>
  <si>
    <t>Standard</t>
  </si>
  <si>
    <t>-</t>
  </si>
  <si>
    <t>No Data</t>
  </si>
  <si>
    <t>2 dives, same area, disease present 40+ ft, corrected in Alpha Drive 7/20/22 by KAB (required changes bolded)</t>
  </si>
  <si>
    <t>corrected in Alpha Drive 7/20/22 by KAB (required changes bolded)</t>
  </si>
  <si>
    <t>SVH</t>
  </si>
  <si>
    <t>patch north of cay, corrected in Alpha Drive 7/20/22 by KAB (required changes bolded)</t>
  </si>
  <si>
    <t>shallow, &amp; new reef east side, corrected in Alpha Drive 7/20/22 by KAB (required changes bolded)</t>
  </si>
  <si>
    <t>Ran out of treatment, return next field day, corrected in Alpha Drive 7/20/22 by KAB (required changes bolded)</t>
  </si>
  <si>
    <t>OTHER = PAST, corrected in Alpha Drive 7/20/22 by KAB (required changes bolded)</t>
  </si>
  <si>
    <r>
      <t xml:space="preserve">checked west of the point &amp; collected deep DCYL, </t>
    </r>
    <r>
      <rPr>
        <b/>
        <sz val="11"/>
        <color rgb="FF000000"/>
        <rFont val="Calibri"/>
        <family val="2"/>
        <scheme val="minor"/>
      </rPr>
      <t>corrected in Alpha Drive 7/20/22 by KAB (required changes bolded)</t>
    </r>
  </si>
  <si>
    <t>corrected in Alpha Drive 7/27/22 by KAB (required changes bolded)</t>
  </si>
  <si>
    <t>MS</t>
  </si>
  <si>
    <t>Camera died, missing treatment photos for 1 OANN, 1 OFAV, &amp; 1 SSID; corrected in Alpha Drive 7/27/22 by KAB (required changes bolded)</t>
  </si>
  <si>
    <t>Dive1, Deep point, AGGspp=ALAM, 3 PAST treated; corrected in Alpha Drive 7/27/22 by KAB (required changes bolded)</t>
  </si>
  <si>
    <t>Treated, tagged &amp; photographed OANN 4133; corrected in Alpha Drive 7/27/22 by KAB (required changes bolded)</t>
  </si>
  <si>
    <t>Dive1</t>
  </si>
  <si>
    <t>Dive2; Tagged 4112</t>
  </si>
  <si>
    <t>Dive3; Tagged 3884</t>
  </si>
  <si>
    <t>OTHER=PAST; SG-no treatment photos; corrected in Alpha Drive 7/27/22 by KAB (required changes bolded)</t>
  </si>
  <si>
    <t>SG &amp; MS - no treatment; corrected in Alpha Drive 7/27/22 by KAB (required changes bolded)</t>
  </si>
  <si>
    <t>EFAS &amp; urchin sample collected, no amox treatment was used; corrected in Alpha Drive 7/27/22 by KAB (required changes bolded)</t>
  </si>
  <si>
    <t>Dive 1, Deep Yawzi; corrected in Alpha Drive 7/27/22 by KAB (required changes bolded)</t>
  </si>
  <si>
    <t>Dive 2, Little Lameshur; corrected in Alpha Drive 7/27/22 by KAB (required changes bolded)</t>
  </si>
  <si>
    <t>Dive 3, Great Lameshur; corrected in Alpha Drive 7/27/22 by KAB (required changes bolded)</t>
  </si>
  <si>
    <t>Dive 1, America Pt. to Cinnamon Bay Shallows; corrected in Alpha Drive 7/27/22 by KAB (required changes bolded); tagged 3881, 3882, 3883</t>
  </si>
  <si>
    <t>Dive 2, shallow; corrected in Alpha Drive 7/27/22 by KAB (required changes bolded)</t>
  </si>
  <si>
    <t>Marine debris removed = hat &amp; goggles; Dive3, deeper Cinnamon; corrected in Alpha Drive 7/27/22 by KAB (required changes bolded)</t>
  </si>
  <si>
    <t>Y</t>
  </si>
  <si>
    <t>OTHER=PAST; Dive1, no treatment applied on Dive2; corrected in Alpha Drive 7/27/22 by KAB (required changes bolded)</t>
  </si>
  <si>
    <t>Dive1; corrected in Alpha Drive 7/27/22 by KAB (required changes bolded)</t>
  </si>
  <si>
    <t>Dive2; corrected in Alpha Drive 7/27/22 by KAB (required changes bolded)</t>
  </si>
  <si>
    <t>OTHER=PAST; Dive 1, pinnacles north of previous dives; corrected in Alpha Drive 7/27/22 by KAB (required changes bolded)</t>
  </si>
  <si>
    <t>Dive 2; corrected in Alpha Drive 7/27/22 by KAB (required changes bolded)</t>
  </si>
  <si>
    <t>other=1 FFRA; corrected in Alpha Drive 7/27/22 by KAB (required changes bolded)</t>
  </si>
  <si>
    <t>OTHER=PAST; corrected in Alpha Drive 7/27/22 by KAB (required changes bolded), 3340 tag added to mark location of parent colony of PPOR removed to CWORI</t>
  </si>
  <si>
    <t>Dive1 - short dive targeting tagged coral, low disease prevalance; corrected in Alpha Drive 7/27/22 by KAB (required changes bolded)</t>
  </si>
  <si>
    <t>Dive2 - short dive targeting tagged coral, low disease prevalance; corrected in Alpha Drive 7/27/22 by KAB (required changes bolded)</t>
  </si>
  <si>
    <t>4119a, 4119b, 4112</t>
  </si>
  <si>
    <t>America Point; corrected in Alpha Drive 7/27/22 by KAB (required changes bolded)</t>
  </si>
  <si>
    <t>3883; 3882; 3881</t>
  </si>
  <si>
    <t>Divers were SVH &amp; Nicole Krampitz; corrected in Alpha Drive 7/27/22 by KAB (required changes bolded)</t>
  </si>
  <si>
    <t>OTHER=2 PAST</t>
  </si>
  <si>
    <t>4119A; 4119B, 4112</t>
  </si>
  <si>
    <t>America Point + Cinnamon Shallows; corrected in Alpha Drive 7/27/22 by KAB (required changes bolded)</t>
  </si>
  <si>
    <t>corrected in Alpha Drive 7/27/22 by KAB (required changes bolded); Marine Debris = snorkel mask</t>
  </si>
  <si>
    <t>OTHER=1 PAST + 1 PBIF; corrected in Alpha Drive 7/27/22 by KAB (required changes bolded)</t>
  </si>
  <si>
    <t>OTHER=1 PPOR; corrected in Alpha Drive 7/27/22 by KAB (required changes bolded)</t>
  </si>
  <si>
    <t>OTHER= 2 PAST; corrected in Alpha Drive 7/27/22 by KAB (required changes bolded)</t>
  </si>
  <si>
    <t>3339; 3338</t>
  </si>
  <si>
    <t>OTHER = PAST; corrected in Alpha Drive 7/27/22 by KAB (required changes bolded)</t>
  </si>
  <si>
    <t xml:space="preserve">an MCAV was treated by Kayla but an after treatment photo was not taken </t>
  </si>
  <si>
    <t>Other tags found (not treated): Purple - 3947, 3944, 3945, 393_, 3938; Yellow - 136, 145, 078, 139, 148, 147</t>
  </si>
  <si>
    <t>Tagged 4125 &amp; 4122</t>
  </si>
  <si>
    <t>Tagged 4127; 4129; 3988; 4128; 3993; Other=APAL Treated along lesion line of rapid tissue loss (~32% stark white-very recent mortality &amp; ~8% &lt;1wk old, turning green)</t>
  </si>
  <si>
    <t>Tagged 908</t>
  </si>
  <si>
    <t>Tagged 903; 905; 906; 907</t>
  </si>
  <si>
    <t>OTHER= 1 PAST</t>
  </si>
  <si>
    <t xml:space="preserve">Tagged 902, was treated before being tagged but treatment was washed away, rephotographed, then tagged </t>
  </si>
  <si>
    <t>Tagged 904</t>
  </si>
  <si>
    <t>Tagged 942 and 901</t>
  </si>
  <si>
    <t>3881, 3882</t>
  </si>
  <si>
    <t>Tagged 950 and 951</t>
  </si>
  <si>
    <t>OTHER=PAST; Also culled 1 P. furcata</t>
  </si>
  <si>
    <t>Other =PAST</t>
  </si>
  <si>
    <t>Other tags found (not treated): Blue 048</t>
  </si>
  <si>
    <t>Tagged 969; Rebecca Gibbel has joined for this dive and was Kayla's buddy</t>
  </si>
  <si>
    <t>4127, 907, 4129, 4128, 3993, 4125</t>
  </si>
  <si>
    <t>Tagged 909; Rebecca Gibbel has joined for this dive and was Kayla's buddy</t>
  </si>
  <si>
    <t>908, 906, 905</t>
  </si>
  <si>
    <t>Other = H. cucullata</t>
  </si>
  <si>
    <t>Other = 1 PAST</t>
  </si>
  <si>
    <t>Other=M.decactis; Fishing Line, Hook, &amp; Weights removed</t>
  </si>
  <si>
    <t>4133; G1716</t>
  </si>
  <si>
    <t xml:space="preserve">The other is a Porites sp. </t>
  </si>
  <si>
    <t>3884, 904</t>
  </si>
  <si>
    <t>Tagged #970</t>
  </si>
  <si>
    <t>4119A; 4119B; 4112</t>
  </si>
  <si>
    <t>Taged #944 and #971</t>
  </si>
  <si>
    <t>Tagged #972, OTHER = PAST</t>
  </si>
  <si>
    <t>Tagged 973 &amp; 974</t>
  </si>
  <si>
    <t>3535; 950; 951</t>
  </si>
  <si>
    <t>3993; 3988; 4125; 4127; 906; 907; 908; 969; 952</t>
  </si>
  <si>
    <t>Other=PAST; Tagged 953, 954, 955</t>
  </si>
  <si>
    <t>905, 909</t>
  </si>
  <si>
    <t>Other=Por.spp;</t>
  </si>
  <si>
    <t>Were unable to find tagged corals</t>
  </si>
  <si>
    <t>4133; Not ours: 139, 078, 3937, 3941, 3938, 3944, G1695, G1634, G1789, G1708, G1790, G1707, G1718, G1912, G1719, G1705, G1633, G1706, G1241, G1641, and 4 that were unreadable</t>
  </si>
  <si>
    <t>Not ours: G1835, G1834, G1841, G1549, G1746, G1737, G1738, G1740, G1739, G1750, G1749</t>
  </si>
  <si>
    <t>Not ours: G2157, G2156, G2159, G2123, G2101, G2107, G2111, G2131, G2109, G2170, G2141, G2177, G2179, G2117, 041</t>
  </si>
  <si>
    <t>Other= 1PAST &amp; 1SRAD</t>
  </si>
  <si>
    <t>970, 944, 902</t>
  </si>
  <si>
    <t xml:space="preserve">No corals treated </t>
  </si>
  <si>
    <t>Tagged #956</t>
  </si>
  <si>
    <t>3535, 950, 951, 973</t>
  </si>
  <si>
    <t>974, 948</t>
  </si>
  <si>
    <t>Tagged #957</t>
  </si>
  <si>
    <t>901, 942, 3881</t>
  </si>
  <si>
    <t>4125, 4127, 952, 969</t>
  </si>
  <si>
    <t>906, 907, 908</t>
  </si>
  <si>
    <t>Tagged #958</t>
  </si>
  <si>
    <t>Tagged 947, 959, 960</t>
  </si>
  <si>
    <t>953 958, 909, 954, 955</t>
  </si>
  <si>
    <t>Tagged 946</t>
  </si>
  <si>
    <t xml:space="preserve">Other=P. astreoides </t>
  </si>
  <si>
    <t>4133, &amp; an unreadable purple tag APAL</t>
  </si>
  <si>
    <t xml:space="preserve">Others: Porites astreoides </t>
  </si>
  <si>
    <t>Others=PAST</t>
  </si>
  <si>
    <t>G2117, G2142, G2126, G2141</t>
  </si>
  <si>
    <t>Amputation was performed on 1 MDEC</t>
  </si>
  <si>
    <t>4112, 4119, 970</t>
  </si>
  <si>
    <t>956; 974; 948; 3535; 951; 973</t>
  </si>
  <si>
    <t>Other: 2 P. astreoides</t>
  </si>
  <si>
    <t>957; 3882, 901, 943, 3883, 942, 3881</t>
  </si>
  <si>
    <t>958; 959; 953; 909; 960; 954, 947, 946</t>
  </si>
  <si>
    <t>Other=P. astreoides</t>
  </si>
  <si>
    <t>952, 4127, 4125, 969</t>
  </si>
  <si>
    <t>908, 906, 3988</t>
  </si>
  <si>
    <t>3884; 904</t>
  </si>
  <si>
    <t>Manta Tow Surveys</t>
  </si>
  <si>
    <t>Surveying New Area</t>
  </si>
  <si>
    <t>G2117</t>
  </si>
  <si>
    <t>Other: P astreoides</t>
  </si>
  <si>
    <t>Other=PAST</t>
  </si>
  <si>
    <t>G1232</t>
  </si>
  <si>
    <t>Other: 3 PAST, 1 SRAD</t>
  </si>
  <si>
    <t>Other: 2 PAST</t>
  </si>
  <si>
    <t>Other: P. astreoides</t>
  </si>
  <si>
    <t>902, 944, 970</t>
  </si>
  <si>
    <t>974, 951</t>
  </si>
  <si>
    <t>Other=PAST, tagged 962, 963</t>
  </si>
  <si>
    <t>954, 947, 946, 958, 960, 953</t>
  </si>
  <si>
    <t>other=SRAD</t>
  </si>
  <si>
    <t>909, 946</t>
  </si>
  <si>
    <t>969, 4125, 952, 4127, 3993</t>
  </si>
  <si>
    <t>906, 908</t>
  </si>
  <si>
    <t>903, 3988</t>
  </si>
  <si>
    <t>4119, 902, 4112, 970, 944</t>
  </si>
  <si>
    <t>956, 951, 974, 948, 973, 3535</t>
  </si>
  <si>
    <t>3883, 919 (previously 3882), 3881, 901, 942, 957</t>
  </si>
  <si>
    <t xml:space="preserve">Other Species is Porites astreoides </t>
  </si>
  <si>
    <t>Not ours- Pink 008</t>
  </si>
  <si>
    <t>Other Species are 2 Porites astereoides</t>
  </si>
  <si>
    <t>Not ours 002, 001, 129</t>
  </si>
  <si>
    <t xml:space="preserve">Other Species is Porites astereoides </t>
  </si>
  <si>
    <t>No corals treated, monitored tagged corals</t>
  </si>
  <si>
    <t>904, 3884</t>
  </si>
  <si>
    <t>3338, 3339</t>
  </si>
  <si>
    <t>new tags #926, 927</t>
  </si>
  <si>
    <t>New Tag #937</t>
  </si>
  <si>
    <t>4133; Not Ours: G1705, 028, G1719</t>
  </si>
  <si>
    <t>946, 947, 958, 909, 960</t>
  </si>
  <si>
    <t>959, 963, 962. 955</t>
  </si>
  <si>
    <t>Other = MDEC</t>
  </si>
  <si>
    <t>Other species is PAST and Porites furcata</t>
  </si>
  <si>
    <t>Other species = PPOR</t>
  </si>
  <si>
    <t>4119, 944, 970, 4112, 902</t>
  </si>
  <si>
    <t>Other species- PAST</t>
  </si>
  <si>
    <t>953, 954, 958, 946, 960</t>
  </si>
  <si>
    <t>Other= PAST, PDIV, PPOR</t>
  </si>
  <si>
    <t>Other species - PAST</t>
  </si>
  <si>
    <t>952; 4125; 969; 4129; 903; 3993</t>
  </si>
  <si>
    <t>908; 906</t>
  </si>
  <si>
    <t>974; 956; 973; 3535, 951</t>
  </si>
  <si>
    <t xml:space="preserve">901; 3883; 943; 942; 919; 913 (previously 3881); </t>
  </si>
  <si>
    <t>Lots of fishing line cleaned up</t>
  </si>
  <si>
    <t>3338; 3339</t>
  </si>
  <si>
    <t>Other: PAST</t>
  </si>
  <si>
    <t>Not Ours: G0019</t>
  </si>
  <si>
    <t>937; 926; 927</t>
  </si>
  <si>
    <t>Other: SRAD</t>
  </si>
  <si>
    <t>946; 959; 958; 963; 947; 953; 909; 954; 960; 955; 962</t>
  </si>
  <si>
    <t>952; 3988; 3993; 4129</t>
  </si>
  <si>
    <t>906; 907; 908</t>
  </si>
  <si>
    <t xml:space="preserve">Other: PAST; </t>
  </si>
  <si>
    <t xml:space="preserve">one lionfish </t>
  </si>
  <si>
    <t>4119; 970; 4112</t>
  </si>
  <si>
    <t>N</t>
  </si>
  <si>
    <t>Amox other: SRAD, one lionfish right before jump reefs over to cnat</t>
  </si>
  <si>
    <t>944; 902</t>
  </si>
  <si>
    <t>New tag: 945 DCYL-rescue/amputation of a diseased pillar</t>
  </si>
  <si>
    <t>3535, 948, 950, 951, 974</t>
  </si>
  <si>
    <t>1 Lionfish seen near shore</t>
  </si>
  <si>
    <t>919, 901, 943, 957, 913, 942</t>
  </si>
  <si>
    <t>4 Lionfish spotted &gt;60ft; other=SRAD</t>
  </si>
  <si>
    <t>Collected a DCYL for Logan</t>
  </si>
  <si>
    <t>958, 946, 953, 960, 963, 962, 955, 947, 959, 954, 909</t>
  </si>
  <si>
    <t>Collected two DCYL for Logan</t>
  </si>
  <si>
    <t>Other=PAST, collected 2 DCYL -&gt; CWORI</t>
  </si>
  <si>
    <t>Collected one DCYL and one CNAT</t>
  </si>
  <si>
    <t>3 Lionfish sighted</t>
  </si>
  <si>
    <t>Collected DCYL for UVI</t>
  </si>
  <si>
    <t>3993, 969, 4125, 952, 4129</t>
  </si>
  <si>
    <t>903, 908</t>
  </si>
  <si>
    <t>Retagged 927 as 961</t>
  </si>
  <si>
    <t>961, 937</t>
  </si>
  <si>
    <t>Not Ours: G0018</t>
  </si>
  <si>
    <t>Finished air left after previous dive</t>
  </si>
  <si>
    <t>Marine Debris removed; 1 DCYL reattached to reef (wedged); lots of dead DCYLs = Good potential restoration site?</t>
  </si>
  <si>
    <t>Not Ours: G0440</t>
  </si>
  <si>
    <t>Collected DCYL 117 &amp; DCYL 120</t>
  </si>
  <si>
    <t>Not Ours: 119</t>
  </si>
  <si>
    <t>DCYL &amp; CNAT collected</t>
  </si>
  <si>
    <t>Not Ours: 3201, 2548, 4873, 4582</t>
  </si>
  <si>
    <t>4133 &amp; Not Ours: G1716</t>
  </si>
  <si>
    <t>Only checked on tagged coral, no treatments needed</t>
  </si>
  <si>
    <t>MCAV found loose in the seagrass &amp; with SCTLD was collected for treatment at Coral World, Marine debris removed</t>
  </si>
  <si>
    <t>Not Ours: G1834</t>
  </si>
  <si>
    <t>Marine Debris removed</t>
  </si>
  <si>
    <t>Collected DCYL 112</t>
  </si>
  <si>
    <t>4112, 4119</t>
  </si>
  <si>
    <t>Amputated portion of DCYL was transported to Coral World for treatment</t>
  </si>
  <si>
    <t>3535, 973, 948, 951, 974</t>
  </si>
  <si>
    <t>3339, 3338</t>
  </si>
  <si>
    <t>909; 946; 947; 953; 954; 955; 958; 959; 962; 963; 960</t>
  </si>
  <si>
    <t>106 (not ours)</t>
  </si>
  <si>
    <t>952, 969, 4129, 4125</t>
  </si>
  <si>
    <t>908, 3988, 906</t>
  </si>
  <si>
    <t>PDIV reattached to reef by KAB</t>
  </si>
  <si>
    <t>903, 907</t>
  </si>
  <si>
    <t xml:space="preserve">loose SSID wedged into the reef, 5 dcyl waypoints can be collected from pic sync </t>
  </si>
  <si>
    <t>G0878; G0886; G0409 (not ours)</t>
  </si>
  <si>
    <t>DCYL,EFAS,ACER pic sync possible</t>
  </si>
  <si>
    <t>926, 961, 937</t>
  </si>
  <si>
    <t>Fragments of Opportunity: 2 Porities spp.</t>
  </si>
  <si>
    <t>4190, 4133</t>
  </si>
  <si>
    <t>1 large OFAV dug out of sand and wedged onto reef, 1 large SSID righted as much as possible-still not upright</t>
  </si>
  <si>
    <t>Not Ours (cleaned &amp; photographed) 4419, 041, G2141, G2109, G2126, G2169, G2117, G2178</t>
  </si>
  <si>
    <t>Fragments of Opportunity: 2 ACER</t>
  </si>
  <si>
    <t>Not ours: 117, 119, 120</t>
  </si>
  <si>
    <t>1 Lionfish culled (4")</t>
  </si>
  <si>
    <t>Marine debris removed</t>
  </si>
  <si>
    <t>Not ours (cleaned &amp; photographed): blue 032, 054, yellow G0443</t>
  </si>
  <si>
    <t>Other: Manicina areolata; collected 1 DCYL fragment (116); Removed a lot of marine debris; Frags of Opportunity: 1 PDIV, 1 SSID; Black Band Disease present; done via snorkel</t>
  </si>
  <si>
    <t>lots of marine debris removed; intervention conducted via snorkel</t>
  </si>
  <si>
    <t>intervention conducted via snorkel</t>
  </si>
  <si>
    <t>Amputated 1 EFAS; New tags: 911, 912, 920, 949, 109</t>
  </si>
  <si>
    <t>New tags: 928, 940, 107; Coral Rescue: 1 EFAS (#107); Fragments of Opportunity: 3 Agg spp; 10" lionfish culled</t>
  </si>
  <si>
    <t>New Tags: 922, 983, 921, 923</t>
  </si>
  <si>
    <t>New Tags: 982, 941, 115</t>
  </si>
  <si>
    <t>Dove to check on reportedly SCTLD DCYL and collect a fragment for CWORI (need to return to tag)</t>
  </si>
  <si>
    <t>New tags: 914, 917, 918, 976, 977, 978, 979</t>
  </si>
  <si>
    <t>New tags: 966, 967, 975, 999, 938</t>
  </si>
  <si>
    <t>New tags: 916, 980</t>
  </si>
  <si>
    <r>
      <rPr>
        <sz val="11"/>
        <color rgb="FF000000"/>
        <rFont val="Calibri"/>
        <family val="2"/>
      </rPr>
      <t xml:space="preserve">Other: PAST; New tags: 1000, 910, </t>
    </r>
    <r>
      <rPr>
        <b/>
        <sz val="11"/>
        <color rgb="FF000000"/>
        <rFont val="Calibri"/>
        <family val="2"/>
      </rPr>
      <t>925=tagged but not treated!!!!!!!</t>
    </r>
    <r>
      <rPr>
        <sz val="11"/>
        <color rgb="FF000000"/>
        <rFont val="Calibri"/>
        <family val="2"/>
      </rPr>
      <t>,929</t>
    </r>
  </si>
  <si>
    <t>New tag: 981</t>
  </si>
  <si>
    <t>902; 4112; 4119</t>
  </si>
  <si>
    <t>lionfish observed but not killed</t>
  </si>
  <si>
    <t>1 Lionfish Removed</t>
  </si>
  <si>
    <t>955; 962, 963</t>
  </si>
  <si>
    <t>Tags visited, but no interventions performed</t>
  </si>
  <si>
    <t>960, 953, 958</t>
  </si>
  <si>
    <t xml:space="preserve">907; 952; 969; 4129; </t>
  </si>
  <si>
    <t>926; 937; 961</t>
  </si>
  <si>
    <t>OTHER=PAST</t>
  </si>
  <si>
    <t>4133; 4190</t>
  </si>
  <si>
    <t>912; 920</t>
  </si>
  <si>
    <t>911; 928; 940</t>
  </si>
  <si>
    <t>921; 922; 923; 982</t>
  </si>
  <si>
    <t>941; 983</t>
  </si>
  <si>
    <t>916; 966; 967; 975; 999</t>
  </si>
  <si>
    <t>914; 976; 978; 979</t>
  </si>
  <si>
    <t>917; 918; 938; 977; 982; 1000</t>
  </si>
  <si>
    <t>925; 981</t>
  </si>
  <si>
    <t>910; 929</t>
  </si>
  <si>
    <t>ND</t>
  </si>
  <si>
    <t>AB</t>
  </si>
  <si>
    <t>lionfish observed but not killed, Marine Debris Removed</t>
  </si>
  <si>
    <t>959;953;960;954;962;947;958;946;909;955;963</t>
  </si>
  <si>
    <t>AMOX Other: 1 PFUR and 1 PAST, PDIV,  Amputated 1 PDIV colony, 1 Lionfish Removed</t>
  </si>
  <si>
    <t xml:space="preserve">AMOX Other: PFUR </t>
  </si>
  <si>
    <t>Marine Debris Removed</t>
  </si>
  <si>
    <t>3535;951;974</t>
  </si>
  <si>
    <t>4112; 4119b; 944</t>
  </si>
  <si>
    <t>3993, 952, 969, 4129, 4125,3988, 3993</t>
  </si>
  <si>
    <t>4127, 908, 907, 906</t>
  </si>
  <si>
    <t>905, 903</t>
  </si>
  <si>
    <t>CWORI#dcyl</t>
  </si>
  <si>
    <t xml:space="preserve">CWORI tags: 117;120;119 </t>
  </si>
  <si>
    <t>AMOX Other: PAST; 1 lionfish sighted-not culled</t>
  </si>
  <si>
    <t>other=past</t>
  </si>
  <si>
    <t>New tags: 194 &amp; 189 rescues to CWORI</t>
  </si>
  <si>
    <t>189; 940; 928</t>
  </si>
  <si>
    <t xml:space="preserve">ran out of treatment on CNAT </t>
  </si>
  <si>
    <t>AMOX Other: PDIV and PAST, MMEA -&gt; CWORI</t>
  </si>
  <si>
    <t>912;940;189;920;194</t>
  </si>
  <si>
    <t>Culled MMEA -&gt; CWORI</t>
  </si>
  <si>
    <t xml:space="preserve">FOO: PAST </t>
  </si>
  <si>
    <t>115;982;983;922;921;941</t>
  </si>
  <si>
    <t>FOO=CNAT</t>
  </si>
  <si>
    <r>
      <rPr>
        <sz val="11"/>
        <color rgb="FF000000"/>
        <rFont val="Calibri"/>
        <family val="2"/>
        <scheme val="minor"/>
      </rPr>
      <t>977, 917, 938, 978,</t>
    </r>
    <r>
      <rPr>
        <b/>
        <sz val="11"/>
        <color rgb="FF000000"/>
        <rFont val="Calibri"/>
        <family val="2"/>
        <scheme val="minor"/>
      </rPr>
      <t xml:space="preserve"> </t>
    </r>
    <r>
      <rPr>
        <sz val="11"/>
        <color rgb="FF000000"/>
        <rFont val="Calibri"/>
        <family val="2"/>
        <scheme val="minor"/>
      </rPr>
      <t>976,918,1000,914</t>
    </r>
  </si>
  <si>
    <t>979, 929, 910, 981, 925</t>
  </si>
  <si>
    <t>FOO: 1 A. palmata</t>
  </si>
  <si>
    <t>901, 942, 913, 957</t>
  </si>
  <si>
    <t>Removed a sock from the reef</t>
  </si>
  <si>
    <t>973, 3535, 974, 948, 951</t>
  </si>
  <si>
    <t>Removed a glass bottle from the edge of the reef/sand</t>
  </si>
  <si>
    <t>945, 904, 3884 (tag missing)</t>
  </si>
  <si>
    <t>Removed a wad of old line that was wound around a gorgonian</t>
  </si>
  <si>
    <t>4112, 4119, 944, 902</t>
  </si>
  <si>
    <t>other=PAST</t>
  </si>
  <si>
    <t>947, 958, 946, 959, 953, 954, 960, 909, 955, 962, 963</t>
  </si>
  <si>
    <t>FOO=PSTR, removed fishing line</t>
  </si>
  <si>
    <t>GEOTAGGING=4 DCYL, 1 MMEA, 3EFAS, removed snare, boat antenae, and other apparent lobster catching gear</t>
  </si>
  <si>
    <t>G1716, 4133</t>
  </si>
  <si>
    <t xml:space="preserve">blue net and anchor removed </t>
  </si>
  <si>
    <t>SGJ</t>
  </si>
  <si>
    <t>HSS=DSTO, blue line removed</t>
  </si>
  <si>
    <t>4125, 4129, 908, 906, 903, 952, 969, 3993, 907, 905</t>
  </si>
  <si>
    <t>plastic bag removed</t>
  </si>
  <si>
    <t>HSS=DCYL</t>
  </si>
  <si>
    <t>AMOX Other: PAST, 1 lionfish removed</t>
  </si>
  <si>
    <t>977, 917, 918, 978, 1000, 979, 914</t>
  </si>
  <si>
    <t>929, 976, 910</t>
  </si>
  <si>
    <r>
      <t>1 lionfish removed aprox 20cm</t>
    </r>
    <r>
      <rPr>
        <strike/>
        <sz val="11"/>
        <color rgb="FF000000"/>
        <rFont val="Calibri"/>
        <family val="2"/>
        <scheme val="minor"/>
      </rPr>
      <t>, 1 escaped</t>
    </r>
  </si>
  <si>
    <t>G1728</t>
  </si>
  <si>
    <t>166,27</t>
  </si>
  <si>
    <t>Marine debris removal, 1 Lionfish removed aprox 28cm</t>
  </si>
  <si>
    <t>AMOX Other: PAST, GEOTAG DCYL PIC #P7219875</t>
  </si>
  <si>
    <t>GEOTAG DCYL pic # P7219918</t>
  </si>
  <si>
    <t>DCYL tagged 187 THIS DIVE -CWORI fragment/AMP collection, 1 lionfish removed</t>
  </si>
  <si>
    <t>other =PAST</t>
  </si>
  <si>
    <t>921, 983, 923, 941, 982, 922</t>
  </si>
  <si>
    <t>911, 940,928</t>
  </si>
  <si>
    <t>lionfish spotted but not killed</t>
  </si>
  <si>
    <t>966, 916, 980, 967</t>
  </si>
  <si>
    <t>FOO: PAST</t>
  </si>
  <si>
    <t>938, 981, 925</t>
  </si>
  <si>
    <t>AMOX other: PFUR, DCYL tag 187 piece was amputated</t>
  </si>
  <si>
    <t>117, 120</t>
  </si>
  <si>
    <t>2 lionfish killed, rope/line removed</t>
  </si>
  <si>
    <t>901, 913, 942, 919, 957</t>
  </si>
  <si>
    <t>glass bottle removed</t>
  </si>
  <si>
    <t>944, 4112, 4119</t>
  </si>
  <si>
    <t>905, 958, 947, 946, 955, 963, 903, 959, 953, 909, 960, 954, 962, 908, 906</t>
  </si>
  <si>
    <t>907, 4129, 4125, 3988, 3933, 969, 952</t>
  </si>
  <si>
    <t>910, 981, 925, 929, 914, 1000, 976, 978, 917, 918, 977</t>
  </si>
  <si>
    <t>Marine Debris= Bottles</t>
  </si>
  <si>
    <t>923, 982, 941, 983, 922, 921, 979</t>
  </si>
  <si>
    <t>Lionfish seen but not killed</t>
  </si>
  <si>
    <t>999, 938, 967</t>
  </si>
  <si>
    <t>920, 940, 911, 928</t>
  </si>
  <si>
    <t>980, 966, 975</t>
  </si>
  <si>
    <t>1 lionfish speared</t>
  </si>
  <si>
    <t xml:space="preserve">AMOX Other: 1 PAST, 1 SCOL sp. </t>
  </si>
  <si>
    <t>AMOX Other: PAST</t>
  </si>
  <si>
    <t>AMOX other: PAST, 2 fishing lines and one rope removed, 1 lionfish spotted and attempted to spear but escaped, FOO ACER and OFAV</t>
  </si>
  <si>
    <t>G2131, G2141</t>
  </si>
  <si>
    <t>3535, 951, 973, 950, 974</t>
  </si>
  <si>
    <t>919, 901, 913, 942, 957</t>
  </si>
  <si>
    <t>GPS may have turned off</t>
  </si>
  <si>
    <t>GPS Died</t>
  </si>
  <si>
    <t>921, 983, 1000, 982, 923, 911, 979, 977, 917, 978, 922, 941</t>
  </si>
  <si>
    <t xml:space="preserve">Picture of HBO temp </t>
  </si>
  <si>
    <t>938, 929, 918, 929, 977, 981, 910</t>
  </si>
  <si>
    <t>Pic taken for new GPS location for 912 (SG)</t>
  </si>
  <si>
    <t>Pic taken for new GPS location for 940 (SG)</t>
  </si>
  <si>
    <t xml:space="preserve">940, 928 911, </t>
  </si>
  <si>
    <t>4119, 4112, 944</t>
  </si>
  <si>
    <t>1 lionfish killed</t>
  </si>
  <si>
    <t>Hawksnest Point</t>
  </si>
  <si>
    <t>Turner Point</t>
  </si>
  <si>
    <t>1 lionfish spotted but not killed</t>
  </si>
  <si>
    <t>961, 926, 937</t>
  </si>
  <si>
    <t>967,966, 916</t>
  </si>
  <si>
    <t xml:space="preserve">392, 391, 386, 325, 387, 388, 390, 389, 393, 457, 458, 459, 460, 455, 456, 464, 465, 441, 442, 448, 447, 454, 453, 467, 443, </t>
  </si>
  <si>
    <t xml:space="preserve">394, 328, 397, 396, 323, 334, 326, 398, 361, 324, 327, 395, 322, 399, 400, 385, 362, 329, 414, 411, 412, 480, 479, 324, 472, 444, 413, 473, 475, 463, 388, 455, 465,464, 443, 467, </t>
  </si>
  <si>
    <t>474, 461, 462, 402, 363, 445, 321, 468, 330, 404, 405, 435, 384, 331, 430 , 403, 322</t>
  </si>
  <si>
    <t>Treatment Used (mL)</t>
  </si>
  <si>
    <t>Retreat (Y/UNK)</t>
  </si>
  <si>
    <t xml:space="preserve">Entered By: </t>
  </si>
  <si>
    <t>KB</t>
  </si>
  <si>
    <t>Portion collected for CWORI, not fate tracking</t>
  </si>
  <si>
    <t>Last syringe photo not taken</t>
  </si>
  <si>
    <t>SVH, SG, KB</t>
  </si>
  <si>
    <t>4119a</t>
  </si>
  <si>
    <t>Treated over the course of two days bc we ran out of treatment on 3/21, need to add amount from 3/22</t>
  </si>
  <si>
    <t>No final syringe photo</t>
  </si>
  <si>
    <t>KB, SG</t>
  </si>
  <si>
    <t>Ran out of treatment</t>
  </si>
  <si>
    <t>Can't see amount in 1st photo</t>
  </si>
  <si>
    <t>Missing last photo</t>
  </si>
  <si>
    <t>Lens cap is in the way of the syringe</t>
  </si>
  <si>
    <t>Missing 1st photo of 2nd syringe used</t>
  </si>
  <si>
    <t>Unusable syringe photos</t>
  </si>
  <si>
    <t>Missing last syringe photo</t>
  </si>
  <si>
    <t>No final treatment &amp; syringe photos</t>
  </si>
  <si>
    <t>This is photographed as if it is multiple colonies, but it looks like it's one single colony</t>
  </si>
  <si>
    <t>No 1st syringe photo</t>
  </si>
  <si>
    <t>Questionable ID due to poor photos (going with original diver ID)</t>
  </si>
  <si>
    <t>Previously treated</t>
  </si>
  <si>
    <t>no before photo of syringe</t>
  </si>
  <si>
    <t>no before photo of syringe, previously treated</t>
  </si>
  <si>
    <t>Colony photos are too close - looks like multiple small sections of the same colony were treated</t>
  </si>
  <si>
    <t>MS, changed 40 to =22-20 &amp; OFRA to OFAV - KB</t>
  </si>
  <si>
    <t>MS, changed 3 to =3+36-33 &amp; OFRA to OFAV</t>
  </si>
  <si>
    <t>MS, poor colony photos - sticking with Diver ID of coral spp</t>
  </si>
  <si>
    <t>Favia fragum, no syringe photos</t>
  </si>
  <si>
    <t>Missing 1st syringe photo</t>
  </si>
  <si>
    <t>4119b</t>
  </si>
  <si>
    <t>missing photo</t>
  </si>
  <si>
    <t>&lt;1 mL used</t>
  </si>
  <si>
    <t>missing photo, lots of treatment photos looks like it is the same coral but no whole colony photos to confirm</t>
  </si>
  <si>
    <t>Last syringe photo missing</t>
  </si>
  <si>
    <t>4119B</t>
  </si>
  <si>
    <t>PBIF</t>
  </si>
  <si>
    <t>Too small to tell spp</t>
  </si>
  <si>
    <t>Missing whole colony shot for identification</t>
  </si>
  <si>
    <t>No syringe photos (I was startled by a close call with a lionfish)</t>
  </si>
  <si>
    <t>Retreatment</t>
  </si>
  <si>
    <t>missing photo, Retreatment</t>
  </si>
  <si>
    <t>This and OANN were treated as one colony</t>
  </si>
  <si>
    <t>This and OFAV were treaded as one colony</t>
  </si>
  <si>
    <t>Treated along lesion line of rapid tissue loss (~32% stark white-very recent mortality &amp; ~8% &lt;1wk old, turning green), missing syringe photos</t>
  </si>
  <si>
    <t>missing syringe photo</t>
  </si>
  <si>
    <t>951CN</t>
  </si>
  <si>
    <t>missing treatment photo</t>
  </si>
  <si>
    <t>RETREAT, missing treatment photo</t>
  </si>
  <si>
    <t>RETREAT</t>
  </si>
  <si>
    <t>Missing treatment photos?</t>
  </si>
  <si>
    <t>Less than 1mL</t>
  </si>
  <si>
    <t>Missing syringe photo</t>
  </si>
  <si>
    <t>KB &amp; SVH</t>
  </si>
  <si>
    <t>missing svh end syringe photo; stopped treating partway through because treatment was washing off almost immediately</t>
  </si>
  <si>
    <t>SVH &amp; Visitor</t>
  </si>
  <si>
    <t>Davis Stroebel</t>
  </si>
  <si>
    <t>Retreat, missing photo</t>
  </si>
  <si>
    <t>Visitor</t>
  </si>
  <si>
    <t>Jason Quetel</t>
  </si>
  <si>
    <t>Red band disease?</t>
  </si>
  <si>
    <t>Other</t>
  </si>
  <si>
    <t>SG&amp;SVH</t>
  </si>
  <si>
    <t>RETREAT SG&amp;SVH</t>
  </si>
  <si>
    <t>MS &amp; Visitor</t>
  </si>
  <si>
    <t>Davis Stroebel; missing photo</t>
  </si>
  <si>
    <t>Davis Stroebel, missing photo</t>
  </si>
  <si>
    <t>BBD</t>
  </si>
  <si>
    <t>missing end treatment pic, BBD</t>
  </si>
  <si>
    <t>MISSING END TREATMENT PIC</t>
  </si>
  <si>
    <t>2 CORALS TREATED AS ONE NO BEFORE/AFTER PICS</t>
  </si>
  <si>
    <t>NOT STICKING</t>
  </si>
  <si>
    <t>RT</t>
  </si>
  <si>
    <t>NO END TREATMENT PIC</t>
  </si>
  <si>
    <t xml:space="preserve">SVH, SGJ, MLBS ALL TREATED TEH SAME CORAL </t>
  </si>
  <si>
    <t>NO END PIC</t>
  </si>
  <si>
    <t>TWO CORALS TREATED AS ONE</t>
  </si>
  <si>
    <t>SG AND MLBS</t>
  </si>
  <si>
    <t>SVH AND MLBS</t>
  </si>
  <si>
    <t>HANSEN BAY , SAM AND MOE TREATED</t>
  </si>
  <si>
    <t>HANSEN BAY</t>
  </si>
  <si>
    <t>TASHA BESTROM</t>
  </si>
  <si>
    <t xml:space="preserve">TASHA BESTROM </t>
  </si>
  <si>
    <t>G2142</t>
  </si>
  <si>
    <t>G2126</t>
  </si>
  <si>
    <t>BBD?</t>
  </si>
  <si>
    <t>rt</t>
  </si>
  <si>
    <t>snails, RT</t>
  </si>
  <si>
    <t>snails</t>
  </si>
  <si>
    <t>boring sponge</t>
  </si>
  <si>
    <t>no end pic</t>
  </si>
  <si>
    <t xml:space="preserve">this treatment volume was wrong untill 11:40pm on 10.26.22 = it was uploaded to VICDAC wrong earlier today </t>
  </si>
  <si>
    <t>no start pic</t>
  </si>
  <si>
    <t xml:space="preserve">this treatment volume was wrong untill 11:55pm on 10.26.22 = it was uploaded to VICDAC wrong earlier today </t>
  </si>
  <si>
    <t>RBD</t>
  </si>
  <si>
    <t>not finished</t>
  </si>
  <si>
    <t xml:space="preserve">two corals treated as one </t>
  </si>
  <si>
    <t>two corals treated as one</t>
  </si>
  <si>
    <t>threadneedle</t>
  </si>
  <si>
    <t>the narrows</t>
  </si>
  <si>
    <t>blinders rocks EB</t>
  </si>
  <si>
    <t>BBD LESIONS NOT TREATED- ONLY SCTLD- CENTRAL COLONY</t>
  </si>
  <si>
    <t>BOOBY ROCK</t>
  </si>
  <si>
    <t>BOOBY ROCK, RT</t>
  </si>
  <si>
    <t>BOOBY ROCK, BBD</t>
  </si>
  <si>
    <t>no start and end pics-2 syringes used</t>
  </si>
  <si>
    <t>camera dead and no volumes recorded</t>
  </si>
  <si>
    <t>AMANDA BADAI</t>
  </si>
  <si>
    <t>NO PICS</t>
  </si>
  <si>
    <t>MISSING END VOL. OF SECOND SYRINGE  PIC?</t>
  </si>
  <si>
    <t>visitor=AmandaBadai</t>
  </si>
  <si>
    <t>visitor=AmandaBadai, no end treatment pic</t>
  </si>
  <si>
    <t>no end treatment volume</t>
  </si>
  <si>
    <t>no beginning treatment volume</t>
  </si>
  <si>
    <t>visitor-amanda badai</t>
  </si>
  <si>
    <t>visitor-amanda badai, missing treatment vol pic</t>
  </si>
  <si>
    <t>fire worm</t>
  </si>
  <si>
    <t>Visitor=Amanda Badai, video of treated SSID</t>
  </si>
  <si>
    <t>Visitor=Amanda Badai</t>
  </si>
  <si>
    <t>should have treated bleached margin, not skelital margin</t>
  </si>
  <si>
    <t>visitor=Amanda Badai</t>
  </si>
  <si>
    <t>KB &amp; Visitor</t>
  </si>
  <si>
    <t>SVH &amp; SGJ</t>
  </si>
  <si>
    <t>MANTA TOW</t>
  </si>
  <si>
    <t>pink 008</t>
  </si>
  <si>
    <t>pink 002</t>
  </si>
  <si>
    <t>pink 001</t>
  </si>
  <si>
    <t>RETURN TREATMENT</t>
  </si>
  <si>
    <t>SGJ &amp; KAB</t>
  </si>
  <si>
    <t>this coral was first treated by sam, then kayla saw the gaps and did another treatment, i have combined their two</t>
  </si>
  <si>
    <t>RAN OUT OF TREATMENT</t>
  </si>
  <si>
    <t>INSERT ROW ABOVE, SG treated OA, 12 mL used = NOPE- JUST CHANGE ov TO oann= DONE BY MOE</t>
  </si>
  <si>
    <t>GET FROM SARAHS DIVE # 1 TREATMENT NOTES FOLDER</t>
  </si>
  <si>
    <t>changed from 57-47 to 56-47 - SVH</t>
  </si>
  <si>
    <t>Changed from +19 to -19 -- SVH</t>
  </si>
  <si>
    <t>VERY IREGULAR LARGE POLYPS , BUT OVERALL SMOOTH</t>
  </si>
  <si>
    <t>IRREGULAR POLYPS, PALE INDIVIDUALS</t>
  </si>
  <si>
    <t>TREATED LESION , NOT BLEACH MARJIN</t>
  </si>
  <si>
    <t>MLBS</t>
  </si>
  <si>
    <t>SVH &amp; KAB</t>
  </si>
  <si>
    <t>RETREATMENT</t>
  </si>
  <si>
    <t>KAB AND MLBS TREATED THIS CORAL</t>
  </si>
  <si>
    <t>RBD ON PART OF IT-NO TREAT THAT PART</t>
  </si>
  <si>
    <t>DIADEMA ANTILLARUM IN PIC ALSO</t>
  </si>
  <si>
    <t>2 JUV. DIADEMA ANTILLARUM IN THE PIC. ALSO , NOT ALL LOBES TREATED, JUST THE MAJOR ONES WORTH SAVING</t>
  </si>
  <si>
    <t>SNAILS</t>
  </si>
  <si>
    <t>JUV. LIONFISH AD EDGE OF REEF ON UNDERSIDE BY LESION</t>
  </si>
  <si>
    <t>CLOSEUP OF WHITE FILM-NECROTIC TISSUES?</t>
  </si>
  <si>
    <t>PRETTY NUDIBRANCH/SNAIL, RED FILAMENTOUS ALGAE</t>
  </si>
  <si>
    <t>FIREWORM</t>
  </si>
  <si>
    <t>PART=SNAIL PREDATIOPN</t>
  </si>
  <si>
    <t>CHRONIC</t>
  </si>
  <si>
    <t>RED FILAMENTOUS ALGAE</t>
  </si>
  <si>
    <t>LIONFISH AT BASE</t>
  </si>
  <si>
    <t>NO START PIC</t>
  </si>
  <si>
    <t xml:space="preserve">KAB + MLBS TREATED THIS CORAL TOGETHER, This may be a retreat/or it is the first time it was treated. </t>
  </si>
  <si>
    <t>COLLECTED SPIRE</t>
  </si>
  <si>
    <t xml:space="preserve">THIS SAYS 10-18 IN THE pdf BUT IT WAS SUPPOSED TO BE 10-8 </t>
  </si>
  <si>
    <t>Yueen A. was the visitor</t>
  </si>
  <si>
    <t xml:space="preserve">RAN OUT IF TREATMENT WAS NOT ABLE TO COMPLETE THE FULL LESION LINE. </t>
  </si>
  <si>
    <t xml:space="preserve">USED THE PICS INSTEAD OF THE PDF TO DETERMINE END SYRINGE VOLUME FOR THIS TREATMENT. there is a pic there </t>
  </si>
  <si>
    <t>Other=Amanda Badai</t>
  </si>
  <si>
    <t>Has Flag</t>
  </si>
  <si>
    <t>Other= Marilyn Brandt</t>
  </si>
  <si>
    <t>Other= Marilyn Brandt, no end pic</t>
  </si>
  <si>
    <t>Other= Marilyn Brandt, no start or end treatment volume pics</t>
  </si>
  <si>
    <t>MLBS &amp; Visitor</t>
  </si>
  <si>
    <t>Treated By Moriah and Marilyn both=both peoples treatments are combined here</t>
  </si>
  <si>
    <t>Treated by both Moriah and Amanda. Both peoples treatments are added here</t>
  </si>
  <si>
    <t>Other=Amanda Badai, no before or after pics of syringe</t>
  </si>
  <si>
    <t>Other=Marilyn Brandt</t>
  </si>
  <si>
    <t>Visitor= Marilyn Brandt</t>
  </si>
  <si>
    <t xml:space="preserve">Other=Nicholas D. ,no treatment volume pics </t>
  </si>
  <si>
    <t>Other=Nicholas D. , NO START TREAT VOL PIC</t>
  </si>
  <si>
    <t xml:space="preserve">Other=Nicholas D. </t>
  </si>
  <si>
    <t>COLLECTED SPIRE THAT WENT TO Logan Williams at CORI</t>
  </si>
  <si>
    <t>Visitor-Amanda B. , no start treatment vol pic</t>
  </si>
  <si>
    <t xml:space="preserve">Visitor-Amanda B. </t>
  </si>
  <si>
    <t>no end treatment vol pic, collected a piece that went to LW at CORI</t>
  </si>
  <si>
    <t>no end treatment volume pic</t>
  </si>
  <si>
    <t>amputated- went to CORI Logan Williams</t>
  </si>
  <si>
    <t>NO END TREATMENT VOLUME PIC</t>
  </si>
  <si>
    <t xml:space="preserve">NO START TREATMENT VOLUME PIC </t>
  </si>
  <si>
    <t>NOTES STATE THAT MORE THAN 3 SSID WERE TREATED WITH THIS AMOUNT 41-3: thus this volume is estimated</t>
  </si>
  <si>
    <t>air in top so this is an overestimate</t>
  </si>
  <si>
    <t>NEARLY ALL DEAD</t>
  </si>
  <si>
    <t>Other=Nicholas Digardeen</t>
  </si>
  <si>
    <t xml:space="preserve">Visitor=Nicholas Digardeen, </t>
  </si>
  <si>
    <t>Visitor=Nicholas Digardeen, no end pic, pic of start is in moes pics</t>
  </si>
  <si>
    <t>MANCENIA AREOLATA</t>
  </si>
  <si>
    <t>didnt finish treating</t>
  </si>
  <si>
    <t>collected piece</t>
  </si>
  <si>
    <t>Other=ND, missing pics</t>
  </si>
  <si>
    <t>Other=ND</t>
  </si>
  <si>
    <t>appears it was never treated after it was tagged</t>
  </si>
  <si>
    <t>KAB &amp; Visitor</t>
  </si>
  <si>
    <t>Visitor=ND</t>
  </si>
  <si>
    <t>UNK</t>
  </si>
  <si>
    <t>NO END PIC ASUME 0?</t>
  </si>
  <si>
    <t xml:space="preserve"> - </t>
  </si>
  <si>
    <t>NO END VOLUME PIC</t>
  </si>
  <si>
    <t>2ML WATER GAP AT START</t>
  </si>
  <si>
    <t>2ML WATER GAP AT TIP OF SYRINGE</t>
  </si>
  <si>
    <t xml:space="preserve">ALSO SNAIL PREDATION </t>
  </si>
  <si>
    <t>1ML WATER GAP AT TIP OF SYRINGE</t>
  </si>
  <si>
    <t>no end syringe pic</t>
  </si>
  <si>
    <t>no end pic of syringe but estimated about 4ml used</t>
  </si>
  <si>
    <t>no end pic 48-x=guestimate of 5</t>
  </si>
  <si>
    <t>Amandas Site at BR/south Haulover</t>
  </si>
  <si>
    <t>SNAIL PREDATION</t>
  </si>
  <si>
    <t>GUESTIMATED FROM GOOP ON FINGERS</t>
  </si>
  <si>
    <t>STRANGE/BLACK BAND?</t>
  </si>
  <si>
    <t xml:space="preserve">THIS IS A SECON MCAV NOT A DOUBBLE COUNT </t>
  </si>
  <si>
    <t>NO END TREATMENT VOL PIC</t>
  </si>
  <si>
    <t xml:space="preserve">NO END SYRINGE PIC </t>
  </si>
  <si>
    <t>NO TREAT VOL PICS</t>
  </si>
  <si>
    <t>THE WIERDEST CNAT EVER</t>
  </si>
  <si>
    <t>3ML WATER GAP AT TIP OF SYRINGE</t>
  </si>
  <si>
    <t xml:space="preserve"> -  </t>
  </si>
  <si>
    <t xml:space="preserve">END PIC WAS EMPTY BUT THAT CORAL DID NOT TAKE 26ML </t>
  </si>
  <si>
    <t>Amputated</t>
  </si>
  <si>
    <t> </t>
  </si>
  <si>
    <t>Missing last syringe pic</t>
  </si>
  <si>
    <t>SAM TOOK T STICK PICS NICK TREATED</t>
  </si>
  <si>
    <t>CWORI</t>
  </si>
  <si>
    <t>CWORI 119</t>
  </si>
  <si>
    <t>Visitor:ND</t>
  </si>
  <si>
    <t>Bleaching?</t>
  </si>
  <si>
    <t>small cyano reaction</t>
  </si>
  <si>
    <t>Pailing</t>
  </si>
  <si>
    <t>camera fogged</t>
  </si>
  <si>
    <t>CWORI new tag 194 partial /fragment collected for CWORI</t>
  </si>
  <si>
    <t>moe added this row it was not accounted for</t>
  </si>
  <si>
    <t>new tag, amputated=true and the pics are in dive 2 moes nontreatment</t>
  </si>
  <si>
    <t>moe changed spp. from dsto to efas</t>
  </si>
  <si>
    <t>moe changed from ofra to oann</t>
  </si>
  <si>
    <t>ran out of treatment</t>
  </si>
  <si>
    <t>moe changed to ofra from ofav</t>
  </si>
  <si>
    <t>moe changed from ofav to oann</t>
  </si>
  <si>
    <t>retreated from day before because SCTLD broke through the treatment line</t>
  </si>
  <si>
    <t xml:space="preserve">moe added this row and coral because i know i re-treated it and used my thumb to guestimate initial treatment volume. </t>
  </si>
  <si>
    <t>missing 1st syringe, end syringe at 37ml</t>
  </si>
  <si>
    <t xml:space="preserve">moe changed from ox to oann based on finger notes in pic and remembering what i was doing </t>
  </si>
  <si>
    <t>moe changed from ox to oann</t>
  </si>
  <si>
    <t>Visitor: MLBS. so much paste ws laid down on this coral. ringed all tissues</t>
  </si>
  <si>
    <t xml:space="preserve">ran out of treatment </t>
  </si>
  <si>
    <t>ALSO A FRAGMENT OF OPPORTUNITY THAT GOT FLIPPED AND TREATED</t>
  </si>
  <si>
    <t>HAD TREATMENT ON FINGER THAT DID NOT APPLY</t>
  </si>
  <si>
    <t>NO END SYRING EPIC</t>
  </si>
  <si>
    <t>FROM MOES SLATE NOTES- AFTER CAMERA DIED</t>
  </si>
  <si>
    <t>NO BEFORE TREATMENT SYRINGE PIC</t>
  </si>
  <si>
    <t>Fireworm present</t>
  </si>
  <si>
    <t>CWORI 110</t>
  </si>
  <si>
    <t>PATTERN LOOKS LIKE SNAIL PREDATION</t>
  </si>
  <si>
    <t xml:space="preserve">SNAIL PREDATION TOO </t>
  </si>
  <si>
    <t>3 SNAILS</t>
  </si>
  <si>
    <t>NEW DCYL WAY PAST THE TAGGED DEAD ONE, THIS ONE IS NOT TAGGED</t>
  </si>
  <si>
    <t>THE 4-0 IS FORM MY SLATE NOTES</t>
  </si>
  <si>
    <t>WAS TREATED WITH CORAL ABOVE IT BUT I TEASED OUT THE VOLUMES SINCE THIS IS A SEPERATE COLONY</t>
  </si>
  <si>
    <t>I THINK THIS ONE HAS BEEN TREATED BEFORE, GETS RETREATED IN ABOUT 2 WEEKS BY ND</t>
  </si>
  <si>
    <t xml:space="preserve">the past did not have treatment the after pic had oann so no proof past was treated i changed to an oann </t>
  </si>
  <si>
    <t>moe added</t>
  </si>
  <si>
    <t xml:space="preserve">treated paling but no after pic of treatment on coral </t>
  </si>
  <si>
    <t xml:space="preserve"> -2ml for water in tip </t>
  </si>
  <si>
    <t>starts at 49cc but no end pic</t>
  </si>
  <si>
    <t>pob from snail pred</t>
  </si>
  <si>
    <t xml:space="preserve">moe note-=had fireworm </t>
  </si>
  <si>
    <t>nearly dead</t>
  </si>
  <si>
    <t>treated bleached lesion</t>
  </si>
  <si>
    <t>SGJ &amp; Visitor</t>
  </si>
  <si>
    <t>Visitor: MLBS</t>
  </si>
  <si>
    <t>Date (MIxed, Transfered, or Discard)</t>
  </si>
  <si>
    <t>Mixed (g)</t>
  </si>
  <si>
    <t>Thrown Out (mL) mostly from syringes so mesured in ml = does not come from weight</t>
  </si>
  <si>
    <t>CWORI/LD</t>
  </si>
  <si>
    <t>Not sure how much was ultimately thrwon out after transfer</t>
  </si>
  <si>
    <t>Used 7/1-7/6</t>
  </si>
  <si>
    <t>Used 7/6</t>
  </si>
  <si>
    <t>Leftovers used 7/12</t>
  </si>
  <si>
    <t>"Used almost all"</t>
  </si>
  <si>
    <t>used 7/19</t>
  </si>
  <si>
    <t>Leftovers used 7/26</t>
  </si>
  <si>
    <t>Leftovers used 7/27</t>
  </si>
  <si>
    <t>"~150g use on"</t>
  </si>
  <si>
    <t>"No wasted, ran out of treatment=end of day" but also, "8/9/22 wasted 60ml", also "some got wasted in my fridge 260ml to waste?"</t>
  </si>
  <si>
    <t>mixed for 8/10</t>
  </si>
  <si>
    <t>"very little remaining"</t>
  </si>
  <si>
    <t xml:space="preserve">all used up adn then made more for 10/20 on the night of 10/19 since i was not going in field on 10/20 with Sam and Sarah </t>
  </si>
  <si>
    <t xml:space="preserve">from mix 10.19 pm </t>
  </si>
  <si>
    <t xml:space="preserve">mixed for 10/25/2022- moe not in field </t>
  </si>
  <si>
    <t>waisted from mix on 10.24.22</t>
  </si>
  <si>
    <t>all used</t>
  </si>
  <si>
    <t>waisted from mix on 11/10/22</t>
  </si>
  <si>
    <t>mix for 11/15/2022, 11/16/2022 and 17th if does not run out beforehand</t>
  </si>
  <si>
    <t>mix for 11/17</t>
  </si>
  <si>
    <t>all used; last mix of 2022</t>
  </si>
  <si>
    <t>mixed for use on 1/24</t>
  </si>
  <si>
    <t>mixed for use on 1/25</t>
  </si>
  <si>
    <t>boat issues all wasted</t>
  </si>
  <si>
    <t>Rachel Ionata</t>
  </si>
  <si>
    <t>mixed for 2/14/23, 90ml To Rachel for SCTLD in tables</t>
  </si>
  <si>
    <t xml:space="preserve">Mixed more because was woried that 400ml was not going to be enough. turns out it would have been barly used. </t>
  </si>
  <si>
    <t xml:space="preserve">100% wasted </t>
  </si>
  <si>
    <t>any extra was rolled over to 2/22/23</t>
  </si>
  <si>
    <t>Nick and Saba Strategies</t>
  </si>
  <si>
    <t>48ml to Nick and 207ml to Saba Strategies</t>
  </si>
  <si>
    <t>carried over one syringe to 3/23/23 and used it then</t>
  </si>
  <si>
    <t>also got 260ml transfered from Courthney T to us that we used this day in addaition tow aht we mixed up.</t>
  </si>
  <si>
    <t>Logan Williams &amp; Sonora</t>
  </si>
  <si>
    <t>Need to add what Kayla has in fridge because 135mL to LW + 90mL to SSM + 505mL waste does not = 1000g (I think the conversion is close to 1g=1mL); I'm guessin 775 total waste mL</t>
  </si>
  <si>
    <t>all used up by half way through second dive. should have made more</t>
  </si>
  <si>
    <t>made for use on 4/12/23, not all used then so will roll over to use on 04/13/2023</t>
  </si>
  <si>
    <t>7 syringes remained and were rolled over into 4/19 and used before any mixed on 4/18 for 4/19.</t>
  </si>
  <si>
    <t>mixed in evening after fieldwork- for 5.10</t>
  </si>
  <si>
    <t>Dan Mele/UVI Restoration Tables</t>
  </si>
  <si>
    <t>from 5.9 mix</t>
  </si>
  <si>
    <t>Dan Mele/UVI Restoration for Hull Bay</t>
  </si>
  <si>
    <t>mixed for 5.23</t>
  </si>
  <si>
    <t>from 5.16 mix</t>
  </si>
  <si>
    <t>From 5.18 mix</t>
  </si>
  <si>
    <t>Mix for MarP 6/13,14,15 gooped out and had to make more for 6/15</t>
  </si>
  <si>
    <t xml:space="preserve"> from 6.15 mix</t>
  </si>
  <si>
    <t xml:space="preserve">mixed for today </t>
  </si>
  <si>
    <t>Mixed in evening- for 6.28.23</t>
  </si>
  <si>
    <t>from 6.27 and 7.4 mix's</t>
  </si>
  <si>
    <t>gooped out at JRD 7.13</t>
  </si>
  <si>
    <t xml:space="preserve">Mixed in PM For MarP 7.26, 7.27. </t>
  </si>
  <si>
    <t>from 7.24 mix, waste includes 150 estimated lost to ocean</t>
  </si>
  <si>
    <t>from 8.1 mix</t>
  </si>
  <si>
    <t xml:space="preserve">used on BB STT DCYL, started with roughly 30ml of treatment </t>
  </si>
  <si>
    <r>
      <rPr>
        <sz val="11"/>
        <color rgb="FF000000"/>
        <rFont val="Calibri"/>
        <family val="2"/>
        <scheme val="minor"/>
      </rPr>
      <t xml:space="preserve">mixed in PM  for 8/22-3-4 </t>
    </r>
    <r>
      <rPr>
        <b/>
        <sz val="11"/>
        <color rgb="FF000000"/>
        <rFont val="Calibri"/>
        <family val="2"/>
        <scheme val="minor"/>
      </rPr>
      <t>(450g=440ml= it is nearly a one to one,  )</t>
    </r>
    <r>
      <rPr>
        <sz val="11"/>
        <color rgb="FF000000"/>
        <rFont val="Calibri"/>
        <family val="2"/>
        <scheme val="minor"/>
      </rPr>
      <t>, gooped out on JRM dive 2 on 8/24/23</t>
    </r>
  </si>
  <si>
    <t>Avery Coble</t>
  </si>
  <si>
    <t>Mixed for her Thesis 1:8 ratio</t>
  </si>
  <si>
    <t xml:space="preserve">For Averys Thesis=No Amox </t>
  </si>
  <si>
    <t xml:space="preserve">Mix for 8.29 at EB and rolll over to Mar P on 8.30 if dont goop out </t>
  </si>
  <si>
    <t>the 302 was grams and the rest were ml from syringes.</t>
  </si>
  <si>
    <t>leftover treatment from 09/05/2023</t>
  </si>
  <si>
    <t xml:space="preserve">mix for today and turs if dont goop out today = gopped out half way through second dive. </t>
  </si>
  <si>
    <t>almost gooped out. chronic lesions only</t>
  </si>
  <si>
    <t>AM mix for today= have 34+52+44+53 remaining after BB fieldwork</t>
  </si>
  <si>
    <t>PM = mixed for 9/21 at 4:30 pm on 9.20.23</t>
  </si>
  <si>
    <t xml:space="preserve">they did not need much Thurs at the sites visited </t>
  </si>
  <si>
    <t xml:space="preserve">there was not much disease at all at MDP and then we did not go out for the following 2 days because of poor weather= lots of treatment wasted. </t>
  </si>
  <si>
    <t xml:space="preserve">Mixed for today at JRM and Hawksnest/Lind Point 450g=459ml . </t>
  </si>
  <si>
    <t xml:space="preserve"> =459-TreatmentUsed</t>
  </si>
  <si>
    <t xml:space="preserve">See Moriah's comment above. </t>
  </si>
  <si>
    <t>???</t>
  </si>
  <si>
    <t>mixed at 2pm for fieldwork on 11/09/23</t>
  </si>
  <si>
    <t>Reason for Tag</t>
  </si>
  <si>
    <t>Subsite</t>
  </si>
  <si>
    <t xml:space="preserve">Link to photo to get WP from </t>
  </si>
  <si>
    <t>Yellow</t>
  </si>
  <si>
    <t>N18° 21.483' W64° 45.108'</t>
  </si>
  <si>
    <t>Fate-Tracking</t>
  </si>
  <si>
    <t>America Pt. inshore from 3883</t>
  </si>
  <si>
    <t>N18° 21.478' W64° 46.612'</t>
  </si>
  <si>
    <t>First photos have some treatment on coral. Treatment was washed away from live tissue edge with bursts of water</t>
  </si>
  <si>
    <t>JRM</t>
  </si>
  <si>
    <t>N18° 20.506' W64° 41.350'</t>
  </si>
  <si>
    <t>EBS</t>
  </si>
  <si>
    <t>N18° 21.721' W64° 46.328'</t>
  </si>
  <si>
    <t>near by tagged DCYL (3884)-coordinates copied from 3884</t>
  </si>
  <si>
    <t>JRS</t>
  </si>
  <si>
    <t>N18° 20.508' W64° 41.379'</t>
  </si>
  <si>
    <t>SGJ?</t>
  </si>
  <si>
    <t>Shallows on boulder</t>
  </si>
  <si>
    <t>Behind 908</t>
  </si>
  <si>
    <t>At reef edge</t>
  </si>
  <si>
    <t>N18° 20.509' W64° 41.354'</t>
  </si>
  <si>
    <t>At reef edge, moe took waypoint #36 on 7.6.22</t>
  </si>
  <si>
    <t xml:space="preserve">Yellow </t>
  </si>
  <si>
    <t>N18° 20.441' W64° 41.190'</t>
  </si>
  <si>
    <t>EBD</t>
  </si>
  <si>
    <t>N18° 21.004' W64° 41.959'</t>
  </si>
  <si>
    <t xml:space="preserve">Tag is a foot east of DLAB coral, pointing to it. has needed retreatments before. Started with 70% left. </t>
  </si>
  <si>
    <t>N18° 21.071' W64° 41.862'</t>
  </si>
  <si>
    <t>100% DEAD 7.26.23. SW of 940</t>
  </si>
  <si>
    <t>N18° 21.084' W64° 41.889'</t>
  </si>
  <si>
    <t xml:space="preserve">east of pt, 13ft. </t>
  </si>
  <si>
    <t>N18° 21.004' W64° 41.942'</t>
  </si>
  <si>
    <t>Ridge Crest / top slightly to rt. of Mar P. Polyp to left of lesion treated 4.5.23, retreated, 5.9 and lesions had coalesced and expanded</t>
  </si>
  <si>
    <t>N18° 20.945' W64° 41.942'</t>
  </si>
  <si>
    <t xml:space="preserve">lower 40% remains, tag in center. was slow moving, very little fresh skeleton exposed. </t>
  </si>
  <si>
    <t>N18° 20.998' W64° 41.933'</t>
  </si>
  <si>
    <t>Almost touching 977 DLAB</t>
  </si>
  <si>
    <t>N18° 20.997' W64° 41.931'</t>
  </si>
  <si>
    <t>Aprox 10 Ft from 917 on peninsula</t>
  </si>
  <si>
    <t>N18° 21.089' W64° 41.893'</t>
  </si>
  <si>
    <t>13ft SW of 912, close to big MCAV</t>
  </si>
  <si>
    <t>N18° 21.019' W64° 41.908'</t>
  </si>
  <si>
    <t>N18° 21.020' W64° 41.901'</t>
  </si>
  <si>
    <t>N18° 21.020' W64° 41.906'</t>
  </si>
  <si>
    <t>N18° 21.003' W64° 41.971'</t>
  </si>
  <si>
    <t>tag on top, first treatment failed/not treated?, next to oann fallen over, near ridge top just after tag 1000. West if Mar P. RED/CYANO</t>
  </si>
  <si>
    <t>N18° 18.549' W64° 43.389'</t>
  </si>
  <si>
    <t xml:space="preserve"> TK BOWL</t>
  </si>
  <si>
    <t>N18° 21.068' W64° 41.856'</t>
  </si>
  <si>
    <t>N18° 21.007' W64° 41.959'</t>
  </si>
  <si>
    <t xml:space="preserve">green, up and to right of 910  aprox 15ft </t>
  </si>
  <si>
    <t>N18° 18.554' W64° 43.386'</t>
  </si>
  <si>
    <t>50'</t>
  </si>
  <si>
    <t>TK BOWL</t>
  </si>
  <si>
    <t>N18° 20.995' W64° 41.932'</t>
  </si>
  <si>
    <t>On Peninsula about 15ft from 917, slightly deeper on other side of OANN</t>
  </si>
  <si>
    <t>N18° 21.067' W64° 41.856'</t>
  </si>
  <si>
    <t>SE of 911</t>
  </si>
  <si>
    <t>N18° 21.011' W64° 41.929'</t>
  </si>
  <si>
    <t>Never treated after tagged on 3.22.23. Found 4.26 by Sam.</t>
  </si>
  <si>
    <t>N18° 21.459' W64° 45.113'</t>
  </si>
  <si>
    <t>Am Pt.; We do not currently have good track data for this coral, aprox due N of 901. tag on top of coral.</t>
  </si>
  <si>
    <t>N18° 21.497' W64° 46.656'</t>
  </si>
  <si>
    <t>N18° .' W64° .'</t>
  </si>
  <si>
    <t>Collected a piece for transfer to CWORI</t>
  </si>
  <si>
    <t>N18° 20.435' W64° 41.356'</t>
  </si>
  <si>
    <t>Next to 958 &amp; 947</t>
  </si>
  <si>
    <t>N18° 20.438' W64° 41.359'</t>
  </si>
  <si>
    <t>Next to 958 &amp; 946</t>
  </si>
  <si>
    <t>N18° 21.484' W64° 45.474'</t>
  </si>
  <si>
    <t>Outer Reef; Two live pillars @23 FT, @sand channel swim up a good ways, confirmed 100% mortality June 27, 2023</t>
  </si>
  <si>
    <t xml:space="preserve">Still missing as of 9/8/23 ; No track exists for tag day and it has not been found since. On patch reef with black gorgonian. in 10-15ft, before oann area on patch reef </t>
  </si>
  <si>
    <t>N18° 21.590' W64° 45.380'</t>
  </si>
  <si>
    <t xml:space="preserve"> to W of 956, a same mid-slope</t>
  </si>
  <si>
    <t>N18° 20.549' W64° 41.307'</t>
  </si>
  <si>
    <t>in shallows, waypoint #34 on 7.6.22</t>
  </si>
  <si>
    <t>N18° 20.443' W64° 41.360'</t>
  </si>
  <si>
    <t>Tagged in Deeps cluster by Sarah; E of 958</t>
  </si>
  <si>
    <t>N18° 20.438' W64° 41.355'</t>
  </si>
  <si>
    <t>4m NE of 960 at the E. edge of the sand channel</t>
  </si>
  <si>
    <t>N18° 20.448' W64° 41.339'</t>
  </si>
  <si>
    <t>Tagged in Deeps cluster by Sarah</t>
  </si>
  <si>
    <t>N18° 21.594' W64° 45.362'</t>
  </si>
  <si>
    <t>Outer Reef-on mid slope of reef = below 3535, sam took first pics, approx coords - flag and camera were separate</t>
  </si>
  <si>
    <t>CBO</t>
  </si>
  <si>
    <t>N18° 21.469' W64° 45.115'</t>
  </si>
  <si>
    <t>America Pt-On wall, large , in shallows, sam took first pics</t>
  </si>
  <si>
    <t>AmP</t>
  </si>
  <si>
    <t>N18° 20.435' W64° 41.359'</t>
  </si>
  <si>
    <t>N18° 20.443' W64° 41.363'</t>
  </si>
  <si>
    <t>W of 953 ~8ft</t>
  </si>
  <si>
    <t>N18° 20.443' W64° 41.349'</t>
  </si>
  <si>
    <t>Depth=~47ft; W of 954</t>
  </si>
  <si>
    <t>N18° 20.446' W64° 41.338'</t>
  </si>
  <si>
    <t xml:space="preserve">next to CNAT 955 </t>
  </si>
  <si>
    <t>N18° 20.446' W64° 41.335'</t>
  </si>
  <si>
    <t>next to CNAT 955</t>
  </si>
  <si>
    <t>N18° 20.955' W64° 41.929'</t>
  </si>
  <si>
    <t>20% left</t>
  </si>
  <si>
    <t>N18° 20.965' W64° 41.936'</t>
  </si>
  <si>
    <t>directly west of 4125</t>
  </si>
  <si>
    <t>Date/Time ERROR</t>
  </si>
  <si>
    <t>AFTER 4112 AND 4119, Date/Time are not accurate for tagged date, retrieve gps data from 7/15/22 @ 1:20pm</t>
  </si>
  <si>
    <t>N18° 21.471' W64° 46.701'</t>
  </si>
  <si>
    <t>N18° 21.504' W64° 46.725'</t>
  </si>
  <si>
    <t>N18° 21.560' W64° 45.421'</t>
  </si>
  <si>
    <t>Outer Reef; DIVE 1 @ reef crest, at end of dive, waypoint 41 on geary</t>
  </si>
  <si>
    <t>N18° 21.537' W64° 45.415'</t>
  </si>
  <si>
    <t>Outer Reef; at reef edge, curious if ever treated before. hope not. 11:40-48 Flag and camera were separate - can not be confident this is an exact point</t>
  </si>
  <si>
    <t>N18° 20.958' W64° 41.939'</t>
  </si>
  <si>
    <t>N18° 21.001' W64° 41.933'</t>
  </si>
  <si>
    <t xml:space="preserve">On slope right before peninsula, when coming from east, just eddges remain tag in center. </t>
  </si>
  <si>
    <t>Almost touching 917, on eastern side of peninsula</t>
  </si>
  <si>
    <t>N18° 21.005' W64° 41.936'</t>
  </si>
  <si>
    <t>40% gone</t>
  </si>
  <si>
    <t>N18° 21.006' W64° 41.940'</t>
  </si>
  <si>
    <t>Aprox. 20ft from 914</t>
  </si>
  <si>
    <t>N18° 20.938' W64° 41.961'</t>
  </si>
  <si>
    <t>N18° 21.004' W64° 41.972'</t>
  </si>
  <si>
    <t>after 925, ad ridge crest/top , tag on neighboring coral skeleton. Large EFAS next to it. RED/CYANO</t>
  </si>
  <si>
    <t>N18° 21.023' W64° 41.902'</t>
  </si>
  <si>
    <t>many boulders</t>
  </si>
  <si>
    <t>N18° 21.017' W64° 41.900'</t>
  </si>
  <si>
    <t>Cyano Red</t>
  </si>
  <si>
    <t>N18° 20.967' W64° 41.930'</t>
  </si>
  <si>
    <t>on peninsula out by where becomes patch?</t>
  </si>
  <si>
    <t>N18° 21.001' W64° 41.943'</t>
  </si>
  <si>
    <t>just past peninsula on lower edge of reef slope , one lesion at top</t>
  </si>
  <si>
    <t>Purple</t>
  </si>
  <si>
    <t>N18° 22.075' W64° 45.061'</t>
  </si>
  <si>
    <t>N18° 22.082' W64° 45.065'</t>
  </si>
  <si>
    <t>N18° 22.047' W64° 43.983'</t>
  </si>
  <si>
    <t>CWORI Rescue</t>
  </si>
  <si>
    <t>This is not a fate-tracked coral. It is a rescued Porities parent colony</t>
  </si>
  <si>
    <t>Early CWORI tag in EBS; flag was with other dive team</t>
  </si>
  <si>
    <t>N18° 21.595' W64° 45.362'</t>
  </si>
  <si>
    <t>at reef crst, Above tag # 956</t>
  </si>
  <si>
    <t>N18° 21.527' W64° 45.101'</t>
  </si>
  <si>
    <t xml:space="preserve">America Pt Outer.; Last GPS pt saved, GPS shut down early; Waypoint is Approximate, Has Lg red sponge growing from top and purple sponge on side, tag on side of coral . first photos are in AmP subfolder within Cinnamon Bay </t>
  </si>
  <si>
    <t>P5131520.jpg</t>
  </si>
  <si>
    <t>Non-treatment</t>
  </si>
  <si>
    <t>tag may be missing as of 06/27/2023 when Sam took T stick pics</t>
  </si>
  <si>
    <t>N18° 20.543' W64° 41.327'</t>
  </si>
  <si>
    <t>waypoint</t>
  </si>
  <si>
    <t>N18° 20.543' W64° 41.319'</t>
  </si>
  <si>
    <t>supershallow and big</t>
  </si>
  <si>
    <t>N18° 21.519' W64° 46.565'</t>
  </si>
  <si>
    <t>N18° 20.600' W64° 41.251'</t>
  </si>
  <si>
    <t>N18° 20.543' W64° 41.303'</t>
  </si>
  <si>
    <t>Waypoint</t>
  </si>
  <si>
    <t>N18° 20.535' W64° 41.321'</t>
  </si>
  <si>
    <t>Same as 4129?</t>
  </si>
  <si>
    <t>Same as 4128?</t>
  </si>
  <si>
    <t>N18° 19.016' W64° 43.542'</t>
  </si>
  <si>
    <t xml:space="preserve">Portion collected for CWORI, Moe thinks this coral may have never had SCTLD it had lots of snails....lots and lots and i think it was that </t>
  </si>
  <si>
    <t>YPW</t>
  </si>
  <si>
    <t>N18° 18.770' W64° 43.557'</t>
  </si>
  <si>
    <t>Amputation/Portion collected for CWORI, Added date based on treatmentused tab , KAB</t>
  </si>
  <si>
    <t>YPD</t>
  </si>
  <si>
    <t>3881/913</t>
  </si>
  <si>
    <t>N18° 21.429' W64° 45.127'</t>
  </si>
  <si>
    <r>
      <rPr>
        <sz val="11"/>
        <color rgb="FF000000"/>
        <rFont val="Calibri"/>
        <family val="2"/>
        <scheme val="minor"/>
      </rPr>
      <t>Previously 3881= purple, and now replaced with yellow tag 913.</t>
    </r>
    <r>
      <rPr>
        <sz val="11"/>
        <color rgb="FFFF0000"/>
        <rFont val="Calibri"/>
        <family val="2"/>
        <scheme val="minor"/>
      </rPr>
      <t xml:space="preserve"> Sep 2023=Nearly dead. about 2 cm squared left if that</t>
    </r>
  </si>
  <si>
    <t>3882/919</t>
  </si>
  <si>
    <t>N18° 21.430' W64° 45.126'</t>
  </si>
  <si>
    <t>Previously 3882</t>
  </si>
  <si>
    <t>18°21'31.1"N 64°46'33.9"W</t>
  </si>
  <si>
    <t>No 1st treatment measurement; 1/10/23 - 4119a has detached from 4110b and is laying in the sand responded by wedging near original location. Confirmed missing from wedged location 5/18/23</t>
  </si>
  <si>
    <t xml:space="preserve">No 1st treatment measurement, 1/10/23 - most of 4119b's old mortality is covered by sponge that now appears to be competing with the coral </t>
  </si>
  <si>
    <t>927/961</t>
  </si>
  <si>
    <t>N18° 18.550' W64° 43.389'</t>
  </si>
  <si>
    <t>50'; Previously 927</t>
  </si>
  <si>
    <t>951cn</t>
  </si>
  <si>
    <t>N18° 21.591' W64° 45.387'</t>
  </si>
  <si>
    <t>951ov</t>
  </si>
  <si>
    <t>Next to 951 CNAT &amp; captured within CNAT photos, expect to become diseased, still hasn't as of 6/27/23</t>
  </si>
  <si>
    <t>Green</t>
  </si>
  <si>
    <t>Very tall</t>
  </si>
  <si>
    <t>br proper</t>
  </si>
  <si>
    <t xml:space="preserve">UVI AND CWORI HAVE PARTS OF THIS CORAL </t>
  </si>
  <si>
    <t xml:space="preserve">Haulover South AB site </t>
  </si>
  <si>
    <t>Bleaching</t>
  </si>
  <si>
    <t>8+ Wk (56 days) Success?</t>
  </si>
  <si>
    <t>Total Coral Area 1 (cm2)</t>
  </si>
  <si>
    <t>Total Coral Area 2 (cm2)</t>
  </si>
  <si>
    <t>Total Coral Area 3 (cm2)</t>
  </si>
  <si>
    <t>Total Coral Area 4 (cm2)</t>
  </si>
  <si>
    <t>Total Coral Area Sum (cm2)</t>
  </si>
  <si>
    <t>Live Tissue 1 (cm2)</t>
  </si>
  <si>
    <t>Live Tissue 2 (cm2)</t>
  </si>
  <si>
    <t>Live Tissue 3 (cm2)</t>
  </si>
  <si>
    <t>Live Tissue 4 (cm2)</t>
  </si>
  <si>
    <t>Live Tissue Sum (cm2)</t>
  </si>
  <si>
    <t>New SCTLD Mortality 1 (cm2)</t>
  </si>
  <si>
    <t>New SCTLD Mortality 2 (cm2)</t>
  </si>
  <si>
    <t>New SCTLD Mortality 3 (cm2)</t>
  </si>
  <si>
    <t>New SCTLD Mortality 4 (cm2)</t>
  </si>
  <si>
    <t>New SCTLD Mortality Sum (cm2)</t>
  </si>
  <si>
    <t>Halted Lesions (count)</t>
  </si>
  <si>
    <t>Greatest Lesion Expansion (cm)</t>
  </si>
  <si>
    <t>Rate of Change in Live Tissue (cm2/day)</t>
  </si>
  <si>
    <t>Lesion Progression (-/+ cm2)</t>
  </si>
  <si>
    <t>Rate of Lesion Progression (cm2/day)</t>
  </si>
  <si>
    <t>% New SCTLD Mort of Total</t>
  </si>
  <si>
    <t>Trying %/days for rate</t>
  </si>
  <si>
    <t>na</t>
  </si>
  <si>
    <t xml:space="preserve">photos do not match angles </t>
  </si>
  <si>
    <t>No</t>
  </si>
  <si>
    <t xml:space="preserve">For initial photo angle 1, 1.38 cm^2 is attributed to old mort </t>
  </si>
  <si>
    <t>Treated, but missing syringe photo</t>
  </si>
  <si>
    <t>NO T STICK PICS</t>
  </si>
  <si>
    <t>DEAD</t>
  </si>
  <si>
    <t>Tagged but not treated</t>
  </si>
  <si>
    <t xml:space="preserve">Angles are way off for this date can't use </t>
  </si>
  <si>
    <t>Not treated when tagged</t>
  </si>
  <si>
    <t>This coral was treated before it was tagged the pics can be found in CB 2.11.22 MS Treatment pics. it is the second coral treated=after the mcav. We were not yet tracking treatment used for all corals at this time.</t>
  </si>
  <si>
    <t>This coral was treated before it was tagged= CB,5.13.22, Dive 1, KAB files. First coral treated starting with pic P5130047-52</t>
  </si>
  <si>
    <t>This will be the last visit as this coral has reached 100% mortality</t>
  </si>
  <si>
    <t>Photos Missing</t>
  </si>
  <si>
    <t>For initial photo 76.22 cm^2 is attributed to old mot.</t>
  </si>
  <si>
    <t>Other Mort. Attributed to snail predation DO NOT USE. RULER WAS UPSIDE DOWN UNABLE TO GET ACCURATE SCALE</t>
  </si>
  <si>
    <t>We were not yet recording treatment for all corals. This treatment was before this coral was tagged</t>
  </si>
  <si>
    <t>visited but not treated. Before Tag</t>
  </si>
  <si>
    <t>Before Tag</t>
  </si>
  <si>
    <t>Before tag. sam retreated</t>
  </si>
  <si>
    <t>?</t>
  </si>
  <si>
    <t>Not Bleached</t>
  </si>
  <si>
    <t xml:space="preserve">one lesion split into two </t>
  </si>
  <si>
    <t>3882 (919)</t>
  </si>
  <si>
    <t>these photos can be found in the America Point subfolder= within Cinnamon Bay file</t>
  </si>
  <si>
    <t>Had to return the next day to finish retreatment, may need to add these values together</t>
  </si>
  <si>
    <t xml:space="preserve">angle for area 2 for this date is a bit off </t>
  </si>
  <si>
    <t>angle 4 for is really messed up may want to consider not using this date</t>
  </si>
  <si>
    <t xml:space="preserve">Colony cut off in all measurment photos </t>
  </si>
  <si>
    <t xml:space="preserve">No measuring tools used and not 4 angles taken </t>
  </si>
  <si>
    <t>Originally tagged as a rescue</t>
  </si>
  <si>
    <t>4119a was found detached from 4119b and laying in the sand; KB wedged near original position</t>
  </si>
  <si>
    <t>4119a can be seen bleached near original position</t>
  </si>
  <si>
    <t>Photos do not seem low enough to capture 4119a, but it may also be missing; confirmed missing from wedged location on 5/18/23</t>
  </si>
  <si>
    <t>Issue</t>
  </si>
  <si>
    <t>Date of Visit</t>
  </si>
  <si>
    <t>Resolved?</t>
  </si>
  <si>
    <t>No photos</t>
  </si>
  <si>
    <t>No measurement reference</t>
  </si>
  <si>
    <t>No treatment volume recorded</t>
  </si>
  <si>
    <t>SG treated multiple PSTRs-need to identify which is 957 &amp; record treatment</t>
  </si>
  <si>
    <t>Treatment not recorded in TreatmentUsed</t>
  </si>
  <si>
    <t>YES 09.28.23</t>
  </si>
  <si>
    <t>SGJ ADDED HIS PICS AND MOE ADDED 3 OTHER PICS FROM SARAH AND KAYLA THAT HAD ANGLES THAT MATCHED WITH THE TWO FOLLOWING MONTHS THE BEST</t>
  </si>
  <si>
    <t>yes? 09.29.23</t>
  </si>
  <si>
    <t xml:space="preserve">they bare there but i am not sure if they are full resolution=says moe </t>
  </si>
  <si>
    <t>Moe put a copy oof the not full resolution pics from SVH file into the fate tracking pics file.</t>
  </si>
  <si>
    <t>Yes</t>
  </si>
  <si>
    <t>moe went and found the origian pics on sams cam and uploaded them 10.17.23</t>
  </si>
  <si>
    <t>4119A&amp;B</t>
  </si>
  <si>
    <t>No Rows</t>
  </si>
  <si>
    <t>All dates</t>
  </si>
  <si>
    <t>was 927 then became 961 at tektite=no rows of data in FateTacking at all= moe note</t>
  </si>
  <si>
    <t>Coral Species</t>
  </si>
  <si>
    <t>Total Colonies Treated</t>
  </si>
  <si>
    <t>Total Colonies with 8+ Weeks Post Treatment Sucess</t>
  </si>
  <si>
    <t>Colonies Died</t>
  </si>
  <si>
    <t>Agaricia spp.</t>
  </si>
  <si>
    <t>C. natans</t>
  </si>
  <si>
    <t>D. cylindrus</t>
  </si>
  <si>
    <t>D. labyrintheformis</t>
  </si>
  <si>
    <t>M. cavernosa</t>
  </si>
  <si>
    <t>Mycetophillia spp.</t>
  </si>
  <si>
    <t>O. annularis</t>
  </si>
  <si>
    <t>O. faveolata</t>
  </si>
  <si>
    <t>O. franksii</t>
  </si>
  <si>
    <t>Totals through 7/31/23</t>
  </si>
  <si>
    <t>P. clivosa</t>
  </si>
  <si>
    <t>SSID 908:</t>
  </si>
  <si>
    <t>Recovered 2x, keeps showing signs of disease, treated 5x over 13 months</t>
  </si>
  <si>
    <t>P. strigosa</t>
  </si>
  <si>
    <t>DCYL 948:</t>
  </si>
  <si>
    <t>Recovered, disease re-emerged, &amp; colony died</t>
  </si>
  <si>
    <t>S. siderea</t>
  </si>
  <si>
    <t>DCYL 4190:</t>
  </si>
  <si>
    <t>Excluded due to additional amputation treatment</t>
  </si>
  <si>
    <t>16 colonies showed later signs of disease after recovery, 8 recovered after additional treatment, 1 experienced disease again. Many tagged individuals may not have been tracked long enough to glean any trends in SCTLD re-emergence following treatment</t>
  </si>
  <si>
    <t>Any colonies that were not tracked for at least 8 weeks post treatment were excluded</t>
  </si>
  <si>
    <t>Totals Through 7/31/2023</t>
  </si>
  <si>
    <t>Time Period</t>
  </si>
  <si>
    <t>Culled</t>
  </si>
  <si>
    <t>Amox</t>
  </si>
  <si>
    <t>All Treatments</t>
  </si>
  <si>
    <t>Data entry for August and September 2023 is not complete and QAQC for July is not yet complete. So final total numbers will be greater</t>
  </si>
  <si>
    <t>All Time</t>
  </si>
  <si>
    <t>Processed</t>
  </si>
  <si>
    <t>Actual_Date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</si>
</sst>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 AM/PM;@"/>
    <numFmt numFmtId="165" formatCode="0.0"/>
  </numFmts>
  <fonts count="29" x14ac:knownFonts="1">
    <font>
      <sz val="11"/>
      <color theme="1"/>
      <name val="Calibri"/>
      <family val="2"/>
      <scheme val="minor"/>
    </font>
    <font>
      <sz val="11"/>
      <color theme="1"/>
      <name val="Calibri"/>
      <family val="2"/>
    </font>
    <font>
      <sz val="11"/>
      <color rgb="FF444444"/>
      <name val="Calibri"/>
      <family val="2"/>
      <charset val="1"/>
    </font>
    <font>
      <b/>
      <sz val="11"/>
      <color theme="1"/>
      <name val="Calibri"/>
      <family val="2"/>
      <scheme val="minor"/>
    </font>
    <font>
      <sz val="11"/>
      <color rgb="FF000000"/>
      <name val="Calibri"/>
      <family val="2"/>
    </font>
    <font>
      <sz val="11"/>
      <color rgb="FF000000"/>
      <name val="Calibri"/>
      <family val="2"/>
      <scheme val="minor"/>
    </font>
    <font>
      <b/>
      <sz val="11"/>
      <color theme="1"/>
      <name val="Calibri"/>
      <family val="2"/>
    </font>
    <font>
      <sz val="12"/>
      <color rgb="FF222222"/>
      <name val="Calibri"/>
      <family val="2"/>
    </font>
    <font>
      <b/>
      <strike/>
      <sz val="11"/>
      <color theme="1"/>
      <name val="Calibri"/>
      <family val="2"/>
      <scheme val="minor"/>
    </font>
    <font>
      <strike/>
      <sz val="11"/>
      <color theme="1"/>
      <name val="Calibri"/>
      <family val="2"/>
      <scheme val="minor"/>
    </font>
    <font>
      <sz val="8"/>
      <name val="Calibri"/>
      <family val="2"/>
      <scheme val="minor"/>
    </font>
    <font>
      <sz val="11"/>
      <color rgb="FFFF0000"/>
      <name val="Calibri"/>
      <family val="2"/>
      <scheme val="minor"/>
    </font>
    <font>
      <b/>
      <sz val="11"/>
      <color rgb="FF000000"/>
      <name val="Calibri"/>
      <family val="2"/>
      <scheme val="minor"/>
    </font>
    <font>
      <sz val="14"/>
      <color theme="1"/>
      <name val="Calibri"/>
      <family val="2"/>
      <scheme val="minor"/>
    </font>
    <font>
      <b/>
      <u/>
      <sz val="14"/>
      <color theme="1"/>
      <name val="Calibri"/>
      <family val="2"/>
      <scheme val="minor"/>
    </font>
    <font>
      <sz val="28"/>
      <color rgb="FF000000"/>
      <name val="Calibri"/>
      <family val="2"/>
    </font>
    <font>
      <sz val="28"/>
      <color theme="1"/>
      <name val="Calibri"/>
      <family val="2"/>
      <scheme val="minor"/>
    </font>
    <font>
      <b/>
      <sz val="11"/>
      <color rgb="FFFF0000"/>
      <name val="Calibri"/>
      <family val="2"/>
      <scheme val="minor"/>
    </font>
    <font>
      <sz val="11"/>
      <name val="Calibri"/>
      <family val="2"/>
      <scheme val="minor"/>
    </font>
    <font>
      <sz val="14"/>
      <color rgb="FFFF0000"/>
      <name val="Calibri"/>
      <family val="2"/>
      <scheme val="minor"/>
    </font>
    <font>
      <strike/>
      <sz val="11"/>
      <color rgb="FF444444"/>
      <name val="Calibri"/>
      <family val="2"/>
    </font>
    <font>
      <b/>
      <sz val="11"/>
      <color rgb="FF000000"/>
      <name val="Calibri"/>
      <family val="2"/>
    </font>
    <font>
      <b/>
      <u/>
      <sz val="11"/>
      <color rgb="FF444444"/>
      <name val="Calibri"/>
      <family val="2"/>
    </font>
    <font>
      <u/>
      <sz val="11"/>
      <color theme="10"/>
      <name val="Calibri"/>
      <family val="2"/>
      <scheme val="minor"/>
    </font>
    <font>
      <b/>
      <u/>
      <sz val="11"/>
      <color theme="1"/>
      <name val="Calibri"/>
      <family val="2"/>
      <scheme val="minor"/>
    </font>
    <font>
      <i/>
      <sz val="11"/>
      <color theme="1"/>
      <name val="Calibri"/>
      <family val="2"/>
      <scheme val="minor"/>
    </font>
    <font>
      <b/>
      <strike/>
      <sz val="11"/>
      <color rgb="FFFF0000"/>
      <name val="Calibri"/>
      <family val="2"/>
      <scheme val="minor"/>
    </font>
    <font>
      <strike/>
      <sz val="11"/>
      <color rgb="FF000000"/>
      <name val="Calibri"/>
      <family val="2"/>
      <scheme val="minor"/>
    </font>
    <font>
      <b/>
      <sz val="11"/>
      <name val="Calibri"/>
      <family val="2"/>
      <scheme val="minor"/>
    </font>
  </fonts>
  <fills count="35">
    <fill>
      <patternFill patternType="none"/>
    </fill>
    <fill>
      <patternFill patternType="gray125"/>
    </fill>
    <fill>
      <patternFill patternType="solid">
        <fgColor rgb="FFBDD6EE"/>
        <bgColor indexed="64"/>
      </patternFill>
    </fill>
    <fill>
      <patternFill patternType="solid">
        <fgColor rgb="FFFFD96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rgb="FFFF4F92"/>
        <bgColor indexed="64"/>
      </patternFill>
    </fill>
    <fill>
      <patternFill patternType="solid">
        <fgColor rgb="FF87BE62"/>
        <bgColor indexed="64"/>
      </patternFill>
    </fill>
    <fill>
      <patternFill patternType="solid">
        <fgColor rgb="FFFE8282"/>
        <bgColor indexed="64"/>
      </patternFill>
    </fill>
    <fill>
      <patternFill patternType="solid">
        <fgColor rgb="FFF2F2F2"/>
        <bgColor indexed="64"/>
      </patternFill>
    </fill>
    <fill>
      <patternFill patternType="solid">
        <fgColor rgb="FF000000"/>
        <bgColor indexed="64"/>
      </patternFill>
    </fill>
    <fill>
      <patternFill patternType="solid">
        <fgColor theme="5" tint="0.79998168889431442"/>
        <bgColor indexed="64"/>
      </patternFill>
    </fill>
    <fill>
      <patternFill patternType="solid">
        <fgColor rgb="FFFF0000"/>
        <bgColor indexed="64"/>
      </patternFill>
    </fill>
    <fill>
      <patternFill patternType="solid">
        <fgColor theme="2"/>
        <bgColor indexed="64"/>
      </patternFill>
    </fill>
    <fill>
      <patternFill patternType="solid">
        <fgColor rgb="FFFFC000"/>
        <bgColor indexed="64"/>
      </patternFill>
    </fill>
    <fill>
      <patternFill patternType="solid">
        <fgColor rgb="FFFFFFFF"/>
        <bgColor indexed="64"/>
      </patternFill>
    </fill>
    <fill>
      <patternFill patternType="solid">
        <fgColor rgb="FFE7E6E6"/>
        <bgColor indexed="64"/>
      </patternFill>
    </fill>
    <fill>
      <patternFill patternType="solid">
        <fgColor theme="7" tint="0.79998168889431442"/>
        <bgColor indexed="64"/>
      </patternFill>
    </fill>
    <fill>
      <patternFill patternType="solid">
        <fgColor rgb="FF00B0F0"/>
        <bgColor indexed="64"/>
      </patternFill>
    </fill>
    <fill>
      <patternFill patternType="solid">
        <fgColor rgb="FFE2EFDA"/>
        <bgColor indexed="64"/>
      </patternFill>
    </fill>
    <fill>
      <patternFill patternType="solid">
        <fgColor theme="9" tint="0.79998168889431442"/>
        <bgColor indexed="64"/>
      </patternFill>
    </fill>
    <fill>
      <patternFill patternType="solid">
        <fgColor rgb="FFFFCCFF"/>
        <bgColor indexed="64"/>
      </patternFill>
    </fill>
    <fill>
      <patternFill patternType="solid">
        <fgColor theme="5"/>
        <bgColor indexed="64"/>
      </patternFill>
    </fill>
    <fill>
      <patternFill patternType="solid">
        <fgColor theme="0"/>
        <bgColor indexed="64"/>
      </patternFill>
    </fill>
    <fill>
      <patternFill patternType="solid">
        <fgColor rgb="FFFF0066"/>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FF794F"/>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7030A0"/>
        <bgColor indexed="64"/>
      </patternFill>
    </fill>
    <fill>
      <patternFill patternType="solid">
        <fgColor theme="5" tint="-0.249977111117893"/>
        <bgColor indexed="64"/>
      </patternFill>
    </fill>
  </fills>
  <borders count="36">
    <border>
      <left/>
      <right/>
      <top/>
      <bottom/>
      <diagonal/>
    </border>
    <border>
      <left style="thin">
        <color rgb="FFCCCCCC"/>
      </left>
      <right style="thick">
        <color rgb="FFCCCCCC"/>
      </right>
      <top style="thin">
        <color rgb="FF000000"/>
      </top>
      <bottom style="thin">
        <color rgb="FF000000"/>
      </bottom>
      <diagonal/>
    </border>
    <border>
      <left style="thin">
        <color rgb="FFCCCCCC"/>
      </left>
      <right style="thin">
        <color rgb="FFCCCCCC"/>
      </right>
      <top style="thin">
        <color rgb="FF000000"/>
      </top>
      <bottom style="thin">
        <color rgb="FF000000"/>
      </bottom>
      <diagonal/>
    </border>
    <border>
      <left style="thin">
        <color rgb="FFCCCCCC"/>
      </left>
      <right/>
      <top style="thin">
        <color rgb="FF000000"/>
      </top>
      <bottom style="thin">
        <color rgb="FF000000"/>
      </bottom>
      <diagonal/>
    </border>
    <border>
      <left/>
      <right/>
      <top/>
      <bottom style="thin">
        <color indexed="64"/>
      </bottom>
      <diagonal/>
    </border>
    <border>
      <left style="thin">
        <color rgb="FFCCCCCC"/>
      </left>
      <right style="thick">
        <color rgb="FFCCCCCC"/>
      </right>
      <top style="thin">
        <color rgb="FF000000"/>
      </top>
      <bottom style="thin">
        <color indexed="64"/>
      </bottom>
      <diagonal/>
    </border>
    <border>
      <left/>
      <right style="thick">
        <color rgb="FFCCCCCC"/>
      </right>
      <top style="thin">
        <color rgb="FF000000"/>
      </top>
      <bottom style="thin">
        <color rgb="FF000000"/>
      </bottom>
      <diagonal/>
    </border>
    <border>
      <left/>
      <right/>
      <top/>
      <bottom style="thin">
        <color rgb="FF000000"/>
      </bottom>
      <diagonal/>
    </border>
    <border>
      <left style="double">
        <color rgb="FF00B050"/>
      </left>
      <right/>
      <top style="double">
        <color rgb="FF00B050"/>
      </top>
      <bottom/>
      <diagonal/>
    </border>
    <border>
      <left/>
      <right/>
      <top style="double">
        <color rgb="FF00B050"/>
      </top>
      <bottom/>
      <diagonal/>
    </border>
    <border>
      <left/>
      <right style="double">
        <color rgb="FF00B050"/>
      </right>
      <top style="double">
        <color rgb="FF00B050"/>
      </top>
      <bottom/>
      <diagonal/>
    </border>
    <border>
      <left style="double">
        <color rgb="FF00B050"/>
      </left>
      <right/>
      <top/>
      <bottom/>
      <diagonal/>
    </border>
    <border>
      <left/>
      <right style="double">
        <color rgb="FF00B050"/>
      </right>
      <top/>
      <bottom/>
      <diagonal/>
    </border>
    <border>
      <left style="double">
        <color rgb="FF00B050"/>
      </left>
      <right/>
      <top/>
      <bottom style="double">
        <color rgb="FF00B050"/>
      </bottom>
      <diagonal/>
    </border>
    <border>
      <left/>
      <right/>
      <top/>
      <bottom style="double">
        <color rgb="FF00B050"/>
      </bottom>
      <diagonal/>
    </border>
    <border>
      <left/>
      <right style="double">
        <color rgb="FF00B050"/>
      </right>
      <top/>
      <bottom style="double">
        <color rgb="FF00B050"/>
      </bottom>
      <diagonal/>
    </border>
    <border>
      <left/>
      <right/>
      <top style="thin">
        <color rgb="FF000000"/>
      </top>
      <bottom/>
      <diagonal/>
    </border>
    <border>
      <left/>
      <right/>
      <top style="thin">
        <color indexed="64"/>
      </top>
      <bottom/>
      <diagonal/>
    </border>
    <border>
      <left/>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indexed="64"/>
      </top>
      <bottom style="thin">
        <color indexed="64"/>
      </bottom>
      <diagonal/>
    </border>
  </borders>
  <cellStyleXfs count="2">
    <xf numFmtId="0" fontId="0" fillId="0" borderId="0"/>
    <xf numFmtId="0" fontId="23" fillId="0" borderId="0" applyNumberFormat="0" applyFill="0" applyBorder="0" applyAlignment="0" applyProtection="0"/>
  </cellStyleXfs>
  <cellXfs count="333">
    <xf numFmtId="0" fontId="0" fillId="0" borderId="0" xfId="0"/>
    <xf numFmtId="0" fontId="2" fillId="0" borderId="0" xfId="0" applyFont="1"/>
    <xf numFmtId="0" fontId="3" fillId="0" borderId="0" xfId="0" applyFont="1"/>
    <xf numFmtId="14" fontId="0" fillId="0" borderId="0" xfId="0" applyNumberFormat="1"/>
    <xf numFmtId="0" fontId="5" fillId="0" borderId="0" xfId="0" applyFont="1"/>
    <xf numFmtId="0" fontId="3" fillId="0" borderId="4" xfId="0" applyFont="1" applyBorder="1" applyAlignment="1">
      <alignment wrapText="1"/>
    </xf>
    <xf numFmtId="0" fontId="6" fillId="0" borderId="5" xfId="0" applyFont="1" applyBorder="1" applyAlignment="1">
      <alignment vertical="center" wrapText="1" readingOrder="1"/>
    </xf>
    <xf numFmtId="0" fontId="6" fillId="0" borderId="4" xfId="0" applyFont="1" applyBorder="1" applyAlignment="1">
      <alignment vertical="center" wrapText="1" readingOrder="1"/>
    </xf>
    <xf numFmtId="0" fontId="8" fillId="0" borderId="0" xfId="0" applyFont="1"/>
    <xf numFmtId="0" fontId="9" fillId="0" borderId="0" xfId="0" applyFont="1"/>
    <xf numFmtId="0" fontId="0" fillId="4" borderId="0" xfId="0" applyFill="1"/>
    <xf numFmtId="0" fontId="3" fillId="0" borderId="0" xfId="0" applyFont="1" applyAlignment="1">
      <alignment wrapText="1"/>
    </xf>
    <xf numFmtId="14" fontId="3" fillId="0" borderId="0" xfId="0" applyNumberFormat="1" applyFont="1" applyAlignment="1">
      <alignment wrapText="1"/>
    </xf>
    <xf numFmtId="0" fontId="3" fillId="5" borderId="0" xfId="0" applyFont="1" applyFill="1" applyAlignment="1">
      <alignment wrapText="1"/>
    </xf>
    <xf numFmtId="0" fontId="3" fillId="6" borderId="0" xfId="0" applyFont="1" applyFill="1" applyAlignment="1">
      <alignment wrapText="1"/>
    </xf>
    <xf numFmtId="0" fontId="11" fillId="0" borderId="0" xfId="0" applyFont="1"/>
    <xf numFmtId="14" fontId="5" fillId="0" borderId="0" xfId="0" applyNumberFormat="1" applyFont="1"/>
    <xf numFmtId="0" fontId="0" fillId="7" borderId="0" xfId="0" applyFill="1"/>
    <xf numFmtId="14" fontId="3" fillId="0" borderId="0" xfId="0" applyNumberFormat="1" applyFont="1"/>
    <xf numFmtId="0" fontId="13" fillId="0" borderId="0" xfId="0" applyFont="1"/>
    <xf numFmtId="0" fontId="14" fillId="0" borderId="0" xfId="0" applyFont="1"/>
    <xf numFmtId="164" fontId="5" fillId="0" borderId="0" xfId="0" applyNumberFormat="1" applyFont="1"/>
    <xf numFmtId="1" fontId="0" fillId="0" borderId="0" xfId="0" applyNumberFormat="1"/>
    <xf numFmtId="0" fontId="0" fillId="8" borderId="0" xfId="0" applyFill="1"/>
    <xf numFmtId="14" fontId="0" fillId="8" borderId="0" xfId="0" applyNumberFormat="1" applyFill="1"/>
    <xf numFmtId="0" fontId="11" fillId="8" borderId="0" xfId="0" applyFont="1" applyFill="1"/>
    <xf numFmtId="0" fontId="5" fillId="8" borderId="0" xfId="0" applyFont="1" applyFill="1"/>
    <xf numFmtId="14" fontId="5" fillId="8" borderId="0" xfId="0" applyNumberFormat="1" applyFont="1" applyFill="1"/>
    <xf numFmtId="0" fontId="0" fillId="0" borderId="0" xfId="0" applyAlignment="1">
      <alignment wrapText="1"/>
    </xf>
    <xf numFmtId="0" fontId="18"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0" fontId="6" fillId="2" borderId="0" xfId="0" applyFont="1" applyFill="1" applyAlignment="1">
      <alignment vertical="center" wrapText="1" readingOrder="1"/>
    </xf>
    <xf numFmtId="0" fontId="1" fillId="2" borderId="0" xfId="0" applyFont="1" applyFill="1" applyAlignment="1">
      <alignment vertical="center" readingOrder="1"/>
    </xf>
    <xf numFmtId="0" fontId="6" fillId="10" borderId="0" xfId="0" applyFont="1" applyFill="1" applyAlignment="1">
      <alignment vertical="center" readingOrder="1"/>
    </xf>
    <xf numFmtId="0" fontId="1" fillId="10" borderId="0" xfId="0" applyFont="1" applyFill="1" applyAlignment="1">
      <alignment vertical="center" readingOrder="1"/>
    </xf>
    <xf numFmtId="0" fontId="6" fillId="3" borderId="0" xfId="0" applyFont="1" applyFill="1" applyAlignment="1">
      <alignment vertical="center" readingOrder="1"/>
    </xf>
    <xf numFmtId="0" fontId="1" fillId="3" borderId="0" xfId="0" applyFont="1" applyFill="1" applyAlignment="1">
      <alignment vertical="center" readingOrder="1"/>
    </xf>
    <xf numFmtId="0" fontId="0" fillId="6" borderId="0" xfId="0" applyFill="1"/>
    <xf numFmtId="0" fontId="0" fillId="5" borderId="0" xfId="0" applyFill="1"/>
    <xf numFmtId="1" fontId="3" fillId="0" borderId="0" xfId="0" applyNumberFormat="1" applyFont="1" applyAlignment="1">
      <alignment wrapText="1"/>
    </xf>
    <xf numFmtId="0" fontId="0" fillId="11" borderId="0" xfId="0" applyFill="1"/>
    <xf numFmtId="0" fontId="0" fillId="12" borderId="0" xfId="0" applyFill="1"/>
    <xf numFmtId="14" fontId="0" fillId="12" borderId="0" xfId="0" applyNumberFormat="1" applyFill="1"/>
    <xf numFmtId="0" fontId="0" fillId="13" borderId="0" xfId="0" applyFill="1"/>
    <xf numFmtId="2" fontId="3" fillId="0" borderId="0" xfId="0" applyNumberFormat="1" applyFont="1" applyAlignment="1">
      <alignment wrapText="1"/>
    </xf>
    <xf numFmtId="2" fontId="0" fillId="0" borderId="0" xfId="0" applyNumberFormat="1"/>
    <xf numFmtId="0" fontId="0" fillId="15" borderId="0" xfId="0" applyFill="1"/>
    <xf numFmtId="0" fontId="18" fillId="0" borderId="0" xfId="0" applyFont="1"/>
    <xf numFmtId="14" fontId="18" fillId="0" borderId="0" xfId="0" applyNumberFormat="1" applyFont="1"/>
    <xf numFmtId="1" fontId="3" fillId="0" borderId="4" xfId="0" applyNumberFormat="1" applyFont="1" applyBorder="1" applyAlignment="1">
      <alignment wrapText="1"/>
    </xf>
    <xf numFmtId="1" fontId="0" fillId="8" borderId="0" xfId="0" applyNumberFormat="1" applyFill="1"/>
    <xf numFmtId="1" fontId="5" fillId="0" borderId="0" xfId="0" applyNumberFormat="1" applyFont="1"/>
    <xf numFmtId="1" fontId="5" fillId="8" borderId="0" xfId="0" applyNumberFormat="1" applyFont="1" applyFill="1"/>
    <xf numFmtId="1" fontId="0" fillId="12" borderId="0" xfId="0" applyNumberFormat="1" applyFill="1"/>
    <xf numFmtId="1" fontId="18" fillId="0" borderId="0" xfId="0" applyNumberFormat="1" applyFont="1"/>
    <xf numFmtId="1" fontId="0" fillId="4" borderId="0" xfId="0" applyNumberFormat="1" applyFill="1"/>
    <xf numFmtId="0" fontId="0" fillId="16" borderId="0" xfId="0" applyFill="1"/>
    <xf numFmtId="14" fontId="0" fillId="16" borderId="0" xfId="0" applyNumberFormat="1" applyFill="1"/>
    <xf numFmtId="1" fontId="0" fillId="16" borderId="0" xfId="0" applyNumberFormat="1" applyFill="1"/>
    <xf numFmtId="1" fontId="0" fillId="15" borderId="0" xfId="0" applyNumberFormat="1" applyFill="1"/>
    <xf numFmtId="0" fontId="0" fillId="17" borderId="0" xfId="0" applyFill="1"/>
    <xf numFmtId="0" fontId="0" fillId="18" borderId="0" xfId="0" applyFill="1"/>
    <xf numFmtId="0" fontId="0" fillId="18" borderId="7" xfId="0" applyFill="1" applyBorder="1"/>
    <xf numFmtId="0" fontId="0" fillId="19" borderId="0" xfId="0" applyFill="1"/>
    <xf numFmtId="0" fontId="4" fillId="0" borderId="0" xfId="0" applyFont="1"/>
    <xf numFmtId="0" fontId="4" fillId="12" borderId="0" xfId="0" applyFont="1" applyFill="1"/>
    <xf numFmtId="0" fontId="5" fillId="12" borderId="0" xfId="0" applyFont="1" applyFill="1"/>
    <xf numFmtId="1" fontId="0" fillId="6" borderId="0" xfId="0" applyNumberFormat="1" applyFill="1"/>
    <xf numFmtId="14" fontId="0" fillId="6" borderId="0" xfId="0" applyNumberFormat="1" applyFill="1"/>
    <xf numFmtId="1" fontId="0" fillId="20" borderId="0" xfId="0" applyNumberFormat="1" applyFill="1"/>
    <xf numFmtId="14" fontId="0" fillId="20" borderId="0" xfId="0" applyNumberFormat="1" applyFill="1"/>
    <xf numFmtId="1" fontId="0" fillId="0" borderId="0" xfId="0" applyNumberFormat="1" applyAlignment="1">
      <alignment horizontal="right"/>
    </xf>
    <xf numFmtId="0" fontId="20" fillId="0" borderId="0" xfId="0" applyFont="1"/>
    <xf numFmtId="0" fontId="0" fillId="0" borderId="0" xfId="0" applyProtection="1">
      <protection locked="0"/>
    </xf>
    <xf numFmtId="0" fontId="7" fillId="0" borderId="0" xfId="0" applyFont="1" applyProtection="1">
      <protection locked="0"/>
    </xf>
    <xf numFmtId="0" fontId="1" fillId="0" borderId="0" xfId="0" applyFont="1" applyProtection="1">
      <protection locked="0"/>
    </xf>
    <xf numFmtId="0" fontId="2" fillId="0" borderId="0" xfId="0" applyFont="1" applyProtection="1">
      <protection locked="0"/>
    </xf>
    <xf numFmtId="14" fontId="3" fillId="0" borderId="0" xfId="0" applyNumberFormat="1" applyFont="1" applyProtection="1">
      <protection locked="0"/>
    </xf>
    <xf numFmtId="0" fontId="5" fillId="0" borderId="0" xfId="0" applyFont="1" applyProtection="1">
      <protection locked="0"/>
    </xf>
    <xf numFmtId="14" fontId="0" fillId="0" borderId="0" xfId="0" applyNumberFormat="1" applyProtection="1">
      <protection locked="0"/>
    </xf>
    <xf numFmtId="0" fontId="3" fillId="14" borderId="0" xfId="0" applyFont="1" applyFill="1" applyProtection="1">
      <protection locked="0"/>
    </xf>
    <xf numFmtId="0" fontId="0" fillId="14" borderId="0" xfId="0" applyFill="1" applyProtection="1">
      <protection locked="0"/>
    </xf>
    <xf numFmtId="0" fontId="0" fillId="4" borderId="0" xfId="0" applyFill="1" applyProtection="1">
      <protection locked="0"/>
    </xf>
    <xf numFmtId="0" fontId="5" fillId="4" borderId="0" xfId="0" applyFont="1" applyFill="1" applyProtection="1">
      <protection locked="0"/>
    </xf>
    <xf numFmtId="0" fontId="0" fillId="15" borderId="0" xfId="0" applyFill="1" applyProtection="1">
      <protection locked="0"/>
    </xf>
    <xf numFmtId="3" fontId="0" fillId="0" borderId="0" xfId="0" applyNumberFormat="1" applyProtection="1">
      <protection locked="0"/>
    </xf>
    <xf numFmtId="1" fontId="0" fillId="0" borderId="0" xfId="0" applyNumberFormat="1" applyProtection="1">
      <protection locked="0"/>
    </xf>
    <xf numFmtId="0" fontId="0" fillId="0" borderId="0" xfId="0" applyAlignment="1">
      <alignment horizontal="right"/>
    </xf>
    <xf numFmtId="1" fontId="9" fillId="15" borderId="0" xfId="0" applyNumberFormat="1" applyFont="1" applyFill="1"/>
    <xf numFmtId="14" fontId="9" fillId="15" borderId="0" xfId="0" applyNumberFormat="1" applyFont="1" applyFill="1"/>
    <xf numFmtId="2" fontId="9" fillId="15" borderId="0" xfId="0" applyNumberFormat="1" applyFont="1" applyFill="1"/>
    <xf numFmtId="165" fontId="9" fillId="15" borderId="0" xfId="0" applyNumberFormat="1" applyFont="1" applyFill="1"/>
    <xf numFmtId="0" fontId="9" fillId="15" borderId="0" xfId="0" applyFont="1" applyFill="1"/>
    <xf numFmtId="0" fontId="3" fillId="0" borderId="0" xfId="0" applyFont="1" applyAlignment="1">
      <alignment vertical="center"/>
    </xf>
    <xf numFmtId="0" fontId="6" fillId="0" borderId="1" xfId="0" applyFont="1" applyBorder="1" applyAlignment="1">
      <alignment vertical="center" wrapText="1" readingOrder="1"/>
    </xf>
    <xf numFmtId="0" fontId="6" fillId="0" borderId="1" xfId="0" applyFont="1" applyBorder="1" applyAlignment="1" applyProtection="1">
      <alignment vertical="center" wrapText="1" readingOrder="1"/>
      <protection locked="0"/>
    </xf>
    <xf numFmtId="0" fontId="6" fillId="0" borderId="3" xfId="0" applyFont="1" applyBorder="1" applyAlignment="1" applyProtection="1">
      <alignment vertical="center" wrapText="1" readingOrder="1"/>
      <protection locked="0"/>
    </xf>
    <xf numFmtId="0" fontId="6" fillId="0" borderId="0" xfId="0" applyFont="1" applyAlignment="1" applyProtection="1">
      <alignment vertical="center" wrapText="1" readingOrder="1"/>
      <protection locked="0"/>
    </xf>
    <xf numFmtId="14" fontId="6" fillId="0" borderId="0" xfId="0" applyNumberFormat="1" applyFont="1" applyAlignment="1" applyProtection="1">
      <alignment vertical="center" wrapText="1" readingOrder="1"/>
      <protection locked="0"/>
    </xf>
    <xf numFmtId="0" fontId="6" fillId="0" borderId="6" xfId="0" applyFont="1" applyBorder="1" applyAlignment="1" applyProtection="1">
      <alignment vertical="center" wrapText="1" readingOrder="1"/>
      <protection locked="0"/>
    </xf>
    <xf numFmtId="0" fontId="6" fillId="0" borderId="2" xfId="0" applyFont="1" applyBorder="1" applyAlignment="1" applyProtection="1">
      <alignment vertical="center" wrapText="1" readingOrder="1"/>
      <protection locked="0"/>
    </xf>
    <xf numFmtId="0" fontId="6" fillId="2" borderId="1" xfId="0" applyFont="1" applyFill="1" applyBorder="1" applyAlignment="1" applyProtection="1">
      <alignment vertical="center" wrapText="1" readingOrder="1"/>
      <protection locked="0"/>
    </xf>
    <xf numFmtId="0" fontId="6" fillId="10" borderId="1" xfId="0" applyFont="1" applyFill="1" applyBorder="1" applyAlignment="1" applyProtection="1">
      <alignment vertical="center" wrapText="1" readingOrder="1"/>
      <protection locked="0"/>
    </xf>
    <xf numFmtId="0" fontId="6" fillId="3" borderId="1" xfId="0" applyFont="1" applyFill="1" applyBorder="1" applyAlignment="1" applyProtection="1">
      <alignment vertical="center" wrapText="1" readingOrder="1"/>
      <protection locked="0"/>
    </xf>
    <xf numFmtId="0" fontId="6" fillId="3" borderId="3" xfId="0" applyFont="1" applyFill="1" applyBorder="1" applyAlignment="1" applyProtection="1">
      <alignment vertical="center" wrapText="1" readingOrder="1"/>
      <protection locked="0"/>
    </xf>
    <xf numFmtId="0" fontId="6" fillId="3" borderId="2" xfId="0" applyFont="1" applyFill="1" applyBorder="1" applyAlignment="1" applyProtection="1">
      <alignment vertical="center" wrapText="1" readingOrder="1"/>
      <protection locked="0"/>
    </xf>
    <xf numFmtId="0" fontId="21" fillId="0" borderId="1" xfId="0" applyFont="1" applyBorder="1" applyAlignment="1" applyProtection="1">
      <alignment vertical="center" wrapText="1" readingOrder="1"/>
      <protection locked="0"/>
    </xf>
    <xf numFmtId="0" fontId="6" fillId="0" borderId="2" xfId="0" applyFont="1" applyBorder="1" applyAlignment="1" applyProtection="1">
      <alignment horizontal="center" vertical="center" wrapText="1" readingOrder="1"/>
      <protection locked="0"/>
    </xf>
    <xf numFmtId="0" fontId="0" fillId="0" borderId="0" xfId="0" applyAlignment="1" applyProtection="1">
      <alignment horizontal="center"/>
      <protection locked="0"/>
    </xf>
    <xf numFmtId="3" fontId="0" fillId="0" borderId="0" xfId="0" applyNumberFormat="1" applyAlignment="1" applyProtection="1">
      <alignment horizontal="center"/>
      <protection locked="0"/>
    </xf>
    <xf numFmtId="1" fontId="0" fillId="0" borderId="0" xfId="0" applyNumberFormat="1" applyAlignment="1" applyProtection="1">
      <alignment horizontal="center"/>
      <protection locked="0"/>
    </xf>
    <xf numFmtId="0" fontId="5" fillId="0" borderId="0" xfId="0" applyFont="1" applyAlignment="1" applyProtection="1">
      <alignment horizontal="center"/>
      <protection locked="0"/>
    </xf>
    <xf numFmtId="1" fontId="0" fillId="21" borderId="0" xfId="0" applyNumberFormat="1" applyFill="1"/>
    <xf numFmtId="14" fontId="0" fillId="17" borderId="0" xfId="0" applyNumberFormat="1" applyFill="1"/>
    <xf numFmtId="0" fontId="0" fillId="22" borderId="0" xfId="0" applyFill="1"/>
    <xf numFmtId="0" fontId="0" fillId="4" borderId="0" xfId="0" applyFill="1" applyAlignment="1" applyProtection="1">
      <alignment horizontal="center"/>
      <protection locked="0"/>
    </xf>
    <xf numFmtId="0" fontId="6" fillId="0" borderId="0" xfId="0" applyFont="1" applyAlignment="1">
      <alignment vertical="center" wrapText="1" readingOrder="1"/>
    </xf>
    <xf numFmtId="0" fontId="4" fillId="0" borderId="0" xfId="0" applyFont="1" applyProtection="1">
      <protection locked="0"/>
    </xf>
    <xf numFmtId="14" fontId="4" fillId="0" borderId="0" xfId="0" applyNumberFormat="1" applyFont="1" applyProtection="1">
      <protection locked="0"/>
    </xf>
    <xf numFmtId="14" fontId="4" fillId="0" borderId="0" xfId="0" applyNumberFormat="1" applyFont="1"/>
    <xf numFmtId="0" fontId="23" fillId="0" borderId="0" xfId="1"/>
    <xf numFmtId="0" fontId="13" fillId="23" borderId="0" xfId="0" applyFont="1" applyFill="1" applyAlignment="1">
      <alignment horizontal="left"/>
    </xf>
    <xf numFmtId="0" fontId="0" fillId="23" borderId="0" xfId="0" applyFill="1" applyAlignment="1">
      <alignment horizontal="left"/>
    </xf>
    <xf numFmtId="0" fontId="14" fillId="23" borderId="8" xfId="0" applyFont="1" applyFill="1" applyBorder="1" applyAlignment="1">
      <alignment horizontal="left"/>
    </xf>
    <xf numFmtId="0" fontId="13" fillId="23" borderId="9" xfId="0" applyFont="1" applyFill="1" applyBorder="1" applyAlignment="1">
      <alignment horizontal="left"/>
    </xf>
    <xf numFmtId="0" fontId="0" fillId="23" borderId="9" xfId="0" applyFill="1" applyBorder="1" applyAlignment="1">
      <alignment horizontal="left"/>
    </xf>
    <xf numFmtId="0" fontId="0" fillId="23" borderId="10" xfId="0" applyFill="1" applyBorder="1" applyAlignment="1">
      <alignment horizontal="left"/>
    </xf>
    <xf numFmtId="0" fontId="13" fillId="23" borderId="11" xfId="0" applyFont="1" applyFill="1" applyBorder="1" applyAlignment="1">
      <alignment horizontal="left"/>
    </xf>
    <xf numFmtId="0" fontId="0" fillId="23" borderId="12" xfId="0" applyFill="1" applyBorder="1" applyAlignment="1">
      <alignment horizontal="left"/>
    </xf>
    <xf numFmtId="0" fontId="13" fillId="23" borderId="13" xfId="0" applyFont="1" applyFill="1" applyBorder="1" applyAlignment="1">
      <alignment horizontal="left"/>
    </xf>
    <xf numFmtId="0" fontId="13" fillId="23" borderId="14" xfId="0" applyFont="1" applyFill="1" applyBorder="1" applyAlignment="1">
      <alignment horizontal="left"/>
    </xf>
    <xf numFmtId="0" fontId="0" fillId="23" borderId="14" xfId="0" applyFill="1" applyBorder="1" applyAlignment="1">
      <alignment horizontal="left"/>
    </xf>
    <xf numFmtId="0" fontId="0" fillId="23" borderId="15" xfId="0" applyFill="1" applyBorder="1" applyAlignment="1">
      <alignment horizontal="left"/>
    </xf>
    <xf numFmtId="0" fontId="14" fillId="24" borderId="0" xfId="0" applyFont="1" applyFill="1"/>
    <xf numFmtId="0" fontId="19" fillId="24" borderId="0" xfId="0" applyFont="1" applyFill="1" applyAlignment="1">
      <alignment horizontal="center"/>
    </xf>
    <xf numFmtId="0" fontId="0" fillId="24" borderId="0" xfId="0" applyFill="1"/>
    <xf numFmtId="0" fontId="0" fillId="0" borderId="0" xfId="0" applyAlignment="1" applyProtection="1">
      <alignment horizontal="left"/>
      <protection locked="0"/>
    </xf>
    <xf numFmtId="0" fontId="0" fillId="0" borderId="0" xfId="0" applyAlignment="1" applyProtection="1">
      <alignment horizontal="right"/>
      <protection locked="0"/>
    </xf>
    <xf numFmtId="14" fontId="0" fillId="19" borderId="0" xfId="0" applyNumberFormat="1" applyFill="1"/>
    <xf numFmtId="1" fontId="0" fillId="19" borderId="0" xfId="0" applyNumberFormat="1" applyFill="1"/>
    <xf numFmtId="0" fontId="4" fillId="19" borderId="0" xfId="0" applyFont="1" applyFill="1"/>
    <xf numFmtId="0" fontId="0" fillId="9" borderId="0" xfId="0" applyFill="1"/>
    <xf numFmtId="0" fontId="0" fillId="25" borderId="0" xfId="0" applyFill="1"/>
    <xf numFmtId="0" fontId="0" fillId="26" borderId="0" xfId="0" applyFill="1"/>
    <xf numFmtId="14" fontId="0" fillId="26" borderId="0" xfId="0" applyNumberFormat="1" applyFill="1"/>
    <xf numFmtId="1" fontId="0" fillId="26" borderId="0" xfId="0" applyNumberFormat="1" applyFill="1"/>
    <xf numFmtId="0" fontId="6" fillId="11" borderId="1" xfId="0" applyFont="1" applyFill="1" applyBorder="1" applyAlignment="1" applyProtection="1">
      <alignment vertical="center" wrapText="1" readingOrder="1"/>
      <protection locked="0"/>
    </xf>
    <xf numFmtId="0" fontId="6" fillId="11" borderId="2" xfId="0" applyFont="1" applyFill="1" applyBorder="1" applyAlignment="1" applyProtection="1">
      <alignment vertical="center" wrapText="1" readingOrder="1"/>
      <protection locked="0"/>
    </xf>
    <xf numFmtId="1" fontId="0" fillId="17" borderId="0" xfId="0" applyNumberFormat="1" applyFill="1"/>
    <xf numFmtId="1" fontId="5" fillId="4" borderId="0" xfId="0" applyNumberFormat="1" applyFont="1" applyFill="1"/>
    <xf numFmtId="1" fontId="0" fillId="4" borderId="0" xfId="0" applyNumberFormat="1" applyFill="1" applyProtection="1">
      <protection locked="0"/>
    </xf>
    <xf numFmtId="164" fontId="0" fillId="0" borderId="0" xfId="0" applyNumberFormat="1"/>
    <xf numFmtId="14" fontId="0" fillId="4" borderId="0" xfId="0" applyNumberFormat="1" applyFill="1"/>
    <xf numFmtId="0" fontId="5" fillId="0" borderId="0" xfId="0" applyFont="1" applyAlignment="1">
      <alignment horizontal="left"/>
    </xf>
    <xf numFmtId="0" fontId="0" fillId="4" borderId="0" xfId="0" applyFill="1" applyAlignment="1">
      <alignment horizontal="left"/>
    </xf>
    <xf numFmtId="0" fontId="5" fillId="4" borderId="0" xfId="0" applyFont="1" applyFill="1"/>
    <xf numFmtId="0" fontId="4" fillId="0" borderId="0" xfId="0" quotePrefix="1" applyFont="1"/>
    <xf numFmtId="0" fontId="3" fillId="0" borderId="0" xfId="0" applyFont="1" applyAlignment="1">
      <alignment vertical="center" wrapText="1"/>
    </xf>
    <xf numFmtId="0" fontId="0" fillId="27" borderId="0" xfId="0" applyFill="1" applyProtection="1">
      <protection locked="0"/>
    </xf>
    <xf numFmtId="0" fontId="0" fillId="20" borderId="0" xfId="0" applyFill="1"/>
    <xf numFmtId="164" fontId="0" fillId="20" borderId="0" xfId="0" applyNumberFormat="1" applyFill="1"/>
    <xf numFmtId="0" fontId="0" fillId="20" borderId="0" xfId="0" applyFill="1" applyAlignment="1">
      <alignment horizontal="left"/>
    </xf>
    <xf numFmtId="0" fontId="0" fillId="0" borderId="0" xfId="0" applyAlignment="1">
      <alignment horizontal="center"/>
    </xf>
    <xf numFmtId="0" fontId="3" fillId="28" borderId="0" xfId="0" applyFont="1" applyFill="1"/>
    <xf numFmtId="1" fontId="0" fillId="11" borderId="0" xfId="0" applyNumberFormat="1" applyFill="1"/>
    <xf numFmtId="14" fontId="0" fillId="11" borderId="0" xfId="0" applyNumberFormat="1" applyFill="1"/>
    <xf numFmtId="0" fontId="12" fillId="0" borderId="0" xfId="0" applyFont="1" applyAlignment="1">
      <alignment wrapText="1"/>
    </xf>
    <xf numFmtId="0" fontId="5" fillId="20" borderId="0" xfId="0" applyFont="1" applyFill="1" applyAlignment="1">
      <alignment wrapText="1"/>
    </xf>
    <xf numFmtId="0" fontId="5" fillId="11" borderId="0" xfId="0" applyFont="1" applyFill="1" applyAlignment="1">
      <alignment wrapText="1"/>
    </xf>
    <xf numFmtId="0" fontId="0" fillId="7" borderId="7" xfId="0" applyFill="1" applyBorder="1"/>
    <xf numFmtId="0" fontId="0" fillId="13" borderId="7" xfId="0" applyFill="1" applyBorder="1"/>
    <xf numFmtId="0" fontId="0" fillId="0" borderId="7" xfId="0" applyBorder="1"/>
    <xf numFmtId="0" fontId="0" fillId="0" borderId="7" xfId="0" applyBorder="1" applyProtection="1">
      <protection locked="0"/>
    </xf>
    <xf numFmtId="14" fontId="0" fillId="0" borderId="7" xfId="0" applyNumberFormat="1" applyBorder="1" applyProtection="1">
      <protection locked="0"/>
    </xf>
    <xf numFmtId="0" fontId="0" fillId="4" borderId="7" xfId="0" applyFill="1" applyBorder="1" applyProtection="1">
      <protection locked="0"/>
    </xf>
    <xf numFmtId="0" fontId="5" fillId="0" borderId="7" xfId="0" applyFont="1" applyBorder="1" applyProtection="1">
      <protection locked="0"/>
    </xf>
    <xf numFmtId="0" fontId="0" fillId="0" borderId="7" xfId="0" applyBorder="1" applyAlignment="1" applyProtection="1">
      <alignment horizontal="center"/>
      <protection locked="0"/>
    </xf>
    <xf numFmtId="1" fontId="0" fillId="0" borderId="7" xfId="0" applyNumberFormat="1" applyBorder="1" applyProtection="1">
      <protection locked="0"/>
    </xf>
    <xf numFmtId="0" fontId="0" fillId="4" borderId="7" xfId="0" applyFill="1" applyBorder="1" applyAlignment="1" applyProtection="1">
      <alignment horizontal="center"/>
      <protection locked="0"/>
    </xf>
    <xf numFmtId="0" fontId="5" fillId="4" borderId="7" xfId="0" applyFont="1" applyFill="1" applyBorder="1" applyProtection="1">
      <protection locked="0"/>
    </xf>
    <xf numFmtId="0" fontId="3" fillId="0" borderId="7" xfId="0" applyFont="1" applyBorder="1"/>
    <xf numFmtId="0" fontId="7" fillId="0" borderId="7" xfId="0" applyFont="1" applyBorder="1" applyProtection="1">
      <protection locked="0"/>
    </xf>
    <xf numFmtId="0" fontId="1" fillId="0" borderId="7" xfId="0" applyFont="1" applyBorder="1" applyProtection="1">
      <protection locked="0"/>
    </xf>
    <xf numFmtId="14" fontId="3" fillId="0" borderId="7" xfId="0" applyNumberFormat="1" applyFont="1" applyBorder="1" applyProtection="1">
      <protection locked="0"/>
    </xf>
    <xf numFmtId="0" fontId="0" fillId="14" borderId="7" xfId="0" applyFill="1" applyBorder="1" applyProtection="1">
      <protection locked="0"/>
    </xf>
    <xf numFmtId="1" fontId="0" fillId="20" borderId="16" xfId="0" applyNumberFormat="1" applyFill="1" applyBorder="1"/>
    <xf numFmtId="14" fontId="0" fillId="20" borderId="16" xfId="0" applyNumberFormat="1" applyFill="1" applyBorder="1"/>
    <xf numFmtId="1" fontId="0" fillId="0" borderId="16" xfId="0" applyNumberFormat="1" applyBorder="1"/>
    <xf numFmtId="14" fontId="0" fillId="0" borderId="16" xfId="0" applyNumberFormat="1" applyBorder="1"/>
    <xf numFmtId="1" fontId="0" fillId="11" borderId="16" xfId="0" applyNumberFormat="1" applyFill="1" applyBorder="1"/>
    <xf numFmtId="14" fontId="0" fillId="11" borderId="16" xfId="0" applyNumberFormat="1" applyFill="1" applyBorder="1"/>
    <xf numFmtId="1" fontId="0" fillId="4" borderId="16" xfId="0" applyNumberFormat="1" applyFill="1" applyBorder="1"/>
    <xf numFmtId="1" fontId="0" fillId="21" borderId="16" xfId="0" applyNumberFormat="1" applyFill="1" applyBorder="1"/>
    <xf numFmtId="0" fontId="0" fillId="26" borderId="0" xfId="0" applyFill="1" applyProtection="1">
      <protection locked="0"/>
    </xf>
    <xf numFmtId="1" fontId="0" fillId="25" borderId="0" xfId="0" applyNumberFormat="1" applyFill="1"/>
    <xf numFmtId="1" fontId="0" fillId="25" borderId="0" xfId="0" applyNumberFormat="1" applyFill="1" applyProtection="1">
      <protection locked="0"/>
    </xf>
    <xf numFmtId="1" fontId="0" fillId="0" borderId="7" xfId="0" applyNumberFormat="1" applyBorder="1"/>
    <xf numFmtId="14" fontId="0" fillId="0" borderId="7" xfId="0" applyNumberFormat="1" applyBorder="1"/>
    <xf numFmtId="1" fontId="0" fillId="0" borderId="17" xfId="0" applyNumberFormat="1" applyBorder="1"/>
    <xf numFmtId="14" fontId="0" fillId="0" borderId="17" xfId="0" applyNumberFormat="1" applyBorder="1"/>
    <xf numFmtId="1" fontId="0" fillId="0" borderId="18" xfId="0" applyNumberFormat="1" applyBorder="1"/>
    <xf numFmtId="14" fontId="0" fillId="0" borderId="18" xfId="0" applyNumberFormat="1" applyBorder="1"/>
    <xf numFmtId="2" fontId="0" fillId="0" borderId="17" xfId="0" applyNumberFormat="1" applyBorder="1"/>
    <xf numFmtId="0" fontId="0" fillId="0" borderId="17" xfId="0" applyBorder="1"/>
    <xf numFmtId="0" fontId="0" fillId="4" borderId="17" xfId="0" applyFill="1" applyBorder="1"/>
    <xf numFmtId="1" fontId="0" fillId="29" borderId="0" xfId="0" applyNumberFormat="1" applyFill="1"/>
    <xf numFmtId="1" fontId="0" fillId="0" borderId="17" xfId="0" applyNumberFormat="1" applyBorder="1" applyAlignment="1">
      <alignment horizontal="right"/>
    </xf>
    <xf numFmtId="1" fontId="0" fillId="29" borderId="7" xfId="0" applyNumberFormat="1" applyFill="1" applyBorder="1"/>
    <xf numFmtId="2" fontId="0" fillId="0" borderId="7" xfId="0" applyNumberFormat="1" applyBorder="1"/>
    <xf numFmtId="0" fontId="0" fillId="4" borderId="7" xfId="0" applyFill="1" applyBorder="1"/>
    <xf numFmtId="2" fontId="0" fillId="0" borderId="16" xfId="0" applyNumberFormat="1" applyBorder="1"/>
    <xf numFmtId="0" fontId="0" fillId="0" borderId="16" xfId="0" applyBorder="1"/>
    <xf numFmtId="0" fontId="0" fillId="4" borderId="16" xfId="0" applyFill="1" applyBorder="1"/>
    <xf numFmtId="0" fontId="0" fillId="11" borderId="16" xfId="0" applyFill="1" applyBorder="1"/>
    <xf numFmtId="14" fontId="0" fillId="22" borderId="0" xfId="0" applyNumberFormat="1" applyFill="1"/>
    <xf numFmtId="0" fontId="0" fillId="30" borderId="0" xfId="0" applyFill="1"/>
    <xf numFmtId="0" fontId="25" fillId="0" borderId="0" xfId="0" applyFont="1"/>
    <xf numFmtId="14" fontId="9" fillId="0" borderId="0" xfId="0" applyNumberFormat="1" applyFont="1"/>
    <xf numFmtId="164" fontId="9" fillId="0" borderId="0" xfId="0" applyNumberFormat="1" applyFont="1"/>
    <xf numFmtId="0" fontId="9" fillId="0" borderId="0" xfId="0" applyFont="1" applyAlignment="1">
      <alignment horizontal="left"/>
    </xf>
    <xf numFmtId="1" fontId="3" fillId="31" borderId="0" xfId="0" applyNumberFormat="1" applyFont="1" applyFill="1" applyAlignment="1">
      <alignment wrapText="1"/>
    </xf>
    <xf numFmtId="1" fontId="0" fillId="31" borderId="0" xfId="0" applyNumberFormat="1" applyFill="1"/>
    <xf numFmtId="0" fontId="3" fillId="0" borderId="17" xfId="0" applyFont="1" applyBorder="1"/>
    <xf numFmtId="0" fontId="0" fillId="0" borderId="17" xfId="0" applyBorder="1" applyProtection="1">
      <protection locked="0"/>
    </xf>
    <xf numFmtId="0" fontId="7" fillId="0" borderId="17" xfId="0" applyFont="1" applyBorder="1" applyProtection="1">
      <protection locked="0"/>
    </xf>
    <xf numFmtId="0" fontId="1" fillId="0" borderId="17" xfId="0" applyFont="1" applyBorder="1" applyProtection="1">
      <protection locked="0"/>
    </xf>
    <xf numFmtId="14" fontId="3" fillId="0" borderId="17" xfId="0" applyNumberFormat="1" applyFont="1" applyBorder="1" applyProtection="1">
      <protection locked="0"/>
    </xf>
    <xf numFmtId="0" fontId="5" fillId="0" borderId="17" xfId="0" applyFont="1" applyBorder="1" applyProtection="1">
      <protection locked="0"/>
    </xf>
    <xf numFmtId="0" fontId="0" fillId="0" borderId="17" xfId="0" applyBorder="1" applyAlignment="1" applyProtection="1">
      <alignment horizontal="center"/>
      <protection locked="0"/>
    </xf>
    <xf numFmtId="0" fontId="0" fillId="14" borderId="17" xfId="0" applyFill="1" applyBorder="1" applyProtection="1">
      <protection locked="0"/>
    </xf>
    <xf numFmtId="0" fontId="0" fillId="7" borderId="17" xfId="0" applyFill="1" applyBorder="1"/>
    <xf numFmtId="0" fontId="0" fillId="4" borderId="17" xfId="0" applyFill="1" applyBorder="1" applyProtection="1">
      <protection locked="0"/>
    </xf>
    <xf numFmtId="14" fontId="0" fillId="0" borderId="17" xfId="0" applyNumberFormat="1" applyBorder="1" applyProtection="1">
      <protection locked="0"/>
    </xf>
    <xf numFmtId="0" fontId="0" fillId="13" borderId="17" xfId="0" applyFill="1" applyBorder="1"/>
    <xf numFmtId="1" fontId="0" fillId="0" borderId="17" xfId="0" applyNumberFormat="1" applyBorder="1" applyProtection="1">
      <protection locked="0"/>
    </xf>
    <xf numFmtId="0" fontId="5" fillId="4" borderId="17" xfId="0" applyFont="1" applyFill="1" applyBorder="1" applyProtection="1">
      <protection locked="0"/>
    </xf>
    <xf numFmtId="14" fontId="4" fillId="0" borderId="17" xfId="0" applyNumberFormat="1" applyFont="1" applyBorder="1"/>
    <xf numFmtId="0" fontId="3" fillId="16" borderId="0" xfId="0" applyFont="1" applyFill="1"/>
    <xf numFmtId="17" fontId="3" fillId="0" borderId="0" xfId="0" applyNumberFormat="1" applyFont="1"/>
    <xf numFmtId="0" fontId="5" fillId="27" borderId="0" xfId="0" applyFont="1" applyFill="1" applyProtection="1">
      <protection locked="0"/>
    </xf>
    <xf numFmtId="0" fontId="18" fillId="4" borderId="0" xfId="0" applyFont="1" applyFill="1" applyAlignment="1">
      <alignment horizontal="left"/>
    </xf>
    <xf numFmtId="0" fontId="0" fillId="7" borderId="16" xfId="0" applyFill="1" applyBorder="1"/>
    <xf numFmtId="0" fontId="0" fillId="13" borderId="16" xfId="0" applyFill="1" applyBorder="1"/>
    <xf numFmtId="0" fontId="0" fillId="0" borderId="16" xfId="0" applyBorder="1" applyProtection="1">
      <protection locked="0"/>
    </xf>
    <xf numFmtId="0" fontId="5" fillId="0" borderId="16" xfId="0" applyFont="1" applyBorder="1" applyProtection="1">
      <protection locked="0"/>
    </xf>
    <xf numFmtId="0" fontId="0" fillId="0" borderId="16" xfId="0" applyBorder="1" applyAlignment="1" applyProtection="1">
      <alignment horizontal="center"/>
      <protection locked="0"/>
    </xf>
    <xf numFmtId="49" fontId="6" fillId="0" borderId="2" xfId="0" applyNumberFormat="1" applyFont="1" applyBorder="1" applyAlignment="1" applyProtection="1">
      <alignment horizontal="left" vertical="center" wrapText="1" readingOrder="1"/>
      <protection locked="0"/>
    </xf>
    <xf numFmtId="0" fontId="0" fillId="0" borderId="17" xfId="0" applyBorder="1" applyAlignment="1" applyProtection="1">
      <alignment horizontal="left"/>
      <protection locked="0"/>
    </xf>
    <xf numFmtId="0" fontId="0" fillId="0" borderId="7" xfId="0" applyBorder="1" applyAlignment="1" applyProtection="1">
      <alignment horizontal="left"/>
      <protection locked="0"/>
    </xf>
    <xf numFmtId="0" fontId="0" fillId="14" borderId="0" xfId="0" applyFill="1" applyAlignment="1" applyProtection="1">
      <alignment horizontal="left"/>
      <protection locked="0"/>
    </xf>
    <xf numFmtId="0" fontId="0" fillId="4" borderId="0" xfId="0" applyFill="1" applyAlignment="1" applyProtection="1">
      <alignment horizontal="left"/>
      <protection locked="0"/>
    </xf>
    <xf numFmtId="0" fontId="0" fillId="4" borderId="17" xfId="0" applyFill="1" applyBorder="1" applyAlignment="1" applyProtection="1">
      <alignment horizontal="left"/>
      <protection locked="0"/>
    </xf>
    <xf numFmtId="3" fontId="0" fillId="0" borderId="0" xfId="0" applyNumberFormat="1" applyAlignment="1" applyProtection="1">
      <alignment horizontal="left"/>
      <protection locked="0"/>
    </xf>
    <xf numFmtId="3" fontId="0" fillId="4" borderId="0" xfId="0" applyNumberFormat="1" applyFill="1" applyAlignment="1" applyProtection="1">
      <alignment horizontal="left"/>
      <protection locked="0"/>
    </xf>
    <xf numFmtId="1" fontId="0" fillId="0" borderId="0" xfId="0" applyNumberFormat="1" applyAlignment="1" applyProtection="1">
      <alignment horizontal="left"/>
      <protection locked="0"/>
    </xf>
    <xf numFmtId="0" fontId="5" fillId="0" borderId="0" xfId="0" applyFont="1" applyAlignment="1" applyProtection="1">
      <alignment horizontal="left"/>
      <protection locked="0"/>
    </xf>
    <xf numFmtId="0" fontId="0" fillId="4" borderId="7" xfId="0" applyFill="1" applyBorder="1" applyAlignment="1" applyProtection="1">
      <alignment horizontal="left"/>
      <protection locked="0"/>
    </xf>
    <xf numFmtId="0" fontId="5" fillId="4" borderId="0" xfId="0" applyFont="1" applyFill="1" applyAlignment="1" applyProtection="1">
      <alignment horizontal="left"/>
      <protection locked="0"/>
    </xf>
    <xf numFmtId="3" fontId="0" fillId="27" borderId="0" xfId="0" applyNumberFormat="1" applyFill="1" applyAlignment="1" applyProtection="1">
      <alignment horizontal="left"/>
      <protection locked="0"/>
    </xf>
    <xf numFmtId="0" fontId="0" fillId="26" borderId="0" xfId="0" applyFill="1" applyAlignment="1" applyProtection="1">
      <alignment horizontal="left"/>
      <protection locked="0"/>
    </xf>
    <xf numFmtId="0" fontId="0" fillId="27" borderId="0" xfId="0" applyFill="1" applyAlignment="1" applyProtection="1">
      <alignment horizontal="left"/>
      <protection locked="0"/>
    </xf>
    <xf numFmtId="0" fontId="0" fillId="17" borderId="0" xfId="0" applyFill="1" applyAlignment="1" applyProtection="1">
      <alignment horizontal="left"/>
      <protection locked="0"/>
    </xf>
    <xf numFmtId="0" fontId="0" fillId="27" borderId="0" xfId="0" applyFill="1"/>
    <xf numFmtId="14" fontId="4" fillId="0" borderId="16" xfId="0" applyNumberFormat="1" applyFont="1" applyBorder="1"/>
    <xf numFmtId="0" fontId="23" fillId="0" borderId="0" xfId="1" applyFill="1"/>
    <xf numFmtId="0" fontId="3" fillId="21" borderId="0" xfId="0" applyFont="1" applyFill="1"/>
    <xf numFmtId="0" fontId="3" fillId="21" borderId="7" xfId="0" applyFont="1" applyFill="1" applyBorder="1"/>
    <xf numFmtId="0" fontId="3" fillId="21" borderId="17" xfId="0" applyFont="1" applyFill="1" applyBorder="1"/>
    <xf numFmtId="0" fontId="0" fillId="21" borderId="0" xfId="0" applyFill="1"/>
    <xf numFmtId="0" fontId="26" fillId="21" borderId="0" xfId="0" applyFont="1" applyFill="1"/>
    <xf numFmtId="0" fontId="0" fillId="21" borderId="17" xfId="0" applyFill="1" applyBorder="1"/>
    <xf numFmtId="0" fontId="0" fillId="21" borderId="7" xfId="0" applyFill="1" applyBorder="1"/>
    <xf numFmtId="0" fontId="1" fillId="21" borderId="0" xfId="0" applyFont="1" applyFill="1"/>
    <xf numFmtId="0" fontId="0" fillId="0" borderId="16" xfId="0" applyBorder="1" applyAlignment="1" applyProtection="1">
      <alignment horizontal="left"/>
      <protection locked="0"/>
    </xf>
    <xf numFmtId="0" fontId="5" fillId="27" borderId="17" xfId="0" applyFont="1" applyFill="1" applyBorder="1" applyProtection="1">
      <protection locked="0"/>
    </xf>
    <xf numFmtId="0" fontId="3" fillId="0" borderId="23" xfId="0" applyFont="1" applyBorder="1" applyAlignment="1">
      <alignment wrapText="1"/>
    </xf>
    <xf numFmtId="0" fontId="25" fillId="0" borderId="24" xfId="0" applyFont="1" applyBorder="1"/>
    <xf numFmtId="0" fontId="25" fillId="0" borderId="25" xfId="0" applyFont="1" applyBorder="1"/>
    <xf numFmtId="0" fontId="25" fillId="0" borderId="26" xfId="0" applyFont="1" applyBorder="1"/>
    <xf numFmtId="0" fontId="3" fillId="0" borderId="27" xfId="0" applyFont="1" applyBorder="1" applyAlignment="1">
      <alignment horizontal="center" wrapText="1"/>
    </xf>
    <xf numFmtId="0" fontId="3" fillId="0" borderId="20" xfId="0" applyFont="1" applyBorder="1" applyAlignment="1">
      <alignment horizontal="center" wrapText="1"/>
    </xf>
    <xf numFmtId="0" fontId="3" fillId="0" borderId="21" xfId="0" applyFont="1" applyBorder="1" applyAlignment="1">
      <alignment horizontal="center" wrapText="1"/>
    </xf>
    <xf numFmtId="0" fontId="0" fillId="0" borderId="28" xfId="0" applyBorder="1" applyAlignment="1">
      <alignment horizontal="center"/>
    </xf>
    <xf numFmtId="0" fontId="0" fillId="0" borderId="22" xfId="0" applyBorder="1" applyAlignment="1">
      <alignment horizontal="center"/>
    </xf>
    <xf numFmtId="0" fontId="0" fillId="0" borderId="30" xfId="0" applyBorder="1" applyAlignment="1">
      <alignment horizontal="center"/>
    </xf>
    <xf numFmtId="0" fontId="0" fillId="0" borderId="29" xfId="0" applyBorder="1" applyAlignment="1">
      <alignment horizontal="center"/>
    </xf>
    <xf numFmtId="0" fontId="0" fillId="0" borderId="19"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5" fillId="24" borderId="0" xfId="0" applyFont="1" applyFill="1" applyProtection="1">
      <protection locked="0"/>
    </xf>
    <xf numFmtId="0" fontId="0" fillId="24" borderId="0" xfId="0" applyFill="1" applyAlignment="1" applyProtection="1">
      <alignment horizontal="left"/>
      <protection locked="0"/>
    </xf>
    <xf numFmtId="0" fontId="0" fillId="24" borderId="0" xfId="0" applyFill="1" applyProtection="1">
      <protection locked="0"/>
    </xf>
    <xf numFmtId="1" fontId="0" fillId="20" borderId="17" xfId="0" applyNumberFormat="1" applyFill="1" applyBorder="1"/>
    <xf numFmtId="14" fontId="0" fillId="20" borderId="17" xfId="0" applyNumberFormat="1" applyFill="1" applyBorder="1"/>
    <xf numFmtId="1" fontId="0" fillId="33" borderId="0" xfId="0" applyNumberFormat="1" applyFill="1"/>
    <xf numFmtId="0" fontId="1" fillId="0" borderId="0" xfId="0" applyFont="1"/>
    <xf numFmtId="0" fontId="4" fillId="16" borderId="0" xfId="0" applyFont="1" applyFill="1"/>
    <xf numFmtId="14" fontId="4" fillId="16" borderId="0" xfId="0" applyNumberFormat="1" applyFont="1" applyFill="1"/>
    <xf numFmtId="0" fontId="4" fillId="16" borderId="0" xfId="0" quotePrefix="1" applyFont="1" applyFill="1"/>
    <xf numFmtId="1" fontId="9" fillId="31" borderId="0" xfId="0" applyNumberFormat="1" applyFont="1" applyFill="1"/>
    <xf numFmtId="1" fontId="9" fillId="32" borderId="17" xfId="0" applyNumberFormat="1" applyFont="1" applyFill="1" applyBorder="1"/>
    <xf numFmtId="0" fontId="5" fillId="16" borderId="0" xfId="0" applyFont="1" applyFill="1"/>
    <xf numFmtId="14" fontId="5" fillId="16" borderId="0" xfId="0" applyNumberFormat="1" applyFont="1" applyFill="1"/>
    <xf numFmtId="1" fontId="5" fillId="16" borderId="0" xfId="0" applyNumberFormat="1" applyFont="1" applyFill="1"/>
    <xf numFmtId="0" fontId="5" fillId="24" borderId="17" xfId="0" applyFont="1" applyFill="1" applyBorder="1" applyProtection="1">
      <protection locked="0"/>
    </xf>
    <xf numFmtId="1" fontId="0" fillId="0" borderId="4" xfId="0" applyNumberFormat="1" applyBorder="1"/>
    <xf numFmtId="14" fontId="0" fillId="0" borderId="4" xfId="0" applyNumberFormat="1" applyBorder="1"/>
    <xf numFmtId="1" fontId="0" fillId="33" borderId="4" xfId="0" applyNumberFormat="1" applyFill="1" applyBorder="1"/>
    <xf numFmtId="2" fontId="0" fillId="0" borderId="4" xfId="0" applyNumberFormat="1" applyBorder="1"/>
    <xf numFmtId="0" fontId="0" fillId="0" borderId="4" xfId="0" applyBorder="1"/>
    <xf numFmtId="0" fontId="0" fillId="4" borderId="4" xfId="0" applyFill="1" applyBorder="1"/>
    <xf numFmtId="1" fontId="0" fillId="0" borderId="35" xfId="0" applyNumberFormat="1" applyBorder="1"/>
    <xf numFmtId="0" fontId="17" fillId="21" borderId="0" xfId="0" applyFont="1" applyFill="1"/>
    <xf numFmtId="0" fontId="28" fillId="0" borderId="0" xfId="0" applyFont="1"/>
    <xf numFmtId="1" fontId="0" fillId="34" borderId="0" xfId="0" applyNumberFormat="1" applyFill="1"/>
    <xf numFmtId="0" fontId="0" fillId="34" borderId="0" xfId="0" applyFill="1"/>
    <xf numFmtId="0" fontId="0" fillId="28" borderId="0" xfId="0" applyFill="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13" fillId="23" borderId="9" xfId="0" applyFont="1" applyFill="1" applyBorder="1" applyAlignment="1">
      <alignment horizontal="left"/>
    </xf>
    <xf numFmtId="0" fontId="0" fillId="0" borderId="0" xfId="0" applyAlignment="1">
      <alignment horizontal="center" vertical="center" wrapText="1"/>
    </xf>
    <xf numFmtId="0" fontId="0" fillId="17" borderId="0" xfId="0" applyFill="1" applyAlignment="1">
      <alignment horizontal="center" wrapText="1"/>
    </xf>
    <xf numFmtId="0" fontId="16" fillId="0" borderId="0" xfId="0" applyFont="1" applyAlignment="1">
      <alignment horizontal="center"/>
    </xf>
    <xf numFmtId="0" fontId="17" fillId="0" borderId="0" xfId="0" applyFont="1" applyAlignment="1">
      <alignment horizontal="center" wrapText="1"/>
    </xf>
    <xf numFmtId="0" fontId="0" fillId="4" borderId="0" xfId="0" applyFill="1" applyAlignment="1">
      <alignment horizontal="left"/>
    </xf>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center" wrapText="1"/>
    </xf>
  </cellXfs>
  <cellStyles count="2">
    <cellStyle name="Hyperlink" xfId="1" builtinId="8"/>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s>
  <tableStyles count="0" defaultTableStyle="TableStyleMedium2" defaultPivotStyle="PivotStyleMedium9"/>
  <colors>
    <mruColors>
      <color rgb="FFFFCCFF"/>
      <color rgb="FFFF794F"/>
      <color rgb="FFFF0066"/>
      <color rgb="FFFF4F92"/>
      <color rgb="FFFE8282"/>
      <color rgb="FF87BE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ocumenttasks/documenttask1.xml><?xml version="1.0" encoding="utf-8"?>
<Tasks xmlns="http://schemas.microsoft.com/office/tasks/2019/documenttasks">
  <Task id="{65D04C44-2418-405A-95C3-A4229B17ED1E}">
    <Anchor>
      <Comment id="{C258D218-BE58-4879-AEC5-E626BCD726D4}"/>
    </Anchor>
    <History>
      <Event time="2023-08-15T15:04:11.0" id="{4DA7E8A8-BEF2-426D-A660-D0A23C1BC54A}">
        <Attribution userId="S::moriah.sevier@live.uvi.edu::61c67285-463f-45ca-9290-b5fee02dc1d1" userName="Moriah Sevier" userProvider="AD"/>
        <Anchor>
          <Comment id="{C258D218-BE58-4879-AEC5-E626BCD726D4}"/>
        </Anchor>
        <Create/>
      </Event>
      <Event time="2023-08-15T15:04:11.0" id="{170F6E3E-758F-45D5-B59D-464A83FA0BBD}">
        <Attribution userId="S::moriah.sevier@live.uvi.edu::61c67285-463f-45ca-9290-b5fee02dc1d1" userName="Moriah Sevier" userProvider="AD"/>
        <Anchor>
          <Comment id="{C258D218-BE58-4879-AEC5-E626BCD726D4}"/>
        </Anchor>
        <Assign userId="S::amanda.badai@students.uvi.edu::48e7f348-a713-4256-a148-78381f8accca" userName="Amanda Badai" userProvider="AD"/>
      </Event>
      <Event time="2023-08-15T15:04:11.0" id="{EC4A9C89-E683-45A0-BF47-A4639B781C23}">
        <Attribution userId="S::moriah.sevier@live.uvi.edu::61c67285-463f-45ca-9290-b5fee02dc1d1" userName="Moriah Sevier" userProvider="AD"/>
        <Anchor>
          <Comment id="{C258D218-BE58-4879-AEC5-E626BCD726D4}"/>
        </Anchor>
        <SetTitle title="@Amanda Badai please put your initials in this column for each dive entered, once the data has been entered in the treatment used tab"/>
      </Event>
    </History>
  </Task>
  <Task id="{0021A952-DDFA-4F15-99D7-D2430E67DA1D}">
    <Anchor>
      <Comment id="{B566AC36-8E3B-4ADA-85CA-3544D3A2BEC0}"/>
    </Anchor>
    <History>
      <Event time="2023-07-26T15:06:05.52" id="{2FD98D71-4E6E-4817-A5FB-F8016CEEA5AD}">
        <Attribution userId="S::moriah.sevier@live.uvi.edu::61c67285-463f-45ca-9290-b5fee02dc1d1" userName="Moriah Sevier" userProvider="AD"/>
        <Anchor>
          <Comment id="{50644624-033F-4ABF-9216-A992EFD3DE47}"/>
        </Anchor>
        <Create/>
      </Event>
      <Event time="2023-07-26T15:06:05.52" id="{D3BE81B9-8767-471C-A950-FF5533493BFD}">
        <Attribution userId="S::moriah.sevier@live.uvi.edu::61c67285-463f-45ca-9290-b5fee02dc1d1" userName="Moriah Sevier" userProvider="AD"/>
        <Anchor>
          <Comment id="{50644624-033F-4ABF-9216-A992EFD3DE47}"/>
        </Anchor>
        <Assign userId="S::kayla.budd@live.uvi.edu::3d01e861-fa1d-40a5-96cd-ff09cd1c8b8a" userName="Kayla Budd" userProvider="AD"/>
      </Event>
      <Event time="2023-07-26T15:06:05.52" id="{7F3FE713-D6A4-42F2-BBB3-FAFCAEB339A6}">
        <Attribution userId="S::moriah.sevier@live.uvi.edu::61c67285-463f-45ca-9290-b5fee02dc1d1" userName="Moriah Sevier" userProvider="AD"/>
        <Anchor>
          <Comment id="{50644624-033F-4ABF-9216-A992EFD3DE47}"/>
        </Anchor>
        <SetTitle title="@Kayla Budd"/>
      </Event>
    </History>
  </Task>
  <Task id="{89140C54-4342-4763-A072-24C04E40E94F}">
    <Anchor>
      <Comment id="{6FBC0619-9602-49D0-A63A-434FD865F788}"/>
    </Anchor>
    <History>
      <Event time="2023-07-20T19:49:52.19" id="{BD611BEF-3805-47A9-944D-6240A04B19CB}">
        <Attribution userId="S::moriah.sevier@live.uvi.edu::61c67285-463f-45ca-9290-b5fee02dc1d1" userName="Moriah Sevier" userProvider="AD"/>
        <Anchor>
          <Comment id="{6FBC0619-9602-49D0-A63A-434FD865F788}"/>
        </Anchor>
        <Create/>
      </Event>
      <Event time="2023-07-20T19:49:52.19" id="{2D95962E-7A79-469E-B003-AD82A60CEC28}">
        <Attribution userId="S::moriah.sevier@live.uvi.edu::61c67285-463f-45ca-9290-b5fee02dc1d1" userName="Moriah Sevier" userProvider="AD"/>
        <Anchor>
          <Comment id="{6FBC0619-9602-49D0-A63A-434FD865F788}"/>
        </Anchor>
        <Assign userId="S::nicholas.durgadeen@live.uvi.edu::520bad66-20db-462c-a1c6-e2287ceef530" userName="Nicholas Durgadeen" userProvider="AD"/>
      </Event>
      <Event time="2023-07-20T19:49:52.19" id="{F91F663C-E161-469F-BFB7-04FFDA6EE352}">
        <Attribution userId="S::moriah.sevier@live.uvi.edu::61c67285-463f-45ca-9290-b5fee02dc1d1" userName="Moriah Sevier" userProvider="AD"/>
        <Anchor>
          <Comment id="{6FBC0619-9602-49D0-A63A-434FD865F788}"/>
        </Anchor>
        <SetTitle title="@Nicholas Durgadeen please make sure you are taking note of all corals with tags so that they can all get entered here. IF there was a new tag installed it would go to the left in column &quot;notes&quot;. The t-stick pictures even when a coral is not treated …"/>
      </Event>
      <Event time="2023-07-31T22:53:29.28" id="{8E6EC54F-3864-475C-99AF-9D83CB6BABDB}">
        <Attribution userId="S::kayla.budd@live.uvi.edu::3d01e861-fa1d-40a5-96cd-ff09cd1c8b8a" userName="Kayla Budd" userProvider="AD"/>
        <Progress percentComplete="100"/>
      </Event>
    </History>
  </Task>
  <Task id="{E5311069-C1D0-4562-B1D7-B2CA8C948DB3}">
    <Anchor>
      <Comment id="{5A8086DD-83E8-476F-8D7E-68A85C4CE579}"/>
    </Anchor>
    <History>
      <Event time="2023-04-21T16:48:58.97" id="{5785E9AB-C8E2-4ED1-8585-CEB3A794524C}">
        <Attribution userId="S::moriah.sevier@live.uvi.edu::61c67285-463f-45ca-9290-b5fee02dc1d1" userName="Moriah Sevier" userProvider="AD"/>
        <Anchor>
          <Comment id="{5A8086DD-83E8-476F-8D7E-68A85C4CE579}"/>
        </Anchor>
        <Create/>
      </Event>
      <Event time="2023-04-21T16:48:58.97" id="{6C773267-34E4-4B03-84C9-8191336B45FF}">
        <Attribution userId="S::moriah.sevier@live.uvi.edu::61c67285-463f-45ca-9290-b5fee02dc1d1" userName="Moriah Sevier" userProvider="AD"/>
        <Anchor>
          <Comment id="{5A8086DD-83E8-476F-8D7E-68A85C4CE579}"/>
        </Anchor>
        <Assign userId="S::kayla.budd@live.uvi.edu::3d01e861-fa1d-40a5-96cd-ff09cd1c8b8a" userName="Kayla Budd" userProvider="AD"/>
      </Event>
      <Event time="2023-04-21T16:48:58.97" id="{E14CFB32-B6C6-42AD-ACD1-CE1CBB884E79}">
        <Attribution userId="S::moriah.sevier@live.uvi.edu::61c67285-463f-45ca-9290-b5fee02dc1d1" userName="Moriah Sevier" userProvider="AD"/>
        <Anchor>
          <Comment id="{5A8086DD-83E8-476F-8D7E-68A85C4CE579}"/>
        </Anchor>
        <SetTitle title="@Kayla Budd please remove 926 and reduce the total # of tags by one (unless we are also removing CWORI tags adn then reduce the total by 2) I have found no pics of 926, and what you state is 926 in your notes is shown to be 920 in my photos."/>
      </Event>
      <Event time="2023-07-31T22:50:33.25" id="{6B5C26F2-F14C-4C3B-BBFF-AC4D72461FE9}">
        <Attribution userId="S::kayla.budd@live.uvi.edu::3d01e861-fa1d-40a5-96cd-ff09cd1c8b8a" userName="Kayla Budd" userProvider="AD"/>
        <Progress percentComplete="100"/>
      </Event>
    </History>
  </Task>
  <Task id="{2C91C8BD-C8BD-4732-B024-E3B151EF8853}">
    <Anchor>
      <Comment id="{53670406-116F-4E72-873C-D9302C277B23}"/>
    </Anchor>
    <History>
      <Event time="2022-07-13T16:05:38.48" id="{1E405CC4-F105-44E5-AC85-0F51EE110133}">
        <Attribution userId="S::sarah.vonhoene@live.uvi.edu::159e09b3-bc5b-48df-bb64-250151ac8c16" userName="Sarah Von Hoene" userProvider="AD"/>
        <Anchor>
          <Comment id="{36DFD56A-05CB-47D0-BD74-D7019E95C9EA}"/>
        </Anchor>
        <Create/>
      </Event>
      <Event time="2022-07-13T16:05:38.48" id="{C3CFF66A-BA07-4C6A-9EDE-E355BFAA37E4}">
        <Attribution userId="S::sarah.vonhoene@live.uvi.edu::159e09b3-bc5b-48df-bb64-250151ac8c16" userName="Sarah Von Hoene" userProvider="AD"/>
        <Anchor>
          <Comment id="{36DFD56A-05CB-47D0-BD74-D7019E95C9EA}"/>
        </Anchor>
        <Assign userId="S::moriah.sevier@live.uvi.edu::61c67285-463f-45ca-9290-b5fee02dc1d1" userName="Moriah Sevier" userProvider="AD"/>
      </Event>
      <Event time="2022-07-13T16:05:38.48" id="{1B66DE85-F45C-4F86-9002-727E3BF4521B}">
        <Attribution userId="S::sarah.vonhoene@live.uvi.edu::159e09b3-bc5b-48df-bb64-250151ac8c16" userName="Sarah Von Hoene" userProvider="AD"/>
        <Anchor>
          <Comment id="{36DFD56A-05CB-47D0-BD74-D7019E95C9EA}"/>
        </Anchor>
        <SetTitle title="@Moriah Sevier friendly reminder to give us a third count when you get a chance. :)"/>
      </Event>
      <Event time="2023-07-31T22:28:36.46" id="{7FD6DB40-CEBF-446A-861B-A6953CA5622B}">
        <Attribution userId="S::kayla.budd@live.uvi.edu::3d01e861-fa1d-40a5-96cd-ff09cd1c8b8a" userName="Kayla Budd" userProvider="AD"/>
        <Progress percentComplete="100"/>
      </Event>
    </History>
  </Task>
  <Task id="{965198C2-3993-4FE5-8C2F-A63BBFE6417A}">
    <Anchor>
      <Comment id="{4401958A-C41E-4E71-AAF1-188AEAB4285E}"/>
    </Anchor>
    <History>
      <Event time="2023-08-17T13:01:23.05" id="{ACD25778-B755-4E55-8214-759351D6DBC5}">
        <Attribution userId="S::moriah.sevier@live.uvi.edu::61c67285-463f-45ca-9290-b5fee02dc1d1" userName="Moriah Sevier" userProvider="AD"/>
        <Anchor>
          <Comment id="{4401958A-C41E-4E71-AAF1-188AEAB4285E}"/>
        </Anchor>
        <Create/>
      </Event>
      <Event time="2023-08-17T13:01:23.05" id="{43E601B5-4B81-4DED-810A-8219AE3E520E}">
        <Attribution userId="S::moriah.sevier@live.uvi.edu::61c67285-463f-45ca-9290-b5fee02dc1d1" userName="Moriah Sevier" userProvider="AD"/>
        <Anchor>
          <Comment id="{4401958A-C41E-4E71-AAF1-188AEAB4285E}"/>
        </Anchor>
        <Assign userId="S::kayla.budd@live.uvi.edu::3d01e861-fa1d-40a5-96cd-ff09cd1c8b8a" userName="Kayla Budd" userProvider="AD"/>
      </Event>
      <Event time="2023-08-17T13:01:23.05" id="{8F68BBBE-0FBC-4047-AF64-3BB93C06F6CC}">
        <Attribution userId="S::moriah.sevier@live.uvi.edu::61c67285-463f-45ca-9290-b5fee02dc1d1" userName="Moriah Sevier" userProvider="AD"/>
        <Anchor>
          <Comment id="{4401958A-C41E-4E71-AAF1-188AEAB4285E}"/>
        </Anchor>
        <SetTitle title="@Kayla Budd we should have a Nearshore Rams Head and an Offshore Rams head site, they are so far apart and also that is how they have been defined in the master dive log so far. Feedback?"/>
      </Event>
    </History>
  </Task>
  <Task id="{30CFCFFA-60D3-4DA1-868E-94FF5021CE1D}">
    <Anchor>
      <Comment id="{470AC684-D80E-42E2-B335-B26FD5C57E1E}"/>
    </Anchor>
    <History>
      <Event time="2023-04-21T16:40:42.93" id="{973056C3-229F-485E-9AF1-3DBD527E64F2}">
        <Attribution userId="S::moriah.sevier@live.uvi.edu::61c67285-463f-45ca-9290-b5fee02dc1d1" userName="Moriah Sevier" userProvider="AD"/>
        <Anchor>
          <Comment id="{470AC684-D80E-42E2-B335-B26FD5C57E1E}"/>
        </Anchor>
        <Create/>
      </Event>
      <Event time="2023-04-21T16:40:42.93" id="{28DD77E8-B8BB-4706-9296-09FD351AEF85}">
        <Attribution userId="S::moriah.sevier@live.uvi.edu::61c67285-463f-45ca-9290-b5fee02dc1d1" userName="Moriah Sevier" userProvider="AD"/>
        <Anchor>
          <Comment id="{470AC684-D80E-42E2-B335-B26FD5C57E1E}"/>
        </Anchor>
        <Assign userId="S::kayla.budd@live.uvi.edu::3d01e861-fa1d-40a5-96cd-ff09cd1c8b8a" userName="Kayla Budd" userProvider="AD"/>
      </Event>
      <Event time="2023-04-21T16:40:42.93" id="{2A554F21-99E2-4E76-A5F3-2E809B73024E}">
        <Attribution userId="S::moriah.sevier@live.uvi.edu::61c67285-463f-45ca-9290-b5fee02dc1d1" userName="Moriah Sevier" userProvider="AD"/>
        <Anchor>
          <Comment id="{470AC684-D80E-42E2-B335-B26FD5C57E1E}"/>
        </Anchor>
        <SetTitle title="@Kayla Budd moe changed this from 2 to 3 @4/21/2023 noonish=after you gave to Krisitin Ewen......... because we were also counting them for dives 1 on 3/21 and 3/22. If Logans Tags/CWORI are not to be counted then they need to be removed from this and …"/>
      </Event>
      <Event time="2023-07-31T22:51:17.22" id="{FA9D8F6A-C11E-483E-9B36-227A91395189}">
        <Attribution userId="S::kayla.budd@live.uvi.edu::3d01e861-fa1d-40a5-96cd-ff09cd1c8b8a" userName="Kayla Budd" userProvider="AD"/>
        <Progress percentComplete="100"/>
      </Event>
    </History>
  </Task>
</Tasks>
</file>

<file path=xl/documenttasks/documenttask2.xml><?xml version="1.0" encoding="utf-8"?>
<Tasks xmlns="http://schemas.microsoft.com/office/tasks/2019/documenttasks">
  <Task id="{DE343EA0-DA58-46BC-A8AA-5166872F1736}">
    <Anchor>
      <Comment id="{D5CE3E6C-E06A-42A4-8C50-11CD30202953}"/>
    </Anchor>
    <History>
      <Event time="2023-10-10T20:03:10.29" id="{98AE5D0C-F7E8-4DD8-A979-5F2537B9DC4B}">
        <Attribution userId="S::moriah.sevier@live.uvi.edu::61c67285-463f-45ca-9290-b5fee02dc1d1" userName="Moriah Sevier" userProvider="AD"/>
        <Anchor>
          <Comment id="{D5CE3E6C-E06A-42A4-8C50-11CD30202953}"/>
        </Anchor>
        <Create/>
      </Event>
      <Event time="2023-10-10T20:03:10.29" id="{96CEC563-8DE8-4C53-A2CF-4573C416CE2E}">
        <Attribution userId="S::moriah.sevier@live.uvi.edu::61c67285-463f-45ca-9290-b5fee02dc1d1" userName="Moriah Sevier" userProvider="AD"/>
        <Anchor>
          <Comment id="{D5CE3E6C-E06A-42A4-8C50-11CD30202953}"/>
        </Anchor>
        <Assign userId="S::nicholas.durgadeen@live.uvi.edu::520bad66-20db-462c-a1c6-e2287ceef530" userName="Nicholas Durgadeen" userProvider="AD"/>
      </Event>
      <Event time="2023-10-10T20:03:10.29" id="{E7CC9FEE-F09D-4A60-8E00-83D081C685BD}">
        <Attribution userId="S::moriah.sevier@live.uvi.edu::61c67285-463f-45ca-9290-b5fee02dc1d1" userName="Moriah Sevier" userProvider="AD"/>
        <Anchor>
          <Comment id="{D5CE3E6C-E06A-42A4-8C50-11CD30202953}"/>
        </Anchor>
        <SetTitle title="@Nicholas Durgadeen this is the coral in your nontreatment file, before the syringe pics..was it treated ?"/>
      </Event>
    </History>
  </Task>
</Tasks>
</file>

<file path=xl/documenttasks/documenttask3.xml><?xml version="1.0" encoding="utf-8"?>
<Tasks xmlns="http://schemas.microsoft.com/office/tasks/2019/documenttasks">
  <Task id="{9470C5BD-2C3C-4551-9E0D-2E7DAB5E9465}">
    <Anchor>
      <Comment id="{976D0EC1-1398-4D2E-A6BB-1FCE498E01B5}"/>
    </Anchor>
    <History>
      <Event time="2023-08-16T17:27:52.23" id="{D2F7894C-14C9-4C9D-BEC6-0FEF05D4C3F5}">
        <Attribution userId="S::moriah.sevier@live.uvi.edu::61c67285-463f-45ca-9290-b5fee02dc1d1" userName="Moriah Sevier" userProvider="AD"/>
        <Anchor>
          <Comment id="{3B048A82-6A39-4D17-B519-BDEFB6698616}"/>
        </Anchor>
        <Create/>
      </Event>
      <Event time="2023-08-16T17:27:52.23" id="{4D87846A-D925-41ED-9C61-16ADE260D88C}">
        <Attribution userId="S::moriah.sevier@live.uvi.edu::61c67285-463f-45ca-9290-b5fee02dc1d1" userName="Moriah Sevier" userProvider="AD"/>
        <Anchor>
          <Comment id="{3B048A82-6A39-4D17-B519-BDEFB6698616}"/>
        </Anchor>
        <Assign userId="S::kayla.budd@live.uvi.edu::3d01e861-fa1d-40a5-96cd-ff09cd1c8b8a" userName="Kayla Budd" userProvider="AD"/>
      </Event>
      <Event time="2023-08-16T17:27:52.23" id="{5449C72C-CCCA-4E27-9C65-A1DD115A9C6F}">
        <Attribution userId="S::moriah.sevier@live.uvi.edu::61c67285-463f-45ca-9290-b5fee02dc1d1" userName="Moriah Sevier" userProvider="AD"/>
        <Anchor>
          <Comment id="{3B048A82-6A39-4D17-B519-BDEFB6698616}"/>
        </Anchor>
        <SetTitle title="yes these were values from our syringes which are in ml. I do not weigh out the waste so these are for sure all ml @Kayla Budd"/>
      </Event>
    </History>
  </Task>
</Tasks>
</file>

<file path=xl/documenttasks/documenttask4.xml><?xml version="1.0" encoding="utf-8"?>
<Tasks xmlns="http://schemas.microsoft.com/office/tasks/2019/documenttasks">
  <Task id="{1BB69A05-383E-45CB-A335-AD52A7143531}">
    <Anchor>
      <Comment id="{8CD20F47-49A6-48DC-AA57-85F4A7245125}"/>
    </Anchor>
    <History>
      <Event time="2023-09-22T20:07:36.33" id="{298FF268-4477-481C-83C5-B9AEFC12448A}">
        <Attribution userId="S::kayla.budd@live.uvi.edu::3d01e861-fa1d-40a5-96cd-ff09cd1c8b8a" userName="Kayla Budd" userProvider="AD"/>
        <Anchor>
          <Comment id="{8CD20F47-49A6-48DC-AA57-85F4A7245125}"/>
        </Anchor>
        <Create/>
      </Event>
      <Event time="2023-09-22T20:07:36.33" id="{ECFC8F69-3FB6-41D8-8F29-9F18B0F444C6}">
        <Attribution userId="S::kayla.budd@live.uvi.edu::3d01e861-fa1d-40a5-96cd-ff09cd1c8b8a" userName="Kayla Budd" userProvider="AD"/>
        <Anchor>
          <Comment id="{8CD20F47-49A6-48DC-AA57-85F4A7245125}"/>
        </Anchor>
        <Assign userId="S::moriah.sevier@live.uvi.edu::61c67285-463f-45ca-9290-b5fee02dc1d1" userName="Moriah Sevier" userProvider="AD"/>
      </Event>
      <Event time="2023-09-22T20:07:36.33" id="{42D93C19-B250-4DF0-B628-2F55DC005674}">
        <Attribution userId="S::kayla.budd@live.uvi.edu::3d01e861-fa1d-40a5-96cd-ff09cd1c8b8a" userName="Kayla Budd" userProvider="AD"/>
        <Anchor>
          <Comment id="{8CD20F47-49A6-48DC-AA57-85F4A7245125}"/>
        </Anchor>
        <SetTitle title="@Moriah Sevier ?"/>
      </Event>
    </History>
  </Task>
</Tasks>
</file>

<file path=xl/documenttasks/documenttask5.xml><?xml version="1.0" encoding="utf-8"?>
<Tasks xmlns="http://schemas.microsoft.com/office/tasks/2019/documenttasks">
  <Task id="{38E2E54B-4AF0-4323-92CD-A225A84F820D}">
    <Anchor>
      <Comment id="{04967C0A-0BC2-453A-A7E8-447DA09EB909}"/>
    </Anchor>
    <History>
      <Event time="2023-09-08T17:01:49.35" id="{DAFD4F16-8623-4476-B2D3-7792364FDBE3}">
        <Attribution userId="S::moriah.sevier@live.uvi.edu::61c67285-463f-45ca-9290-b5fee02dc1d1" userName="Moriah Sevier" userProvider="AD"/>
        <Anchor>
          <Comment id="{04967C0A-0BC2-453A-A7E8-447DA09EB909}"/>
        </Anchor>
        <Create/>
      </Event>
      <Event time="2023-09-08T17:01:49.35" id="{1E5906D8-A05F-46D5-A0D2-77C1B1AA45DA}">
        <Attribution userId="S::moriah.sevier@live.uvi.edu::61c67285-463f-45ca-9290-b5fee02dc1d1" userName="Moriah Sevier" userProvider="AD"/>
        <Anchor>
          <Comment id="{04967C0A-0BC2-453A-A7E8-447DA09EB909}"/>
        </Anchor>
        <Assign userId="S::avery.coble@live.uvi.edu::7a9ce62e-9704-4b8b-81ed-ff56ff63aaec" userName="Avery Coble" userProvider="AD"/>
      </Event>
      <Event time="2023-09-08T17:01:49.35" id="{D76F45FE-28C2-4A00-A2AC-02BD50117E8B}">
        <Attribution userId="S::moriah.sevier@live.uvi.edu::61c67285-463f-45ca-9290-b5fee02dc1d1" userName="Moriah Sevier" userProvider="AD"/>
        <Anchor>
          <Comment id="{04967C0A-0BC2-453A-A7E8-447DA09EB909}"/>
        </Anchor>
        <SetTitle title="@Avery Coble"/>
      </Event>
    </History>
  </Task>
  <Task id="{45BA3CD9-3B96-47C9-8260-CF81EC94066A}">
    <Anchor>
      <Comment id="{9941C266-5CEA-4510-A397-61D5197446C2}"/>
    </Anchor>
    <History>
      <Event time="2023-09-08T16:55:40.22" id="{0138A1DB-2937-4E81-AB9A-F9529D1279B5}">
        <Attribution userId="S::moriah.sevier@live.uvi.edu::61c67285-463f-45ca-9290-b5fee02dc1d1" userName="Moriah Sevier" userProvider="AD"/>
        <Anchor>
          <Comment id="{9941C266-5CEA-4510-A397-61D5197446C2}"/>
        </Anchor>
        <Create/>
      </Event>
      <Event time="2023-09-08T16:55:40.22" id="{878409E1-9EEB-41D6-8B00-C60F42FF5C6B}">
        <Attribution userId="S::moriah.sevier@live.uvi.edu::61c67285-463f-45ca-9290-b5fee02dc1d1" userName="Moriah Sevier" userProvider="AD"/>
        <Anchor>
          <Comment id="{9941C266-5CEA-4510-A397-61D5197446C2}"/>
        </Anchor>
        <Assign userId="S::avery.coble@live.uvi.edu::7a9ce62e-9704-4b8b-81ed-ff56ff63aaec" userName="Avery Coble" userProvider="AD"/>
      </Event>
      <Event time="2023-09-08T16:55:40.22" id="{CF4F912C-25A2-4D29-81A0-EA078CAFE984}">
        <Attribution userId="S::moriah.sevier@live.uvi.edu::61c67285-463f-45ca-9290-b5fee02dc1d1" userName="Moriah Sevier" userProvider="AD"/>
        <Anchor>
          <Comment id="{9941C266-5CEA-4510-A397-61D5197446C2}"/>
        </Anchor>
        <SetTitle title="@Avery Coble"/>
      </Event>
    </History>
  </Task>
</Tasks>
</file>

<file path=xl/persons/person.xml><?xml version="1.0" encoding="utf-8"?>
<personList xmlns="http://schemas.microsoft.com/office/spreadsheetml/2018/threadedcomments" xmlns:x="http://schemas.openxmlformats.org/spreadsheetml/2006/main">
  <person displayName="Sarah Von Hoene" id="{5FCCD6CC-35CE-4468-AF39-AF050FE6344E}" userId="sarah.vonhoene@uvi.edu" providerId="PeoplePicker"/>
  <person displayName="Kayla Budd" id="{D81F7DEF-1FB3-4144-BE8F-D35985FCE88D}" userId="kayla.budd@live.uvi.edu" providerId="PeoplePicker"/>
  <person displayName="Avery Coble" id="{1FF08066-103E-4C38-98BB-50C6FEB945CC}" userId="avery.coble@live.uvi.edu" providerId="PeoplePicker"/>
  <person displayName="Samuel Gittens" id="{1B12AAF7-51A4-4578-A81B-B3F73F6072C1}" userId="samuel.gittensjr@uvi.edu" providerId="PeoplePicker"/>
  <person displayName="Moriah Sevier" id="{4C157D84-253F-4A5D-81A7-5E28F9B5912A}" userId="moriah.sevier@live.uvi.edu" providerId="PeoplePicker"/>
  <person displayName="Sarah Von Hoene" id="{59DD7BF8-92F3-4AEA-B861-C2BBD134798C}" userId="sarah.vonhoene@live.uvi.edu" providerId="PeoplePicker"/>
  <person displayName="Amanda Badai" id="{31D4011B-52E3-4F73-A061-DE8DE34AECC3}" userId="amanda.badai@students.uvi.edu" providerId="PeoplePicker"/>
  <person displayName="Samuel Gittens" id="{50589AE9-21E1-4FF1-96C1-16058F4426E5}" userId="samuel.gittensjr@live.uvi.edu" providerId="PeoplePicker"/>
  <person displayName="Nicholas Durgadeen" id="{1FBC4EF8-395A-41CA-9DAE-AF3BDF4FDE6B}" userId="nicholas.durgadeen@live.uvi.edu" providerId="PeoplePicker"/>
  <person displayName="Kayla Budd" id="{9876B37A-2671-4314-A85D-D6246AE5AB73}" userId="S::kayla.budd@live.uvi.edu::3d01e861-fa1d-40a5-96cd-ff09cd1c8b8a" providerId="AD"/>
  <person displayName="Avery Coble" id="{8F50CE81-25E5-435F-89F8-224CE01F2D80}" userId="S::avery.coble@live.uvi.edu::7a9ce62e-9704-4b8b-81ed-ff56ff63aaec" providerId="AD"/>
  <person displayName="Moriah Sevier" id="{394F6116-0CA5-45B9-88DD-B71E71350AF1}" userId="S::moriah.sevier@live.uvi.edu::61c67285-463f-45ca-9290-b5fee02dc1d1" providerId="AD"/>
  <person displayName="Sarah Von Hoene" id="{305E52E7-80E0-4197-A450-0C59C05A9039}" userId="S::sarah.vonhoene@live.uvi.edu::159e09b3-bc5b-48df-bb64-250151ac8c16" providerId="AD"/>
  <person displayName="Amanda Badai" id="{2AF07BAA-2845-4AC8-A69B-4D436EABF0D6}" userId="S::amanda.badai@students.uvi.edu::48e7f348-a713-4256-a148-78381f8accca" providerId="AD"/>
  <person displayName="Samuel Gittens" id="{BD7545D3-0FE0-46A2-8D26-A29032E1BF95}" userId="S::samuel.gittensjr@live.uvi.edu::ea269047-131f-4b70-a70e-589b9b80ef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95" dT="2023-09-14T19:44:34.09" personId="{9876B37A-2671-4314-A85D-D6246AE5AB73}" id="{BB9152FC-8D13-4A70-8227-8E412D538D5D}">
    <text>So then this is probably length not width. Needs confirmation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14" dT="2023-10-16T14:31:40.05" personId="{9876B37A-2671-4314-A85D-D6246AE5AB73}" id="{BCB9F8DA-E340-4827-A0E4-9243F783C080}">
    <text>Inconsistencies with VICDAC database again. Need to verify/correct</text>
  </threadedComment>
  <threadedComment ref="AZ26" dT="2022-05-23T16:44:32.04" personId="{9876B37A-2671-4314-A85D-D6246AE5AB73}" id="{CB55C860-F30D-4B7B-BF93-85DA5F571612}" done="1">
    <text>OFRA -&gt; OFAV (note the vertical rows of bumps)</text>
  </threadedComment>
  <threadedComment ref="AZ26" dT="2022-05-23T16:59:27.96" personId="{9876B37A-2671-4314-A85D-D6246AE5AB73}" id="{7BCA0EF3-A8C0-412D-BEF8-3F2284FD7DD6}" parentId="{CB55C860-F30D-4B7B-BF93-85DA5F571612}">
    <text>@Sarah Von Hoene @Samuel Gittens</text>
    <mentions>
      <mention mentionpersonId="{5FCCD6CC-35CE-4468-AF39-AF050FE6344E}" mentionId="{497CBDAA-AC62-4A7C-B117-DC38DCC521AD}" startIndex="0" length="16"/>
      <mention mentionpersonId="{1B12AAF7-51A4-4578-A81B-B3F73F6072C1}" mentionId="{D15063A3-099B-4887-90A4-2576071311FC}" startIndex="17" length="15"/>
    </mentions>
  </threadedComment>
  <threadedComment ref="AZ26" dT="2022-05-23T18:47:25.10" personId="{BD7545D3-0FE0-46A2-8D26-A29032E1BF95}" id="{98A73C25-3918-422E-9ED5-BB32BDE5FB4D}" parentId="{CB55C860-F30D-4B7B-BF93-85DA5F571612}">
    <text xml:space="preserve">Ohh yes I do notice now ! thank you </text>
  </threadedComment>
  <threadedComment ref="V28" dT="2022-05-23T16:59:06.49" personId="{9876B37A-2671-4314-A85D-D6246AE5AB73}" id="{C30A5955-BF08-4DC7-9788-0876A028369B}" done="1">
    <text>2 according to M.S. notes, 1 with SCTLD &amp; 1 with suspected SCTLD @Sarah Von Hoene @Samuel Gittens</text>
    <mentions>
      <mention mentionpersonId="{5FCCD6CC-35CE-4468-AF39-AF050FE6344E}" mentionId="{1E7533DC-9397-4B4D-8B38-BEB19EAA09F3}" startIndex="65" length="16"/>
      <mention mentionpersonId="{1B12AAF7-51A4-4578-A81B-B3F73F6072C1}" mentionId="{581AD776-C8AC-479F-B582-91FB896AAEEE}" startIndex="82" length="15"/>
    </mentions>
  </threadedComment>
  <threadedComment ref="V28" dT="2022-05-23T18:52:05.30" personId="{BD7545D3-0FE0-46A2-8D26-A29032E1BF95}" id="{DA47237A-80FD-4F26-B5B2-D56162CC7CA4}" parentId="{C30A5955-BF08-4DC7-9788-0876A028369B}">
    <text xml:space="preserve">Ohh snap thank you, missed that detail </text>
  </threadedComment>
  <threadedComment ref="BP42" dT="2022-05-23T17:46:34.66" personId="{9876B37A-2671-4314-A85D-D6246AE5AB73}" id="{89C4F1DF-BC21-4DA4-9281-6A9648C4AAF6}" done="1">
    <text>19 -&gt; 16
When there are a bunch of small pieces look closely, they are likely one single colony that has been divided by partial mortality. This is where backing up away from the coral for photos is KEY.</text>
  </threadedComment>
  <threadedComment ref="BE46" dT="2022-05-24T01:39:13.72" personId="{9876B37A-2671-4314-A85D-D6246AE5AB73}" id="{A85349CC-7F3B-4CA1-94B4-8C12B6F82221}" done="1">
    <text>0 -&gt; 1
@Sarah Von Hoene (I initially labelled this as SSID as well, but there are not 4 quality photos of the colony. So, I referenced the Diver's log of treated corals and used their in person ID. It's not ideal, but probably better than relying on the photo here.)</text>
    <mentions>
      <mention mentionpersonId="{5FCCD6CC-35CE-4468-AF39-AF050FE6344E}" mentionId="{30E9A1A6-CA6C-4F80-A3D6-CF78DC7ABF65}" startIndex="7" length="16"/>
    </mentions>
  </threadedComment>
  <threadedComment ref="G47" dT="2022-05-24T02:35:29.50" personId="{9876B37A-2671-4314-A85D-D6246AE5AB73}" id="{AF9EF253-14F6-4F61-B031-67A1CF081B45}" done="1">
    <text>Photos uploaded into wrong folder. Cinnamon Bay photos included in this count were removed</text>
  </threadedComment>
  <threadedComment ref="BQ47" dT="2022-05-24T02:30:04.89" personId="{9876B37A-2671-4314-A85D-D6246AE5AB73}" id="{F9826FAF-07A1-41DE-B53B-C981167510D1}" done="1">
    <text>Noted deleted. This dive was only KB &amp; SG</text>
  </threadedComment>
  <threadedComment ref="BR47" dT="2022-05-24T02:17:46.56" personId="{9876B37A-2671-4314-A85D-D6246AE5AB73}" id="{A0248B46-B890-4B69-9C4C-8FEBFDE7DFD0}" done="1">
    <text>Tag # was not listed @Sarah Von Hoene</text>
    <mentions>
      <mention mentionpersonId="{5FCCD6CC-35CE-4468-AF39-AF050FE6344E}" mentionId="{BF72315D-B5BF-4E1D-8D76-94CD7C5802DE}" startIndex="21" length="16"/>
    </mentions>
  </threadedComment>
  <threadedComment ref="BR49" dT="2022-05-24T03:12:55.99" personId="{9876B37A-2671-4314-A85D-D6246AE5AB73}" id="{938BF9D8-C4C4-494C-8E28-9B13752EA49E}" done="1">
    <text>4119 is not in Cinnamon Bay</text>
  </threadedComment>
  <threadedComment ref="AY50" dT="2022-06-13T15:38:45.26" personId="{BD7545D3-0FE0-46A2-8D26-A29032E1BF95}" id="{104E972F-0FCC-45FF-97F2-3D3A2D304D6F}" done="1">
    <text>0-&gt;1</text>
  </threadedComment>
  <threadedComment ref="AY50" dT="2022-06-13T16:29:52.27" personId="{9876B37A-2671-4314-A85D-D6246AE5AB73}" id="{E345B8EA-9B08-4E10-8F5A-D0FB3D490927}" parentId="{104E972F-0FCC-45FF-97F2-3D3A2D304D6F}">
    <text>Questionable coral. Going with initial diver ID of OFAV</text>
  </threadedComment>
  <threadedComment ref="AY50" dT="2022-06-13T16:35:55.14" personId="{BD7545D3-0FE0-46A2-8D26-A29032E1BF95}" id="{9B8D6729-D9A1-4CDB-910F-DAFEF7A3A481}" parentId="{104E972F-0FCC-45FF-97F2-3D3A2D304D6F}">
    <text>ahh okay :)</text>
  </threadedComment>
  <threadedComment ref="AR52" dT="2022-07-25T12:07:08.18" personId="{9876B37A-2671-4314-A85D-D6246AE5AB73}" id="{26FFE50C-5092-4EDA-A240-CC29A8C50827}" done="1">
    <text>1-&gt;0
I think what you counted as a CNAT is the Mycetophilia</text>
  </threadedComment>
  <threadedComment ref="BH68" dT="2022-07-08T22:05:40.34" personId="{305E52E7-80E0-4197-A450-0C59C05A9039}" id="{3BB34AFE-4E39-4300-AB71-F744A5471003}" done="1">
    <text xml:space="preserve">@Samuel Gittens what is this other? In the future, if you count an "other" note the species name in the notes section. Thanks!
</text>
    <mentions>
      <mention mentionpersonId="{50589AE9-21E1-4FF1-96C1-16058F4426E5}" mentionId="{072580D8-4932-4FBD-9693-C5531744CE80}" startIndex="0" length="15"/>
    </mentions>
  </threadedComment>
  <threadedComment ref="BH68" dT="2022-07-20T13:22:31.89" personId="{9876B37A-2671-4314-A85D-D6246AE5AB73}" id="{192F15C2-F09B-4D33-BA4A-27B46C823A99}" parentId="{3BB34AFE-4E39-4300-AB71-F744A5471003}">
    <text>Yes, please put the species name in the note. I did not count an "other" species. So, I'm changing this to 0</text>
  </threadedComment>
  <threadedComment ref="L69" dT="2022-07-20T15:43:32.51" personId="{9876B37A-2671-4314-A85D-D6246AE5AB73}" id="{E734D5DF-3BD4-4F0E-9878-BC3A0EF81461}" done="1">
    <text xml:space="preserve">Make sure when you enter and when you QAQC, you are checking the Non-Treatment folder for any stray treatment photos that were accidently put there. There were quite a few for Elk Bay, Dive1 that were missed this way. </text>
  </threadedComment>
  <threadedComment ref="H75" dT="2022-07-21T12:09:06.20" personId="{9876B37A-2671-4314-A85D-D6246AE5AB73}" id="{B611D790-D0B9-475F-AD86-FE8833953F29}" done="1">
    <text>When entering and during QAQC, make sure to fill in the latitude and longitude using the site info in the Metadata tab</text>
  </threadedComment>
  <threadedComment ref="BH75" dT="2022-07-21T19:42:48.16" personId="{9876B37A-2671-4314-A85D-D6246AE5AB73}" id="{BCA726D3-E922-45F4-9CF1-12881616AC0A}" done="1">
    <text>2 -&gt; 0
When there are other species treated, please list them in the Notes in addition to tallying them here.</text>
  </threadedComment>
  <threadedComment ref="BA76" dT="2022-07-08T23:14:15.83" personId="{305E52E7-80E0-4197-A450-0C59C05A9039}" id="{53670406-116F-4E72-873C-D9302C277B23}" done="1">
    <text xml:space="preserve">Can we get a second check on all the orbicellas this day? I have 6 Orb spp., 6 Ofra, 11 Ofav -- Sam's counts are entered. @Moriah Sevier </text>
    <mentions>
      <mention mentionpersonId="{4C157D84-253F-4A5D-81A7-5E28F9B5912A}" mentionId="{1A50ABF2-E7B2-4A2B-AEFF-59F04601A820}" startIndex="122" length="14"/>
    </mentions>
  </threadedComment>
  <threadedComment ref="BA76" dT="2022-07-13T16:05:27.93" personId="{305E52E7-80E0-4197-A450-0C59C05A9039}" id="{36DFD56A-05CB-47D0-BD74-D7019E95C9EA}" parentId="{53670406-116F-4E72-873C-D9302C277B23}">
    <text xml:space="preserve">@Moriah Sevier friendly reminder to give us a third count when you get a chance. :) </text>
    <mentions>
      <mention mentionpersonId="{4C157D84-253F-4A5D-81A7-5E28F9B5912A}" mentionId="{C946734C-65C4-4179-825F-FBAFC9385BC7}" startIndex="0" length="14"/>
    </mentions>
  </threadedComment>
  <threadedComment ref="BA76" dT="2022-07-21T20:39:42.37" personId="{9876B37A-2671-4314-A85D-D6246AE5AB73}" id="{C555F234-364E-4B7C-BD0E-C8523E1A8578}" parentId="{53670406-116F-4E72-873C-D9302C277B23}">
    <text>19 -&gt; 21
I have 0 OX, 2 OFRA, 21 OFAV, &amp; 3 OA</text>
  </threadedComment>
  <threadedComment ref="BA81" dT="2022-07-06T15:54:07.02" personId="{BD7545D3-0FE0-46A2-8D26-A29032E1BF95}" id="{A3B0AEB1-1131-4C3B-A238-ED8480D602C9}" done="1">
    <text xml:space="preserve">@Sarah Von Hoene  did you treat the last OFAV from your pictures ? I did not see an after photo with treatment on it. </text>
    <mentions>
      <mention mentionpersonId="{59DD7BF8-92F3-4AEA-B861-C2BBD134798C}" mentionId="{51CD0902-00A5-44D8-A3EC-8DF4D9144557}" startIndex="0" length="16"/>
    </mentions>
  </threadedComment>
  <threadedComment ref="BA81" dT="2022-07-07T17:03:29.27" personId="{305E52E7-80E0-4197-A450-0C59C05A9039}" id="{C5113190-A744-4EBA-AE7A-2CD004EA34A8}" parentId="{A3B0AEB1-1131-4C3B-A238-ED8480D602C9}">
    <text xml:space="preserve">No, I think those were predation marks. I moved the photos to non-treatment. 
</text>
  </threadedComment>
  <threadedComment ref="BA81" dT="2022-07-07T17:13:50.25" personId="{BD7545D3-0FE0-46A2-8D26-A29032E1BF95}" id="{9DEBC915-5471-4204-876A-A25E9B919751}" parentId="{A3B0AEB1-1131-4C3B-A238-ED8480D602C9}">
    <text xml:space="preserve">Ohh okay thanks </text>
  </threadedComment>
  <threadedComment ref="BB82" dT="2022-07-22T15:42:50.33" personId="{9876B37A-2671-4314-A85D-D6246AE5AB73}" id="{9639981A-6FB4-47A4-948F-1C0C83E61309}" done="1">
    <text>0 -&gt; 1
There was a lobey, OANN/OFAV looking thing that I think was counted as an OANN</text>
  </threadedComment>
  <threadedComment ref="AQ86" dT="2022-07-11T13:28:20.45" personId="{305E52E7-80E0-4197-A450-0C59C05A9039}" id="{C8F45217-2919-4C44-A205-87B0DE5B3E0E}" done="1">
    <text xml:space="preserve">4 -&gt; 3, the one Kayla treated is the same as the one I treated
</text>
  </threadedComment>
  <threadedComment ref="L87" dT="2022-07-11T13:34:06.18" personId="{305E52E7-80E0-4197-A450-0C59C05A9039}" id="{DC228FEF-170E-4842-A2E9-D3D174BDE659}" done="1">
    <text>Waiting for Kayla's photo uploads for all 6/14 and 6/15 dives. Will do QAQC once everything's uploaded.</text>
  </threadedComment>
  <threadedComment ref="L87" dT="2022-07-20T12:39:52.42" personId="{9876B37A-2671-4314-A85D-D6246AE5AB73}" id="{DA678D86-E1F0-4D44-867A-B9FC85E56426}" parentId="{DC228FEF-170E-4842-A2E9-D3D174BDE659}">
    <text>Photos are in!</text>
  </threadedComment>
  <threadedComment ref="L87" dT="2022-07-20T20:38:19.94" personId="{BD7545D3-0FE0-46A2-8D26-A29032E1BF95}" id="{EBCB4BE7-BC75-4B9E-8957-B770BE1E42BB}" parentId="{DC228FEF-170E-4842-A2E9-D3D174BDE659}">
    <text xml:space="preserve">Yes I inputted the data from Kayla's photos for 6/14 and 6/15 so you should be able to QAQC when you are ready </text>
  </threadedComment>
  <threadedComment ref="L87" dT="2022-07-22T20:02:08.04" personId="{9876B37A-2671-4314-A85D-D6246AE5AB73}" id="{BA1E6DD3-473D-4083-B5A4-26A47570AC7B}" parentId="{DC228FEF-170E-4842-A2E9-D3D174BDE659}">
    <text>QAQC in progress</text>
  </threadedComment>
  <threadedComment ref="L87" dT="2022-07-23T01:46:38.21" personId="{9876B37A-2671-4314-A85D-D6246AE5AB73}" id="{BF9EB2A9-5381-486B-BEA9-679F48C00B06}" parentId="{DC228FEF-170E-4842-A2E9-D3D174BDE659}">
    <text>done</text>
  </threadedComment>
  <threadedComment ref="AY93" dT="2022-07-23T15:42:05.44" personId="{9876B37A-2671-4314-A85D-D6246AE5AB73}" id="{D9984715-710B-4C58-8A94-54D6CBC501A8}" done="1">
    <text>1 -&gt;0
Debatable, but I think this was one of those weird lobey OFAVs</text>
  </threadedComment>
  <threadedComment ref="AO98" dT="2022-07-18T20:27:46.09" personId="{BD7545D3-0FE0-46A2-8D26-A29032E1BF95}" id="{2C08DD67-A205-4002-9C40-432B46D52D84}" done="1">
    <text>0-&gt;1</text>
  </threadedComment>
  <threadedComment ref="AO98" dT="2022-07-24T16:03:59.88" personId="{9876B37A-2671-4314-A85D-D6246AE5AB73}" id="{EEE88C1F-3E95-4CFA-B428-85D8786F1EBB}" parentId="{2C08DD67-A205-4002-9C40-432B46D52D84}">
    <text>-&gt;0 I think what you are counting as AGGspp is actually the PAST. It's a dark plating form when they are usually yellow, mounding, and bumpy.</text>
  </threadedComment>
  <threadedComment ref="N99" dT="2022-08-12T19:02:54.18" personId="{9876B37A-2671-4314-A85D-D6246AE5AB73}" id="{18DA531E-8654-4FF3-9983-4A403AEFA572}" done="1">
    <text>2-&gt;3
Include "visitor" divers in the count</text>
  </threadedComment>
  <threadedComment ref="N99" dT="2022-09-02T18:12:58.15" personId="{305E52E7-80E0-4197-A450-0C59C05A9039}" id="{E42853B8-4440-476D-85DB-85D898112638}" parentId="{18DA531E-8654-4FF3-9983-4A403AEFA572}">
    <text>@Kayla Budd what if they don't help treat? Asking about whether I should count Tasha or not, looks like she only had non-treatment photos</text>
    <mentions>
      <mention mentionpersonId="{D81F7DEF-1FB3-4144-BE8F-D35985FCE88D}" mentionId="{5586E30E-1B5E-4444-846F-7403338018D4}" startIndex="0" length="11"/>
    </mentions>
  </threadedComment>
  <threadedComment ref="N99" dT="2022-09-09T16:18:49.32" personId="{9876B37A-2671-4314-A85D-D6246AE5AB73}" id="{51E05014-A2CC-4DF0-8591-2DF35E2C6770}" parentId="{18DA531E-8654-4FF3-9983-4A403AEFA572}">
    <text>Yes include them if they were present on the treatment dive</text>
  </threadedComment>
  <threadedComment ref="N99" dT="2022-09-14T17:27:55.58" personId="{9876B37A-2671-4314-A85D-D6246AE5AB73}" id="{E24CBF5B-847A-4281-87DE-C4C5693B595C}" parentId="{18DA531E-8654-4FF3-9983-4A403AEFA572}">
    <text>@Sarah Von Hoene are Davis's treatment photos on your camera?</text>
    <mentions>
      <mention mentionpersonId="{59DD7BF8-92F3-4AEA-B861-C2BBD134798C}" mentionId="{C1D6E081-942B-4997-8D31-07ABA125115E}" startIndex="0" length="16"/>
    </mentions>
  </threadedComment>
  <threadedComment ref="N99" dT="2022-09-18T01:02:37.93" personId="{9876B37A-2671-4314-A85D-D6246AE5AB73}" id="{BF55AF6E-0ABB-4E4F-9518-AC039C60EDC0}" parentId="{18DA531E-8654-4FF3-9983-4A403AEFA572}">
    <text>Nevermind, I found the note. Please remember to list all divers in the file names when sharing a camera. Thanks!</text>
  </threadedComment>
  <threadedComment ref="BA107" dT="2022-10-05T15:33:29.76" personId="{9876B37A-2671-4314-A85D-D6246AE5AB73}" id="{8C1873BE-F1A1-455F-8032-491839E24715}" done="1">
    <text>Switched Ofr with OFa</text>
  </threadedComment>
  <threadedComment ref="AZ109" dT="2022-10-05T18:38:31.33" personId="{9876B37A-2671-4314-A85D-D6246AE5AB73}" id="{D2845746-24E3-42DA-A767-25F13AA0CB67}" done="1">
    <text>Switched ofr w/ ofa</text>
  </threadedComment>
  <threadedComment ref="BQ113" dT="2022-10-05T20:03:32.65" personId="{9876B37A-2671-4314-A85D-D6246AE5AB73}" id="{9F4B39A6-D59D-42CD-854F-D47724390E27}" done="1">
    <text>P17155365 from Mo's photos is S. radians. Good catch!</text>
  </threadedComment>
  <threadedComment ref="BP124" dT="2022-10-17T17:25:07.94" personId="{9876B37A-2671-4314-A85D-D6246AE5AB73}" id="{6427E584-57F8-4EB6-A9BB-61E5E326CABF}" done="1">
    <text>40-&gt;39
This one was a mess bc of the coral treated by multiple people AND on multiple dives</text>
  </threadedComment>
  <threadedComment ref="BR124" dT="2022-10-17T17:16:46.46" personId="{9876B37A-2671-4314-A85D-D6246AE5AB73}" id="{FBF0109B-7F17-46F5-AAA5-B07A7403E795}" done="1">
    <text>Please read the metadata regarding this column. I've edited it to be more clear</text>
  </threadedComment>
  <threadedComment ref="BP128" dT="2022-10-18T18:12:09.98" personId="{9876B37A-2671-4314-A85D-D6246AE5AB73}" id="{26E32F96-77DF-4B36-A43C-1DD2B6F60E0C}" done="1">
    <text>Total count was off by -7 (26)</text>
  </threadedComment>
  <threadedComment ref="BP129" dT="2022-10-18T19:01:49.73" personId="{9876B37A-2671-4314-A85D-D6246AE5AB73}" id="{E1A4CFFB-68EA-4E27-89B6-1E41C833DC50}" done="1">
    <text>I'm not sure what happened here. Orbicellids and 1 CNAT were counted when only Pseudodiploria species appear in treatment files</text>
  </threadedComment>
  <threadedComment ref="BR154" dT="2022-10-23T01:46:36.23" personId="{9876B37A-2671-4314-A85D-D6246AE5AB73}" id="{19FDD775-BBCB-49F2-9342-69F72CACC0F8}" done="1">
    <text>Revisited tags go here even if they arent ours</text>
  </threadedComment>
  <threadedComment ref="AT157" dT="2022-10-24T16:34:15.55" personId="{9876B37A-2671-4314-A85D-D6246AE5AB73}" id="{6B87275C-F0B0-467F-B90E-355AE6E72EDA}" done="1">
    <text xml:space="preserve">Mo's camera died and her notes mention more corals that weren't recorded anywhere. She had them in her dive log. 
Make sure to read dive notes so these aren't missed.
</text>
  </threadedComment>
  <threadedComment ref="BQ157" dT="2023-10-27T13:19:23.61" personId="{9876B37A-2671-4314-A85D-D6246AE5AB73}" id="{8D91108B-F72B-4B81-833E-6FD089864DB7}">
    <text>Other is 0. What's going on here?</text>
  </threadedComment>
  <threadedComment ref="N182" dT="2022-11-08T17:25:08.95" personId="{9876B37A-2671-4314-A85D-D6246AE5AB73}" id="{23B50B21-A598-47C6-AAD3-0E32266BBCF5}" done="1">
    <text>@Sarah Von Hoene please check to see if you had photos or did any treatment for this dive. 
When entering data, please make sure all divers have photos uploaded or have indicated that they did not take photos.</text>
    <mentions>
      <mention mentionpersonId="{59DD7BF8-92F3-4AEA-B861-C2BBD134798C}" mentionId="{2BC0E691-5140-4406-A6B6-935884C3DEAC}" startIndex="0" length="16"/>
    </mentions>
  </threadedComment>
  <threadedComment ref="BP228" dT="2023-01-04T23:00:48.47" personId="{9876B37A-2671-4314-A85D-D6246AE5AB73}" id="{70E7B059-06FA-43EF-A52F-8540F2DA8D44}" done="1">
    <text xml:space="preserve">had a really hard time w/ MS photo IDs, OA count might be off (SVH 12/27) </text>
  </threadedComment>
  <threadedComment ref="G266" dT="2023-03-03T13:27:28.39" personId="{BD7545D3-0FE0-46A2-8D26-A29032E1BF95}" id="{2EDE7F17-B655-4AE8-83DF-E9A75E4A1D7F}" done="1">
    <text>Haulover South</text>
  </threadedComment>
  <threadedComment ref="G267" dT="2023-03-03T13:27:28.39" personId="{BD7545D3-0FE0-46A2-8D26-A29032E1BF95}" id="{92D92F67-6D95-43CC-87DB-E902A0C22D5E}" done="1">
    <text>Haulover South</text>
  </threadedComment>
  <threadedComment ref="BQ267" dT="2023-04-11T20:52:18.73" personId="{9876B37A-2671-4314-A85D-D6246AE5AB73}" id="{3712F9B7-4BF7-4B32-B3F7-42D349E7FA72}" done="1">
    <text>I added the CNAT that was collected on a NonTreatment dive here</text>
  </threadedComment>
  <threadedComment ref="P273" dT="2023-04-13T17:18:48.94" personId="{9876B37A-2671-4314-A85D-D6246AE5AB73}" id="{4B7B3839-B4ED-4AAE-8626-C401995CE07F}" done="1">
    <text>Estimated from photos</text>
  </threadedComment>
  <threadedComment ref="BQ310" dT="2023-04-21T16:48:58.33" personId="{394F6116-0CA5-45B9-88DD-B71E71350AF1}" id="{5A8086DD-83E8-476F-8D7E-68A85C4CE579}" done="1">
    <text xml:space="preserve">@Kayla Budd please remove 926 and reduce the total # of tags by one (unless we are also removing CWORI tags adn then reduce the total by 2) I have found no pics of 926, and what you state is 926 in your notes is shown to be 920 in my photos. </text>
    <mentions>
      <mention mentionpersonId="{D81F7DEF-1FB3-4144-BE8F-D35985FCE88D}" mentionId="{9EB7AAF1-52B6-4333-A3B3-9E2D90303DCC}" startIndex="0" length="11"/>
    </mentions>
  </threadedComment>
  <threadedComment ref="BQ310" dT="2023-07-31T22:45:37.68" personId="{9876B37A-2671-4314-A85D-D6246AE5AB73}" id="{43B05C82-4736-4119-8DB5-ED7E8B579DFF}" parentId="{5A8086DD-83E8-476F-8D7E-68A85C4CE579}">
    <text>@Moriah Sevier nothing other than this comment indicated that a change needed to be made. I just saw this and made the correction</text>
    <mentions>
      <mention mentionpersonId="{4C157D84-253F-4A5D-81A7-5E28F9B5912A}" mentionId="{649C0693-E057-4D59-AA3B-609A95B98C6A}" startIndex="0" length="14"/>
    </mentions>
  </threadedComment>
  <threadedComment ref="M313" dT="2023-04-21T16:40:42.38" personId="{394F6116-0CA5-45B9-88DD-B71E71350AF1}" id="{470AC684-D80E-42E2-B335-B26FD5C57E1E}" done="1">
    <text xml:space="preserve">@Kayla Budd moe changed this from 2 to 3 @4/21/2023 noonish=after you gave to Krisitin Ewen......... because we were also counting them for dives 1 on 3/21 and 3/22. If Logans Tags/CWORI are not to be counted then they need to be removed from this and the other 2 counts i have made notes on 
</text>
    <mentions>
      <mention mentionpersonId="{D81F7DEF-1FB3-4144-BE8F-D35985FCE88D}" mentionId="{429E845F-0262-437E-B6B1-D295F533D688}" startIndex="0" length="11"/>
    </mentions>
  </threadedComment>
  <threadedComment ref="M313" dT="2023-06-29T15:58:39.42" personId="{9876B37A-2671-4314-A85D-D6246AE5AB73}" id="{4CF59D14-6408-42DB-ACD8-95F711F6C354}" parentId="{470AC684-D80E-42E2-B335-B26FD5C57E1E}">
    <text>CWORI tags can be included here going forward because they are not recorded elsewhere</text>
  </threadedComment>
  <threadedComment ref="M313" dT="2023-07-19T13:09:36.45" personId="{394F6116-0CA5-45B9-88DD-B71E71350AF1}" id="{DF4D49AC-5D1F-4140-AB6B-676AA36D5C29}" parentId="{470AC684-D80E-42E2-B335-B26FD5C57E1E}">
    <text>WINNING!</text>
  </threadedComment>
  <threadedComment ref="BQ313" dT="2023-04-21T16:55:20.18" personId="{394F6116-0CA5-45B9-88DD-B71E71350AF1}" id="{862F5B52-5289-4B3E-828A-336BFB01D1DC}" done="1">
    <text>@Kayla Budd please chagne 841 to be 941 as shown in our pics</text>
    <mentions>
      <mention mentionpersonId="{D81F7DEF-1FB3-4144-BE8F-D35985FCE88D}" mentionId="{6702CD3C-ED20-46CC-8A8D-F7BC88AD8539}" startIndex="0" length="11"/>
    </mentions>
  </threadedComment>
  <threadedComment ref="BQ313" dT="2023-07-31T22:51:56.02" personId="{9876B37A-2671-4314-A85D-D6246AE5AB73}" id="{4657EB78-996E-49C7-A7FC-1BBB43FB0A22}" parentId="{862F5B52-5289-4B3E-828A-336BFB01D1DC}">
    <text>@Moriah Sevier nothing other than this comment indicated that a change needed to be made. I just saw this and made the correction</text>
  </threadedComment>
  <threadedComment ref="BQ335" dT="2023-07-04T22:01:52.53" personId="{9876B37A-2671-4314-A85D-D6246AE5AB73}" id="{0E3D1185-7373-4A07-B252-87371530315E}">
    <text>Please do not put instructions for our team in the sheet. This data is shared.</text>
  </threadedComment>
  <threadedComment ref="BQ335" dT="2023-07-04T22:02:09.51" personId="{9876B37A-2671-4314-A85D-D6246AE5AB73}" id="{FCAEE60F-CE1B-469B-8B3F-1AFC3F27B4A9}" parentId="{0E3D1185-7373-4A07-B252-87371530315E}">
    <text>"pull DCYL w/p from nontreatment pic p4207743"</text>
  </threadedComment>
  <threadedComment ref="BR349" dT="2023-07-20T19:49:52.60" personId="{394F6116-0CA5-45B9-88DD-B71E71350AF1}" id="{6FBC0619-9602-49D0-A63A-434FD865F788}" done="1">
    <text xml:space="preserve">@Nicholas Durgadeen please make sure you are taking note of all corals with tags so that they can all get entered here. IF there was a new tag installed it would go to the left in column "notes". The t-stick pictures even when a coral is not treated must be accounted for here (unless new tag). This is the only place not treated but visited tagged /T sticked are noted and these notes are used for checking which T stick photographs should be uploaded at full resolution for fate tracking by Kayla and Avery. This is how Kayla and Avery hunt down photos that should have been uploaded (full resolution to fate tracking ) by us if we fail to do so. All these colums on the far right are important
:)
</text>
    <mentions>
      <mention mentionpersonId="{1FBC4EF8-395A-41CA-9DAE-AF3BDF4FDE6B}" mentionId="{9FF4CF63-00AC-46B7-8614-F394130AF01D}" startIndex="0" length="19"/>
    </mentions>
  </threadedComment>
  <threadedComment ref="BO352" dT="2023-07-26T15:04:46.40" personId="{394F6116-0CA5-45B9-88DD-B71E71350AF1}" id="{B566AC36-8E3B-4ADA-85CA-3544D3A2BEC0}">
    <text xml:space="preserve">this is correct now, going to put my initials on the QAQC numbers match now 
</text>
  </threadedComment>
  <threadedComment ref="BO352" dT="2023-07-26T15:05:46.88" personId="{394F6116-0CA5-45B9-88DD-B71E71350AF1}" id="{06566D62-6059-4A4B-BCD2-2436169A7285}" parentId="{B566AC36-8E3B-4ADA-85CA-3544D3A2BEC0}">
    <text>This coral is treated and amputated so the summ all should still be 23 not 24
unless it counts as 2 interventions then it should be 24</text>
  </threadedComment>
  <threadedComment ref="BO352" dT="2023-07-26T15:06:05.90" personId="{394F6116-0CA5-45B9-88DD-B71E71350AF1}" id="{50644624-033F-4ABF-9216-A992EFD3DE47}" parentId="{B566AC36-8E3B-4ADA-85CA-3544D3A2BEC0}">
    <text xml:space="preserve">@Kayla Budd </text>
    <mentions>
      <mention mentionpersonId="{D81F7DEF-1FB3-4144-BE8F-D35985FCE88D}" mentionId="{56DD29B4-14DA-4386-A2ED-4A8E92C6ABF2}" startIndex="0" length="11"/>
    </mentions>
  </threadedComment>
  <threadedComment ref="BO352" dT="2023-07-31T22:54:34.61" personId="{9876B37A-2671-4314-A85D-D6246AE5AB73}" id="{4D31B0DB-DD2F-4FA9-AA1F-D220D28C927F}" parentId="{B566AC36-8E3B-4ADA-85CA-3544D3A2BEC0}">
    <text>We may have discussed already, but all amputations should also receive treatment on the wound.</text>
  </threadedComment>
  <threadedComment ref="BR362" dT="2023-07-12T13:57:12.37" personId="{394F6116-0CA5-45B9-88DD-B71E71350AF1}" id="{083D9799-6EE1-4562-8DE1-C57A3AA82F2D}">
    <text>@Kayla Budd The dcyl here should have CWORI tags because we have collected from 2 or 3 now. Did we install tags?</text>
    <mentions>
      <mention mentionpersonId="{D81F7DEF-1FB3-4144-BE8F-D35985FCE88D}" mentionId="{C9FFD889-1B2B-4011-AA7C-3CBA5CB3908E}" startIndex="0" length="11"/>
    </mentions>
  </threadedComment>
  <threadedComment ref="BR362" dT="2023-07-12T14:15:39.12" personId="{9876B37A-2671-4314-A85D-D6246AE5AB73}" id="{45152BAC-AED8-4B47-A8FB-7B855261E2E1}" parentId="{083D9799-6EE1-4562-8DE1-C57A3AA82F2D}">
    <text xml:space="preserve">need to check photos or dive notes. i don't know from memory. some dcyls there do have tags. </text>
  </threadedComment>
  <threadedComment ref="BL369" dT="2023-07-18T17:27:26.34" personId="{394F6116-0CA5-45B9-88DD-B71E71350AF1}" id="{2E90DD3D-9B54-43C0-A439-79F717C89AA4}">
    <text xml:space="preserve">@Amanda Badai @Kayla Budd corals that get collected for CWORI or any other entity are not fragments of opportunity...instead they go under the "coral collection" column ~ 8 columns to the right in this tab. I have changed this here to now be correct. 
</text>
    <mentions>
      <mention mentionpersonId="{31D4011B-52E3-4F73-A061-DE8DE34AECC3}" mentionId="{B22E5471-AB61-4CB8-8EFE-9BCF20DC07CA}" startIndex="0" length="13"/>
      <mention mentionpersonId="{D81F7DEF-1FB3-4144-BE8F-D35985FCE88D}" mentionId="{E2E0BA52-3D4C-4A0D-BCDB-E65D9366DCF8}" startIndex="14" length="11"/>
    </mentions>
  </threadedComment>
  <threadedComment ref="BL369" dT="2023-07-31T22:56:05.82" personId="{9876B37A-2671-4314-A85D-D6246AE5AB73}" id="{D339023E-264E-4EEB-BD02-AECB25311D25}" parentId="{2E90DD3D-9B54-43C0-A439-79F717C89AA4}">
    <text xml:space="preserve">These are also usually counted as a cull or an amputation. </text>
  </threadedComment>
  <threadedComment ref="R371" dT="2023-07-19T14:21:58.95" personId="{394F6116-0CA5-45B9-88DD-B71E71350AF1}" id="{4F1259A3-E1C7-4A37-AED2-0B21F93C3226}" done="1">
    <text>cull of dying mmea went to CWORI in heart bag</text>
  </threadedComment>
  <threadedComment ref="BU371" dT="2023-07-19T14:25:37.39" personId="{394F6116-0CA5-45B9-88DD-B71E71350AF1}" id="{45F6E6C7-28D1-4C5A-AB69-E3C483E771BE}" done="1">
    <text xml:space="preserve">the mmea that was in the heart bag that went to CWORI
</text>
  </threadedComment>
  <threadedComment ref="R372" dT="2023-07-31T22:19:55.14" personId="{9876B37A-2671-4314-A85D-D6246AE5AB73}" id="{2A9BB979-322E-4AEB-9FDE-0489204AE531}">
    <text>@Moriah Sevier MMEA collection mentioned in notes but not accounted for in tallies</text>
    <mentions>
      <mention mentionpersonId="{4C157D84-253F-4A5D-81A7-5E28F9B5912A}" mentionId="{CB45A563-573A-4200-87C9-EB177CA67183}" startIndex="0" length="14"/>
    </mentions>
  </threadedComment>
  <threadedComment ref="AP372" dT="2023-07-19T13:55:58.98" personId="{394F6116-0CA5-45B9-88DD-B71E71350AF1}" id="{50075D34-5988-47AF-A885-574C59C3FA92}" done="1">
    <text>moe took this one out because it was not treated it was culled</text>
  </threadedComment>
  <threadedComment ref="BU372" dT="2023-07-19T13:59:22.10" personId="{394F6116-0CA5-45B9-88DD-B71E71350AF1}" id="{95D5F542-ADB4-48A6-8E8C-5104CFCA0D5D}" done="1">
    <text>the itty bitty mmea that went to cwori</text>
  </threadedComment>
  <threadedComment ref="BU372" dT="2023-07-19T14:01:38.99" personId="{394F6116-0CA5-45B9-88DD-B71E71350AF1}" id="{D0FBEC4E-640B-4E40-BAB4-FA5D48732DCA}" parentId="{95D5F542-ADB4-48A6-8E8C-5104CFCA0D5D}">
    <text xml:space="preserve">in star bag, 100% healthy just tiney </text>
  </threadedComment>
  <threadedComment ref="BL378" dT="2023-07-31T18:46:28.40" personId="{9876B37A-2671-4314-A85D-D6246AE5AB73}" id="{AF49D35F-0074-4B1C-8153-B7323305A420}">
    <text>@Moriah Sevier this was missed on initial data entry AND QAQC</text>
    <mentions>
      <mention mentionpersonId="{4C157D84-253F-4A5D-81A7-5E28F9B5912A}" mentionId="{6E25B126-D56D-45D4-AAC2-26E17CBF5B08}" startIndex="0" length="14"/>
    </mentions>
  </threadedComment>
  <threadedComment ref="BR378" dT="2023-07-25T20:24:26.76" personId="{394F6116-0CA5-45B9-88DD-B71E71350AF1}" id="{C208742D-DC9C-43CC-8D2D-37FC96E9CAC8}">
    <text>913 added by moe during the QAQC</text>
  </threadedComment>
  <threadedComment ref="BR378" dT="2023-07-31T18:49:46.70" personId="{9876B37A-2671-4314-A85D-D6246AE5AB73}" id="{BABD9091-4EEF-4BEB-8800-FD368D758122}" parentId="{C208742D-DC9C-43CC-8D2D-37FC96E9CAC8}">
    <text>957 added after QAQC when geotagging</text>
  </threadedComment>
  <threadedComment ref="BV384" dT="2023-08-15T15:04:11.41" personId="{394F6116-0CA5-45B9-88DD-B71E71350AF1}" id="{C258D218-BE58-4879-AEC5-E626BCD726D4}">
    <text>@Amanda Badai please put your initials in this column for each dive entered, once the data has been entered in the treatment used tab</text>
    <mentions>
      <mention mentionpersonId="{31D4011B-52E3-4F73-A061-DE8DE34AECC3}" mentionId="{39CF6A4C-4B9F-4E83-90FD-D480FF0375E7}" startIndex="0" length="13"/>
    </mentions>
  </threadedComment>
  <threadedComment ref="BV385" dT="2023-08-15T15:34:13.97" personId="{2AF07BAA-2845-4AC8-A69B-4D436EABF0D6}" id="{06F27E6F-AEE9-4AD2-9463-B8F0BE8BC90C}">
    <text>@Kayla Budd can you add Nick and I's initials to the drop down box pleas?</text>
    <mentions>
      <mention mentionpersonId="{D81F7DEF-1FB3-4144-BE8F-D35985FCE88D}" mentionId="{C40D0ECE-5239-4B39-AD3A-C0DFF41C0641}" startIndex="0" length="11"/>
    </mentions>
  </threadedComment>
  <threadedComment ref="BQ391" dT="2023-09-29T18:50:00.44" personId="{9876B37A-2671-4314-A85D-D6246AE5AB73}" id="{8593090A-02F3-4593-A9AF-F9EAD66CA3AD}">
    <text>Lionfish size?</text>
  </threadedComment>
  <threadedComment ref="BQ394" dT="2023-10-22T00:07:56.51" personId="{9876B37A-2671-4314-A85D-D6246AE5AB73}" id="{88C67C38-B052-464B-A3E7-51550DFE3565}">
    <text>This looks like it was the same fish</text>
  </threadedComment>
  <threadedComment ref="BQ400" dT="2023-09-29T18:50:19.29" personId="{9876B37A-2671-4314-A85D-D6246AE5AB73}" id="{53F9BE4C-4817-4D80-ABB7-77649A62B5C6}">
    <text xml:space="preserve">Lionfish size?
</text>
  </threadedComment>
  <threadedComment ref="BR402" dT="2023-10-09T17:15:53.95" personId="{9876B37A-2671-4314-A85D-D6246AE5AB73}" id="{51020E8F-0ECE-4F03-B22C-487F1200969D}">
    <text>"T STICK PICS ON 7/11 , NONE WITH THIS TREATMENT" Transferrec to comments instead of Tags Re-visited</text>
  </threadedComment>
  <threadedComment ref="BR404" dT="2023-10-10T19:22:12.27" personId="{9876B37A-2671-4314-A85D-D6246AE5AB73}" id="{EF3DFB42-9C71-4530-95E7-7EA4FA2FFFC1}">
    <text xml:space="preserve">This needs to be entered as a list. It is currently entered as "966916980967" @Amanda Badai </text>
    <mentions>
      <mention mentionpersonId="{31D4011B-52E3-4F73-A061-DE8DE34AECC3}" mentionId="{3245485F-9D06-4A2B-816A-51BBD36B61B8}" startIndex="78" length="13"/>
    </mentions>
  </threadedComment>
  <threadedComment ref="BR404" dT="2023-10-10T19:22:54.67" personId="{9876B37A-2671-4314-A85D-D6246AE5AB73}" id="{9535630B-6F2A-4887-84D4-72BFD986C82F}" parentId="{EF3DFB42-9C71-4530-95E7-7EA4FA2FFFC1}">
    <text>@Moriah Sevier I think this has caused the problem you are now running into bc Excel auto formatted it to have commas where they would be if it were one number</text>
    <mentions>
      <mention mentionpersonId="{4C157D84-253F-4A5D-81A7-5E28F9B5912A}" mentionId="{EAE85F66-1EE4-4A1B-AFE2-314EA58D3314}" startIndex="0" length="14"/>
    </mentions>
  </threadedComment>
  <threadedComment ref="BR404" dT="2023-10-10T19:51:43.10" personId="{9876B37A-2671-4314-A85D-D6246AE5AB73}" id="{EB95FD64-BD46-4C36-B05F-3BA153A3CEE0}" parentId="{EF3DFB42-9C71-4530-95E7-7EA4FA2FFFC1}">
    <text xml:space="preserve">@Amanda Badai I've tagged you here to make corrections because you were the QAQCer. </text>
    <mentions>
      <mention mentionpersonId="{31D4011B-52E3-4F73-A061-DE8DE34AECC3}" mentionId="{622FCAE5-D86D-4C44-955B-DF5B12216A56}" startIndex="0" length="13"/>
    </mentions>
  </threadedComment>
  <threadedComment ref="BR408" dT="2023-10-10T19:23:25.98" personId="{9876B37A-2671-4314-A85D-D6246AE5AB73}" id="{9D3E02FB-8629-4A09-8D8D-45CD37574214}">
    <text xml:space="preserve">Change to list @Amanda Badai </text>
    <mentions>
      <mention mentionpersonId="{31D4011B-52E3-4F73-A061-DE8DE34AECC3}" mentionId="{0CFED79C-6965-499D-8D4A-BA844650050D}" startIndex="15" length="13"/>
    </mentions>
  </threadedComment>
  <threadedComment ref="G409" dT="2023-08-17T13:01:23.84" personId="{394F6116-0CA5-45B9-88DD-B71E71350AF1}" id="{4401958A-C41E-4E71-AAF1-188AEAB4285E}">
    <text>@Kayla Budd we should have a Nearshore Rams Head and an Offshore Rams head site, they are so far apart and also that is how they have been defined in the master dive log so far. Feedback?</text>
    <mentions>
      <mention mentionpersonId="{D81F7DEF-1FB3-4144-BE8F-D35985FCE88D}" mentionId="{8EC834E1-41B0-4E0C-8299-D8BDFF067774}" startIndex="0" length="11"/>
    </mentions>
  </threadedComment>
  <threadedComment ref="G409" dT="2023-09-25T22:31:01.92" personId="{9876B37A-2671-4314-A85D-D6246AE5AB73}" id="{1E565505-2A21-4F90-9EC4-2A54FC8102F2}" parentId="{4401958A-C41E-4E71-AAF1-188AEAB4285E}">
    <text>We can look at the coordinates and check to see if they are 400m apart</text>
  </threadedComment>
  <threadedComment ref="BR411" dT="2023-10-10T19:46:30.23" personId="{9876B37A-2671-4314-A85D-D6246AE5AB73}" id="{E8722FDA-E380-4BE2-82FF-FE75CA72D49F}">
    <text>@Amanda Badai Please change this to a list of numbers (926, 961, 937 is what I would assume this is supposed to be)</text>
    <mentions>
      <mention mentionpersonId="{31D4011B-52E3-4F73-A061-DE8DE34AECC3}" mentionId="{CAD3E1D5-9FEE-4D17-8AF1-5A50A0003EFD}" startIndex="0" length="13"/>
    </mentions>
  </threadedComment>
  <threadedComment ref="BR414" dT="2023-10-10T19:25:35.50" personId="{394F6116-0CA5-45B9-88DD-B71E71350AF1}" id="{A82C687A-6575-4E15-857C-C2366E0D5485}">
    <text>moe added 957</text>
  </threadedComment>
  <threadedComment ref="BR415" dT="2023-10-10T20:05:48.59" personId="{394F6116-0CA5-45B9-88DD-B71E71350AF1}" id="{0A6E0D40-D3F1-444C-BC17-4AEF6F57FDD6}">
    <text>@Amanda Badai 3338 was added by moe in qaqc</text>
    <mentions>
      <mention mentionpersonId="{31D4011B-52E3-4F73-A061-DE8DE34AECC3}" mentionId="{80C83F8B-B304-45FF-990C-59DFBD1A2DDE}" startIndex="0" length="13"/>
    </mentions>
  </threadedComment>
  <threadedComment ref="BR416" dT="2023-10-10T20:11:38.63" personId="{394F6116-0CA5-45B9-88DD-B71E71350AF1}" id="{00B0F3E4-A59E-4812-BA8E-49FAE1A6BAAE}">
    <text>3884 was added by moe during qaqc- was in sams nontreatment pics=tag is hard to see if seen at  all</text>
  </threadedComment>
  <threadedComment ref="BR418" dT="2023-10-16T21:25:09.03" personId="{2AF07BAA-2845-4AC8-A69B-4D436EABF0D6}" id="{C1A827A0-3F65-4191-AFAE-087CCCFBABB0}">
    <text>amanda added tag 944</text>
  </threadedComment>
  <threadedComment ref="BR419" dT="2023-10-16T21:25:27.70" personId="{2AF07BAA-2845-4AC8-A69B-4D436EABF0D6}" id="{8CBC0130-CF7B-4F17-BF87-CFDF3E2A446A}">
    <text>amanda added tag 902</text>
  </threadedComment>
  <threadedComment ref="BR423" dT="2023-10-18T17:29:16.16" personId="{2AF07BAA-2845-4AC8-A69B-4D436EABF0D6}" id="{B050474B-BD28-4006-8BF8-8664A29DE104}">
    <text>all tags were added during qaqc</text>
  </threadedComment>
  <threadedComment ref="BR424" dT="2023-10-18T15:23:53.17" personId="{2AF07BAA-2845-4AC8-A69B-4D436EABF0D6}" id="{F9D8B0F4-851D-4404-BDBD-DE510428C8AD}">
    <text>amanda added tags 923,982, and 941</text>
  </threadedComment>
  <threadedComment ref="BR425" dT="2023-10-18T15:54:47.48" personId="{2AF07BAA-2845-4AC8-A69B-4D436EABF0D6}" id="{CEA1A965-9FE3-4EA0-BE56-1FE62738064E}">
    <text>amanda added tag 999</text>
  </threadedComment>
  <threadedComment ref="BR426" dT="2023-10-18T15:59:46.73" personId="{2AF07BAA-2845-4AC8-A69B-4D436EABF0D6}" id="{9636C376-AE7C-492D-BE81-B497EF02B06B}">
    <text>amanda added tag 920</text>
  </threadedComment>
  <threadedComment ref="BR428" dT="2023-10-18T21:13:03.32" personId="{2AF07BAA-2845-4AC8-A69B-4D436EABF0D6}" id="{886602BE-AB53-41E2-9EEF-0F5F5E3EB13F}">
    <text>blinders rocks added during qaqc</text>
  </threadedComment>
  <threadedComment ref="BR429" dT="2023-10-18T21:12:34.89" personId="{2AF07BAA-2845-4AC8-A69B-4D436EABF0D6}" id="{F705833F-AB64-4C9B-8646-9E24B5EA09A8}">
    <text>blinders rocks added during qaqc</text>
  </threadedComment>
  <threadedComment ref="G431" dT="2023-09-27T18:12:24.42" personId="{2AF07BAA-2845-4AC8-A69B-4D436EABF0D6}" id="{B1699023-24F6-46AA-BA4C-2750AE57104C}">
    <text>@Kayla Budd @Moriah Sevier can you add Haulover North to the drop down box please, and what are the coordinates for this site?</text>
    <mentions>
      <mention mentionpersonId="{D81F7DEF-1FB3-4144-BE8F-D35985FCE88D}" mentionId="{8EC7FB70-5128-4375-AE84-0B13A77F95D2}" startIndex="0" length="11"/>
      <mention mentionpersonId="{4C157D84-253F-4A5D-81A7-5E28F9B5912A}" mentionId="{D5FBF481-64AA-4C06-B86C-1301ECB4271F}" startIndex="12" length="14"/>
    </mentions>
  </threadedComment>
  <threadedComment ref="BR441" dT="2023-10-18T21:39:03.42" personId="{2AF07BAA-2845-4AC8-A69B-4D436EABF0D6}" id="{B271AC4D-E982-4947-A0C1-31A3D7A6DD68}">
    <text xml:space="preserve">amanda added tag 3338 </text>
  </threadedComment>
  <threadedComment ref="BR442" dT="2023-10-18T21:43:49.13" personId="{2AF07BAA-2845-4AC8-A69B-4D436EABF0D6}" id="{BC62C115-3523-4F40-87D3-A6853C9A2CDB}">
    <text>amanda added tag 3884</text>
  </threadedComment>
  <threadedComment ref="G454" dT="2023-10-31T16:58:21.03" personId="{BD7545D3-0FE0-46A2-8D26-A29032E1BF95}" id="{8FF8D696-95AF-4A22-B1F2-2EA029B9C6AA}">
    <text xml:space="preserve">Turner Point </text>
  </threadedComment>
</ThreadedComments>
</file>

<file path=xl/threadedComments/threadedComment3.xml><?xml version="1.0" encoding="utf-8"?>
<ThreadedComments xmlns="http://schemas.microsoft.com/office/spreadsheetml/2018/threadedcomments" xmlns:x="http://schemas.openxmlformats.org/spreadsheetml/2006/main">
  <threadedComment ref="F133" dT="2022-07-18T13:12:07.05" personId="{9876B37A-2671-4314-A85D-D6246AE5AB73}" id="{0DC24555-1F40-44E5-8942-EDAD0F090CFC}" done="1">
    <text>this tag does not show up in tag info tab ...is is supposed to be 3338 from
Resolved</text>
  </threadedComment>
  <threadedComment ref="F211" dT="2022-07-18T13:14:27.71" personId="{9876B37A-2671-4314-A85D-D6246AE5AB73}" id="{26E231A0-BDCE-4ACA-8A94-2E56CBAFB30A}" done="1">
    <text>this tag does not show up in tag info tab ...why so?
Added</text>
  </threadedComment>
  <threadedComment ref="K2844" dT="2023-01-05T17:55:55.75" personId="{305E52E7-80E0-4197-A450-0C59C05A9039}" id="{499BDB8E-7446-49B7-99EA-45027EDC66C8}">
    <text xml:space="preserve">@Kayla Budd Am I good to go ahead and add that row in? </text>
    <mentions>
      <mention mentionpersonId="{D81F7DEF-1FB3-4144-BE8F-D35985FCE88D}" mentionId="{0C2CE23A-2B2E-4C3D-8577-1C8627AFC25F}" startIndex="0" length="11"/>
    </mentions>
  </threadedComment>
  <threadedComment ref="K2844" dT="2023-01-09T18:49:39.05" personId="{9876B37A-2671-4314-A85D-D6246AE5AB73}" id="{5A9FBC85-2DDF-4ADB-BD5B-7AEB0082F282}" parentId="{499BDB8E-7446-49B7-99EA-45027EDC66C8}">
    <text>Looks like Moe fixed it. Thanks for asking</text>
  </threadedComment>
  <threadedComment ref="E3009" dT="2023-01-13T17:33:39.28" personId="{BD7545D3-0FE0-46A2-8D26-A29032E1BF95}" id="{146C62A8-CDA1-4E74-BB58-2331DB6AF99B}">
    <text>"19-16" was initially inputted but needed to be "19-6"</text>
  </threadedComment>
  <threadedComment ref="E3025" dT="2023-01-13T17:40:14.45" personId="{BD7545D3-0FE0-46A2-8D26-A29032E1BF95}" id="{97D76876-DD2B-4449-8216-83E95FC86AB2}">
    <text>"16-19" was initially inputted but needed to be "19-16"</text>
  </threadedComment>
  <threadedComment ref="E3026" dT="2023-01-13T17:42:15.73" personId="{BD7545D3-0FE0-46A2-8D26-A29032E1BF95}" id="{D500153E-17AD-464C-8196-9B1CEE1DEC0F}">
    <text>"19-9" was initially inputted but needed to be "10-9"</text>
  </threadedComment>
  <threadedComment ref="E3126" dT="2023-01-13T18:10:13.63" personId="{BD7545D3-0FE0-46A2-8D26-A29032E1BF95}" id="{4A1E1472-029C-4379-99E9-7B5CB852E848}">
    <text>"20-29" was initially inputted but needed to be "20-19"</text>
  </threadedComment>
  <threadedComment ref="E3165" dT="2023-01-13T18:18:04.24" personId="{BD7545D3-0FE0-46A2-8D26-A29032E1BF95}" id="{358C5D31-9604-40FC-A1AF-5D38257EC6E8}">
    <text>"-42-34" was initially inputted but needed to be "42-34"</text>
  </threadedComment>
  <threadedComment ref="E3208" dT="2023-01-13T18:38:20.01" personId="{BD7545D3-0FE0-46A2-8D26-A29032E1BF95}" id="{621F9BC0-F636-4A9F-A837-B3D40136E441}">
    <text>"21-26" was initially inputted but needed to be "21-16"</text>
  </threadedComment>
  <threadedComment ref="E3268" dT="2023-01-13T18:48:27.71" personId="{BD7545D3-0FE0-46A2-8D26-A29032E1BF95}" id="{7C80579C-2E34-4190-A37E-387320BC4179}">
    <text>"2-14" was initially inputted but needed to be "20-14"</text>
  </threadedComment>
  <threadedComment ref="E3889" dT="2023-05-28T16:25:09.49" personId="{9876B37A-2671-4314-A85D-D6246AE5AB73}" id="{845827C4-C77A-4DAE-9867-181F22991671}">
    <text>estimated from photos</text>
  </threadedComment>
  <threadedComment ref="D4808" dT="2023-07-12T15:58:05.25" personId="{394F6116-0CA5-45B9-88DD-B71E71350AF1}" id="{F089D9EC-EB1F-40A9-B8D6-7631C763E170}">
    <text>changed from ofav to oann</text>
  </threadedComment>
  <threadedComment ref="E5091" dT="2023-09-28T16:51:46.80" personId="{BD7545D3-0FE0-46A2-8D26-A29032E1BF95}" id="{003AC60B-8E2D-4599-8C1E-8673A893C6E5}">
    <text>was =35-0+
21-11 ( I believe it is 35-0+21-16 )</text>
  </threadedComment>
  <threadedComment ref="E5092" dT="2023-09-28T16:52:41.05" personId="{BD7545D3-0FE0-46A2-8D26-A29032E1BF95}" id="{211FA4DD-609F-4F97-9D48-C1C758B29816}">
    <text xml:space="preserve">Was 11-10 ( I believe it is 16-10) </text>
  </threadedComment>
  <threadedComment ref="K5228" dT="2023-10-12T21:10:19.91" personId="{394F6116-0CA5-45B9-88DD-B71E71350AF1}" id="{B843F430-6630-4C56-BCC3-CA462B7A02EA}">
    <text xml:space="preserve">moe guessed start volume for first syringe </text>
  </threadedComment>
  <threadedComment ref="D5234" dT="2023-10-10T20:03:10.48" personId="{394F6116-0CA5-45B9-88DD-B71E71350AF1}" id="{D5CE3E6C-E06A-42A4-8C50-11CD30202953}">
    <text xml:space="preserve">@Nicholas Durgadeen this is the coral in your nontreatment file, before the syringe pics..was it treated ? </text>
    <mentions>
      <mention mentionpersonId="{1FBC4EF8-395A-41CA-9DAE-AF3BDF4FDE6B}" mentionId="{2351127E-DEB7-414B-A332-B4BC3A8FD503}" startIndex="0" length="19"/>
    </mentions>
  </threadedComment>
  <threadedComment ref="D5234" dT="2023-10-12T21:14:06.30" personId="{394F6116-0CA5-45B9-88DD-B71E71350AF1}" id="{FF3E2E28-A995-4248-8CAF-E6A1A8F5DD2A}" parentId="{D5CE3E6C-E06A-42A4-8C50-11CD30202953}">
    <text xml:space="preserve">@Nicholas Durgadeen i moved these pics to the treatment pics because i counted it as a treated coral....for now </text>
    <mentions>
      <mention mentionpersonId="{1FBC4EF8-395A-41CA-9DAE-AF3BDF4FDE6B}" mentionId="{F35CF091-7933-4699-9280-3233E1036BD9}" startIndex="0" length="19"/>
    </mentions>
  </threadedComment>
  <threadedComment ref="K5255" dT="2023-10-12T21:10:36.34" personId="{394F6116-0CA5-45B9-88DD-B71E71350AF1}" id="{BB5291D4-A6A0-40AA-8E3A-5D1261164923}">
    <text xml:space="preserve">moe subrtracted 2 for water in tip 
</text>
  </threadedComment>
  <threadedComment ref="K5256" dT="2023-10-12T21:11:50.34" personId="{394F6116-0CA5-45B9-88DD-B71E71350AF1}" id="{70B8357C-0078-4FA2-A1A8-E3EC52F35B0A}">
    <text>when there still treatment in the tip of the syringe but it can not be pushed out anymore=0</text>
  </threadedComment>
  <threadedComment ref="K5284" dT="2023-10-18T17:26:28.69" personId="{2AF07BAA-2845-4AC8-A69B-4D436EABF0D6}" id="{7A147D12-749A-4E67-AEBB-D87E00959AA7}">
    <text>8/30 dive 2 was added during qaqc</text>
  </threadedComment>
  <threadedComment ref="K5305" dT="2023-10-18T15:45:06.99" personId="{2AF07BAA-2845-4AC8-A69B-4D436EABF0D6}" id="{D10FDBBD-4BA0-4D18-A35B-55DA6B2B163F}">
    <text xml:space="preserve">these next 4 rows were added during qaqc. They were entered previously as data from 8/30 and not 8/31. treatment volumes were fixed also. </text>
  </threadedComment>
  <threadedComment ref="K5322" dT="2023-10-18T21:25:39.78" personId="{2AF07BAA-2845-4AC8-A69B-4D436EABF0D6}" id="{EEBB64BA-2F30-478F-B20C-135FB35439E8}">
    <text>blinders rocks dive 1 and 2 added during qaqc</text>
  </threadedComment>
  <threadedComment ref="K5408" dT="2023-10-16T16:44:46.99" personId="{394F6116-0CA5-45B9-88DD-B71E71350AF1}" id="{B85D6B74-FEC5-48FD-B88F-B48AE45C133A}">
    <text>moe added this row during qaqc</text>
  </threadedComment>
  <threadedComment ref="A5410" dT="2023-10-18T16:38:13.50" personId="{2AF07BAA-2845-4AC8-A69B-4D436EABF0D6}" id="{7B568591-CCE1-45CA-92CD-B4219EC2347B}">
    <text>changed from Mennebeck bay to brown bay during qaqc</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8-17T12:38:05.40" personId="{394F6116-0CA5-45B9-88DD-B71E71350AF1}" id="{886C530C-F02A-47FD-966F-EF1C82F38AA4}">
    <text xml:space="preserve">@Kayla Budd the equation is not correct. we need to redo the weighing and measuring with a larger start weight i think </text>
    <mentions>
      <mention mentionpersonId="{D81F7DEF-1FB3-4144-BE8F-D35985FCE88D}" mentionId="{F64F560E-2DC5-4BEB-8DC3-15040BDB434C}" startIndex="0" length="11"/>
    </mentions>
  </threadedComment>
  <threadedComment ref="F52" dT="2023-04-11T14:50:00.34" personId="{9876B37A-2671-4314-A85D-D6246AE5AB73}" id="{D3819C6B-264A-48C5-992F-06683E6536B4}">
    <text>Waiting on info from leslie &amp; dinorah on how to record this</text>
  </threadedComment>
  <threadedComment ref="F52" dT="2023-06-29T16:05:49.90" personId="{9876B37A-2671-4314-A85D-D6246AE5AB73}" id="{E542F268-3CA8-49A9-B277-B94ACC08FEBB}" parentId="{D3819C6B-264A-48C5-992F-06683E6536B4}">
    <text>Not recording this in VICDAC database. Keep for our own records.</text>
  </threadedComment>
  <threadedComment ref="F62" dT="2023-04-11T15:09:21.43" personId="{9876B37A-2671-4314-A85D-D6246AE5AB73}" id="{8728F5D5-F6E2-461A-9A97-92C5DA957993}">
    <text>I estimated based on the photo from our chat. 7 syringes * approx 45mL @Moriah Sevier please verify if possible</text>
    <mentions>
      <mention mentionpersonId="{4C157D84-253F-4A5D-81A7-5E28F9B5912A}" mentionId="{3B11CA0E-8E71-433E-A5C0-FDD1461D2AB5}" startIndex="71" length="14"/>
    </mentions>
  </threadedComment>
  <threadedComment ref="F68" dT="2023-07-04T22:17:06.42" personId="{9876B37A-2671-4314-A85D-D6246AE5AB73}" id="{976D0EC1-1398-4D2E-A6BB-1FCE498E01B5}">
    <text>Need to check notes and make sure that these have been converted to mL</text>
  </threadedComment>
  <threadedComment ref="F68" dT="2023-08-16T17:27:52.86" personId="{394F6116-0CA5-45B9-88DD-B71E71350AF1}" id="{3B048A82-6A39-4D17-B519-BDEFB6698616}" parentId="{976D0EC1-1398-4D2E-A6BB-1FCE498E01B5}">
    <text xml:space="preserve">yes these were values from our syringes which are in ml. I do not weigh out the waste so these are for sure all ml @Kayla Budd </text>
    <mentions>
      <mention mentionpersonId="{D81F7DEF-1FB3-4144-BE8F-D35985FCE88D}" mentionId="{EF9D71CA-0E15-40C6-86AE-F04F4BCA66B2}" startIndex="115" length="11"/>
    </mentions>
  </threadedComment>
  <threadedComment ref="C92" dT="2023-09-21T16:11:11.48" personId="{9876B37A-2671-4314-A85D-D6246AE5AB73}" id="{7562A015-A238-420A-969D-3FD28C165480}">
    <text>Calculation updated with info from MLBS 8.21.23</text>
  </threadedComment>
  <threadedComment ref="F93" dT="2023-11-14T18:30:22.85" personId="{9876B37A-2671-4314-A85D-D6246AE5AB73}" id="{2DE705A0-B46C-4119-9C8D-AC837349E185}">
    <text>This doesn't make sense. We went out and treated on 7/5 so we must have taken the 7/4 mix into the field and not thrown it out the same day it was mixed. There was no more mixed before the 7/5 treatment.</text>
  </threadedComment>
  <threadedComment ref="F93" dT="2023-11-14T19:00:56.48" personId="{9876B37A-2671-4314-A85D-D6246AE5AB73}" id="{F2B12F92-F34A-4797-B8AA-12EB6AD01CA2}" parentId="{2DE705A0-B46C-4119-9C8D-AC837349E185}">
    <text>I put it on 6/28</text>
  </threadedComment>
  <threadedComment ref="C100" dT="2023-08-17T12:42:29.22" personId="{394F6116-0CA5-45B9-88DD-B71E71350AF1}" id="{E9023FEF-7AE8-4C01-AF8E-5A3DEA3CF20A}" done="1">
    <text>@Kayla Budd my syringe had about 30 ml in it though so i know the calculation is off. it is closer to a 1:1</text>
    <mentions>
      <mention mentionpersonId="{D81F7DEF-1FB3-4144-BE8F-D35985FCE88D}" mentionId="{7F781B9B-2D84-485F-A232-07E51155B8D1}" startIndex="0" length="11"/>
    </mentions>
  </threadedComment>
  <threadedComment ref="C100" dT="2023-09-21T15:56:08.77" personId="{9876B37A-2671-4314-A85D-D6246AE5AB73}" id="{F4F02A9B-946A-4E77-AEC9-7A6D298F641D}" parentId="{E9023FEF-7AE8-4C01-AF8E-5A3DEA3CF20A}">
    <text>Next time we mix any treatment, lets measure it again before I update the intervention data</text>
  </threadedComment>
  <threadedComment ref="G101" dT="2023-08-21T21:50:41.75" personId="{394F6116-0CA5-45B9-88DD-B71E71350AF1}" id="{E44CDD05-C227-493D-A851-E574DC08AE26}">
    <text xml:space="preserve">@Kayla Budd </text>
    <mentions>
      <mention mentionpersonId="{D81F7DEF-1FB3-4144-BE8F-D35985FCE88D}" mentionId="{16146685-D25D-469B-8AA1-37F165FC4DFB}" startIndex="0" length="11"/>
    </mentions>
  </threadedComment>
  <threadedComment ref="F114" dT="2023-10-16T15:22:08.01" personId="{394F6116-0CA5-45B9-88DD-B71E71350AF1}" id="{C7D48995-CDB2-4688-9511-BBF08781F6F4}">
    <text>have to weigh out / or put into syringes the remainder in the tub and add it to the syringes i alreasdy wasted. 531+pint jar</text>
  </threadedComment>
  <threadedComment ref="G117" dT="2023-10-16T15:19:53.94" personId="{394F6116-0CA5-45B9-88DD-B71E71350AF1}" id="{7A7E1849-E71D-4C1E-B27A-D52EEF0CBAD8}">
    <text>@Kayla Budd  nick emptied the syringes so i am going to use our treatment volumes from weds and theirs from tues and subtract them from the 450 to get an estimate on Ml wasted. They did not treat a singe thing on Thurs. Ill do this after  the 2y summary is complete</text>
    <mentions>
      <mention mentionpersonId="{D81F7DEF-1FB3-4144-BE8F-D35985FCE88D}" mentionId="{FB11B099-1864-427F-A9E6-AACB2ADA54DB}" startIndex="0" length="11"/>
    </mentions>
  </threadedComment>
  <threadedComment ref="G117" dT="2023-11-14T18:36:24.60" personId="{9876B37A-2671-4314-A85D-D6246AE5AB73}" id="{3EA79E5F-C7A4-487B-A4EB-187091B414D8}" parentId="{7A7E1849-E71D-4C1E-B27A-D52EEF0CBAD8}">
    <text xml:space="preserve">Please put it in the next row for the date it was wasted instead of trying to backdate the waste to the day it was mixed. </text>
  </threadedComment>
</ThreadedComments>
</file>

<file path=xl/threadedComments/threadedComment5.xml><?xml version="1.0" encoding="utf-8"?>
<ThreadedComments xmlns="http://schemas.microsoft.com/office/spreadsheetml/2018/threadedcomments" xmlns:x="http://schemas.openxmlformats.org/spreadsheetml/2006/main">
  <threadedComment ref="I63" dT="2023-10-16T15:41:08.95" personId="{9876B37A-2671-4314-A85D-D6246AE5AB73}" id="{9F96ECB4-4585-4338-A96F-5DCBAA4983EF}">
    <text>Need New Waypoint</text>
  </threadedComment>
  <threadedComment ref="B88" dT="2023-09-18T21:42:55.26" personId="{9876B37A-2671-4314-A85D-D6246AE5AB73}" id="{B57FE45B-E9D6-449C-B349-A712AA769AB8}">
    <text>Detached and is now missing.</text>
  </threadedComment>
  <threadedComment ref="D90" dT="2023-07-20T16:13:47.40" personId="{394F6116-0CA5-45B9-88DD-B71E71350AF1}" id="{22B5CC50-554B-4273-BC4E-6BD9E70059B1}">
    <text xml:space="preserve">is this one an ofav or ofra we need to decide </text>
  </threadedComment>
  <threadedComment ref="L90" dT="2023-07-17T19:06:14.78" personId="{394F6116-0CA5-45B9-88DD-B71E71350AF1}" id="{FCE26DE5-9DDD-4A1F-8F4E-58C147BC4F23}">
    <text>@Kayla Budd Species Changed?</text>
    <mentions>
      <mention mentionpersonId="{D81F7DEF-1FB3-4144-BE8F-D35985FCE88D}" mentionId="{1DAD9C49-861B-4EC3-BC74-70C5C5B1A766}" startIndex="0" length="11"/>
    </mentions>
  </threadedComment>
  <threadedComment ref="M96" dT="2023-09-22T20:07:36.34" personId="{9876B37A-2671-4314-A85D-D6246AE5AB73}" id="{8CD20F47-49A6-48DC-AA57-85F4A7245125}">
    <text>@Moriah Sevier ?</text>
    <mentions>
      <mention mentionpersonId="{4C157D84-253F-4A5D-81A7-5E28F9B5912A}" mentionId="{654EA365-764B-4294-B765-247E4720C944}" startIndex="0" length="14"/>
    </mentions>
  </threadedComment>
  <threadedComment ref="M96" dT="2023-09-25T14:04:18.99" personId="{394F6116-0CA5-45B9-88DD-B71E71350AF1}" id="{A48C53E0-53CD-4D20-BC7D-2BF2994B445D}" parentId="{8CD20F47-49A6-48DC-AA57-85F4A7245125}">
    <text>Blinders Rocks Proper (Not Amandas Site)</text>
  </threadedComment>
</ThreadedComments>
</file>

<file path=xl/threadedComments/threadedComment6.xml><?xml version="1.0" encoding="utf-8"?>
<ThreadedComments xmlns="http://schemas.microsoft.com/office/spreadsheetml/2018/threadedcomments" xmlns:x="http://schemas.openxmlformats.org/spreadsheetml/2006/main">
  <threadedComment ref="B57" dT="2023-09-05T01:22:30.76" personId="{8F50CE81-25E5-435F-89F8-224CE01F2D80}" id="{246CCA60-F025-4BDD-9EBC-5911AD6AFFCF}">
    <text>These pictures aren't uploaded</text>
  </threadedComment>
  <threadedComment ref="AA61" dT="2023-09-05T01:30:33.58" personId="{8F50CE81-25E5-435F-89F8-224CE01F2D80}" id="{D6586128-5040-489E-8539-75EB912600BC}">
    <text>Got this from the photos, it not on the treatment used page</text>
  </threadedComment>
  <threadedComment ref="B63" dT="2023-09-05T01:28:34.67" personId="{8F50CE81-25E5-435F-89F8-224CE01F2D80}" id="{6F39267B-1BB0-4893-B917-F7F718C73B02}">
    <text>This date doesn't have photos uploaded</text>
  </threadedComment>
  <threadedComment ref="B65" dT="2023-09-05T01:28:14.16" personId="{8F50CE81-25E5-435F-89F8-224CE01F2D80}" id="{32834295-09E9-418D-8308-36B0D17B403C}">
    <text>This date doesn't have photos uploaded</text>
  </threadedComment>
  <threadedComment ref="B68" dT="2023-09-05T01:27:49.36" personId="{8F50CE81-25E5-435F-89F8-224CE01F2D80}" id="{87695E70-0E74-4FE7-A62D-41535BD9AA62}">
    <text>This date doesn't have photos uploaded</text>
  </threadedComment>
  <threadedComment ref="F186" dT="2023-03-08T14:51:10.68" personId="{9876B37A-2671-4314-A85D-D6246AE5AB73}" id="{67DD7130-AAD2-49CB-B214-6DF09751FDCD}">
    <text>Need photos from SGJ</text>
  </threadedComment>
  <threadedComment ref="AH191" dT="2023-09-08T16:55:41.40" personId="{394F6116-0CA5-45B9-88DD-B71E71350AF1}" id="{9941C266-5CEA-4510-A397-61D5197446C2}">
    <text xml:space="preserve">@Avery Coble </text>
    <mentions>
      <mention mentionpersonId="{1FF08066-103E-4C38-98BB-50C6FEB945CC}" mentionId="{ECE012DC-EB9C-4FD1-B4F3-4FA80DCE4948}" startIndex="0" length="12"/>
    </mentions>
  </threadedComment>
  <threadedComment ref="B213" dT="2023-09-05T01:39:42.20" personId="{8F50CE81-25E5-435F-89F8-224CE01F2D80}" id="{2BE107AB-94EE-42BB-B730-04AAC98CA47D}">
    <text>The photos for this date are not uploaded</text>
  </threadedComment>
  <threadedComment ref="AA228" dT="2023-09-01T15:05:09.51" personId="{8F50CE81-25E5-435F-89F8-224CE01F2D80}" id="{3147CEAE-0D6B-41C1-B057-58D3B641D9F9}">
    <text xml:space="preserve">Pictures of the syringe before application but no from after  </text>
  </threadedComment>
  <threadedComment ref="AA250" dT="2023-09-01T14:45:01.52" personId="{9876B37A-2671-4314-A85D-D6246AE5AB73}" id="{B434B4B3-2E0E-4FC3-9DE6-2B981AF2FC1C}">
    <text>It was treated, but totals are not in Treatment Used sheet (or tag number is not recorded)</text>
  </threadedComment>
  <threadedComment ref="AA250" dT="2023-09-05T01:54:39.96" personId="{8F50CE81-25E5-435F-89F8-224CE01F2D80}" id="{37DDEA76-FE75-4F46-A4A5-FD5195AFD8F6}" parentId="{B434B4B3-2E0E-4FC3-9DE6-2B981AF2FC1C}">
    <text xml:space="preserve">The amount isn't in the photos either. Just the lesion treated. Also the photos for this date only have 3 angles and nothing to reference for measuring </text>
  </threadedComment>
  <threadedComment ref="AA285" dT="2023-09-05T02:06:18.96" personId="{8F50CE81-25E5-435F-89F8-224CE01F2D80}" id="{2579AC1C-947B-495C-B345-4607499AC74E}">
    <text>The pictures look like there is new mortality on the colony but no record of treatment in photos or in excel so would like another opinnion</text>
  </threadedComment>
  <threadedComment ref="AA333" dT="2023-09-01T20:35:10.25" personId="{9876B37A-2671-4314-A85D-D6246AE5AB73}" id="{0F386A8A-915A-4020-B119-7401A5B529CF}">
    <text>Treated, but amount is not noted in Treatment Used</text>
  </threadedComment>
  <threadedComment ref="B337" dT="2023-09-05T02:16:33.66" personId="{8F50CE81-25E5-435F-89F8-224CE01F2D80}" id="{C606BDD2-695F-439E-BE5C-E7CCAAA1FD34}">
    <text>This date doesn't have photos uploaded</text>
  </threadedComment>
  <threadedComment ref="B338" dT="2023-09-05T02:16:45.45" personId="{8F50CE81-25E5-435F-89F8-224CE01F2D80}" id="{654385D8-4170-4007-B8CA-D7DDD1FD0B81}">
    <text>This date doesn't have photos uploaded</text>
  </threadedComment>
  <threadedComment ref="B357" dT="2023-09-05T02:25:46.18" personId="{8F50CE81-25E5-435F-89F8-224CE01F2D80}" id="{81DCDD37-0EC1-4150-8A6E-B8C086A1A905}">
    <text>Photos are not uploaded for this date</text>
  </threadedComment>
  <threadedComment ref="B358" dT="2023-09-05T02:25:58.35" personId="{8F50CE81-25E5-435F-89F8-224CE01F2D80}" id="{21588428-74FF-4E5C-BD7C-64A8AC91636D}">
    <text>Photo's are not uploaded for this date</text>
  </threadedComment>
  <threadedComment ref="AA389" dT="2023-09-01T16:32:45.42" personId="{8F50CE81-25E5-435F-89F8-224CE01F2D80}" id="{AA6F058D-E1F1-47A4-A5F2-F3AD6AFEB686}">
    <text>This isn't on the treatment used page but it is in the photos</text>
  </threadedComment>
  <threadedComment ref="AA395" dT="2023-09-01T16:33:20.99" personId="{8F50CE81-25E5-435F-89F8-224CE01F2D80}" id="{4B3332B9-75E8-4369-95DA-8D27E1E686FE}">
    <text>This is on the treatment used page but isn't in the photos</text>
  </threadedComment>
  <threadedComment ref="AA395" dT="2023-09-01T16:55:36.45" personId="{9876B37A-2671-4314-A85D-D6246AE5AB73}" id="{ABE4BEBC-68B8-4703-99E8-BB3F384F491D}" parentId="{4B3332B9-75E8-4369-95DA-8D27E1E686FE}">
    <text>AC confirmed treatment was needed from tagged records</text>
  </threadedComment>
  <threadedComment ref="AH499" dT="2023-09-08T17:01:50.55" personId="{394F6116-0CA5-45B9-88DD-B71E71350AF1}" id="{04967C0A-0BC2-453A-A7E8-447DA09EB909}">
    <text xml:space="preserve">@Avery Coble </text>
    <mentions>
      <mention mentionpersonId="{1FF08066-103E-4C38-98BB-50C6FEB945CC}" mentionId="{6B4195A4-140F-49DA-93D2-6A1D35FDA19D}" startIndex="0" length="12"/>
    </mentions>
  </threadedComment>
  <threadedComment ref="X524" dT="2023-10-23T21:03:17.75" personId="{9876B37A-2671-4314-A85D-D6246AE5AB73}" id="{F7E07FB3-F674-46E5-8D36-63B17A7F8E8D}">
    <text>I don't see these photos in the file, but if there are no new or regressing lesions then halted should still be 12</text>
  </threadedComment>
  <threadedComment ref="B572" dT="2023-09-05T01:11:38.51" personId="{8F50CE81-25E5-435F-89F8-224CE01F2D80}" id="{F02FE459-E730-41BE-9622-B00AFAF00FAF}">
    <text>The photos for this date haven't been uploaded yet</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6FD99DC-B8DE-4EA3-BC9B-E2E0710D1270}">
  <we:reference id="f4c77554-b580-40d0-9fb3-a47e0a5d1d60" version="6.0.0.2" store="EXCatalog" storeType="EXCatalog"/>
  <we:alternateReferences>
    <we:reference id="WA200000176" version="6.0.0.2"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liveuvi.sharepoint.com/:x:/s/NPSSCTLDTreatment/EUAAIHtwa2ZJvsUDMUw9xTcBcx10pMvqM-E5HPAWliutbw?e=eqvG1o"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9/04/relationships/documenttask" Target="../documenttasks/documenttask2.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9/04/relationships/documenttask" Target="../documenttasks/documenttask3.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7" Type="http://schemas.microsoft.com/office/2019/04/relationships/documenttask" Target="../documenttasks/documenttask4.xml"/><Relationship Id="rId2" Type="http://schemas.openxmlformats.org/officeDocument/2006/relationships/hyperlink" Target="https://liveuvi.sharepoint.com/:f:/s/NPSSCTLDTreatment/EiKuv6zoXJxJkQPu5OHGazEBwggMEFFsjgKm995ACIQenw?e=D1yjZ1" TargetMode="External"/><Relationship Id="rId1" Type="http://schemas.openxmlformats.org/officeDocument/2006/relationships/hyperlink" Target="https://liveuvi.sharepoint.com/:i:/s/NPSSCTLDTreatment/EbDaJeJ8xx1Cj5X9F9KHFY0BFMFCArvNgOkVq9zEdnsEFg?e=nWdQo1"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5" Type="http://schemas.microsoft.com/office/2019/04/relationships/documenttask" Target="../documenttasks/documenttask5.xml"/><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DCD9F-0C4D-45F9-8B2A-AE727DC49AF2}">
  <dimension ref="A1:N137"/>
  <sheetViews>
    <sheetView topLeftCell="C37" zoomScale="80" zoomScaleNormal="80" workbookViewId="0">
      <selection activeCell="G50" sqref="G50"/>
    </sheetView>
  </sheetViews>
  <sheetFormatPr defaultRowHeight="14.75" x14ac:dyDescent="0.75"/>
  <cols>
    <col min="1" max="1" width="12.54296875" bestFit="1" customWidth="1"/>
    <col min="2" max="2" width="21" customWidth="1"/>
    <col min="3" max="3" width="16.26953125" customWidth="1"/>
    <col min="4" max="4" width="19.86328125" customWidth="1"/>
    <col min="5" max="5" width="16.26953125" customWidth="1"/>
    <col min="6" max="6" width="37.54296875" customWidth="1"/>
    <col min="7" max="7" width="33.1328125" customWidth="1"/>
    <col min="8" max="8" width="32.1328125" bestFit="1" customWidth="1"/>
    <col min="9" max="9" width="32.54296875" style="2" customWidth="1"/>
    <col min="10" max="10" width="12" customWidth="1"/>
    <col min="11" max="11" width="12.54296875" customWidth="1"/>
    <col min="12" max="12" width="13" customWidth="1"/>
  </cols>
  <sheetData>
    <row r="1" spans="1:11" ht="36.25" x14ac:dyDescent="1.65">
      <c r="B1" s="321" t="s">
        <v>0</v>
      </c>
      <c r="C1" s="322"/>
      <c r="D1" s="322"/>
      <c r="E1" s="322"/>
      <c r="F1" s="322"/>
      <c r="G1" s="322"/>
      <c r="H1" s="322"/>
      <c r="I1" s="322"/>
    </row>
    <row r="2" spans="1:11" ht="18.5" x14ac:dyDescent="0.9">
      <c r="B2" s="323" t="s">
        <v>1</v>
      </c>
      <c r="C2" s="323"/>
      <c r="D2" s="323"/>
      <c r="E2" s="323"/>
      <c r="F2" s="323"/>
      <c r="G2" s="323"/>
      <c r="H2" s="323"/>
      <c r="I2" s="323"/>
    </row>
    <row r="3" spans="1:11" ht="19.25" thickBot="1" x14ac:dyDescent="1.05">
      <c r="A3" s="135" t="s">
        <v>2</v>
      </c>
      <c r="B3" s="136"/>
      <c r="C3" s="136"/>
      <c r="D3" s="136"/>
      <c r="E3" s="136"/>
      <c r="F3" s="136"/>
      <c r="G3" s="136"/>
      <c r="H3" s="136"/>
      <c r="I3" s="136"/>
      <c r="J3" s="137"/>
      <c r="K3" s="137"/>
    </row>
    <row r="4" spans="1:11" s="31" customFormat="1" ht="19.25" thickTop="1" x14ac:dyDescent="0.9">
      <c r="A4" s="125" t="s">
        <v>3</v>
      </c>
      <c r="B4" s="324" t="s">
        <v>4</v>
      </c>
      <c r="C4" s="324"/>
      <c r="D4" s="126" t="s">
        <v>5</v>
      </c>
      <c r="E4" s="126"/>
      <c r="F4" s="126"/>
      <c r="G4" s="126"/>
      <c r="H4" s="126"/>
      <c r="I4" s="127"/>
      <c r="J4" s="127"/>
      <c r="K4" s="128"/>
    </row>
    <row r="5" spans="1:11" s="31" customFormat="1" ht="18.5" x14ac:dyDescent="0.9">
      <c r="A5" s="129"/>
      <c r="B5" s="123" t="s">
        <v>6</v>
      </c>
      <c r="C5" s="123"/>
      <c r="D5" s="123" t="s">
        <v>7</v>
      </c>
      <c r="E5" s="123"/>
      <c r="F5" s="123"/>
      <c r="G5" s="123"/>
      <c r="H5" s="123"/>
      <c r="I5" s="124"/>
      <c r="J5" s="124"/>
      <c r="K5" s="130"/>
    </row>
    <row r="6" spans="1:11" s="31" customFormat="1" ht="19.25" thickBot="1" x14ac:dyDescent="1.05">
      <c r="A6" s="131"/>
      <c r="B6" s="132" t="s">
        <v>8</v>
      </c>
      <c r="C6" s="132"/>
      <c r="D6" s="132" t="s">
        <v>9</v>
      </c>
      <c r="E6" s="132"/>
      <c r="F6" s="132"/>
      <c r="G6" s="132"/>
      <c r="H6" s="132"/>
      <c r="I6" s="133"/>
      <c r="J6" s="133"/>
      <c r="K6" s="134"/>
    </row>
    <row r="7" spans="1:11" s="19" customFormat="1" ht="19.25" thickTop="1" x14ac:dyDescent="0.9">
      <c r="A7" s="19" t="s">
        <v>10</v>
      </c>
      <c r="B7" s="19" t="s">
        <v>11</v>
      </c>
      <c r="H7" s="20" t="s">
        <v>12</v>
      </c>
      <c r="I7" s="20" t="s">
        <v>13</v>
      </c>
    </row>
    <row r="8" spans="1:11" ht="18.5" x14ac:dyDescent="0.9">
      <c r="A8" s="19"/>
      <c r="B8" s="2" t="s">
        <v>14</v>
      </c>
      <c r="C8" s="2" t="s">
        <v>15</v>
      </c>
      <c r="D8" s="2" t="s">
        <v>16</v>
      </c>
      <c r="E8" s="2" t="s">
        <v>17</v>
      </c>
      <c r="F8" s="30" t="s">
        <v>18</v>
      </c>
      <c r="G8" s="10" t="s">
        <v>19</v>
      </c>
      <c r="H8" s="8" t="s">
        <v>20</v>
      </c>
      <c r="I8" s="9" t="s">
        <v>21</v>
      </c>
      <c r="J8" s="2"/>
    </row>
    <row r="9" spans="1:11" x14ac:dyDescent="0.75">
      <c r="A9" t="s">
        <v>22</v>
      </c>
      <c r="B9" t="s">
        <v>23</v>
      </c>
      <c r="C9" t="s">
        <v>24</v>
      </c>
      <c r="D9">
        <v>18.365749999999998</v>
      </c>
      <c r="E9">
        <v>-64.773619999999994</v>
      </c>
      <c r="F9" s="31"/>
      <c r="G9" s="264" t="s">
        <v>25</v>
      </c>
      <c r="H9" s="8" t="s">
        <v>26</v>
      </c>
      <c r="I9" s="9" t="s">
        <v>27</v>
      </c>
      <c r="J9" s="2"/>
    </row>
    <row r="10" spans="1:11" x14ac:dyDescent="0.75">
      <c r="A10" t="s">
        <v>22</v>
      </c>
      <c r="B10" t="s">
        <v>28</v>
      </c>
      <c r="C10" t="s">
        <v>29</v>
      </c>
      <c r="D10">
        <v>18.315639999999998</v>
      </c>
      <c r="E10">
        <v>-64.725899999999996</v>
      </c>
      <c r="F10" s="32"/>
      <c r="G10" s="326" t="s">
        <v>30</v>
      </c>
      <c r="H10" s="8" t="s">
        <v>31</v>
      </c>
      <c r="I10" s="74" t="s">
        <v>32</v>
      </c>
      <c r="J10" s="2"/>
    </row>
    <row r="11" spans="1:11" x14ac:dyDescent="0.75">
      <c r="B11" t="s">
        <v>33</v>
      </c>
      <c r="C11" t="s">
        <v>34</v>
      </c>
      <c r="D11">
        <v>18.319544</v>
      </c>
      <c r="E11">
        <v>-64.751997000000003</v>
      </c>
      <c r="F11" s="32"/>
      <c r="G11" s="326"/>
      <c r="H11" s="2" t="s">
        <v>35</v>
      </c>
      <c r="I11" s="1" t="s">
        <v>36</v>
      </c>
      <c r="J11" s="2"/>
    </row>
    <row r="12" spans="1:11" x14ac:dyDescent="0.75">
      <c r="A12" t="s">
        <v>22</v>
      </c>
      <c r="B12" t="s">
        <v>37</v>
      </c>
      <c r="C12" t="s">
        <v>38</v>
      </c>
      <c r="D12">
        <v>18.360704999999999</v>
      </c>
      <c r="E12">
        <v>-64.745562000000007</v>
      </c>
      <c r="F12" s="32"/>
      <c r="H12" s="2"/>
      <c r="I12"/>
      <c r="J12" s="2"/>
    </row>
    <row r="13" spans="1:11" x14ac:dyDescent="0.75">
      <c r="A13" t="s">
        <v>22</v>
      </c>
      <c r="B13" t="s">
        <v>39</v>
      </c>
      <c r="C13" t="s">
        <v>40</v>
      </c>
      <c r="D13">
        <v>18.357482999999998</v>
      </c>
      <c r="E13">
        <v>-64.751949999999994</v>
      </c>
      <c r="F13" s="32" t="s">
        <v>41</v>
      </c>
      <c r="H13" s="2" t="s">
        <v>42</v>
      </c>
      <c r="I13" t="s">
        <v>43</v>
      </c>
      <c r="J13" s="2"/>
    </row>
    <row r="14" spans="1:11" x14ac:dyDescent="0.75">
      <c r="A14" t="s">
        <v>22</v>
      </c>
      <c r="B14" t="s">
        <v>44</v>
      </c>
      <c r="C14" t="s">
        <v>45</v>
      </c>
      <c r="D14">
        <v>18.364650000000001</v>
      </c>
      <c r="E14">
        <v>-64.726183000000006</v>
      </c>
      <c r="F14" s="32"/>
      <c r="H14" s="2" t="s">
        <v>46</v>
      </c>
      <c r="I14" t="s">
        <v>47</v>
      </c>
      <c r="J14" s="2"/>
    </row>
    <row r="15" spans="1:11" x14ac:dyDescent="0.75">
      <c r="A15" t="s">
        <v>22</v>
      </c>
      <c r="B15" t="s">
        <v>48</v>
      </c>
      <c r="C15" t="s">
        <v>49</v>
      </c>
      <c r="D15">
        <v>18.363399999999999</v>
      </c>
      <c r="E15">
        <v>-64.706067000000004</v>
      </c>
      <c r="F15" s="32">
        <v>44644</v>
      </c>
      <c r="H15" s="2" t="s">
        <v>50</v>
      </c>
      <c r="I15" t="s">
        <v>51</v>
      </c>
      <c r="J15" s="2"/>
    </row>
    <row r="16" spans="1:11" x14ac:dyDescent="0.75">
      <c r="A16" t="s">
        <v>22</v>
      </c>
      <c r="B16" t="s">
        <v>52</v>
      </c>
      <c r="C16" t="s">
        <v>53</v>
      </c>
      <c r="D16">
        <v>18.317267000000001</v>
      </c>
      <c r="E16">
        <v>-64.740650000000002</v>
      </c>
      <c r="F16" s="32">
        <v>44649</v>
      </c>
      <c r="H16" s="2" t="s">
        <v>54</v>
      </c>
      <c r="I16" t="s">
        <v>55</v>
      </c>
      <c r="J16" s="2"/>
    </row>
    <row r="17" spans="1:10" x14ac:dyDescent="0.75">
      <c r="A17" t="s">
        <v>22</v>
      </c>
      <c r="B17" t="s">
        <v>56</v>
      </c>
      <c r="C17" t="s">
        <v>57</v>
      </c>
      <c r="D17">
        <v>18.363499999999998</v>
      </c>
      <c r="E17">
        <v>-64.724450000000004</v>
      </c>
      <c r="F17" s="32"/>
      <c r="H17" s="2" t="s">
        <v>58</v>
      </c>
      <c r="I17" t="s">
        <v>59</v>
      </c>
      <c r="J17" s="2"/>
    </row>
    <row r="18" spans="1:10" x14ac:dyDescent="0.75">
      <c r="A18" t="s">
        <v>22</v>
      </c>
      <c r="B18" t="s">
        <v>60</v>
      </c>
      <c r="C18" t="s">
        <v>61</v>
      </c>
      <c r="D18">
        <v>18.367850000000001</v>
      </c>
      <c r="E18">
        <v>-64.732933000000003</v>
      </c>
      <c r="F18" s="32"/>
      <c r="H18" s="2" t="s">
        <v>62</v>
      </c>
      <c r="I18" t="s">
        <v>63</v>
      </c>
      <c r="J18" s="2"/>
    </row>
    <row r="19" spans="1:10" x14ac:dyDescent="0.75">
      <c r="A19" t="s">
        <v>22</v>
      </c>
      <c r="B19" t="s">
        <v>64</v>
      </c>
      <c r="C19" t="s">
        <v>65</v>
      </c>
      <c r="D19">
        <v>18.368383000000001</v>
      </c>
      <c r="E19">
        <v>-64.751450000000006</v>
      </c>
      <c r="F19" s="32"/>
      <c r="H19" s="2" t="s">
        <v>66</v>
      </c>
      <c r="I19" t="s">
        <v>67</v>
      </c>
      <c r="J19" s="2"/>
    </row>
    <row r="20" spans="1:10" x14ac:dyDescent="0.75">
      <c r="A20" t="s">
        <v>68</v>
      </c>
      <c r="B20" t="s">
        <v>69</v>
      </c>
      <c r="C20" t="s">
        <v>70</v>
      </c>
      <c r="D20">
        <v>18.343233000000001</v>
      </c>
      <c r="E20">
        <v>-64.687667000000005</v>
      </c>
      <c r="F20" s="32"/>
      <c r="H20" s="2" t="s">
        <v>71</v>
      </c>
      <c r="I20" t="s">
        <v>72</v>
      </c>
      <c r="J20" s="62" t="s">
        <v>73</v>
      </c>
    </row>
    <row r="21" spans="1:10" x14ac:dyDescent="0.75">
      <c r="B21" t="s">
        <v>74</v>
      </c>
      <c r="C21" t="s">
        <v>75</v>
      </c>
      <c r="D21">
        <v>18.342904000000001</v>
      </c>
      <c r="E21">
        <v>-64.676987999999994</v>
      </c>
      <c r="F21" s="32"/>
      <c r="H21" s="2" t="s">
        <v>76</v>
      </c>
      <c r="I21" t="s">
        <v>77</v>
      </c>
      <c r="J21" s="2"/>
    </row>
    <row r="22" spans="1:10" x14ac:dyDescent="0.75">
      <c r="B22" t="s">
        <v>78</v>
      </c>
      <c r="C22" t="s">
        <v>79</v>
      </c>
      <c r="D22">
        <v>18.367812977030098</v>
      </c>
      <c r="E22">
        <v>-64.7126550626121</v>
      </c>
      <c r="H22" s="2" t="s">
        <v>80</v>
      </c>
      <c r="I22" t="s">
        <v>81</v>
      </c>
      <c r="J22" s="122" t="s">
        <v>82</v>
      </c>
    </row>
    <row r="23" spans="1:10" x14ac:dyDescent="0.75">
      <c r="B23" t="s">
        <v>83</v>
      </c>
      <c r="C23" t="s">
        <v>84</v>
      </c>
      <c r="D23">
        <v>18.3730207000084</v>
      </c>
      <c r="E23">
        <v>-64.744347765146998</v>
      </c>
      <c r="H23" s="2" t="s">
        <v>85</v>
      </c>
      <c r="I23" t="s">
        <v>86</v>
      </c>
      <c r="J23" s="2"/>
    </row>
    <row r="24" spans="1:10" x14ac:dyDescent="0.75">
      <c r="B24" t="s">
        <v>87</v>
      </c>
      <c r="C24" t="s">
        <v>88</v>
      </c>
      <c r="D24">
        <v>18.344638000854399</v>
      </c>
      <c r="E24">
        <v>-64.6839062927274</v>
      </c>
      <c r="H24" s="2" t="s">
        <v>89</v>
      </c>
      <c r="I24" t="s">
        <v>90</v>
      </c>
      <c r="J24" s="2"/>
    </row>
    <row r="25" spans="1:10" x14ac:dyDescent="0.75">
      <c r="B25" t="s">
        <v>91</v>
      </c>
      <c r="C25" t="s">
        <v>92</v>
      </c>
      <c r="D25">
        <v>18.302265542188699</v>
      </c>
      <c r="E25">
        <v>-64.709759103599794</v>
      </c>
      <c r="F25" t="s">
        <v>93</v>
      </c>
      <c r="H25" s="33" t="s">
        <v>94</v>
      </c>
      <c r="I25" s="34" t="s">
        <v>95</v>
      </c>
      <c r="J25" s="2"/>
    </row>
    <row r="26" spans="1:10" x14ac:dyDescent="0.75">
      <c r="B26" t="s">
        <v>96</v>
      </c>
      <c r="C26" t="s">
        <v>97</v>
      </c>
      <c r="D26">
        <v>18.309038942679699</v>
      </c>
      <c r="E26">
        <v>-64.723371360450898</v>
      </c>
      <c r="H26" s="35" t="s">
        <v>98</v>
      </c>
      <c r="I26" s="36" t="s">
        <v>99</v>
      </c>
      <c r="J26" s="2"/>
    </row>
    <row r="27" spans="1:10" x14ac:dyDescent="0.75">
      <c r="B27" t="s">
        <v>100</v>
      </c>
      <c r="C27" t="s">
        <v>101</v>
      </c>
      <c r="D27">
        <v>18.344525365211499</v>
      </c>
      <c r="E27">
        <v>-64.693964686489494</v>
      </c>
      <c r="H27" s="37" t="s">
        <v>102</v>
      </c>
      <c r="I27" s="38" t="s">
        <v>103</v>
      </c>
      <c r="J27" s="2"/>
    </row>
    <row r="28" spans="1:10" x14ac:dyDescent="0.75">
      <c r="B28" t="s">
        <v>104</v>
      </c>
      <c r="C28" t="s">
        <v>105</v>
      </c>
      <c r="D28">
        <v>18.350866</v>
      </c>
      <c r="E28">
        <v>-64.691781000000006</v>
      </c>
      <c r="H28" s="37" t="s">
        <v>106</v>
      </c>
      <c r="I28" s="38" t="s">
        <v>107</v>
      </c>
      <c r="J28" s="2"/>
    </row>
    <row r="29" spans="1:10" x14ac:dyDescent="0.75">
      <c r="B29" t="s">
        <v>108</v>
      </c>
      <c r="C29" t="s">
        <v>109</v>
      </c>
      <c r="D29">
        <v>18.355089</v>
      </c>
      <c r="E29">
        <v>-64.692687000000006</v>
      </c>
      <c r="H29" s="2" t="s">
        <v>110</v>
      </c>
      <c r="I29" t="s">
        <v>111</v>
      </c>
      <c r="J29" s="2"/>
    </row>
    <row r="30" spans="1:10" x14ac:dyDescent="0.75">
      <c r="B30" t="s">
        <v>112</v>
      </c>
      <c r="C30" t="s">
        <v>113</v>
      </c>
      <c r="D30">
        <v>18.347826000000001</v>
      </c>
      <c r="E30">
        <v>-64.691346999999993</v>
      </c>
      <c r="H30" s="2" t="s">
        <v>114</v>
      </c>
      <c r="I30" t="s">
        <v>115</v>
      </c>
      <c r="J30" s="2"/>
    </row>
    <row r="31" spans="1:10" x14ac:dyDescent="0.75">
      <c r="B31" t="s">
        <v>116</v>
      </c>
      <c r="C31" t="s">
        <v>117</v>
      </c>
      <c r="D31">
        <v>18.3506</v>
      </c>
      <c r="E31">
        <v>-64.699183000000005</v>
      </c>
      <c r="H31" s="2" t="s">
        <v>118</v>
      </c>
      <c r="I31" t="s">
        <v>119</v>
      </c>
      <c r="J31" s="2"/>
    </row>
    <row r="32" spans="1:10" x14ac:dyDescent="0.75">
      <c r="B32" t="s">
        <v>120</v>
      </c>
      <c r="C32" t="s">
        <v>121</v>
      </c>
      <c r="D32" s="10"/>
      <c r="E32" s="10"/>
      <c r="H32" s="2" t="s">
        <v>122</v>
      </c>
      <c r="I32" t="s">
        <v>123</v>
      </c>
      <c r="J32" s="2"/>
    </row>
    <row r="33" spans="1:14" ht="14.45" customHeight="1" x14ac:dyDescent="0.75">
      <c r="B33" t="s">
        <v>124</v>
      </c>
      <c r="C33" t="s">
        <v>125</v>
      </c>
      <c r="D33" s="10"/>
      <c r="E33" s="10"/>
      <c r="H33" s="2" t="s">
        <v>18</v>
      </c>
      <c r="I33" s="325" t="s">
        <v>126</v>
      </c>
      <c r="J33" s="325"/>
      <c r="K33" s="325"/>
      <c r="L33" s="325"/>
      <c r="M33" s="325"/>
      <c r="N33" s="325"/>
    </row>
    <row r="34" spans="1:14" x14ac:dyDescent="0.75">
      <c r="B34" t="s">
        <v>127</v>
      </c>
      <c r="C34" t="s">
        <v>128</v>
      </c>
      <c r="D34" s="10"/>
      <c r="E34" s="10"/>
      <c r="H34" s="2"/>
      <c r="I34" s="325"/>
      <c r="J34" s="325"/>
      <c r="K34" s="325"/>
      <c r="L34" s="325"/>
      <c r="M34" s="325"/>
      <c r="N34" s="325"/>
    </row>
    <row r="35" spans="1:14" x14ac:dyDescent="0.75">
      <c r="H35" s="2"/>
      <c r="I35" s="325"/>
      <c r="J35" s="325"/>
      <c r="K35" s="325"/>
      <c r="L35" s="325"/>
      <c r="M35" s="325"/>
      <c r="N35" s="325"/>
    </row>
    <row r="36" spans="1:14" x14ac:dyDescent="0.75">
      <c r="H36" s="2"/>
      <c r="I36" s="325"/>
      <c r="J36" s="325"/>
      <c r="K36" s="325"/>
      <c r="L36" s="325"/>
      <c r="M36" s="325"/>
      <c r="N36" s="325"/>
    </row>
    <row r="37" spans="1:14" ht="47.45" customHeight="1" x14ac:dyDescent="0.75">
      <c r="H37" s="2"/>
      <c r="I37" s="325"/>
      <c r="J37" s="325"/>
      <c r="K37" s="325"/>
      <c r="L37" s="325"/>
      <c r="M37" s="325"/>
      <c r="N37" s="325"/>
    </row>
    <row r="38" spans="1:14" ht="14.45" customHeight="1" x14ac:dyDescent="0.75">
      <c r="G38" s="320" t="s">
        <v>129</v>
      </c>
      <c r="H38" s="2" t="s">
        <v>130</v>
      </c>
      <c r="I38" t="s">
        <v>131</v>
      </c>
      <c r="J38" s="2"/>
    </row>
    <row r="39" spans="1:14" x14ac:dyDescent="0.75">
      <c r="G39" s="320"/>
      <c r="H39" s="165" t="s">
        <v>132</v>
      </c>
      <c r="I39" t="s">
        <v>133</v>
      </c>
      <c r="J39" s="2"/>
    </row>
    <row r="40" spans="1:14" x14ac:dyDescent="0.75">
      <c r="G40" s="320"/>
      <c r="H40" s="165" t="s">
        <v>134</v>
      </c>
      <c r="I40" t="s">
        <v>135</v>
      </c>
      <c r="J40" s="2"/>
    </row>
    <row r="41" spans="1:14" ht="15" customHeight="1" x14ac:dyDescent="0.75">
      <c r="A41" s="2" t="s">
        <v>136</v>
      </c>
      <c r="G41" s="320"/>
      <c r="H41" s="2" t="s">
        <v>137</v>
      </c>
      <c r="I41" t="s">
        <v>138</v>
      </c>
      <c r="J41" s="2"/>
    </row>
    <row r="42" spans="1:14" ht="15" customHeight="1" x14ac:dyDescent="0.75">
      <c r="A42" t="s">
        <v>22</v>
      </c>
      <c r="B42" t="s">
        <v>139</v>
      </c>
      <c r="D42">
        <v>18.356349999999999</v>
      </c>
      <c r="E42">
        <v>-64.756349999999998</v>
      </c>
      <c r="F42" t="s">
        <v>140</v>
      </c>
      <c r="G42" s="320"/>
      <c r="H42" s="165" t="s">
        <v>141</v>
      </c>
      <c r="I42" t="s">
        <v>142</v>
      </c>
      <c r="J42" s="2"/>
    </row>
    <row r="43" spans="1:14" x14ac:dyDescent="0.75">
      <c r="A43" t="s">
        <v>22</v>
      </c>
      <c r="B43" t="s">
        <v>143</v>
      </c>
      <c r="D43">
        <v>18.358467000000001</v>
      </c>
      <c r="E43">
        <v>-64.751266999999999</v>
      </c>
      <c r="F43" t="s">
        <v>140</v>
      </c>
      <c r="G43" s="320"/>
      <c r="H43" s="2" t="s">
        <v>144</v>
      </c>
      <c r="I43" t="s">
        <v>145</v>
      </c>
      <c r="J43" s="2"/>
    </row>
    <row r="44" spans="1:14" ht="36.25" x14ac:dyDescent="1.65">
      <c r="A44" s="327" t="s">
        <v>146</v>
      </c>
      <c r="B44" s="327"/>
      <c r="C44" s="327"/>
      <c r="D44" s="327"/>
      <c r="E44" s="327"/>
      <c r="F44" s="327"/>
      <c r="G44" s="327"/>
      <c r="H44" s="327"/>
      <c r="I44" s="327"/>
    </row>
    <row r="45" spans="1:14" ht="30.65" customHeight="1" x14ac:dyDescent="0.75">
      <c r="A45" s="328" t="s">
        <v>147</v>
      </c>
      <c r="B45" s="328"/>
      <c r="C45" s="328"/>
      <c r="D45" s="328"/>
      <c r="E45" s="328"/>
      <c r="F45" s="328"/>
      <c r="G45" s="328"/>
      <c r="H45" s="328"/>
      <c r="I45" s="328"/>
    </row>
    <row r="46" spans="1:14" s="29" customFormat="1" x14ac:dyDescent="0.75">
      <c r="C46" s="242" t="s">
        <v>148</v>
      </c>
      <c r="F46" s="29" t="s">
        <v>149</v>
      </c>
    </row>
    <row r="47" spans="1:14" ht="18.5" x14ac:dyDescent="0.9">
      <c r="A47" s="29" t="s">
        <v>150</v>
      </c>
      <c r="B47" s="29" t="s">
        <v>151</v>
      </c>
      <c r="C47" s="144" t="s">
        <v>152</v>
      </c>
      <c r="F47" s="20" t="s">
        <v>12</v>
      </c>
      <c r="G47" s="20" t="s">
        <v>13</v>
      </c>
      <c r="J47" s="2"/>
      <c r="K47" s="2"/>
    </row>
    <row r="48" spans="1:14" x14ac:dyDescent="0.75">
      <c r="A48" t="s">
        <v>153</v>
      </c>
      <c r="B48" t="s">
        <v>154</v>
      </c>
      <c r="F48" s="118" t="s">
        <v>155</v>
      </c>
      <c r="G48" t="s">
        <v>156</v>
      </c>
    </row>
    <row r="49" spans="1:9" x14ac:dyDescent="0.75">
      <c r="A49" t="s">
        <v>157</v>
      </c>
      <c r="B49" t="s">
        <v>158</v>
      </c>
      <c r="F49" s="18" t="s">
        <v>62</v>
      </c>
      <c r="G49" t="s">
        <v>159</v>
      </c>
    </row>
    <row r="50" spans="1:9" x14ac:dyDescent="0.75">
      <c r="A50" t="s">
        <v>160</v>
      </c>
      <c r="B50" t="s">
        <v>161</v>
      </c>
      <c r="F50" s="118" t="s">
        <v>162</v>
      </c>
      <c r="G50" t="s">
        <v>163</v>
      </c>
    </row>
    <row r="51" spans="1:9" ht="16.399999999999999" customHeight="1" x14ac:dyDescent="0.75">
      <c r="A51" t="s">
        <v>164</v>
      </c>
      <c r="B51" t="s">
        <v>165</v>
      </c>
      <c r="F51" s="11" t="s">
        <v>166</v>
      </c>
      <c r="G51" t="s">
        <v>167</v>
      </c>
    </row>
    <row r="52" spans="1:9" x14ac:dyDescent="0.75">
      <c r="A52" t="s">
        <v>168</v>
      </c>
      <c r="B52" t="s">
        <v>169</v>
      </c>
      <c r="F52" s="11" t="s">
        <v>170</v>
      </c>
      <c r="G52" t="s">
        <v>171</v>
      </c>
    </row>
    <row r="53" spans="1:9" x14ac:dyDescent="0.75">
      <c r="A53" t="s">
        <v>172</v>
      </c>
      <c r="B53" t="s">
        <v>173</v>
      </c>
      <c r="F53" s="11" t="s">
        <v>174</v>
      </c>
      <c r="G53" t="s">
        <v>175</v>
      </c>
    </row>
    <row r="54" spans="1:9" x14ac:dyDescent="0.75">
      <c r="A54" t="s">
        <v>176</v>
      </c>
      <c r="B54" t="s">
        <v>177</v>
      </c>
      <c r="F54" s="11" t="s">
        <v>178</v>
      </c>
      <c r="G54" t="s">
        <v>179</v>
      </c>
    </row>
    <row r="55" spans="1:9" x14ac:dyDescent="0.75">
      <c r="A55" t="s">
        <v>180</v>
      </c>
      <c r="B55" t="s">
        <v>181</v>
      </c>
      <c r="F55" s="11" t="s">
        <v>182</v>
      </c>
      <c r="G55" t="s">
        <v>183</v>
      </c>
    </row>
    <row r="56" spans="1:9" x14ac:dyDescent="0.75">
      <c r="A56" t="s">
        <v>184</v>
      </c>
      <c r="B56" t="s">
        <v>185</v>
      </c>
      <c r="F56" s="11" t="s">
        <v>71</v>
      </c>
      <c r="G56" t="s">
        <v>186</v>
      </c>
    </row>
    <row r="57" spans="1:9" ht="15" customHeight="1" x14ac:dyDescent="0.75">
      <c r="A57" t="s">
        <v>187</v>
      </c>
      <c r="B57" t="s">
        <v>188</v>
      </c>
      <c r="F57" s="11" t="s">
        <v>189</v>
      </c>
      <c r="G57" t="s">
        <v>190</v>
      </c>
    </row>
    <row r="58" spans="1:9" ht="15.65" customHeight="1" x14ac:dyDescent="0.75">
      <c r="A58" t="s">
        <v>191</v>
      </c>
      <c r="B58" t="s">
        <v>192</v>
      </c>
      <c r="F58" s="11" t="s">
        <v>18</v>
      </c>
      <c r="G58" t="s">
        <v>193</v>
      </c>
    </row>
    <row r="59" spans="1:9" ht="17.45" customHeight="1" x14ac:dyDescent="0.75">
      <c r="A59" t="s">
        <v>194</v>
      </c>
      <c r="B59" t="s">
        <v>195</v>
      </c>
      <c r="F59" s="28" t="s">
        <v>196</v>
      </c>
    </row>
    <row r="60" spans="1:9" x14ac:dyDescent="0.75">
      <c r="A60" t="s">
        <v>197</v>
      </c>
      <c r="B60" t="s">
        <v>198</v>
      </c>
      <c r="I60"/>
    </row>
    <row r="61" spans="1:9" x14ac:dyDescent="0.75">
      <c r="A61" t="s">
        <v>199</v>
      </c>
      <c r="B61" t="s">
        <v>200</v>
      </c>
      <c r="I61"/>
    </row>
    <row r="62" spans="1:9" x14ac:dyDescent="0.75">
      <c r="A62" t="s">
        <v>201</v>
      </c>
      <c r="B62" t="s">
        <v>202</v>
      </c>
      <c r="I62"/>
    </row>
    <row r="63" spans="1:9" x14ac:dyDescent="0.75">
      <c r="A63" t="s">
        <v>203</v>
      </c>
      <c r="B63" t="s">
        <v>204</v>
      </c>
      <c r="I63"/>
    </row>
    <row r="64" spans="1:9" x14ac:dyDescent="0.75">
      <c r="A64" t="s">
        <v>205</v>
      </c>
      <c r="B64" t="s">
        <v>206</v>
      </c>
      <c r="I64"/>
    </row>
    <row r="65" spans="1:9" x14ac:dyDescent="0.75">
      <c r="A65" t="s">
        <v>207</v>
      </c>
      <c r="B65" t="s">
        <v>208</v>
      </c>
      <c r="I65"/>
    </row>
    <row r="66" spans="1:9" x14ac:dyDescent="0.75">
      <c r="A66" t="s">
        <v>209</v>
      </c>
      <c r="B66" t="s">
        <v>210</v>
      </c>
      <c r="I66"/>
    </row>
    <row r="67" spans="1:9" x14ac:dyDescent="0.75">
      <c r="A67" t="s">
        <v>211</v>
      </c>
      <c r="B67" t="s">
        <v>212</v>
      </c>
      <c r="I67"/>
    </row>
    <row r="68" spans="1:9" x14ac:dyDescent="0.75">
      <c r="A68" t="s">
        <v>213</v>
      </c>
      <c r="B68" t="s">
        <v>214</v>
      </c>
      <c r="I68"/>
    </row>
    <row r="69" spans="1:9" x14ac:dyDescent="0.75">
      <c r="A69" t="s">
        <v>215</v>
      </c>
      <c r="B69" t="s">
        <v>216</v>
      </c>
      <c r="I69"/>
    </row>
    <row r="70" spans="1:9" x14ac:dyDescent="0.75">
      <c r="A70" t="s">
        <v>217</v>
      </c>
      <c r="B70" t="s">
        <v>218</v>
      </c>
      <c r="I70"/>
    </row>
    <row r="71" spans="1:9" x14ac:dyDescent="0.75">
      <c r="A71" t="s">
        <v>219</v>
      </c>
      <c r="B71" t="s">
        <v>220</v>
      </c>
      <c r="I71"/>
    </row>
    <row r="72" spans="1:9" x14ac:dyDescent="0.75">
      <c r="A72" t="s">
        <v>221</v>
      </c>
      <c r="B72" t="s">
        <v>222</v>
      </c>
      <c r="I72"/>
    </row>
    <row r="73" spans="1:9" x14ac:dyDescent="0.75">
      <c r="A73" t="s">
        <v>223</v>
      </c>
      <c r="B73" t="s">
        <v>224</v>
      </c>
      <c r="I73"/>
    </row>
    <row r="74" spans="1:9" x14ac:dyDescent="0.75">
      <c r="A74" t="s">
        <v>225</v>
      </c>
      <c r="B74" t="s">
        <v>226</v>
      </c>
      <c r="I74"/>
    </row>
    <row r="75" spans="1:9" x14ac:dyDescent="0.75">
      <c r="A75" t="s">
        <v>227</v>
      </c>
      <c r="B75" t="s">
        <v>228</v>
      </c>
      <c r="I75"/>
    </row>
    <row r="76" spans="1:9" ht="36.25" x14ac:dyDescent="1.65">
      <c r="A76" s="327" t="s">
        <v>229</v>
      </c>
      <c r="B76" s="327"/>
      <c r="C76" s="327"/>
      <c r="D76" s="327"/>
      <c r="E76" s="327"/>
      <c r="F76" s="327"/>
      <c r="G76" s="327"/>
      <c r="H76" s="327"/>
      <c r="I76" s="327"/>
    </row>
    <row r="77" spans="1:9" ht="18.5" x14ac:dyDescent="0.9">
      <c r="F77" s="20" t="s">
        <v>12</v>
      </c>
      <c r="G77" s="20" t="s">
        <v>13</v>
      </c>
    </row>
    <row r="78" spans="1:9" x14ac:dyDescent="0.75">
      <c r="F78" s="2" t="s">
        <v>54</v>
      </c>
      <c r="G78" t="s">
        <v>156</v>
      </c>
    </row>
    <row r="79" spans="1:9" x14ac:dyDescent="0.75">
      <c r="F79" s="2" t="s">
        <v>230</v>
      </c>
      <c r="G79" t="s">
        <v>231</v>
      </c>
    </row>
    <row r="80" spans="1:9" x14ac:dyDescent="0.75">
      <c r="F80" s="2" t="s">
        <v>232</v>
      </c>
      <c r="G80" t="s">
        <v>233</v>
      </c>
    </row>
    <row r="81" spans="1:9" x14ac:dyDescent="0.75">
      <c r="F81" s="2" t="s">
        <v>166</v>
      </c>
      <c r="G81" t="s">
        <v>234</v>
      </c>
    </row>
    <row r="82" spans="1:9" x14ac:dyDescent="0.75">
      <c r="F82" s="2" t="s">
        <v>235</v>
      </c>
      <c r="G82" t="s">
        <v>236</v>
      </c>
    </row>
    <row r="83" spans="1:9" x14ac:dyDescent="0.75">
      <c r="F83" s="2" t="s">
        <v>237</v>
      </c>
      <c r="G83" t="s">
        <v>238</v>
      </c>
    </row>
    <row r="84" spans="1:9" x14ac:dyDescent="0.75">
      <c r="F84" s="18" t="s">
        <v>239</v>
      </c>
      <c r="G84" t="s">
        <v>240</v>
      </c>
    </row>
    <row r="85" spans="1:9" x14ac:dyDescent="0.75">
      <c r="F85" s="2" t="s">
        <v>241</v>
      </c>
      <c r="G85" t="s">
        <v>242</v>
      </c>
    </row>
    <row r="86" spans="1:9" x14ac:dyDescent="0.75">
      <c r="F86" s="2" t="s">
        <v>243</v>
      </c>
      <c r="G86" t="s">
        <v>244</v>
      </c>
    </row>
    <row r="87" spans="1:9" x14ac:dyDescent="0.75">
      <c r="F87" s="2" t="s">
        <v>245</v>
      </c>
      <c r="G87" t="s">
        <v>246</v>
      </c>
    </row>
    <row r="88" spans="1:9" x14ac:dyDescent="0.75">
      <c r="F88" s="2" t="s">
        <v>18</v>
      </c>
      <c r="G88" t="s">
        <v>247</v>
      </c>
    </row>
    <row r="89" spans="1:9" ht="36.25" x14ac:dyDescent="1.65">
      <c r="A89" s="327" t="s">
        <v>248</v>
      </c>
      <c r="B89" s="327"/>
      <c r="C89" s="327"/>
      <c r="D89" s="327"/>
      <c r="E89" s="327"/>
      <c r="F89" s="327"/>
      <c r="G89" s="327"/>
      <c r="H89" s="327"/>
      <c r="I89" s="327"/>
    </row>
    <row r="90" spans="1:9" ht="18.5" x14ac:dyDescent="0.9">
      <c r="A90" s="331" t="s">
        <v>249</v>
      </c>
      <c r="B90" s="331"/>
      <c r="C90" s="331"/>
      <c r="D90" s="331"/>
      <c r="F90" s="20" t="s">
        <v>12</v>
      </c>
      <c r="G90" s="20" t="s">
        <v>13</v>
      </c>
    </row>
    <row r="91" spans="1:9" ht="39" customHeight="1" x14ac:dyDescent="0.75">
      <c r="A91" s="330" t="s">
        <v>250</v>
      </c>
      <c r="B91" s="330"/>
      <c r="C91" s="159" t="s">
        <v>251</v>
      </c>
      <c r="D91" s="159" t="s">
        <v>252</v>
      </c>
      <c r="F91" s="11" t="s">
        <v>230</v>
      </c>
      <c r="G91" t="s">
        <v>231</v>
      </c>
    </row>
    <row r="92" spans="1:9" x14ac:dyDescent="0.75">
      <c r="A92" s="329" t="s">
        <v>253</v>
      </c>
      <c r="B92" s="329"/>
      <c r="D92" t="s">
        <v>254</v>
      </c>
      <c r="F92" s="12" t="s">
        <v>62</v>
      </c>
      <c r="G92" t="s">
        <v>255</v>
      </c>
    </row>
    <row r="93" spans="1:9" x14ac:dyDescent="0.75">
      <c r="A93" s="10" t="s">
        <v>256</v>
      </c>
      <c r="B93" s="10"/>
      <c r="D93" t="s">
        <v>254</v>
      </c>
      <c r="F93" s="12" t="s">
        <v>257</v>
      </c>
      <c r="G93" t="s">
        <v>258</v>
      </c>
    </row>
    <row r="94" spans="1:9" x14ac:dyDescent="0.75">
      <c r="A94" s="329" t="s">
        <v>259</v>
      </c>
      <c r="B94" s="329"/>
      <c r="F94" s="11" t="s">
        <v>260</v>
      </c>
      <c r="G94" t="s">
        <v>261</v>
      </c>
    </row>
    <row r="95" spans="1:9" ht="14.45" customHeight="1" x14ac:dyDescent="0.75">
      <c r="A95" s="31" t="s">
        <v>262</v>
      </c>
      <c r="B95" s="31"/>
      <c r="D95">
        <v>57</v>
      </c>
      <c r="E95" s="28" t="s">
        <v>263</v>
      </c>
      <c r="F95" s="11" t="s">
        <v>264</v>
      </c>
      <c r="G95" t="s">
        <v>265</v>
      </c>
    </row>
    <row r="96" spans="1:9" x14ac:dyDescent="0.75">
      <c r="A96" s="31" t="s">
        <v>266</v>
      </c>
      <c r="B96" s="31"/>
      <c r="C96">
        <v>6</v>
      </c>
      <c r="D96" t="s">
        <v>254</v>
      </c>
      <c r="F96" s="11" t="s">
        <v>267</v>
      </c>
      <c r="G96" t="s">
        <v>268</v>
      </c>
    </row>
    <row r="97" spans="1:9" ht="13.9" customHeight="1" x14ac:dyDescent="0.75">
      <c r="A97" s="31" t="s">
        <v>269</v>
      </c>
      <c r="B97" s="31"/>
      <c r="C97">
        <v>11</v>
      </c>
      <c r="D97" t="s">
        <v>254</v>
      </c>
      <c r="F97" s="11" t="s">
        <v>270</v>
      </c>
      <c r="G97" t="s">
        <v>271</v>
      </c>
    </row>
    <row r="98" spans="1:9" ht="14.45" customHeight="1" x14ac:dyDescent="0.75">
      <c r="A98" s="31" t="s">
        <v>272</v>
      </c>
      <c r="B98" s="31"/>
      <c r="D98">
        <v>17</v>
      </c>
      <c r="F98" s="11" t="s">
        <v>273</v>
      </c>
      <c r="G98" t="s">
        <v>274</v>
      </c>
    </row>
    <row r="99" spans="1:9" ht="14.45" customHeight="1" x14ac:dyDescent="0.75">
      <c r="A99" s="31" t="s">
        <v>275</v>
      </c>
      <c r="B99" s="31"/>
      <c r="C99">
        <v>387</v>
      </c>
      <c r="D99">
        <v>239</v>
      </c>
      <c r="F99" s="13" t="s">
        <v>276</v>
      </c>
      <c r="G99" s="40" t="s">
        <v>277</v>
      </c>
    </row>
    <row r="100" spans="1:9" ht="14.45" customHeight="1" x14ac:dyDescent="0.75">
      <c r="A100" s="31" t="s">
        <v>278</v>
      </c>
      <c r="B100" s="31"/>
      <c r="C100">
        <v>295</v>
      </c>
      <c r="F100" s="14" t="s">
        <v>170</v>
      </c>
      <c r="G100" s="39" t="s">
        <v>279</v>
      </c>
    </row>
    <row r="101" spans="1:9" ht="14.45" customHeight="1" x14ac:dyDescent="0.75">
      <c r="A101" s="156" t="s">
        <v>280</v>
      </c>
      <c r="B101" s="156"/>
      <c r="F101" s="13" t="s">
        <v>281</v>
      </c>
      <c r="G101" s="40" t="s">
        <v>282</v>
      </c>
    </row>
    <row r="102" spans="1:9" ht="14.45" customHeight="1" x14ac:dyDescent="0.75">
      <c r="A102" s="156" t="s">
        <v>283</v>
      </c>
      <c r="B102" s="156"/>
      <c r="F102" s="13" t="s">
        <v>284</v>
      </c>
      <c r="G102" s="40" t="s">
        <v>285</v>
      </c>
    </row>
    <row r="103" spans="1:9" x14ac:dyDescent="0.75">
      <c r="A103" s="322"/>
      <c r="B103" s="322"/>
      <c r="F103" s="11" t="s">
        <v>18</v>
      </c>
      <c r="G103" t="s">
        <v>286</v>
      </c>
    </row>
    <row r="104" spans="1:9" x14ac:dyDescent="0.75">
      <c r="A104" s="164"/>
      <c r="B104" s="164"/>
      <c r="F104" s="11"/>
    </row>
    <row r="105" spans="1:9" x14ac:dyDescent="0.75">
      <c r="A105" s="164"/>
      <c r="B105" s="164"/>
      <c r="F105" s="168" t="s">
        <v>287</v>
      </c>
    </row>
    <row r="106" spans="1:9" x14ac:dyDescent="0.75">
      <c r="A106" s="164"/>
      <c r="B106" s="164"/>
      <c r="F106" s="170" t="s">
        <v>288</v>
      </c>
      <c r="G106" t="s">
        <v>289</v>
      </c>
    </row>
    <row r="107" spans="1:9" x14ac:dyDescent="0.75">
      <c r="A107" s="164"/>
      <c r="B107" s="164"/>
      <c r="F107" s="169" t="s">
        <v>290</v>
      </c>
      <c r="G107" t="s">
        <v>291</v>
      </c>
    </row>
    <row r="108" spans="1:9" ht="36.25" x14ac:dyDescent="1.65">
      <c r="A108" s="327" t="s">
        <v>292</v>
      </c>
      <c r="B108" s="327"/>
      <c r="C108" s="327"/>
      <c r="D108" s="327"/>
      <c r="E108" s="327"/>
      <c r="F108" s="327"/>
      <c r="G108" s="327"/>
      <c r="H108" s="327"/>
      <c r="I108" s="327"/>
    </row>
    <row r="109" spans="1:9" x14ac:dyDescent="0.75">
      <c r="F109" t="s">
        <v>293</v>
      </c>
      <c r="I109"/>
    </row>
    <row r="110" spans="1:9" x14ac:dyDescent="0.75">
      <c r="F110" s="2" t="s">
        <v>62</v>
      </c>
      <c r="G110" t="s">
        <v>294</v>
      </c>
      <c r="I110"/>
    </row>
    <row r="111" spans="1:9" x14ac:dyDescent="0.75">
      <c r="F111" s="2" t="s">
        <v>295</v>
      </c>
      <c r="G111" t="s">
        <v>296</v>
      </c>
      <c r="I111"/>
    </row>
    <row r="112" spans="1:9" x14ac:dyDescent="0.75">
      <c r="F112" s="2" t="s">
        <v>297</v>
      </c>
      <c r="G112" t="s">
        <v>298</v>
      </c>
      <c r="I112"/>
    </row>
    <row r="113" spans="6:9" x14ac:dyDescent="0.75">
      <c r="F113" s="2" t="s">
        <v>299</v>
      </c>
      <c r="G113" t="s">
        <v>300</v>
      </c>
      <c r="I113"/>
    </row>
    <row r="114" spans="6:9" x14ac:dyDescent="0.75">
      <c r="F114" s="2" t="s">
        <v>301</v>
      </c>
      <c r="G114" t="s">
        <v>302</v>
      </c>
      <c r="I114"/>
    </row>
    <row r="115" spans="6:9" x14ac:dyDescent="0.75">
      <c r="F115" s="2" t="s">
        <v>303</v>
      </c>
      <c r="G115" t="s">
        <v>304</v>
      </c>
      <c r="I115"/>
    </row>
    <row r="116" spans="6:9" x14ac:dyDescent="0.75">
      <c r="I116"/>
    </row>
    <row r="117" spans="6:9" x14ac:dyDescent="0.75">
      <c r="I117"/>
    </row>
    <row r="118" spans="6:9" x14ac:dyDescent="0.75">
      <c r="I118"/>
    </row>
    <row r="119" spans="6:9" x14ac:dyDescent="0.75">
      <c r="I119"/>
    </row>
    <row r="120" spans="6:9" x14ac:dyDescent="0.75">
      <c r="I120"/>
    </row>
    <row r="121" spans="6:9" x14ac:dyDescent="0.75">
      <c r="I121"/>
    </row>
    <row r="122" spans="6:9" x14ac:dyDescent="0.75">
      <c r="I122"/>
    </row>
    <row r="123" spans="6:9" x14ac:dyDescent="0.75">
      <c r="I123"/>
    </row>
    <row r="124" spans="6:9" x14ac:dyDescent="0.75">
      <c r="I124"/>
    </row>
    <row r="125" spans="6:9" x14ac:dyDescent="0.75">
      <c r="I125"/>
    </row>
    <row r="126" spans="6:9" x14ac:dyDescent="0.75">
      <c r="I126"/>
    </row>
    <row r="127" spans="6:9" x14ac:dyDescent="0.75">
      <c r="I127"/>
    </row>
    <row r="128" spans="6:9" x14ac:dyDescent="0.75">
      <c r="I128"/>
    </row>
    <row r="129" spans="9:9" x14ac:dyDescent="0.75">
      <c r="I129"/>
    </row>
    <row r="130" spans="9:9" x14ac:dyDescent="0.75">
      <c r="I130"/>
    </row>
    <row r="131" spans="9:9" x14ac:dyDescent="0.75">
      <c r="I131"/>
    </row>
    <row r="132" spans="9:9" x14ac:dyDescent="0.75">
      <c r="I132"/>
    </row>
    <row r="133" spans="9:9" x14ac:dyDescent="0.75">
      <c r="I133"/>
    </row>
    <row r="134" spans="9:9" x14ac:dyDescent="0.75">
      <c r="I134"/>
    </row>
    <row r="135" spans="9:9" x14ac:dyDescent="0.75">
      <c r="I135"/>
    </row>
    <row r="136" spans="9:9" x14ac:dyDescent="0.75">
      <c r="I136"/>
    </row>
    <row r="137" spans="9:9" x14ac:dyDescent="0.75">
      <c r="I137"/>
    </row>
  </sheetData>
  <sheetProtection algorithmName="SHA-512" hashValue="O+z5UZywQjMgQVNF2ri1WLXIL5nteynEpr9GuGZ2akbw/gaLvCkw3+rs9Q4tHjvGJVx3rWDCpA6fMhYI8at2Rw==" saltValue="uE3xUPQNgQ93UIuFugU5QQ==" spinCount="100000" sheet="1" objects="1" scenarios="1"/>
  <sortState xmlns:xlrd2="http://schemas.microsoft.com/office/spreadsheetml/2017/richdata2" ref="H48:K129">
    <sortCondition ref="H48:H129" customList="NPS STJ,Territorial"/>
  </sortState>
  <mergeCells count="16">
    <mergeCell ref="A108:I108"/>
    <mergeCell ref="A44:I44"/>
    <mergeCell ref="A45:I45"/>
    <mergeCell ref="A76:I76"/>
    <mergeCell ref="A89:I89"/>
    <mergeCell ref="A92:B92"/>
    <mergeCell ref="A94:B94"/>
    <mergeCell ref="A103:B103"/>
    <mergeCell ref="A91:B91"/>
    <mergeCell ref="A90:D90"/>
    <mergeCell ref="G38:G43"/>
    <mergeCell ref="B1:I1"/>
    <mergeCell ref="B2:I2"/>
    <mergeCell ref="B4:C4"/>
    <mergeCell ref="I33:N37"/>
    <mergeCell ref="G10:G11"/>
  </mergeCells>
  <phoneticPr fontId="10" type="noConversion"/>
  <dataValidations count="3">
    <dataValidation operator="greaterThan" allowBlank="1" showInputMessage="1" showErrorMessage="1" sqref="F50" xr:uid="{2FBF6A6F-F6BF-4D15-AE11-9891C62538D4}"/>
    <dataValidation type="decimal" allowBlank="1" showInputMessage="1" showErrorMessage="1" sqref="E21" xr:uid="{3AB396AC-26C5-4933-9B22-EE4BCF9E9B0E}">
      <formula1>-64.8</formula1>
      <formula2>-64.6</formula2>
    </dataValidation>
    <dataValidation type="decimal" allowBlank="1" showInputMessage="1" showErrorMessage="1" sqref="D21" xr:uid="{4CC31DC8-9957-486E-8261-06544BD135F6}">
      <formula1>18</formula1>
      <formula2>18.5</formula2>
    </dataValidation>
  </dataValidations>
  <hyperlinks>
    <hyperlink ref="J22" r:id="rId1" xr:uid="{B5F093E3-29BA-4FFC-9BDB-1BE7D566D4E4}"/>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467"/>
  <sheetViews>
    <sheetView topLeftCell="C1" zoomScale="80" zoomScaleNormal="80" workbookViewId="0">
      <pane xSplit="1450" ySplit="1160" topLeftCell="C166" activePane="bottomRight"/>
      <selection pane="topRight" activeCell="M1" sqref="M1"/>
      <selection pane="bottomLeft" activeCell="C88" sqref="C88"/>
      <selection pane="bottomRight" activeCell="D157" sqref="D157"/>
    </sheetView>
  </sheetViews>
  <sheetFormatPr defaultRowHeight="14.75" x14ac:dyDescent="0.75"/>
  <cols>
    <col min="1" max="1" width="0" style="17" hidden="1" customWidth="1"/>
    <col min="2" max="2" width="12.86328125" style="45" hidden="1" customWidth="1"/>
    <col min="3" max="3" width="12.86328125" customWidth="1"/>
    <col min="4" max="4" width="8.26953125" style="75" bestFit="1" customWidth="1"/>
    <col min="5" max="5" width="11.40625" style="75" customWidth="1"/>
    <col min="6" max="6" width="12.54296875" style="75" customWidth="1"/>
    <col min="7" max="7" width="16.1328125" style="75" bestFit="1" customWidth="1"/>
    <col min="8" max="8" width="9.40625" style="75" bestFit="1" customWidth="1"/>
    <col min="9" max="9" width="9.54296875" style="75" customWidth="1"/>
    <col min="10" max="10" width="11.54296875" style="81" customWidth="1"/>
    <col min="11" max="11" width="11.54296875" style="75" bestFit="1" customWidth="1"/>
    <col min="12" max="12" width="6.54296875" style="75" customWidth="1"/>
    <col min="13" max="13" width="5.1328125" style="75" customWidth="1"/>
    <col min="14" max="14" width="8.40625" style="75" customWidth="1"/>
    <col min="15" max="15" width="12" style="75" customWidth="1"/>
    <col min="16" max="16" width="15.54296875" style="75" customWidth="1"/>
    <col min="17" max="17" width="12" style="75" customWidth="1"/>
    <col min="18" max="18" width="8.7265625" style="75"/>
    <col min="19" max="56" width="10.86328125" style="75" customWidth="1"/>
    <col min="57" max="57" width="12.54296875" style="75" bestFit="1" customWidth="1"/>
    <col min="58" max="63" width="10.86328125" style="75" customWidth="1"/>
    <col min="64" max="64" width="14.1328125" style="75" customWidth="1"/>
    <col min="65" max="65" width="12.26953125" style="75" bestFit="1" customWidth="1"/>
    <col min="66" max="66" width="12.1328125" style="75" bestFit="1" customWidth="1"/>
    <col min="67" max="67" width="12.26953125" style="75" bestFit="1" customWidth="1"/>
    <col min="68" max="68" width="10.1328125" style="75" bestFit="1" customWidth="1"/>
    <col min="69" max="69" width="52.1328125" style="80" customWidth="1"/>
    <col min="70" max="70" width="42.54296875" style="138" customWidth="1"/>
    <col min="71" max="72" width="14.1328125" style="110" customWidth="1"/>
    <col min="73" max="73" width="14.1328125" style="75" customWidth="1"/>
    <col min="74" max="74" width="14.54296875" style="75" customWidth="1"/>
  </cols>
  <sheetData>
    <row r="1" spans="1:74" s="95" customFormat="1" ht="59" x14ac:dyDescent="0.75">
      <c r="A1" s="95" t="s">
        <v>26</v>
      </c>
      <c r="B1" s="96" t="s">
        <v>305</v>
      </c>
      <c r="C1" s="96" t="s">
        <v>306</v>
      </c>
      <c r="D1" s="97" t="s">
        <v>42</v>
      </c>
      <c r="E1" s="97" t="s">
        <v>46</v>
      </c>
      <c r="F1" s="98" t="s">
        <v>50</v>
      </c>
      <c r="G1" s="99" t="s">
        <v>155</v>
      </c>
      <c r="H1" s="99" t="s">
        <v>307</v>
      </c>
      <c r="I1" s="99" t="s">
        <v>308</v>
      </c>
      <c r="J1" s="100" t="s">
        <v>62</v>
      </c>
      <c r="K1" s="99" t="s">
        <v>66</v>
      </c>
      <c r="L1" s="101" t="s">
        <v>71</v>
      </c>
      <c r="M1" s="97" t="s">
        <v>76</v>
      </c>
      <c r="N1" s="97" t="s">
        <v>309</v>
      </c>
      <c r="O1" s="97" t="s">
        <v>85</v>
      </c>
      <c r="P1" s="102" t="s">
        <v>89</v>
      </c>
      <c r="Q1" s="97" t="s">
        <v>310</v>
      </c>
      <c r="R1" s="103" t="s">
        <v>311</v>
      </c>
      <c r="S1" s="103" t="s">
        <v>312</v>
      </c>
      <c r="T1" s="103" t="s">
        <v>313</v>
      </c>
      <c r="U1" s="103" t="s">
        <v>314</v>
      </c>
      <c r="V1" s="103" t="s">
        <v>315</v>
      </c>
      <c r="W1" s="103" t="s">
        <v>316</v>
      </c>
      <c r="X1" s="103" t="s">
        <v>317</v>
      </c>
      <c r="Y1" s="103" t="s">
        <v>318</v>
      </c>
      <c r="Z1" s="103" t="s">
        <v>319</v>
      </c>
      <c r="AA1" s="103" t="s">
        <v>320</v>
      </c>
      <c r="AB1" s="103" t="s">
        <v>321</v>
      </c>
      <c r="AC1" s="103" t="s">
        <v>322</v>
      </c>
      <c r="AD1" s="103" t="s">
        <v>323</v>
      </c>
      <c r="AE1" s="104" t="s">
        <v>324</v>
      </c>
      <c r="AF1" s="104" t="s">
        <v>325</v>
      </c>
      <c r="AG1" s="104" t="s">
        <v>326</v>
      </c>
      <c r="AH1" s="104" t="s">
        <v>327</v>
      </c>
      <c r="AI1" s="104" t="s">
        <v>328</v>
      </c>
      <c r="AJ1" s="104" t="s">
        <v>329</v>
      </c>
      <c r="AK1" s="104" t="s">
        <v>330</v>
      </c>
      <c r="AL1" s="104" t="s">
        <v>331</v>
      </c>
      <c r="AM1" s="104" t="s">
        <v>332</v>
      </c>
      <c r="AN1" s="104" t="s">
        <v>333</v>
      </c>
      <c r="AO1" s="105" t="s">
        <v>334</v>
      </c>
      <c r="AP1" s="105" t="s">
        <v>335</v>
      </c>
      <c r="AQ1" s="105" t="s">
        <v>336</v>
      </c>
      <c r="AR1" s="105" t="s">
        <v>337</v>
      </c>
      <c r="AS1" s="105" t="s">
        <v>338</v>
      </c>
      <c r="AT1" s="105" t="s">
        <v>339</v>
      </c>
      <c r="AU1" s="105" t="s">
        <v>340</v>
      </c>
      <c r="AV1" s="105" t="s">
        <v>341</v>
      </c>
      <c r="AW1" s="105" t="s">
        <v>342</v>
      </c>
      <c r="AX1" s="105" t="s">
        <v>343</v>
      </c>
      <c r="AY1" s="105" t="s">
        <v>344</v>
      </c>
      <c r="AZ1" s="105" t="s">
        <v>345</v>
      </c>
      <c r="BA1" s="105" t="s">
        <v>346</v>
      </c>
      <c r="BB1" s="106" t="s">
        <v>347</v>
      </c>
      <c r="BC1" s="107" t="s">
        <v>348</v>
      </c>
      <c r="BD1" s="107" t="s">
        <v>349</v>
      </c>
      <c r="BE1" s="107" t="s">
        <v>350</v>
      </c>
      <c r="BF1" s="105" t="s">
        <v>351</v>
      </c>
      <c r="BG1" s="105" t="s">
        <v>352</v>
      </c>
      <c r="BH1" s="105" t="s">
        <v>106</v>
      </c>
      <c r="BI1" s="148" t="s">
        <v>353</v>
      </c>
      <c r="BJ1" s="148" t="s">
        <v>353</v>
      </c>
      <c r="BK1" s="148" t="s">
        <v>353</v>
      </c>
      <c r="BL1" s="149" t="s">
        <v>137</v>
      </c>
      <c r="BM1" s="97" t="s">
        <v>354</v>
      </c>
      <c r="BN1" s="97" t="s">
        <v>355</v>
      </c>
      <c r="BO1" s="97" t="s">
        <v>118</v>
      </c>
      <c r="BP1" s="97" t="s">
        <v>122</v>
      </c>
      <c r="BQ1" s="108" t="s">
        <v>18</v>
      </c>
      <c r="BR1" s="248" t="s">
        <v>356</v>
      </c>
      <c r="BS1" s="109" t="s">
        <v>132</v>
      </c>
      <c r="BT1" s="109" t="s">
        <v>134</v>
      </c>
      <c r="BU1" s="102" t="s">
        <v>141</v>
      </c>
      <c r="BV1" s="102" t="s">
        <v>144</v>
      </c>
    </row>
    <row r="2" spans="1:74" ht="16" x14ac:dyDescent="0.8">
      <c r="A2">
        <v>480</v>
      </c>
      <c r="B2" s="2">
        <v>484</v>
      </c>
      <c r="C2" s="2">
        <v>482</v>
      </c>
      <c r="D2" s="75" t="s">
        <v>357</v>
      </c>
      <c r="E2" s="76" t="s">
        <v>358</v>
      </c>
      <c r="F2" s="77" t="s">
        <v>359</v>
      </c>
      <c r="G2" s="75" t="s">
        <v>23</v>
      </c>
      <c r="H2" s="75">
        <v>18.364145065014899</v>
      </c>
      <c r="I2" s="78">
        <v>-64.772132909676699</v>
      </c>
      <c r="J2" s="79">
        <v>44602</v>
      </c>
      <c r="K2" s="75" t="s">
        <v>360</v>
      </c>
      <c r="L2" s="75" t="s">
        <v>361</v>
      </c>
      <c r="M2" s="75">
        <v>0</v>
      </c>
      <c r="N2" s="75">
        <v>4</v>
      </c>
      <c r="O2" s="75" t="s">
        <v>362</v>
      </c>
      <c r="P2" s="75" t="s">
        <v>363</v>
      </c>
      <c r="Q2" s="75" t="s">
        <v>364</v>
      </c>
      <c r="R2" s="75">
        <v>0</v>
      </c>
      <c r="S2" s="75">
        <v>0</v>
      </c>
      <c r="T2" s="75">
        <v>0</v>
      </c>
      <c r="U2" s="75">
        <v>0</v>
      </c>
      <c r="V2" s="75">
        <v>0</v>
      </c>
      <c r="W2" s="75">
        <v>0</v>
      </c>
      <c r="X2" s="75">
        <v>0</v>
      </c>
      <c r="Y2" s="75">
        <v>0</v>
      </c>
      <c r="Z2" s="75">
        <v>0</v>
      </c>
      <c r="AA2" s="75">
        <v>0</v>
      </c>
      <c r="AB2" s="75">
        <v>0</v>
      </c>
      <c r="AC2" s="75">
        <v>0</v>
      </c>
      <c r="AD2" s="75">
        <v>0</v>
      </c>
      <c r="AE2" s="75">
        <v>0</v>
      </c>
      <c r="AF2" s="75">
        <v>0</v>
      </c>
      <c r="AG2" s="75">
        <v>0</v>
      </c>
      <c r="AH2" s="75">
        <v>0</v>
      </c>
      <c r="AI2" s="75">
        <v>0</v>
      </c>
      <c r="AJ2" s="75">
        <v>0</v>
      </c>
      <c r="AK2" s="75">
        <v>0</v>
      </c>
      <c r="AL2" s="75">
        <v>0</v>
      </c>
      <c r="AM2" s="75">
        <v>0</v>
      </c>
      <c r="AN2" s="75">
        <v>0</v>
      </c>
      <c r="AO2" s="75">
        <v>1</v>
      </c>
      <c r="AP2" s="75">
        <v>0</v>
      </c>
      <c r="AQ2" s="75">
        <v>0</v>
      </c>
      <c r="AR2" s="75">
        <v>0</v>
      </c>
      <c r="AS2" s="75">
        <v>0</v>
      </c>
      <c r="AT2" s="75">
        <v>0</v>
      </c>
      <c r="AU2" s="75">
        <v>0</v>
      </c>
      <c r="AV2" s="75">
        <v>0</v>
      </c>
      <c r="AW2" s="75">
        <v>0</v>
      </c>
      <c r="AX2" s="75">
        <v>0</v>
      </c>
      <c r="AY2" s="75">
        <v>1</v>
      </c>
      <c r="AZ2" s="75">
        <v>0</v>
      </c>
      <c r="BA2" s="75">
        <v>1</v>
      </c>
      <c r="BB2" s="75">
        <v>0</v>
      </c>
      <c r="BC2" s="75">
        <v>4</v>
      </c>
      <c r="BD2" s="75">
        <v>0</v>
      </c>
      <c r="BE2" s="75">
        <v>0</v>
      </c>
      <c r="BF2" s="75">
        <v>0</v>
      </c>
      <c r="BG2" s="75">
        <v>0</v>
      </c>
      <c r="BH2" s="75">
        <v>0</v>
      </c>
      <c r="BM2" s="75">
        <f t="shared" ref="BM2:BM42" si="0">SUM(R2:AD2)</f>
        <v>0</v>
      </c>
      <c r="BN2" s="75">
        <f t="shared" ref="BN2:BN44" si="1">SUM(AE2:AN2)</f>
        <v>0</v>
      </c>
      <c r="BO2" s="75">
        <f t="shared" ref="BO2:BO10" si="2">SUM(AO2:BG2)</f>
        <v>7</v>
      </c>
      <c r="BP2" s="75">
        <f t="shared" ref="BP2:BP33" si="3">SUM(R2:BH2)</f>
        <v>7</v>
      </c>
      <c r="BQ2" s="80" t="s">
        <v>365</v>
      </c>
      <c r="BT2" s="110">
        <v>0</v>
      </c>
    </row>
    <row r="3" spans="1:74" ht="16" x14ac:dyDescent="0.8">
      <c r="A3">
        <v>487</v>
      </c>
      <c r="B3" s="2">
        <v>493</v>
      </c>
      <c r="C3" s="2">
        <v>483</v>
      </c>
      <c r="D3" s="75" t="s">
        <v>357</v>
      </c>
      <c r="E3" s="76" t="s">
        <v>358</v>
      </c>
      <c r="F3" s="77" t="s">
        <v>359</v>
      </c>
      <c r="G3" s="75" t="s">
        <v>139</v>
      </c>
      <c r="H3" s="75">
        <v>18.3569</v>
      </c>
      <c r="I3" s="75">
        <v>-64.755932999999999</v>
      </c>
      <c r="J3" s="79">
        <v>44603</v>
      </c>
      <c r="K3" s="75" t="s">
        <v>360</v>
      </c>
      <c r="L3" s="75" t="s">
        <v>361</v>
      </c>
      <c r="M3" s="75">
        <v>0</v>
      </c>
      <c r="N3" s="75">
        <v>4</v>
      </c>
      <c r="O3" s="75" t="s">
        <v>362</v>
      </c>
      <c r="P3" s="75" t="s">
        <v>363</v>
      </c>
      <c r="Q3" s="75" t="s">
        <v>364</v>
      </c>
      <c r="R3" s="75">
        <v>0</v>
      </c>
      <c r="S3" s="75">
        <v>0</v>
      </c>
      <c r="T3" s="75">
        <v>0</v>
      </c>
      <c r="U3" s="75">
        <v>0</v>
      </c>
      <c r="V3" s="75">
        <v>0</v>
      </c>
      <c r="W3" s="75">
        <v>0</v>
      </c>
      <c r="X3" s="75">
        <v>0</v>
      </c>
      <c r="Y3" s="75">
        <v>0</v>
      </c>
      <c r="Z3" s="75">
        <v>0</v>
      </c>
      <c r="AA3" s="75">
        <v>0</v>
      </c>
      <c r="AB3" s="75">
        <v>0</v>
      </c>
      <c r="AC3" s="75">
        <v>0</v>
      </c>
      <c r="AD3" s="75">
        <v>0</v>
      </c>
      <c r="AE3" s="75">
        <v>0</v>
      </c>
      <c r="AF3" s="75">
        <v>0</v>
      </c>
      <c r="AG3" s="75">
        <v>0</v>
      </c>
      <c r="AH3" s="75">
        <v>0</v>
      </c>
      <c r="AI3" s="75">
        <v>0</v>
      </c>
      <c r="AJ3" s="75">
        <v>0</v>
      </c>
      <c r="AK3" s="75">
        <v>0</v>
      </c>
      <c r="AL3" s="75">
        <v>0</v>
      </c>
      <c r="AM3" s="75">
        <v>0</v>
      </c>
      <c r="AN3" s="75">
        <v>0</v>
      </c>
      <c r="AO3" s="75">
        <v>0</v>
      </c>
      <c r="AP3" s="75">
        <v>0</v>
      </c>
      <c r="AQ3" s="75">
        <v>0</v>
      </c>
      <c r="AR3" s="75">
        <v>0</v>
      </c>
      <c r="AS3" s="75">
        <v>0</v>
      </c>
      <c r="AT3" s="75">
        <v>0</v>
      </c>
      <c r="AU3" s="75">
        <v>0</v>
      </c>
      <c r="AV3" s="75">
        <v>0</v>
      </c>
      <c r="AW3" s="75">
        <v>0</v>
      </c>
      <c r="AX3" s="75">
        <v>0</v>
      </c>
      <c r="AY3" s="75">
        <v>0</v>
      </c>
      <c r="AZ3" s="75">
        <v>0</v>
      </c>
      <c r="BA3" s="75">
        <v>1</v>
      </c>
      <c r="BB3" s="75">
        <v>0</v>
      </c>
      <c r="BC3" s="75">
        <v>3</v>
      </c>
      <c r="BD3" s="75">
        <v>0</v>
      </c>
      <c r="BE3" s="75">
        <v>0</v>
      </c>
      <c r="BF3" s="75">
        <v>0</v>
      </c>
      <c r="BG3" s="75">
        <v>0</v>
      </c>
      <c r="BH3" s="75">
        <v>0</v>
      </c>
      <c r="BM3" s="75">
        <f t="shared" si="0"/>
        <v>0</v>
      </c>
      <c r="BN3" s="75">
        <f t="shared" si="1"/>
        <v>0</v>
      </c>
      <c r="BO3" s="75">
        <f t="shared" si="2"/>
        <v>4</v>
      </c>
      <c r="BP3" s="75">
        <f t="shared" si="3"/>
        <v>4</v>
      </c>
      <c r="BQ3" s="80" t="s">
        <v>366</v>
      </c>
      <c r="BT3" s="110">
        <v>0</v>
      </c>
    </row>
    <row r="4" spans="1:74" ht="16" x14ac:dyDescent="0.8">
      <c r="A4">
        <v>488</v>
      </c>
      <c r="B4" s="2">
        <v>494</v>
      </c>
      <c r="C4" s="2">
        <v>484</v>
      </c>
      <c r="D4" s="75" t="s">
        <v>357</v>
      </c>
      <c r="E4" s="76" t="s">
        <v>358</v>
      </c>
      <c r="F4" s="77" t="s">
        <v>359</v>
      </c>
      <c r="G4" s="75" t="s">
        <v>39</v>
      </c>
      <c r="H4" s="75">
        <v>18.357583000000002</v>
      </c>
      <c r="I4" s="75">
        <v>-64.751932999999994</v>
      </c>
      <c r="J4" s="79">
        <v>44603</v>
      </c>
      <c r="K4" s="75" t="s">
        <v>360</v>
      </c>
      <c r="L4" s="75" t="s">
        <v>361</v>
      </c>
      <c r="M4" s="75">
        <v>0</v>
      </c>
      <c r="N4" s="75">
        <v>4</v>
      </c>
      <c r="O4" s="75" t="s">
        <v>362</v>
      </c>
      <c r="P4" s="75" t="s">
        <v>363</v>
      </c>
      <c r="Q4" s="75" t="s">
        <v>364</v>
      </c>
      <c r="R4" s="75">
        <v>0</v>
      </c>
      <c r="S4" s="75">
        <v>0</v>
      </c>
      <c r="T4" s="75">
        <v>0</v>
      </c>
      <c r="U4" s="75">
        <v>0</v>
      </c>
      <c r="V4" s="75">
        <v>0</v>
      </c>
      <c r="W4" s="75">
        <v>0</v>
      </c>
      <c r="X4" s="75">
        <v>0</v>
      </c>
      <c r="Y4" s="75">
        <v>0</v>
      </c>
      <c r="Z4" s="75">
        <v>0</v>
      </c>
      <c r="AA4" s="75">
        <v>0</v>
      </c>
      <c r="AB4" s="75">
        <v>0</v>
      </c>
      <c r="AC4" s="75">
        <v>0</v>
      </c>
      <c r="AD4" s="75">
        <v>0</v>
      </c>
      <c r="AE4" s="75">
        <v>0</v>
      </c>
      <c r="AF4" s="75">
        <v>0</v>
      </c>
      <c r="AG4" s="75">
        <v>0</v>
      </c>
      <c r="AH4" s="75">
        <v>0</v>
      </c>
      <c r="AI4" s="75">
        <v>0</v>
      </c>
      <c r="AJ4" s="75">
        <v>0</v>
      </c>
      <c r="AK4" s="75">
        <v>0</v>
      </c>
      <c r="AL4" s="75">
        <v>0</v>
      </c>
      <c r="AM4" s="75">
        <v>0</v>
      </c>
      <c r="AN4" s="75">
        <v>0</v>
      </c>
      <c r="AO4" s="75">
        <v>0</v>
      </c>
      <c r="AP4" s="75">
        <v>0</v>
      </c>
      <c r="AQ4" s="75">
        <v>0</v>
      </c>
      <c r="AR4" s="75">
        <v>0</v>
      </c>
      <c r="AS4" s="75">
        <v>1</v>
      </c>
      <c r="AT4" s="75">
        <v>3</v>
      </c>
      <c r="AU4" s="75">
        <v>0</v>
      </c>
      <c r="AV4" s="75">
        <v>0</v>
      </c>
      <c r="AW4" s="75">
        <v>0</v>
      </c>
      <c r="AX4" s="75">
        <v>0</v>
      </c>
      <c r="AY4" s="75">
        <v>0</v>
      </c>
      <c r="AZ4" s="75">
        <v>0</v>
      </c>
      <c r="BA4" s="75">
        <v>0</v>
      </c>
      <c r="BB4" s="75">
        <v>0</v>
      </c>
      <c r="BC4" s="75">
        <v>1</v>
      </c>
      <c r="BD4" s="75">
        <v>0</v>
      </c>
      <c r="BE4" s="75">
        <v>0</v>
      </c>
      <c r="BF4" s="75">
        <v>0</v>
      </c>
      <c r="BG4" s="75">
        <v>0</v>
      </c>
      <c r="BH4" s="75">
        <v>0</v>
      </c>
      <c r="BM4" s="75">
        <f t="shared" si="0"/>
        <v>0</v>
      </c>
      <c r="BN4" s="75">
        <f t="shared" si="1"/>
        <v>0</v>
      </c>
      <c r="BO4" s="75">
        <f t="shared" si="2"/>
        <v>5</v>
      </c>
      <c r="BP4" s="75">
        <f t="shared" si="3"/>
        <v>5</v>
      </c>
      <c r="BQ4" s="80" t="s">
        <v>366</v>
      </c>
      <c r="BT4" s="110">
        <v>0</v>
      </c>
    </row>
    <row r="5" spans="1:74" ht="16" x14ac:dyDescent="0.8">
      <c r="A5">
        <v>489</v>
      </c>
      <c r="B5" s="2">
        <v>495</v>
      </c>
      <c r="C5" s="2">
        <v>489</v>
      </c>
      <c r="D5" s="75" t="s">
        <v>357</v>
      </c>
      <c r="E5" s="76" t="s">
        <v>358</v>
      </c>
      <c r="F5" s="77" t="s">
        <v>359</v>
      </c>
      <c r="G5" s="75" t="s">
        <v>44</v>
      </c>
      <c r="H5" s="75">
        <v>18.363932999999999</v>
      </c>
      <c r="I5" s="75">
        <v>-64.725482999999997</v>
      </c>
      <c r="J5" s="79">
        <v>44609</v>
      </c>
      <c r="K5" s="75" t="s">
        <v>360</v>
      </c>
      <c r="L5" s="75" t="s">
        <v>361</v>
      </c>
      <c r="M5" s="75">
        <v>0</v>
      </c>
      <c r="N5" s="75">
        <v>4</v>
      </c>
      <c r="O5" s="75" t="s">
        <v>362</v>
      </c>
      <c r="P5" s="75" t="s">
        <v>363</v>
      </c>
      <c r="Q5" s="75" t="s">
        <v>364</v>
      </c>
      <c r="R5" s="75">
        <v>0</v>
      </c>
      <c r="S5" s="75">
        <v>0</v>
      </c>
      <c r="T5" s="75">
        <v>0</v>
      </c>
      <c r="U5" s="75">
        <v>0</v>
      </c>
      <c r="V5" s="75">
        <v>0</v>
      </c>
      <c r="W5" s="75">
        <v>0</v>
      </c>
      <c r="X5" s="75">
        <v>0</v>
      </c>
      <c r="Y5" s="75">
        <v>0</v>
      </c>
      <c r="Z5" s="75">
        <v>0</v>
      </c>
      <c r="AA5" s="75">
        <v>0</v>
      </c>
      <c r="AB5" s="75">
        <v>0</v>
      </c>
      <c r="AC5" s="75">
        <v>0</v>
      </c>
      <c r="AD5" s="75">
        <v>0</v>
      </c>
      <c r="AE5" s="75">
        <v>0</v>
      </c>
      <c r="AF5" s="75">
        <v>0</v>
      </c>
      <c r="AG5" s="75">
        <v>0</v>
      </c>
      <c r="AH5" s="75">
        <v>0</v>
      </c>
      <c r="AI5" s="75">
        <v>0</v>
      </c>
      <c r="AJ5" s="75">
        <v>0</v>
      </c>
      <c r="AK5" s="75">
        <v>0</v>
      </c>
      <c r="AL5" s="75">
        <v>0</v>
      </c>
      <c r="AM5" s="75">
        <v>0</v>
      </c>
      <c r="AN5" s="75">
        <v>0</v>
      </c>
      <c r="AO5" s="75">
        <v>1</v>
      </c>
      <c r="AP5" s="75">
        <v>0</v>
      </c>
      <c r="AQ5" s="75">
        <v>0</v>
      </c>
      <c r="AR5" s="75">
        <v>0</v>
      </c>
      <c r="AS5" s="75">
        <v>0</v>
      </c>
      <c r="AT5" s="75">
        <v>0</v>
      </c>
      <c r="AU5" s="75">
        <v>0</v>
      </c>
      <c r="AV5" s="75">
        <v>0</v>
      </c>
      <c r="AW5" s="75">
        <v>0</v>
      </c>
      <c r="AX5" s="75">
        <v>0</v>
      </c>
      <c r="AY5" s="75">
        <v>1</v>
      </c>
      <c r="AZ5" s="75">
        <v>2</v>
      </c>
      <c r="BA5" s="75">
        <v>0</v>
      </c>
      <c r="BB5" s="75">
        <v>0</v>
      </c>
      <c r="BC5" s="75">
        <v>5</v>
      </c>
      <c r="BD5" s="75">
        <v>0</v>
      </c>
      <c r="BE5" s="75">
        <v>1</v>
      </c>
      <c r="BF5" s="75">
        <v>0</v>
      </c>
      <c r="BG5" s="75">
        <v>0</v>
      </c>
      <c r="BH5" s="75">
        <v>0</v>
      </c>
      <c r="BM5" s="75">
        <f t="shared" si="0"/>
        <v>0</v>
      </c>
      <c r="BN5" s="75">
        <f t="shared" si="1"/>
        <v>0</v>
      </c>
      <c r="BO5" s="75">
        <f t="shared" si="2"/>
        <v>10</v>
      </c>
      <c r="BP5" s="75">
        <f t="shared" si="3"/>
        <v>10</v>
      </c>
      <c r="BQ5" s="80" t="s">
        <v>366</v>
      </c>
      <c r="BT5" s="110">
        <v>0</v>
      </c>
    </row>
    <row r="6" spans="1:74" ht="16" x14ac:dyDescent="0.8">
      <c r="A6">
        <v>490</v>
      </c>
      <c r="B6" s="2">
        <v>496</v>
      </c>
      <c r="C6" s="2">
        <v>492</v>
      </c>
      <c r="D6" s="75" t="s">
        <v>357</v>
      </c>
      <c r="E6" s="76" t="s">
        <v>358</v>
      </c>
      <c r="F6" s="77" t="s">
        <v>359</v>
      </c>
      <c r="G6" s="75" t="s">
        <v>23</v>
      </c>
      <c r="H6" s="75">
        <v>18.363267</v>
      </c>
      <c r="I6" s="75">
        <v>-64.770617000000001</v>
      </c>
      <c r="J6" s="81">
        <v>44614</v>
      </c>
      <c r="K6" s="75" t="s">
        <v>360</v>
      </c>
      <c r="L6" s="75" t="s">
        <v>361</v>
      </c>
      <c r="M6" s="75">
        <v>0</v>
      </c>
      <c r="N6" s="75">
        <v>4</v>
      </c>
      <c r="O6" s="75" t="s">
        <v>362</v>
      </c>
      <c r="P6" s="75" t="s">
        <v>363</v>
      </c>
      <c r="Q6" s="75" t="s">
        <v>364</v>
      </c>
      <c r="R6" s="75">
        <v>0</v>
      </c>
      <c r="S6" s="75">
        <v>0</v>
      </c>
      <c r="T6" s="75">
        <v>0</v>
      </c>
      <c r="U6" s="75">
        <v>0</v>
      </c>
      <c r="V6" s="75">
        <v>0</v>
      </c>
      <c r="W6" s="75">
        <v>0</v>
      </c>
      <c r="X6" s="75">
        <v>0</v>
      </c>
      <c r="Y6" s="75">
        <v>0</v>
      </c>
      <c r="Z6" s="75">
        <v>0</v>
      </c>
      <c r="AA6" s="75">
        <v>0</v>
      </c>
      <c r="AB6" s="75">
        <v>0</v>
      </c>
      <c r="AC6" s="75">
        <v>0</v>
      </c>
      <c r="AD6" s="75">
        <v>0</v>
      </c>
      <c r="AE6" s="75">
        <v>0</v>
      </c>
      <c r="AF6" s="75">
        <v>0</v>
      </c>
      <c r="AG6" s="75">
        <v>0</v>
      </c>
      <c r="AH6" s="75">
        <v>0</v>
      </c>
      <c r="AI6" s="75">
        <v>0</v>
      </c>
      <c r="AJ6" s="75">
        <v>0</v>
      </c>
      <c r="AK6" s="75">
        <v>0</v>
      </c>
      <c r="AL6" s="75">
        <v>0</v>
      </c>
      <c r="AM6" s="75">
        <v>0</v>
      </c>
      <c r="AN6" s="75">
        <v>0</v>
      </c>
      <c r="AO6" s="75">
        <v>0</v>
      </c>
      <c r="AP6" s="75">
        <v>0</v>
      </c>
      <c r="AQ6" s="75">
        <v>0</v>
      </c>
      <c r="AR6" s="75">
        <v>0</v>
      </c>
      <c r="AS6" s="75">
        <v>0</v>
      </c>
      <c r="AT6" s="75">
        <v>0</v>
      </c>
      <c r="AU6" s="75">
        <v>0</v>
      </c>
      <c r="AV6" s="75">
        <v>0</v>
      </c>
      <c r="AW6" s="75">
        <v>0</v>
      </c>
      <c r="AX6" s="75">
        <v>0</v>
      </c>
      <c r="AY6" s="75">
        <v>0</v>
      </c>
      <c r="AZ6" s="75">
        <v>1</v>
      </c>
      <c r="BA6" s="75">
        <v>2</v>
      </c>
      <c r="BB6" s="75">
        <v>0</v>
      </c>
      <c r="BC6" s="75">
        <v>3</v>
      </c>
      <c r="BD6" s="75">
        <v>0</v>
      </c>
      <c r="BE6" s="75">
        <v>0</v>
      </c>
      <c r="BF6" s="75">
        <v>0</v>
      </c>
      <c r="BG6" s="75">
        <v>0</v>
      </c>
      <c r="BH6" s="75">
        <v>0</v>
      </c>
      <c r="BM6" s="75">
        <f t="shared" si="0"/>
        <v>0</v>
      </c>
      <c r="BN6" s="75">
        <f t="shared" si="1"/>
        <v>0</v>
      </c>
      <c r="BO6" s="75">
        <f t="shared" si="2"/>
        <v>6</v>
      </c>
      <c r="BP6" s="75">
        <f t="shared" si="3"/>
        <v>6</v>
      </c>
      <c r="BQ6" s="80" t="s">
        <v>365</v>
      </c>
      <c r="BT6" s="110">
        <v>0</v>
      </c>
    </row>
    <row r="7" spans="1:74" ht="16" x14ac:dyDescent="0.8">
      <c r="A7">
        <v>491</v>
      </c>
      <c r="B7" s="2">
        <v>497</v>
      </c>
      <c r="C7" s="2">
        <v>494</v>
      </c>
      <c r="D7" s="75" t="s">
        <v>357</v>
      </c>
      <c r="E7" s="76" t="s">
        <v>358</v>
      </c>
      <c r="F7" s="77" t="s">
        <v>359</v>
      </c>
      <c r="G7" s="75" t="s">
        <v>139</v>
      </c>
      <c r="H7" s="75">
        <v>18.358767</v>
      </c>
      <c r="I7" s="75">
        <v>-64.756500000000003</v>
      </c>
      <c r="J7" s="79">
        <v>44616</v>
      </c>
      <c r="K7" s="75" t="s">
        <v>360</v>
      </c>
      <c r="L7" s="75" t="s">
        <v>367</v>
      </c>
      <c r="M7" s="75">
        <v>0</v>
      </c>
      <c r="N7" s="75">
        <v>4</v>
      </c>
      <c r="O7" s="75" t="s">
        <v>362</v>
      </c>
      <c r="P7" s="75" t="s">
        <v>363</v>
      </c>
      <c r="Q7" s="75" t="s">
        <v>364</v>
      </c>
      <c r="R7" s="75">
        <v>0</v>
      </c>
      <c r="S7" s="75">
        <v>0</v>
      </c>
      <c r="T7" s="75">
        <v>0</v>
      </c>
      <c r="U7" s="75">
        <v>0</v>
      </c>
      <c r="V7" s="75">
        <v>0</v>
      </c>
      <c r="W7" s="75">
        <v>0</v>
      </c>
      <c r="X7" s="75">
        <v>0</v>
      </c>
      <c r="Y7" s="75">
        <v>0</v>
      </c>
      <c r="Z7" s="75">
        <v>0</v>
      </c>
      <c r="AA7" s="75">
        <v>0</v>
      </c>
      <c r="AB7" s="75">
        <v>0</v>
      </c>
      <c r="AC7" s="75">
        <v>0</v>
      </c>
      <c r="AD7" s="75">
        <v>0</v>
      </c>
      <c r="AE7" s="75">
        <v>0</v>
      </c>
      <c r="AF7" s="75">
        <v>0</v>
      </c>
      <c r="AG7" s="75">
        <v>0</v>
      </c>
      <c r="AH7" s="75">
        <v>0</v>
      </c>
      <c r="AI7" s="75">
        <v>0</v>
      </c>
      <c r="AJ7" s="75">
        <v>0</v>
      </c>
      <c r="AK7" s="75">
        <v>0</v>
      </c>
      <c r="AL7" s="75">
        <v>0</v>
      </c>
      <c r="AM7" s="75">
        <v>0</v>
      </c>
      <c r="AN7" s="75">
        <v>0</v>
      </c>
      <c r="AO7" s="75">
        <v>0</v>
      </c>
      <c r="AP7" s="75">
        <v>0</v>
      </c>
      <c r="AQ7" s="75">
        <v>0</v>
      </c>
      <c r="AR7" s="75">
        <v>0</v>
      </c>
      <c r="AS7" s="75">
        <v>0</v>
      </c>
      <c r="AT7" s="75">
        <v>0</v>
      </c>
      <c r="AU7" s="75">
        <v>0</v>
      </c>
      <c r="AV7" s="75">
        <v>0</v>
      </c>
      <c r="AW7" s="75">
        <v>0</v>
      </c>
      <c r="AX7" s="75">
        <v>0</v>
      </c>
      <c r="AY7" s="75">
        <v>0</v>
      </c>
      <c r="AZ7" s="75">
        <v>0</v>
      </c>
      <c r="BA7" s="75">
        <v>0</v>
      </c>
      <c r="BB7" s="75">
        <v>0</v>
      </c>
      <c r="BC7" s="75">
        <v>0</v>
      </c>
      <c r="BD7" s="75">
        <v>0</v>
      </c>
      <c r="BE7" s="75">
        <v>0</v>
      </c>
      <c r="BF7" s="75">
        <v>2</v>
      </c>
      <c r="BG7" s="75">
        <v>0</v>
      </c>
      <c r="BH7" s="75">
        <v>0</v>
      </c>
      <c r="BM7" s="75">
        <f t="shared" si="0"/>
        <v>0</v>
      </c>
      <c r="BN7" s="75">
        <f t="shared" si="1"/>
        <v>0</v>
      </c>
      <c r="BO7" s="75">
        <f t="shared" si="2"/>
        <v>2</v>
      </c>
      <c r="BP7" s="75">
        <f t="shared" si="3"/>
        <v>2</v>
      </c>
      <c r="BQ7" s="78" t="s">
        <v>368</v>
      </c>
      <c r="BT7" s="110">
        <v>0</v>
      </c>
    </row>
    <row r="8" spans="1:74" ht="16" x14ac:dyDescent="0.8">
      <c r="A8">
        <v>492</v>
      </c>
      <c r="B8" s="2">
        <v>498</v>
      </c>
      <c r="C8" s="2">
        <v>495</v>
      </c>
      <c r="D8" s="75" t="s">
        <v>357</v>
      </c>
      <c r="E8" s="76" t="s">
        <v>358</v>
      </c>
      <c r="F8" s="77" t="s">
        <v>359</v>
      </c>
      <c r="G8" s="75" t="s">
        <v>48</v>
      </c>
      <c r="H8" s="75">
        <v>18.363083</v>
      </c>
      <c r="I8" s="75">
        <v>-64.705782999999997</v>
      </c>
      <c r="J8" s="81">
        <v>44616</v>
      </c>
      <c r="K8" s="75" t="s">
        <v>360</v>
      </c>
      <c r="L8" s="75" t="s">
        <v>367</v>
      </c>
      <c r="M8" s="75">
        <v>0</v>
      </c>
      <c r="N8" s="75">
        <v>4</v>
      </c>
      <c r="O8" s="75" t="s">
        <v>362</v>
      </c>
      <c r="P8" s="75" t="s">
        <v>363</v>
      </c>
      <c r="Q8" s="75" t="s">
        <v>364</v>
      </c>
      <c r="R8" s="75">
        <v>0</v>
      </c>
      <c r="S8" s="75">
        <v>0</v>
      </c>
      <c r="T8" s="75">
        <v>0</v>
      </c>
      <c r="U8" s="75">
        <v>0</v>
      </c>
      <c r="V8" s="75">
        <v>0</v>
      </c>
      <c r="W8" s="75">
        <v>0</v>
      </c>
      <c r="X8" s="75">
        <v>0</v>
      </c>
      <c r="Y8" s="75">
        <v>0</v>
      </c>
      <c r="Z8" s="75">
        <v>0</v>
      </c>
      <c r="AA8" s="75">
        <v>0</v>
      </c>
      <c r="AB8" s="75">
        <v>0</v>
      </c>
      <c r="AC8" s="75">
        <v>0</v>
      </c>
      <c r="AD8" s="75">
        <v>0</v>
      </c>
      <c r="AE8" s="75">
        <v>0</v>
      </c>
      <c r="AF8" s="75">
        <v>0</v>
      </c>
      <c r="AG8" s="75">
        <v>0</v>
      </c>
      <c r="AH8" s="75">
        <v>0</v>
      </c>
      <c r="AI8" s="75">
        <v>0</v>
      </c>
      <c r="AJ8" s="75">
        <v>0</v>
      </c>
      <c r="AK8" s="75">
        <v>0</v>
      </c>
      <c r="AL8" s="75">
        <v>0</v>
      </c>
      <c r="AM8" s="75">
        <v>0</v>
      </c>
      <c r="AN8" s="75">
        <v>0</v>
      </c>
      <c r="AO8" s="75">
        <v>0</v>
      </c>
      <c r="AP8" s="75">
        <v>0</v>
      </c>
      <c r="AQ8" s="75">
        <v>0</v>
      </c>
      <c r="AR8" s="75">
        <v>0</v>
      </c>
      <c r="AS8" s="75">
        <v>0</v>
      </c>
      <c r="AT8" s="75">
        <v>0</v>
      </c>
      <c r="AU8" s="75">
        <v>0</v>
      </c>
      <c r="AV8" s="75">
        <v>0</v>
      </c>
      <c r="AW8" s="75">
        <v>0</v>
      </c>
      <c r="AX8" s="75">
        <v>0</v>
      </c>
      <c r="AY8" s="75">
        <v>7</v>
      </c>
      <c r="AZ8" s="75">
        <v>0</v>
      </c>
      <c r="BA8" s="75">
        <v>0</v>
      </c>
      <c r="BB8" s="75">
        <v>0</v>
      </c>
      <c r="BC8" s="75">
        <v>1</v>
      </c>
      <c r="BD8" s="75">
        <v>0</v>
      </c>
      <c r="BE8" s="75">
        <v>0</v>
      </c>
      <c r="BF8" s="75">
        <v>1</v>
      </c>
      <c r="BG8" s="75">
        <v>0</v>
      </c>
      <c r="BH8" s="75">
        <v>0</v>
      </c>
      <c r="BM8" s="75">
        <f t="shared" si="0"/>
        <v>0</v>
      </c>
      <c r="BN8" s="75">
        <f t="shared" si="1"/>
        <v>0</v>
      </c>
      <c r="BO8" s="75">
        <f t="shared" si="2"/>
        <v>9</v>
      </c>
      <c r="BP8" s="75">
        <f t="shared" si="3"/>
        <v>9</v>
      </c>
      <c r="BQ8" s="80" t="s">
        <v>366</v>
      </c>
      <c r="BT8" s="110">
        <v>0</v>
      </c>
    </row>
    <row r="9" spans="1:74" s="205" customFormat="1" ht="16" x14ac:dyDescent="0.8">
      <c r="A9" s="205">
        <v>509</v>
      </c>
      <c r="B9" s="224">
        <v>515</v>
      </c>
      <c r="C9" s="224">
        <v>498</v>
      </c>
      <c r="D9" s="225" t="s">
        <v>357</v>
      </c>
      <c r="E9" s="226" t="s">
        <v>358</v>
      </c>
      <c r="F9" s="227" t="s">
        <v>359</v>
      </c>
      <c r="G9" s="225" t="s">
        <v>39</v>
      </c>
      <c r="H9" s="225">
        <v>18.357583000000002</v>
      </c>
      <c r="I9" s="225">
        <v>-64.751932999999994</v>
      </c>
      <c r="J9" s="228">
        <v>44621</v>
      </c>
      <c r="K9" s="225" t="s">
        <v>360</v>
      </c>
      <c r="L9" s="225" t="s">
        <v>367</v>
      </c>
      <c r="M9" s="225">
        <v>0</v>
      </c>
      <c r="N9" s="225">
        <v>3</v>
      </c>
      <c r="O9" s="225" t="s">
        <v>362</v>
      </c>
      <c r="P9" s="225" t="s">
        <v>363</v>
      </c>
      <c r="Q9" s="225" t="s">
        <v>364</v>
      </c>
      <c r="R9" s="225">
        <v>0</v>
      </c>
      <c r="S9" s="225">
        <v>0</v>
      </c>
      <c r="T9" s="225">
        <v>0</v>
      </c>
      <c r="U9" s="225">
        <v>0</v>
      </c>
      <c r="V9" s="225">
        <v>0</v>
      </c>
      <c r="W9" s="225">
        <v>0</v>
      </c>
      <c r="X9" s="225">
        <v>0</v>
      </c>
      <c r="Y9" s="225">
        <v>0</v>
      </c>
      <c r="Z9" s="225">
        <v>0</v>
      </c>
      <c r="AA9" s="225">
        <v>0</v>
      </c>
      <c r="AB9" s="225">
        <v>0</v>
      </c>
      <c r="AC9" s="225">
        <v>0</v>
      </c>
      <c r="AD9" s="225">
        <v>0</v>
      </c>
      <c r="AE9" s="225">
        <v>0</v>
      </c>
      <c r="AF9" s="225">
        <v>0</v>
      </c>
      <c r="AG9" s="225">
        <v>0</v>
      </c>
      <c r="AH9" s="225">
        <v>0</v>
      </c>
      <c r="AI9" s="225">
        <v>0</v>
      </c>
      <c r="AJ9" s="225">
        <v>0</v>
      </c>
      <c r="AK9" s="225">
        <v>0</v>
      </c>
      <c r="AL9" s="225">
        <v>0</v>
      </c>
      <c r="AM9" s="225">
        <v>0</v>
      </c>
      <c r="AN9" s="225">
        <v>0</v>
      </c>
      <c r="AO9" s="225">
        <v>0</v>
      </c>
      <c r="AP9" s="225">
        <v>0</v>
      </c>
      <c r="AQ9" s="225">
        <v>0</v>
      </c>
      <c r="AR9" s="225">
        <v>0</v>
      </c>
      <c r="AS9" s="225">
        <v>3</v>
      </c>
      <c r="AT9" s="225">
        <v>4</v>
      </c>
      <c r="AU9" s="225">
        <v>0</v>
      </c>
      <c r="AV9" s="225">
        <v>0</v>
      </c>
      <c r="AW9" s="225">
        <v>0</v>
      </c>
      <c r="AX9" s="225">
        <v>0</v>
      </c>
      <c r="AY9" s="225">
        <v>0</v>
      </c>
      <c r="AZ9" s="225">
        <v>0</v>
      </c>
      <c r="BA9" s="225">
        <v>0</v>
      </c>
      <c r="BB9" s="225">
        <v>0</v>
      </c>
      <c r="BC9" s="225">
        <v>7</v>
      </c>
      <c r="BD9" s="225">
        <v>0</v>
      </c>
      <c r="BE9" s="225">
        <v>0</v>
      </c>
      <c r="BF9" s="225">
        <v>0</v>
      </c>
      <c r="BG9" s="225">
        <v>0</v>
      </c>
      <c r="BH9" s="225">
        <v>0</v>
      </c>
      <c r="BI9" s="225"/>
      <c r="BJ9" s="225"/>
      <c r="BK9" s="225"/>
      <c r="BL9" s="225"/>
      <c r="BM9" s="225">
        <f t="shared" si="0"/>
        <v>0</v>
      </c>
      <c r="BN9" s="225">
        <f t="shared" si="1"/>
        <v>0</v>
      </c>
      <c r="BO9" s="225">
        <f t="shared" si="2"/>
        <v>14</v>
      </c>
      <c r="BP9" s="225">
        <f t="shared" si="3"/>
        <v>14</v>
      </c>
      <c r="BQ9" s="229" t="s">
        <v>369</v>
      </c>
      <c r="BR9" s="249"/>
      <c r="BS9" s="230"/>
      <c r="BT9" s="110">
        <v>0</v>
      </c>
      <c r="BU9" s="225"/>
      <c r="BV9" s="225"/>
    </row>
    <row r="10" spans="1:74" ht="16" x14ac:dyDescent="0.8">
      <c r="A10">
        <v>498</v>
      </c>
      <c r="B10" s="2">
        <v>504</v>
      </c>
      <c r="C10" s="2">
        <v>499</v>
      </c>
      <c r="D10" s="75" t="s">
        <v>357</v>
      </c>
      <c r="E10" s="76" t="s">
        <v>358</v>
      </c>
      <c r="F10" s="77" t="s">
        <v>359</v>
      </c>
      <c r="G10" s="75" t="s">
        <v>28</v>
      </c>
      <c r="H10" s="75">
        <v>18.315632999999998</v>
      </c>
      <c r="I10" s="75">
        <v>-64.724666999999997</v>
      </c>
      <c r="J10" s="79">
        <v>44622</v>
      </c>
      <c r="K10" s="75" t="s">
        <v>360</v>
      </c>
      <c r="L10" s="75" t="s">
        <v>367</v>
      </c>
      <c r="M10" s="75">
        <v>0</v>
      </c>
      <c r="N10" s="75">
        <v>4</v>
      </c>
      <c r="O10" s="75" t="s">
        <v>362</v>
      </c>
      <c r="P10" s="75" t="s">
        <v>363</v>
      </c>
      <c r="Q10" s="75" t="s">
        <v>364</v>
      </c>
      <c r="R10" s="75">
        <v>0</v>
      </c>
      <c r="S10" s="75">
        <v>0</v>
      </c>
      <c r="T10" s="75">
        <v>0</v>
      </c>
      <c r="U10" s="75">
        <v>0</v>
      </c>
      <c r="V10" s="75">
        <v>0</v>
      </c>
      <c r="W10" s="75">
        <v>0</v>
      </c>
      <c r="X10" s="75">
        <v>0</v>
      </c>
      <c r="Y10" s="75">
        <v>0</v>
      </c>
      <c r="Z10" s="75">
        <v>0</v>
      </c>
      <c r="AA10" s="75">
        <v>0</v>
      </c>
      <c r="AB10" s="75">
        <v>0</v>
      </c>
      <c r="AC10" s="75">
        <v>0</v>
      </c>
      <c r="AD10" s="75">
        <v>0</v>
      </c>
      <c r="AE10" s="75">
        <v>0</v>
      </c>
      <c r="AF10" s="75">
        <v>0</v>
      </c>
      <c r="AG10" s="75">
        <v>0</v>
      </c>
      <c r="AH10" s="75">
        <v>0</v>
      </c>
      <c r="AI10" s="75">
        <v>0</v>
      </c>
      <c r="AJ10" s="75">
        <v>0</v>
      </c>
      <c r="AK10" s="75">
        <v>0</v>
      </c>
      <c r="AL10" s="75">
        <v>0</v>
      </c>
      <c r="AM10" s="75">
        <v>0</v>
      </c>
      <c r="AN10" s="75">
        <v>0</v>
      </c>
      <c r="AO10" s="75">
        <v>1</v>
      </c>
      <c r="AP10" s="75">
        <v>0</v>
      </c>
      <c r="AQ10" s="75">
        <v>0</v>
      </c>
      <c r="AR10" s="75">
        <v>0</v>
      </c>
      <c r="AS10" s="75">
        <v>1</v>
      </c>
      <c r="AT10" s="75">
        <v>0</v>
      </c>
      <c r="AU10" s="75">
        <v>1</v>
      </c>
      <c r="AV10" s="75">
        <v>0</v>
      </c>
      <c r="AW10" s="75">
        <v>0</v>
      </c>
      <c r="AX10" s="75">
        <v>0</v>
      </c>
      <c r="AY10" s="75">
        <v>14</v>
      </c>
      <c r="AZ10" s="75">
        <v>5</v>
      </c>
      <c r="BA10" s="75">
        <v>0</v>
      </c>
      <c r="BB10" s="75">
        <v>0</v>
      </c>
      <c r="BC10" s="75">
        <v>0</v>
      </c>
      <c r="BD10" s="75">
        <v>0</v>
      </c>
      <c r="BE10" s="75">
        <v>0</v>
      </c>
      <c r="BF10" s="75">
        <v>0</v>
      </c>
      <c r="BG10" s="75">
        <v>0</v>
      </c>
      <c r="BH10" s="75">
        <v>0</v>
      </c>
      <c r="BM10" s="82">
        <f t="shared" si="0"/>
        <v>0</v>
      </c>
      <c r="BN10" s="75">
        <f t="shared" si="1"/>
        <v>0</v>
      </c>
      <c r="BO10" s="75">
        <f t="shared" si="2"/>
        <v>22</v>
      </c>
      <c r="BP10" s="75">
        <f t="shared" si="3"/>
        <v>22</v>
      </c>
      <c r="BQ10" s="80" t="s">
        <v>370</v>
      </c>
      <c r="BT10" s="110">
        <v>0</v>
      </c>
    </row>
    <row r="11" spans="1:74" ht="16" x14ac:dyDescent="0.8">
      <c r="A11">
        <v>499</v>
      </c>
      <c r="B11" s="2">
        <v>505</v>
      </c>
      <c r="C11" s="2">
        <v>502</v>
      </c>
      <c r="D11" s="75" t="s">
        <v>357</v>
      </c>
      <c r="E11" s="76" t="s">
        <v>358</v>
      </c>
      <c r="F11" s="77" t="s">
        <v>359</v>
      </c>
      <c r="G11" s="75" t="s">
        <v>28</v>
      </c>
      <c r="H11" s="75">
        <v>18.315033</v>
      </c>
      <c r="I11" s="75">
        <v>-64.725750000000005</v>
      </c>
      <c r="J11" s="81">
        <v>44624</v>
      </c>
      <c r="K11" s="75" t="s">
        <v>360</v>
      </c>
      <c r="L11" s="75" t="s">
        <v>361</v>
      </c>
      <c r="M11" s="75">
        <v>0</v>
      </c>
      <c r="N11" s="75">
        <v>4</v>
      </c>
      <c r="O11" s="75" t="s">
        <v>362</v>
      </c>
      <c r="P11" s="75" t="s">
        <v>363</v>
      </c>
      <c r="Q11" s="75" t="s">
        <v>364</v>
      </c>
      <c r="R11" s="75">
        <v>0</v>
      </c>
      <c r="S11" s="75">
        <v>0</v>
      </c>
      <c r="T11" s="75">
        <v>0</v>
      </c>
      <c r="U11" s="75">
        <v>0</v>
      </c>
      <c r="V11" s="75">
        <v>0</v>
      </c>
      <c r="W11" s="75">
        <v>0</v>
      </c>
      <c r="X11" s="75">
        <v>0</v>
      </c>
      <c r="Y11" s="75">
        <v>0</v>
      </c>
      <c r="Z11" s="75">
        <v>0</v>
      </c>
      <c r="AA11" s="75">
        <v>0</v>
      </c>
      <c r="AB11" s="75">
        <v>0</v>
      </c>
      <c r="AC11" s="75">
        <v>0</v>
      </c>
      <c r="AD11" s="75">
        <v>0</v>
      </c>
      <c r="AE11" s="75">
        <v>0</v>
      </c>
      <c r="AF11" s="75">
        <v>0</v>
      </c>
      <c r="AG11" s="75">
        <v>0</v>
      </c>
      <c r="AH11" s="75">
        <v>0</v>
      </c>
      <c r="AI11" s="75">
        <v>0</v>
      </c>
      <c r="AJ11" s="75">
        <v>0</v>
      </c>
      <c r="AK11" s="75">
        <v>0</v>
      </c>
      <c r="AL11" s="75">
        <v>0</v>
      </c>
      <c r="AM11" s="75">
        <v>0</v>
      </c>
      <c r="AN11" s="75">
        <v>0</v>
      </c>
      <c r="AO11" s="75">
        <v>5</v>
      </c>
      <c r="AP11" s="75">
        <v>0</v>
      </c>
      <c r="AQ11" s="75">
        <v>1</v>
      </c>
      <c r="AR11" s="75">
        <v>1</v>
      </c>
      <c r="AS11" s="75">
        <v>1</v>
      </c>
      <c r="AT11" s="75">
        <v>0</v>
      </c>
      <c r="AU11" s="75">
        <v>0</v>
      </c>
      <c r="AV11" s="75">
        <v>0</v>
      </c>
      <c r="AW11" s="75">
        <v>0</v>
      </c>
      <c r="AX11" s="75">
        <v>0</v>
      </c>
      <c r="AY11" s="75">
        <v>23</v>
      </c>
      <c r="AZ11" s="75">
        <v>14</v>
      </c>
      <c r="BA11" s="75">
        <v>10</v>
      </c>
      <c r="BB11" s="75">
        <v>0</v>
      </c>
      <c r="BC11" s="75">
        <v>3</v>
      </c>
      <c r="BD11" s="75">
        <v>1</v>
      </c>
      <c r="BE11" s="75">
        <v>0</v>
      </c>
      <c r="BF11" s="75">
        <v>1</v>
      </c>
      <c r="BG11" s="75">
        <v>0</v>
      </c>
      <c r="BH11" s="75">
        <v>2</v>
      </c>
      <c r="BM11" s="82">
        <f t="shared" si="0"/>
        <v>0</v>
      </c>
      <c r="BN11" s="75">
        <f t="shared" si="1"/>
        <v>0</v>
      </c>
      <c r="BO11" s="75">
        <f t="shared" ref="BO11:BO42" si="4">SUM(AO11:BH11)</f>
        <v>62</v>
      </c>
      <c r="BP11" s="82">
        <f t="shared" si="3"/>
        <v>62</v>
      </c>
      <c r="BQ11" s="80" t="s">
        <v>371</v>
      </c>
      <c r="BT11" s="110">
        <v>0</v>
      </c>
    </row>
    <row r="12" spans="1:74" ht="16" x14ac:dyDescent="0.8">
      <c r="A12">
        <v>500</v>
      </c>
      <c r="B12" s="2">
        <v>506</v>
      </c>
      <c r="C12" s="2">
        <v>503</v>
      </c>
      <c r="D12" s="75" t="s">
        <v>357</v>
      </c>
      <c r="E12" s="76" t="s">
        <v>358</v>
      </c>
      <c r="F12" s="77" t="s">
        <v>359</v>
      </c>
      <c r="G12" s="75" t="s">
        <v>52</v>
      </c>
      <c r="H12" s="75">
        <v>18.317682999999999</v>
      </c>
      <c r="I12" s="75">
        <v>-64.741200000000006</v>
      </c>
      <c r="J12" s="79">
        <v>44627</v>
      </c>
      <c r="K12" s="75" t="s">
        <v>360</v>
      </c>
      <c r="L12" s="75" t="s">
        <v>361</v>
      </c>
      <c r="M12" s="75">
        <v>0</v>
      </c>
      <c r="N12" s="75">
        <v>4</v>
      </c>
      <c r="O12" s="75" t="s">
        <v>362</v>
      </c>
      <c r="P12" s="75" t="s">
        <v>363</v>
      </c>
      <c r="Q12" s="75" t="s">
        <v>364</v>
      </c>
      <c r="R12" s="75">
        <v>0</v>
      </c>
      <c r="S12" s="75">
        <v>0</v>
      </c>
      <c r="T12" s="75">
        <v>0</v>
      </c>
      <c r="U12" s="75">
        <v>0</v>
      </c>
      <c r="V12" s="75">
        <v>0</v>
      </c>
      <c r="W12" s="75">
        <v>0</v>
      </c>
      <c r="X12" s="75">
        <v>0</v>
      </c>
      <c r="Y12" s="75">
        <v>0</v>
      </c>
      <c r="Z12" s="75">
        <v>0</v>
      </c>
      <c r="AA12" s="75">
        <v>0</v>
      </c>
      <c r="AB12" s="75">
        <v>0</v>
      </c>
      <c r="AC12" s="75">
        <v>0</v>
      </c>
      <c r="AD12" s="75">
        <v>0</v>
      </c>
      <c r="AE12" s="75">
        <v>0</v>
      </c>
      <c r="AF12" s="75">
        <v>0</v>
      </c>
      <c r="AG12" s="75">
        <v>0</v>
      </c>
      <c r="AH12" s="75">
        <v>0</v>
      </c>
      <c r="AI12" s="75">
        <v>0</v>
      </c>
      <c r="AJ12" s="75">
        <v>0</v>
      </c>
      <c r="AK12" s="75">
        <v>0</v>
      </c>
      <c r="AL12" s="75">
        <v>0</v>
      </c>
      <c r="AM12" s="75">
        <v>0</v>
      </c>
      <c r="AN12" s="75">
        <v>0</v>
      </c>
      <c r="AO12" s="75">
        <v>0</v>
      </c>
      <c r="AP12" s="75">
        <v>0</v>
      </c>
      <c r="AQ12" s="75">
        <v>0</v>
      </c>
      <c r="AR12" s="75">
        <v>0</v>
      </c>
      <c r="AS12" s="75">
        <v>0</v>
      </c>
      <c r="AT12" s="75">
        <v>0</v>
      </c>
      <c r="AU12" s="75">
        <v>1</v>
      </c>
      <c r="AV12" s="75">
        <v>0</v>
      </c>
      <c r="AW12" s="75">
        <v>0</v>
      </c>
      <c r="AX12" s="75">
        <v>0</v>
      </c>
      <c r="AY12" s="75">
        <v>0</v>
      </c>
      <c r="AZ12" s="75">
        <v>0</v>
      </c>
      <c r="BA12" s="75">
        <v>2</v>
      </c>
      <c r="BB12" s="75">
        <v>0</v>
      </c>
      <c r="BC12" s="75">
        <v>0</v>
      </c>
      <c r="BD12" s="75">
        <v>0</v>
      </c>
      <c r="BE12" s="75">
        <v>0</v>
      </c>
      <c r="BF12" s="75">
        <v>2</v>
      </c>
      <c r="BG12" s="75">
        <v>0</v>
      </c>
      <c r="BH12" s="75">
        <v>0</v>
      </c>
      <c r="BM12" s="82">
        <f t="shared" si="0"/>
        <v>0</v>
      </c>
      <c r="BN12" s="75">
        <f t="shared" si="1"/>
        <v>0</v>
      </c>
      <c r="BO12" s="75">
        <f t="shared" si="4"/>
        <v>5</v>
      </c>
      <c r="BP12" s="82">
        <f t="shared" si="3"/>
        <v>5</v>
      </c>
      <c r="BQ12" s="75" t="s">
        <v>366</v>
      </c>
      <c r="BT12" s="110">
        <v>0</v>
      </c>
    </row>
    <row r="13" spans="1:74" ht="16" x14ac:dyDescent="0.8">
      <c r="A13">
        <v>501</v>
      </c>
      <c r="B13" s="2">
        <v>507</v>
      </c>
      <c r="C13" s="2">
        <v>504</v>
      </c>
      <c r="D13" s="75" t="s">
        <v>357</v>
      </c>
      <c r="E13" s="76" t="s">
        <v>358</v>
      </c>
      <c r="F13" s="77" t="s">
        <v>359</v>
      </c>
      <c r="G13" s="75" t="s">
        <v>28</v>
      </c>
      <c r="H13" s="75">
        <v>18.312833000000001</v>
      </c>
      <c r="I13" s="75">
        <v>-64.725949999999997</v>
      </c>
      <c r="J13" s="81">
        <v>44627</v>
      </c>
      <c r="K13" s="75" t="s">
        <v>360</v>
      </c>
      <c r="L13" s="75" t="s">
        <v>361</v>
      </c>
      <c r="M13" s="75">
        <v>0</v>
      </c>
      <c r="N13" s="75">
        <v>4</v>
      </c>
      <c r="O13" s="75" t="s">
        <v>362</v>
      </c>
      <c r="P13" s="75" t="s">
        <v>363</v>
      </c>
      <c r="Q13" s="75" t="s">
        <v>364</v>
      </c>
      <c r="R13" s="75">
        <v>0</v>
      </c>
      <c r="S13" s="75">
        <v>0</v>
      </c>
      <c r="T13" s="75">
        <v>0</v>
      </c>
      <c r="U13" s="75">
        <v>0</v>
      </c>
      <c r="V13" s="75">
        <v>0</v>
      </c>
      <c r="W13" s="75">
        <v>0</v>
      </c>
      <c r="X13" s="75">
        <v>0</v>
      </c>
      <c r="Y13" s="75">
        <v>0</v>
      </c>
      <c r="Z13" s="75">
        <v>0</v>
      </c>
      <c r="AA13" s="75">
        <v>0</v>
      </c>
      <c r="AB13" s="75">
        <v>0</v>
      </c>
      <c r="AC13" s="75">
        <v>0</v>
      </c>
      <c r="AD13" s="75">
        <v>0</v>
      </c>
      <c r="AE13" s="75">
        <v>0</v>
      </c>
      <c r="AF13" s="75">
        <v>0</v>
      </c>
      <c r="AG13" s="75">
        <v>0</v>
      </c>
      <c r="AH13" s="75">
        <v>0</v>
      </c>
      <c r="AI13" s="75">
        <v>0</v>
      </c>
      <c r="AJ13" s="75">
        <v>0</v>
      </c>
      <c r="AK13" s="75">
        <v>0</v>
      </c>
      <c r="AL13" s="75">
        <v>0</v>
      </c>
      <c r="AM13" s="75">
        <v>0</v>
      </c>
      <c r="AN13" s="75">
        <v>0</v>
      </c>
      <c r="AO13" s="75">
        <v>1</v>
      </c>
      <c r="AP13" s="75">
        <v>0</v>
      </c>
      <c r="AQ13" s="75">
        <v>3</v>
      </c>
      <c r="AR13" s="75">
        <v>0</v>
      </c>
      <c r="AS13" s="75">
        <v>1</v>
      </c>
      <c r="AT13" s="75">
        <v>0</v>
      </c>
      <c r="AU13" s="75">
        <v>0</v>
      </c>
      <c r="AV13" s="75">
        <v>0</v>
      </c>
      <c r="AW13" s="75">
        <v>0</v>
      </c>
      <c r="AX13" s="75">
        <v>0</v>
      </c>
      <c r="AY13" s="75">
        <v>9</v>
      </c>
      <c r="AZ13" s="75">
        <v>0</v>
      </c>
      <c r="BA13" s="75">
        <v>4</v>
      </c>
      <c r="BB13" s="75">
        <v>0</v>
      </c>
      <c r="BC13" s="75">
        <v>0</v>
      </c>
      <c r="BD13" s="75">
        <v>0</v>
      </c>
      <c r="BE13" s="75">
        <v>0</v>
      </c>
      <c r="BF13" s="75">
        <v>6</v>
      </c>
      <c r="BG13" s="75">
        <v>0</v>
      </c>
      <c r="BH13" s="75">
        <v>0</v>
      </c>
      <c r="BM13" s="82">
        <f t="shared" si="0"/>
        <v>0</v>
      </c>
      <c r="BN13" s="75">
        <f t="shared" si="1"/>
        <v>0</v>
      </c>
      <c r="BO13" s="75">
        <f t="shared" si="4"/>
        <v>24</v>
      </c>
      <c r="BP13" s="82">
        <f t="shared" si="3"/>
        <v>24</v>
      </c>
      <c r="BQ13" s="80" t="s">
        <v>372</v>
      </c>
      <c r="BT13" s="110">
        <v>0</v>
      </c>
      <c r="BU13" s="75">
        <v>1</v>
      </c>
    </row>
    <row r="14" spans="1:74" ht="16" x14ac:dyDescent="0.8">
      <c r="A14">
        <v>510</v>
      </c>
      <c r="B14" s="2">
        <v>516</v>
      </c>
      <c r="C14" s="267">
        <v>511</v>
      </c>
      <c r="D14" s="75" t="s">
        <v>357</v>
      </c>
      <c r="E14" s="76" t="s">
        <v>358</v>
      </c>
      <c r="F14" s="77" t="s">
        <v>359</v>
      </c>
      <c r="G14" s="75" t="s">
        <v>23</v>
      </c>
      <c r="H14" s="75">
        <v>18.364750000000001</v>
      </c>
      <c r="I14" s="75">
        <v>-64.772599999999997</v>
      </c>
      <c r="J14" s="79">
        <v>44631</v>
      </c>
      <c r="K14" s="75" t="s">
        <v>360</v>
      </c>
      <c r="L14" s="75" t="s">
        <v>361</v>
      </c>
      <c r="M14" s="75">
        <v>0</v>
      </c>
      <c r="N14" s="75">
        <v>4</v>
      </c>
      <c r="O14" s="75" t="s">
        <v>362</v>
      </c>
      <c r="P14" s="75" t="s">
        <v>363</v>
      </c>
      <c r="Q14" s="75" t="s">
        <v>364</v>
      </c>
      <c r="R14" s="75">
        <v>0</v>
      </c>
      <c r="S14" s="75">
        <v>0</v>
      </c>
      <c r="T14" s="75">
        <v>0</v>
      </c>
      <c r="U14" s="75">
        <v>0</v>
      </c>
      <c r="V14" s="75">
        <v>0</v>
      </c>
      <c r="W14" s="75">
        <v>0</v>
      </c>
      <c r="X14" s="75">
        <v>0</v>
      </c>
      <c r="Y14" s="75">
        <v>0</v>
      </c>
      <c r="Z14" s="75">
        <v>0</v>
      </c>
      <c r="AA14" s="75">
        <v>0</v>
      </c>
      <c r="AB14" s="75">
        <v>0</v>
      </c>
      <c r="AC14" s="75">
        <v>0</v>
      </c>
      <c r="AD14" s="75">
        <v>0</v>
      </c>
      <c r="AE14" s="75">
        <v>0</v>
      </c>
      <c r="AF14" s="75">
        <v>0</v>
      </c>
      <c r="AG14" s="75">
        <v>0</v>
      </c>
      <c r="AH14" s="75">
        <v>0</v>
      </c>
      <c r="AI14" s="75">
        <v>0</v>
      </c>
      <c r="AJ14" s="75">
        <v>0</v>
      </c>
      <c r="AK14" s="75">
        <v>0</v>
      </c>
      <c r="AL14" s="75">
        <v>0</v>
      </c>
      <c r="AM14" s="75">
        <v>0</v>
      </c>
      <c r="AN14" s="75">
        <v>0</v>
      </c>
      <c r="AO14" s="75">
        <v>1</v>
      </c>
      <c r="AP14" s="75">
        <v>0</v>
      </c>
      <c r="AQ14" s="75">
        <v>0</v>
      </c>
      <c r="AR14" s="75">
        <v>0</v>
      </c>
      <c r="AS14" s="75">
        <v>0</v>
      </c>
      <c r="AT14" s="75">
        <v>0</v>
      </c>
      <c r="AU14" s="75">
        <v>0</v>
      </c>
      <c r="AV14" s="75">
        <v>0</v>
      </c>
      <c r="AW14" s="75">
        <v>0</v>
      </c>
      <c r="AX14" s="75">
        <v>0</v>
      </c>
      <c r="AY14" s="75">
        <v>0</v>
      </c>
      <c r="AZ14" s="75">
        <v>1</v>
      </c>
      <c r="BA14" s="75">
        <v>1</v>
      </c>
      <c r="BB14" s="75">
        <v>0</v>
      </c>
      <c r="BC14" s="75">
        <v>4</v>
      </c>
      <c r="BD14" s="75">
        <v>0</v>
      </c>
      <c r="BE14" s="75">
        <v>0</v>
      </c>
      <c r="BF14" s="75">
        <v>2</v>
      </c>
      <c r="BG14" s="75">
        <v>0</v>
      </c>
      <c r="BH14" s="75">
        <v>0</v>
      </c>
      <c r="BM14" s="75">
        <f t="shared" si="0"/>
        <v>0</v>
      </c>
      <c r="BN14" s="75">
        <f t="shared" si="1"/>
        <v>0</v>
      </c>
      <c r="BO14" s="75">
        <f t="shared" si="4"/>
        <v>9</v>
      </c>
      <c r="BP14" s="75">
        <f t="shared" si="3"/>
        <v>9</v>
      </c>
      <c r="BQ14" s="80" t="s">
        <v>366</v>
      </c>
      <c r="BT14" s="110">
        <v>0</v>
      </c>
    </row>
    <row r="15" spans="1:74" ht="16" x14ac:dyDescent="0.8">
      <c r="A15">
        <v>511</v>
      </c>
      <c r="B15" s="2">
        <v>517</v>
      </c>
      <c r="C15" s="267">
        <v>512</v>
      </c>
      <c r="D15" s="75" t="s">
        <v>357</v>
      </c>
      <c r="E15" s="76" t="s">
        <v>358</v>
      </c>
      <c r="F15" s="77" t="s">
        <v>359</v>
      </c>
      <c r="G15" s="75" t="s">
        <v>56</v>
      </c>
      <c r="H15" s="75">
        <v>18.362817</v>
      </c>
      <c r="I15" s="75">
        <v>-64.721682999999999</v>
      </c>
      <c r="J15" s="79">
        <v>44631</v>
      </c>
      <c r="K15" s="75" t="s">
        <v>360</v>
      </c>
      <c r="L15" s="75" t="s">
        <v>367</v>
      </c>
      <c r="M15" s="75">
        <v>0</v>
      </c>
      <c r="N15" s="75">
        <v>4</v>
      </c>
      <c r="O15" s="75" t="s">
        <v>362</v>
      </c>
      <c r="P15" s="75" t="s">
        <v>363</v>
      </c>
      <c r="Q15" s="75" t="s">
        <v>364</v>
      </c>
      <c r="R15" s="75">
        <v>0</v>
      </c>
      <c r="S15" s="75">
        <v>0</v>
      </c>
      <c r="T15" s="75">
        <v>0</v>
      </c>
      <c r="U15" s="75">
        <v>0</v>
      </c>
      <c r="V15" s="75">
        <v>0</v>
      </c>
      <c r="W15" s="75">
        <v>0</v>
      </c>
      <c r="X15" s="75">
        <v>0</v>
      </c>
      <c r="Y15" s="75">
        <v>0</v>
      </c>
      <c r="Z15" s="75">
        <v>0</v>
      </c>
      <c r="AA15" s="75">
        <v>0</v>
      </c>
      <c r="AB15" s="75">
        <v>0</v>
      </c>
      <c r="AC15" s="75">
        <v>0</v>
      </c>
      <c r="AD15" s="75">
        <v>0</v>
      </c>
      <c r="AE15" s="75">
        <v>0</v>
      </c>
      <c r="AF15" s="75">
        <v>0</v>
      </c>
      <c r="AG15" s="75">
        <v>0</v>
      </c>
      <c r="AH15" s="75">
        <v>0</v>
      </c>
      <c r="AI15" s="75">
        <v>0</v>
      </c>
      <c r="AJ15" s="75">
        <v>0</v>
      </c>
      <c r="AK15" s="75">
        <v>0</v>
      </c>
      <c r="AL15" s="75">
        <v>0</v>
      </c>
      <c r="AM15" s="75">
        <v>0</v>
      </c>
      <c r="AN15" s="75">
        <v>0</v>
      </c>
      <c r="AO15" s="75">
        <v>0</v>
      </c>
      <c r="AP15" s="75">
        <v>0</v>
      </c>
      <c r="AQ15" s="75">
        <v>0</v>
      </c>
      <c r="AR15" s="75">
        <v>2</v>
      </c>
      <c r="AS15" s="75">
        <v>0</v>
      </c>
      <c r="AT15" s="75">
        <v>0</v>
      </c>
      <c r="AU15" s="75">
        <v>0</v>
      </c>
      <c r="AV15" s="75">
        <v>0</v>
      </c>
      <c r="AW15" s="75">
        <v>0</v>
      </c>
      <c r="AX15" s="75">
        <v>0</v>
      </c>
      <c r="AY15" s="75">
        <v>0</v>
      </c>
      <c r="AZ15" s="75">
        <v>0</v>
      </c>
      <c r="BA15" s="75">
        <v>0</v>
      </c>
      <c r="BB15" s="75">
        <v>0</v>
      </c>
      <c r="BC15" s="75">
        <v>0</v>
      </c>
      <c r="BD15" s="75">
        <v>0</v>
      </c>
      <c r="BE15" s="75">
        <v>0</v>
      </c>
      <c r="BF15" s="75">
        <v>0</v>
      </c>
      <c r="BG15" s="75">
        <v>0</v>
      </c>
      <c r="BH15" s="75">
        <v>0</v>
      </c>
      <c r="BM15" s="75">
        <f t="shared" si="0"/>
        <v>0</v>
      </c>
      <c r="BN15" s="75">
        <f t="shared" si="1"/>
        <v>0</v>
      </c>
      <c r="BO15" s="75">
        <f t="shared" si="4"/>
        <v>2</v>
      </c>
      <c r="BP15" s="75">
        <f t="shared" si="3"/>
        <v>2</v>
      </c>
      <c r="BQ15" s="80" t="s">
        <v>366</v>
      </c>
      <c r="BT15" s="110">
        <v>0</v>
      </c>
    </row>
    <row r="16" spans="1:74" ht="16" x14ac:dyDescent="0.8">
      <c r="A16">
        <v>512</v>
      </c>
      <c r="B16" s="2">
        <v>518</v>
      </c>
      <c r="C16" s="267">
        <v>513</v>
      </c>
      <c r="D16" s="75" t="s">
        <v>357</v>
      </c>
      <c r="E16" s="76" t="s">
        <v>358</v>
      </c>
      <c r="F16" s="77" t="s">
        <v>359</v>
      </c>
      <c r="G16" s="75" t="s">
        <v>44</v>
      </c>
      <c r="H16" s="75">
        <v>18.363817000000001</v>
      </c>
      <c r="I16" s="75">
        <v>-64.725300000000004</v>
      </c>
      <c r="J16" s="79">
        <v>44631</v>
      </c>
      <c r="K16" s="75" t="s">
        <v>360</v>
      </c>
      <c r="L16" s="75" t="s">
        <v>367</v>
      </c>
      <c r="M16" s="75">
        <v>0</v>
      </c>
      <c r="N16" s="75">
        <v>4</v>
      </c>
      <c r="O16" s="75" t="s">
        <v>362</v>
      </c>
      <c r="P16" s="75" t="s">
        <v>363</v>
      </c>
      <c r="Q16" s="75" t="s">
        <v>364</v>
      </c>
      <c r="R16" s="75">
        <v>0</v>
      </c>
      <c r="S16" s="75">
        <v>0</v>
      </c>
      <c r="T16" s="75">
        <v>0</v>
      </c>
      <c r="U16" s="75">
        <v>0</v>
      </c>
      <c r="V16" s="75">
        <v>0</v>
      </c>
      <c r="W16" s="75">
        <v>0</v>
      </c>
      <c r="X16" s="75">
        <v>0</v>
      </c>
      <c r="Y16" s="75">
        <v>0</v>
      </c>
      <c r="Z16" s="75">
        <v>0</v>
      </c>
      <c r="AA16" s="75">
        <v>0</v>
      </c>
      <c r="AB16" s="75">
        <v>0</v>
      </c>
      <c r="AC16" s="75">
        <v>0</v>
      </c>
      <c r="AD16" s="75">
        <v>0</v>
      </c>
      <c r="AE16" s="75">
        <v>0</v>
      </c>
      <c r="AF16" s="75">
        <v>0</v>
      </c>
      <c r="AG16" s="75">
        <v>0</v>
      </c>
      <c r="AH16" s="75">
        <v>0</v>
      </c>
      <c r="AI16" s="75">
        <v>0</v>
      </c>
      <c r="AJ16" s="75">
        <v>0</v>
      </c>
      <c r="AK16" s="75">
        <v>0</v>
      </c>
      <c r="AL16" s="75">
        <v>0</v>
      </c>
      <c r="AM16" s="75">
        <v>0</v>
      </c>
      <c r="AN16" s="75">
        <v>0</v>
      </c>
      <c r="AO16" s="75">
        <v>0</v>
      </c>
      <c r="AP16" s="75">
        <v>0</v>
      </c>
      <c r="AQ16" s="75">
        <v>0</v>
      </c>
      <c r="AR16" s="75">
        <v>0</v>
      </c>
      <c r="AS16" s="75">
        <v>0</v>
      </c>
      <c r="AT16" s="75">
        <v>0</v>
      </c>
      <c r="AU16" s="75">
        <v>2</v>
      </c>
      <c r="AV16" s="75">
        <v>0</v>
      </c>
      <c r="AW16" s="75">
        <v>0</v>
      </c>
      <c r="AX16" s="75">
        <v>0</v>
      </c>
      <c r="AY16" s="75">
        <v>0</v>
      </c>
      <c r="AZ16" s="75">
        <v>0</v>
      </c>
      <c r="BA16" s="75">
        <v>0</v>
      </c>
      <c r="BB16" s="75">
        <v>0</v>
      </c>
      <c r="BC16" s="75">
        <v>3</v>
      </c>
      <c r="BD16" s="75">
        <v>0</v>
      </c>
      <c r="BE16" s="75">
        <v>0</v>
      </c>
      <c r="BF16" s="75">
        <v>2</v>
      </c>
      <c r="BG16" s="75">
        <v>0</v>
      </c>
      <c r="BH16" s="75">
        <v>0</v>
      </c>
      <c r="BM16" s="75">
        <f t="shared" si="0"/>
        <v>0</v>
      </c>
      <c r="BN16" s="75">
        <v>0</v>
      </c>
      <c r="BO16" s="75">
        <f t="shared" si="4"/>
        <v>7</v>
      </c>
      <c r="BP16" s="75">
        <f t="shared" si="3"/>
        <v>7</v>
      </c>
      <c r="BQ16" s="80" t="s">
        <v>373</v>
      </c>
      <c r="BT16" s="110">
        <v>0</v>
      </c>
    </row>
    <row r="17" spans="1:74" ht="16" x14ac:dyDescent="0.8">
      <c r="A17">
        <v>516</v>
      </c>
      <c r="B17" s="2">
        <v>522</v>
      </c>
      <c r="C17" s="267">
        <v>516</v>
      </c>
      <c r="D17" s="75" t="s">
        <v>357</v>
      </c>
      <c r="E17" s="76" t="s">
        <v>358</v>
      </c>
      <c r="F17" s="77" t="s">
        <v>359</v>
      </c>
      <c r="G17" s="75" t="s">
        <v>39</v>
      </c>
      <c r="H17" s="75">
        <v>18.357832999999999</v>
      </c>
      <c r="I17" s="75">
        <v>-64.752200000000002</v>
      </c>
      <c r="J17" s="79">
        <v>44637</v>
      </c>
      <c r="K17" s="75" t="s">
        <v>360</v>
      </c>
      <c r="L17" s="75" t="s">
        <v>367</v>
      </c>
      <c r="M17" s="75">
        <v>0</v>
      </c>
      <c r="N17" s="75">
        <v>3</v>
      </c>
      <c r="O17" s="75" t="s">
        <v>362</v>
      </c>
      <c r="P17" s="75" t="s">
        <v>363</v>
      </c>
      <c r="Q17" s="75" t="s">
        <v>364</v>
      </c>
      <c r="R17" s="75">
        <v>0</v>
      </c>
      <c r="S17" s="75">
        <v>0</v>
      </c>
      <c r="T17" s="75">
        <v>0</v>
      </c>
      <c r="U17" s="75">
        <v>0</v>
      </c>
      <c r="V17" s="75">
        <v>0</v>
      </c>
      <c r="W17" s="75">
        <v>0</v>
      </c>
      <c r="X17" s="75">
        <v>0</v>
      </c>
      <c r="Y17" s="75">
        <v>0</v>
      </c>
      <c r="Z17" s="75">
        <v>0</v>
      </c>
      <c r="AA17" s="75">
        <v>0</v>
      </c>
      <c r="AB17" s="75">
        <v>0</v>
      </c>
      <c r="AC17" s="75">
        <v>0</v>
      </c>
      <c r="AD17" s="75">
        <v>0</v>
      </c>
      <c r="AE17" s="75">
        <v>0</v>
      </c>
      <c r="AF17" s="75">
        <v>0</v>
      </c>
      <c r="AG17" s="75">
        <v>0</v>
      </c>
      <c r="AH17" s="75">
        <v>0</v>
      </c>
      <c r="AI17" s="75">
        <v>0</v>
      </c>
      <c r="AJ17" s="75">
        <v>0</v>
      </c>
      <c r="AK17" s="75">
        <v>0</v>
      </c>
      <c r="AL17" s="75">
        <v>0</v>
      </c>
      <c r="AM17" s="75">
        <v>0</v>
      </c>
      <c r="AN17" s="75">
        <v>0</v>
      </c>
      <c r="AO17" s="75">
        <v>1</v>
      </c>
      <c r="AP17" s="75">
        <v>0</v>
      </c>
      <c r="AQ17" s="75">
        <v>0</v>
      </c>
      <c r="AR17" s="75">
        <v>0</v>
      </c>
      <c r="AS17" s="75">
        <v>1</v>
      </c>
      <c r="AT17" s="75">
        <v>1</v>
      </c>
      <c r="AU17" s="75">
        <v>0</v>
      </c>
      <c r="AV17" s="75">
        <v>0</v>
      </c>
      <c r="AW17" s="75">
        <v>0</v>
      </c>
      <c r="AX17" s="75">
        <v>0</v>
      </c>
      <c r="AY17" s="75">
        <v>3</v>
      </c>
      <c r="AZ17" s="75">
        <v>0</v>
      </c>
      <c r="BA17" s="75">
        <v>1</v>
      </c>
      <c r="BB17" s="75">
        <v>0</v>
      </c>
      <c r="BC17" s="75">
        <v>7</v>
      </c>
      <c r="BD17" s="75">
        <v>0</v>
      </c>
      <c r="BE17" s="75">
        <v>0</v>
      </c>
      <c r="BF17" s="75">
        <v>1</v>
      </c>
      <c r="BG17" s="75">
        <v>0</v>
      </c>
      <c r="BH17" s="75">
        <v>0</v>
      </c>
      <c r="BM17" s="75">
        <f t="shared" si="0"/>
        <v>0</v>
      </c>
      <c r="BN17" s="75">
        <f t="shared" si="1"/>
        <v>0</v>
      </c>
      <c r="BO17" s="75">
        <f t="shared" si="4"/>
        <v>15</v>
      </c>
      <c r="BP17" s="75">
        <f t="shared" si="3"/>
        <v>15</v>
      </c>
      <c r="BQ17" s="80" t="s">
        <v>373</v>
      </c>
      <c r="BT17" s="110">
        <v>0</v>
      </c>
    </row>
    <row r="18" spans="1:74" ht="16" x14ac:dyDescent="0.8">
      <c r="A18">
        <v>517</v>
      </c>
      <c r="B18" s="2">
        <v>523</v>
      </c>
      <c r="C18" s="267">
        <v>517</v>
      </c>
      <c r="D18" s="75" t="s">
        <v>357</v>
      </c>
      <c r="E18" s="76" t="s">
        <v>358</v>
      </c>
      <c r="F18" s="77" t="s">
        <v>359</v>
      </c>
      <c r="G18" s="75" t="s">
        <v>48</v>
      </c>
      <c r="H18" s="75">
        <v>18.361733000000001</v>
      </c>
      <c r="I18" s="75">
        <v>-64.705849999999998</v>
      </c>
      <c r="J18" s="79">
        <v>44637</v>
      </c>
      <c r="K18" s="75" t="s">
        <v>360</v>
      </c>
      <c r="L18" s="75" t="s">
        <v>367</v>
      </c>
      <c r="M18" s="75">
        <v>0</v>
      </c>
      <c r="N18" s="75">
        <v>3</v>
      </c>
      <c r="O18" s="75" t="s">
        <v>362</v>
      </c>
      <c r="P18" s="75" t="s">
        <v>363</v>
      </c>
      <c r="Q18" s="75" t="s">
        <v>364</v>
      </c>
      <c r="R18" s="75">
        <v>0</v>
      </c>
      <c r="S18" s="75">
        <v>0</v>
      </c>
      <c r="T18" s="75">
        <v>0</v>
      </c>
      <c r="U18" s="75">
        <v>0</v>
      </c>
      <c r="V18" s="75">
        <v>0</v>
      </c>
      <c r="W18" s="75">
        <v>0</v>
      </c>
      <c r="X18" s="75">
        <v>0</v>
      </c>
      <c r="Y18" s="75">
        <v>0</v>
      </c>
      <c r="Z18" s="75">
        <v>0</v>
      </c>
      <c r="AA18" s="75">
        <v>0</v>
      </c>
      <c r="AB18" s="75">
        <v>0</v>
      </c>
      <c r="AC18" s="75">
        <v>0</v>
      </c>
      <c r="AD18" s="75">
        <v>0</v>
      </c>
      <c r="AE18" s="75">
        <v>0</v>
      </c>
      <c r="AF18" s="75">
        <v>0</v>
      </c>
      <c r="AG18" s="75">
        <v>0</v>
      </c>
      <c r="AH18" s="75">
        <v>0</v>
      </c>
      <c r="AI18" s="75">
        <v>0</v>
      </c>
      <c r="AJ18" s="75">
        <v>0</v>
      </c>
      <c r="AK18" s="75">
        <v>0</v>
      </c>
      <c r="AL18" s="75">
        <v>0</v>
      </c>
      <c r="AM18" s="75">
        <v>0</v>
      </c>
      <c r="AN18" s="75">
        <v>0</v>
      </c>
      <c r="AO18" s="75">
        <v>0</v>
      </c>
      <c r="AP18" s="75">
        <v>0</v>
      </c>
      <c r="AQ18" s="75">
        <v>0</v>
      </c>
      <c r="AR18" s="75">
        <v>0</v>
      </c>
      <c r="AS18" s="75">
        <v>0</v>
      </c>
      <c r="AT18" s="75">
        <v>0</v>
      </c>
      <c r="AU18" s="75">
        <v>0</v>
      </c>
      <c r="AV18" s="75">
        <v>0</v>
      </c>
      <c r="AW18" s="75">
        <v>0</v>
      </c>
      <c r="AX18" s="75">
        <v>0</v>
      </c>
      <c r="AY18" s="75">
        <v>1</v>
      </c>
      <c r="AZ18" s="75">
        <v>0</v>
      </c>
      <c r="BA18" s="75">
        <v>0</v>
      </c>
      <c r="BB18" s="75">
        <v>0</v>
      </c>
      <c r="BC18" s="75">
        <v>0</v>
      </c>
      <c r="BD18" s="75">
        <v>0</v>
      </c>
      <c r="BE18" s="75">
        <v>0</v>
      </c>
      <c r="BF18" s="75">
        <v>1</v>
      </c>
      <c r="BG18" s="75">
        <v>0</v>
      </c>
      <c r="BH18" s="75">
        <v>0</v>
      </c>
      <c r="BM18" s="75">
        <f t="shared" si="0"/>
        <v>0</v>
      </c>
      <c r="BN18" s="75">
        <f t="shared" si="1"/>
        <v>0</v>
      </c>
      <c r="BO18" s="75">
        <f t="shared" si="4"/>
        <v>2</v>
      </c>
      <c r="BP18" s="75">
        <f t="shared" si="3"/>
        <v>2</v>
      </c>
      <c r="BQ18" s="80" t="s">
        <v>373</v>
      </c>
      <c r="BT18" s="110">
        <v>0</v>
      </c>
    </row>
    <row r="19" spans="1:74" ht="16" x14ac:dyDescent="0.8">
      <c r="A19">
        <v>518</v>
      </c>
      <c r="B19" s="2">
        <v>524</v>
      </c>
      <c r="C19" s="267">
        <v>518</v>
      </c>
      <c r="D19" s="75" t="s">
        <v>357</v>
      </c>
      <c r="E19" s="76" t="s">
        <v>358</v>
      </c>
      <c r="F19" s="77" t="s">
        <v>359</v>
      </c>
      <c r="G19" s="75" t="s">
        <v>60</v>
      </c>
      <c r="H19" s="75">
        <v>18.366766999999999</v>
      </c>
      <c r="I19" s="75">
        <v>-64.733450000000005</v>
      </c>
      <c r="J19" s="79">
        <v>44637</v>
      </c>
      <c r="K19" s="75" t="s">
        <v>360</v>
      </c>
      <c r="L19" s="75" t="s">
        <v>374</v>
      </c>
      <c r="M19" s="75">
        <v>0</v>
      </c>
      <c r="N19" s="75">
        <v>3</v>
      </c>
      <c r="O19" s="75" t="s">
        <v>362</v>
      </c>
      <c r="P19" s="75" t="s">
        <v>363</v>
      </c>
      <c r="Q19" s="75" t="s">
        <v>364</v>
      </c>
      <c r="R19" s="75">
        <v>0</v>
      </c>
      <c r="S19" s="75">
        <v>0</v>
      </c>
      <c r="T19" s="75">
        <v>0</v>
      </c>
      <c r="U19" s="75">
        <v>0</v>
      </c>
      <c r="V19" s="75">
        <v>0</v>
      </c>
      <c r="W19" s="75">
        <v>0</v>
      </c>
      <c r="X19" s="75">
        <v>0</v>
      </c>
      <c r="Y19" s="75">
        <v>0</v>
      </c>
      <c r="Z19" s="75">
        <v>0</v>
      </c>
      <c r="AA19" s="75">
        <v>0</v>
      </c>
      <c r="AB19" s="75">
        <v>0</v>
      </c>
      <c r="AC19" s="75">
        <v>0</v>
      </c>
      <c r="AD19" s="75">
        <v>0</v>
      </c>
      <c r="AE19" s="75">
        <v>0</v>
      </c>
      <c r="AF19" s="75">
        <v>0</v>
      </c>
      <c r="AG19" s="75">
        <v>0</v>
      </c>
      <c r="AH19" s="75">
        <v>0</v>
      </c>
      <c r="AI19" s="75">
        <v>0</v>
      </c>
      <c r="AJ19" s="75">
        <v>0</v>
      </c>
      <c r="AK19" s="75">
        <v>0</v>
      </c>
      <c r="AL19" s="75">
        <v>0</v>
      </c>
      <c r="AM19" s="75">
        <v>0</v>
      </c>
      <c r="AN19" s="75">
        <v>0</v>
      </c>
      <c r="AO19" s="75">
        <v>0</v>
      </c>
      <c r="AP19" s="75">
        <v>0</v>
      </c>
      <c r="AQ19" s="75">
        <v>0</v>
      </c>
      <c r="AR19" s="75">
        <v>0</v>
      </c>
      <c r="AS19" s="75">
        <v>0</v>
      </c>
      <c r="AT19" s="75">
        <v>0</v>
      </c>
      <c r="AU19" s="75">
        <v>0</v>
      </c>
      <c r="AV19" s="75">
        <v>0</v>
      </c>
      <c r="AW19" s="75">
        <v>0</v>
      </c>
      <c r="AX19" s="75">
        <v>0</v>
      </c>
      <c r="AY19" s="82">
        <v>3</v>
      </c>
      <c r="AZ19" s="82">
        <v>2</v>
      </c>
      <c r="BA19" s="82">
        <v>4</v>
      </c>
      <c r="BB19" s="75">
        <v>0</v>
      </c>
      <c r="BC19" s="75">
        <v>0</v>
      </c>
      <c r="BD19" s="75">
        <v>0</v>
      </c>
      <c r="BE19" s="75">
        <v>0</v>
      </c>
      <c r="BF19" s="75">
        <v>1</v>
      </c>
      <c r="BG19" s="75">
        <v>0</v>
      </c>
      <c r="BH19" s="75">
        <v>0</v>
      </c>
      <c r="BM19" s="75">
        <f t="shared" si="0"/>
        <v>0</v>
      </c>
      <c r="BN19" s="75">
        <f t="shared" si="1"/>
        <v>0</v>
      </c>
      <c r="BO19" s="82">
        <f t="shared" si="4"/>
        <v>10</v>
      </c>
      <c r="BP19" s="82">
        <f t="shared" si="3"/>
        <v>10</v>
      </c>
      <c r="BQ19" s="75" t="s">
        <v>375</v>
      </c>
      <c r="BT19" s="110">
        <v>0</v>
      </c>
    </row>
    <row r="20" spans="1:74" ht="16" x14ac:dyDescent="0.8">
      <c r="A20">
        <v>534</v>
      </c>
      <c r="B20" s="2">
        <v>539</v>
      </c>
      <c r="C20" s="267">
        <v>520</v>
      </c>
      <c r="D20" s="75" t="s">
        <v>357</v>
      </c>
      <c r="E20" s="76" t="s">
        <v>358</v>
      </c>
      <c r="F20" s="77" t="s">
        <v>359</v>
      </c>
      <c r="G20" s="75" t="s">
        <v>28</v>
      </c>
      <c r="H20" s="75">
        <v>18.31325</v>
      </c>
      <c r="I20" s="75">
        <v>-64.725882999999996</v>
      </c>
      <c r="J20" s="79">
        <v>44639</v>
      </c>
      <c r="K20" s="75" t="s">
        <v>360</v>
      </c>
      <c r="L20" s="75" t="s">
        <v>361</v>
      </c>
      <c r="M20" s="75">
        <v>1</v>
      </c>
      <c r="N20" s="75">
        <v>4</v>
      </c>
      <c r="O20" s="75" t="s">
        <v>362</v>
      </c>
      <c r="P20" s="83">
        <f>SUM(TreatmentUsed!E2:E17)</f>
        <v>164</v>
      </c>
      <c r="Q20" s="75" t="s">
        <v>364</v>
      </c>
      <c r="R20" s="75">
        <v>0</v>
      </c>
      <c r="S20" s="75">
        <v>0</v>
      </c>
      <c r="T20" s="75">
        <v>0</v>
      </c>
      <c r="U20" s="75">
        <v>0</v>
      </c>
      <c r="V20" s="75">
        <v>0</v>
      </c>
      <c r="W20" s="75">
        <v>0</v>
      </c>
      <c r="X20" s="75">
        <v>0</v>
      </c>
      <c r="Y20" s="75">
        <v>0</v>
      </c>
      <c r="Z20" s="75">
        <v>0</v>
      </c>
      <c r="AA20" s="75">
        <v>0</v>
      </c>
      <c r="AB20" s="75">
        <v>0</v>
      </c>
      <c r="AC20" s="75">
        <v>0</v>
      </c>
      <c r="AD20" s="75">
        <v>0</v>
      </c>
      <c r="AE20" s="75">
        <v>0</v>
      </c>
      <c r="AF20" s="75">
        <v>0</v>
      </c>
      <c r="AG20" s="75">
        <v>0</v>
      </c>
      <c r="AH20" s="75">
        <v>0</v>
      </c>
      <c r="AI20" s="75">
        <v>0</v>
      </c>
      <c r="AJ20" s="75">
        <v>0</v>
      </c>
      <c r="AK20" s="75">
        <v>0</v>
      </c>
      <c r="AL20" s="75">
        <v>0</v>
      </c>
      <c r="AM20" s="75">
        <v>0</v>
      </c>
      <c r="AN20" s="75">
        <v>0</v>
      </c>
      <c r="AO20" s="75">
        <v>1</v>
      </c>
      <c r="AP20" s="75">
        <v>0</v>
      </c>
      <c r="AQ20" s="75">
        <v>1</v>
      </c>
      <c r="AR20" s="75">
        <v>0</v>
      </c>
      <c r="AS20" s="75">
        <v>0</v>
      </c>
      <c r="AT20" s="75">
        <v>0</v>
      </c>
      <c r="AU20" s="75">
        <v>0</v>
      </c>
      <c r="AV20" s="75">
        <v>0</v>
      </c>
      <c r="AW20" s="75">
        <v>0</v>
      </c>
      <c r="AX20" s="75">
        <v>0</v>
      </c>
      <c r="AY20" s="75">
        <v>5</v>
      </c>
      <c r="AZ20" s="75">
        <v>2</v>
      </c>
      <c r="BA20" s="75">
        <v>2</v>
      </c>
      <c r="BB20" s="75">
        <v>0</v>
      </c>
      <c r="BC20" s="75">
        <v>1</v>
      </c>
      <c r="BD20" s="75">
        <v>0</v>
      </c>
      <c r="BE20" s="75">
        <v>0</v>
      </c>
      <c r="BF20" s="75">
        <v>0</v>
      </c>
      <c r="BG20" s="75">
        <v>0</v>
      </c>
      <c r="BH20" s="83">
        <v>3</v>
      </c>
      <c r="BI20" s="83"/>
      <c r="BJ20" s="83"/>
      <c r="BK20" s="83"/>
      <c r="BM20" s="75">
        <f t="shared" si="0"/>
        <v>0</v>
      </c>
      <c r="BN20" s="75">
        <f t="shared" si="1"/>
        <v>0</v>
      </c>
      <c r="BO20" s="75">
        <f t="shared" si="4"/>
        <v>15</v>
      </c>
      <c r="BP20" s="75">
        <f t="shared" si="3"/>
        <v>15</v>
      </c>
      <c r="BQ20" s="80" t="s">
        <v>376</v>
      </c>
      <c r="BT20" s="110">
        <v>0</v>
      </c>
      <c r="BV20" s="75" t="s">
        <v>360</v>
      </c>
    </row>
    <row r="21" spans="1:74" ht="16" x14ac:dyDescent="0.8">
      <c r="A21">
        <v>535</v>
      </c>
      <c r="B21" s="2">
        <v>540</v>
      </c>
      <c r="C21" s="267">
        <v>521</v>
      </c>
      <c r="D21" s="75" t="s">
        <v>357</v>
      </c>
      <c r="E21" s="76" t="s">
        <v>358</v>
      </c>
      <c r="F21" s="77" t="s">
        <v>359</v>
      </c>
      <c r="G21" s="75" t="s">
        <v>28</v>
      </c>
      <c r="H21" s="75">
        <v>18.314782999999998</v>
      </c>
      <c r="I21" s="75">
        <v>-64.72645</v>
      </c>
      <c r="J21" s="79">
        <v>44639</v>
      </c>
      <c r="K21" s="75" t="s">
        <v>360</v>
      </c>
      <c r="L21" s="75" t="s">
        <v>361</v>
      </c>
      <c r="M21" s="75">
        <v>0</v>
      </c>
      <c r="N21" s="75">
        <v>4</v>
      </c>
      <c r="O21" s="75" t="s">
        <v>362</v>
      </c>
      <c r="P21" s="83">
        <f>SUM(TreatmentUsed!E18:E38)</f>
        <v>177</v>
      </c>
      <c r="Q21" s="75" t="s">
        <v>364</v>
      </c>
      <c r="R21" s="75">
        <v>0</v>
      </c>
      <c r="S21" s="75">
        <v>0</v>
      </c>
      <c r="T21" s="75">
        <v>0</v>
      </c>
      <c r="U21" s="75">
        <v>0</v>
      </c>
      <c r="V21" s="75">
        <v>0</v>
      </c>
      <c r="W21" s="75">
        <v>0</v>
      </c>
      <c r="X21" s="75">
        <v>0</v>
      </c>
      <c r="Y21" s="75">
        <v>0</v>
      </c>
      <c r="Z21" s="75">
        <v>0</v>
      </c>
      <c r="AA21" s="75">
        <v>0</v>
      </c>
      <c r="AB21" s="75">
        <v>0</v>
      </c>
      <c r="AC21" s="75">
        <v>0</v>
      </c>
      <c r="AD21" s="75">
        <v>0</v>
      </c>
      <c r="AE21" s="75">
        <v>0</v>
      </c>
      <c r="AF21" s="75">
        <v>0</v>
      </c>
      <c r="AG21" s="75">
        <v>0</v>
      </c>
      <c r="AH21" s="75">
        <v>0</v>
      </c>
      <c r="AI21" s="75">
        <v>0</v>
      </c>
      <c r="AJ21" s="75">
        <v>0</v>
      </c>
      <c r="AK21" s="75">
        <v>0</v>
      </c>
      <c r="AL21" s="75">
        <v>0</v>
      </c>
      <c r="AM21" s="75">
        <v>0</v>
      </c>
      <c r="AN21" s="75">
        <v>0</v>
      </c>
      <c r="AO21" s="75">
        <v>1</v>
      </c>
      <c r="AP21" s="75">
        <v>0</v>
      </c>
      <c r="AQ21" s="75">
        <v>0</v>
      </c>
      <c r="AR21" s="75">
        <v>0</v>
      </c>
      <c r="AS21" s="75">
        <v>2</v>
      </c>
      <c r="AT21" s="75">
        <v>0</v>
      </c>
      <c r="AU21" s="75">
        <v>0</v>
      </c>
      <c r="AV21" s="75">
        <v>0</v>
      </c>
      <c r="AW21" s="75">
        <v>0</v>
      </c>
      <c r="AX21" s="75">
        <v>0</v>
      </c>
      <c r="AY21" s="75">
        <v>8</v>
      </c>
      <c r="AZ21" s="75">
        <v>2</v>
      </c>
      <c r="BA21" s="75">
        <v>8</v>
      </c>
      <c r="BB21" s="75">
        <v>0</v>
      </c>
      <c r="BC21" s="75">
        <v>1</v>
      </c>
      <c r="BD21" s="75">
        <v>0</v>
      </c>
      <c r="BE21" s="75">
        <v>0</v>
      </c>
      <c r="BF21" s="75">
        <v>0</v>
      </c>
      <c r="BG21" s="75">
        <v>0</v>
      </c>
      <c r="BH21" s="75">
        <v>0</v>
      </c>
      <c r="BM21" s="75">
        <f t="shared" si="0"/>
        <v>0</v>
      </c>
      <c r="BN21" s="75">
        <f t="shared" si="1"/>
        <v>0</v>
      </c>
      <c r="BO21" s="75">
        <f t="shared" si="4"/>
        <v>22</v>
      </c>
      <c r="BP21" s="75">
        <f t="shared" si="3"/>
        <v>22</v>
      </c>
      <c r="BQ21" s="80" t="s">
        <v>373</v>
      </c>
      <c r="BT21" s="110">
        <v>0</v>
      </c>
      <c r="BV21" s="75" t="s">
        <v>360</v>
      </c>
    </row>
    <row r="22" spans="1:74" ht="16" x14ac:dyDescent="0.8">
      <c r="A22">
        <v>536</v>
      </c>
      <c r="B22" s="2">
        <v>541</v>
      </c>
      <c r="C22" s="267">
        <v>522</v>
      </c>
      <c r="D22" s="75" t="s">
        <v>357</v>
      </c>
      <c r="E22" s="76" t="s">
        <v>358</v>
      </c>
      <c r="F22" s="77" t="s">
        <v>359</v>
      </c>
      <c r="G22" s="75" t="s">
        <v>28</v>
      </c>
      <c r="H22" s="75">
        <v>18.315982999999999</v>
      </c>
      <c r="I22" s="75">
        <v>-64.726332999999997</v>
      </c>
      <c r="J22" s="79">
        <v>44639</v>
      </c>
      <c r="K22" s="75" t="s">
        <v>360</v>
      </c>
      <c r="L22" s="75" t="s">
        <v>361</v>
      </c>
      <c r="M22" s="75">
        <v>1</v>
      </c>
      <c r="N22" s="75">
        <v>3</v>
      </c>
      <c r="O22" s="75" t="s">
        <v>362</v>
      </c>
      <c r="P22" s="83">
        <f>SUM(TreatmentUsed!E39:E40)</f>
        <v>67</v>
      </c>
      <c r="Q22" s="75" t="s">
        <v>364</v>
      </c>
      <c r="R22" s="75">
        <v>0</v>
      </c>
      <c r="S22" s="75">
        <v>0</v>
      </c>
      <c r="T22" s="75">
        <v>0</v>
      </c>
      <c r="U22" s="75">
        <v>0</v>
      </c>
      <c r="V22" s="75">
        <v>0</v>
      </c>
      <c r="W22" s="75">
        <v>0</v>
      </c>
      <c r="X22" s="75">
        <v>0</v>
      </c>
      <c r="Y22" s="75">
        <v>0</v>
      </c>
      <c r="Z22" s="75">
        <v>0</v>
      </c>
      <c r="AA22" s="75">
        <v>0</v>
      </c>
      <c r="AB22" s="75">
        <v>0</v>
      </c>
      <c r="AC22" s="75">
        <v>0</v>
      </c>
      <c r="AD22" s="75">
        <v>0</v>
      </c>
      <c r="AE22" s="75">
        <v>0</v>
      </c>
      <c r="AF22" s="75">
        <v>0</v>
      </c>
      <c r="AG22" s="75">
        <v>0</v>
      </c>
      <c r="AH22" s="75">
        <v>0</v>
      </c>
      <c r="AI22" s="75">
        <v>0</v>
      </c>
      <c r="AJ22" s="75">
        <v>0</v>
      </c>
      <c r="AK22" s="75">
        <v>0</v>
      </c>
      <c r="AL22" s="75">
        <v>0</v>
      </c>
      <c r="AM22" s="75">
        <v>0</v>
      </c>
      <c r="AN22" s="75">
        <v>0</v>
      </c>
      <c r="AO22" s="75">
        <v>0</v>
      </c>
      <c r="AP22" s="75">
        <v>0</v>
      </c>
      <c r="AQ22" s="75">
        <v>1</v>
      </c>
      <c r="AR22" s="75">
        <v>0</v>
      </c>
      <c r="AS22" s="75">
        <v>0</v>
      </c>
      <c r="AT22" s="75">
        <v>0</v>
      </c>
      <c r="AU22" s="75">
        <v>0</v>
      </c>
      <c r="AV22" s="75">
        <v>0</v>
      </c>
      <c r="AW22" s="75">
        <v>0</v>
      </c>
      <c r="AX22" s="75">
        <v>0</v>
      </c>
      <c r="AY22" s="75">
        <v>1</v>
      </c>
      <c r="AZ22" s="75">
        <v>0</v>
      </c>
      <c r="BA22" s="75">
        <v>0</v>
      </c>
      <c r="BB22" s="75">
        <v>0</v>
      </c>
      <c r="BC22" s="75">
        <v>0</v>
      </c>
      <c r="BD22" s="75">
        <v>0</v>
      </c>
      <c r="BE22" s="75">
        <v>0</v>
      </c>
      <c r="BF22" s="75">
        <v>0</v>
      </c>
      <c r="BG22" s="75">
        <v>0</v>
      </c>
      <c r="BH22" s="75">
        <v>0</v>
      </c>
      <c r="BM22" s="75">
        <f t="shared" si="0"/>
        <v>0</v>
      </c>
      <c r="BN22" s="75">
        <f t="shared" si="1"/>
        <v>0</v>
      </c>
      <c r="BO22" s="75">
        <f t="shared" si="4"/>
        <v>2</v>
      </c>
      <c r="BP22" s="75">
        <f t="shared" si="3"/>
        <v>2</v>
      </c>
      <c r="BQ22" s="80" t="s">
        <v>377</v>
      </c>
      <c r="BT22" s="110">
        <v>0</v>
      </c>
      <c r="BV22" s="75" t="s">
        <v>360</v>
      </c>
    </row>
    <row r="23" spans="1:74" ht="16" x14ac:dyDescent="0.8">
      <c r="A23">
        <v>537</v>
      </c>
      <c r="B23" s="2">
        <v>542</v>
      </c>
      <c r="C23" s="267">
        <v>525</v>
      </c>
      <c r="D23" s="75" t="s">
        <v>357</v>
      </c>
      <c r="E23" s="76" t="s">
        <v>358</v>
      </c>
      <c r="F23" s="77" t="s">
        <v>359</v>
      </c>
      <c r="G23" s="75" t="s">
        <v>23</v>
      </c>
      <c r="H23" s="75">
        <v>18.357817000000001</v>
      </c>
      <c r="I23" s="75">
        <v>-64.776600000000002</v>
      </c>
      <c r="J23" s="81">
        <v>44641</v>
      </c>
      <c r="K23" s="75" t="s">
        <v>360</v>
      </c>
      <c r="L23" s="75" t="s">
        <v>361</v>
      </c>
      <c r="M23" s="75">
        <v>0</v>
      </c>
      <c r="N23" s="75">
        <v>4</v>
      </c>
      <c r="O23" s="75" t="s">
        <v>362</v>
      </c>
      <c r="P23" s="83">
        <f>SUM(TreatmentUsed!E41:E57)</f>
        <v>127</v>
      </c>
      <c r="Q23" s="75" t="s">
        <v>364</v>
      </c>
      <c r="R23" s="75">
        <v>0</v>
      </c>
      <c r="S23" s="75">
        <v>0</v>
      </c>
      <c r="T23" s="75">
        <v>0</v>
      </c>
      <c r="U23" s="75">
        <v>0</v>
      </c>
      <c r="V23" s="75">
        <v>0</v>
      </c>
      <c r="W23" s="75">
        <v>0</v>
      </c>
      <c r="X23" s="75">
        <v>0</v>
      </c>
      <c r="Y23" s="75">
        <v>0</v>
      </c>
      <c r="Z23" s="75">
        <v>0</v>
      </c>
      <c r="AA23" s="75">
        <v>0</v>
      </c>
      <c r="AB23" s="75">
        <v>0</v>
      </c>
      <c r="AC23" s="75">
        <v>0</v>
      </c>
      <c r="AD23" s="75">
        <v>0</v>
      </c>
      <c r="AE23" s="75">
        <v>0</v>
      </c>
      <c r="AF23" s="75">
        <v>0</v>
      </c>
      <c r="AG23" s="75">
        <v>0</v>
      </c>
      <c r="AH23" s="75">
        <v>0</v>
      </c>
      <c r="AI23" s="75">
        <v>0</v>
      </c>
      <c r="AJ23" s="75">
        <v>0</v>
      </c>
      <c r="AK23" s="75">
        <v>0</v>
      </c>
      <c r="AL23" s="75">
        <v>0</v>
      </c>
      <c r="AM23" s="75">
        <v>0</v>
      </c>
      <c r="AN23" s="75">
        <v>0</v>
      </c>
      <c r="AO23" s="75">
        <v>2</v>
      </c>
      <c r="AP23" s="75">
        <v>0</v>
      </c>
      <c r="AQ23" s="75">
        <v>0</v>
      </c>
      <c r="AR23" s="75">
        <v>0</v>
      </c>
      <c r="AS23" s="75">
        <v>0</v>
      </c>
      <c r="AT23" s="75">
        <v>0</v>
      </c>
      <c r="AU23" s="75">
        <v>0</v>
      </c>
      <c r="AV23" s="75">
        <v>0</v>
      </c>
      <c r="AW23" s="75">
        <v>0</v>
      </c>
      <c r="AX23" s="75">
        <v>0</v>
      </c>
      <c r="AY23" s="75">
        <v>0</v>
      </c>
      <c r="AZ23" s="75">
        <v>3</v>
      </c>
      <c r="BA23" s="75">
        <v>10</v>
      </c>
      <c r="BB23" s="75">
        <v>0</v>
      </c>
      <c r="BC23" s="75">
        <v>2</v>
      </c>
      <c r="BD23" s="75">
        <v>0</v>
      </c>
      <c r="BE23" s="75">
        <v>0</v>
      </c>
      <c r="BF23" s="75">
        <v>0</v>
      </c>
      <c r="BG23" s="75">
        <v>0</v>
      </c>
      <c r="BH23" s="75">
        <v>0</v>
      </c>
      <c r="BM23" s="75">
        <f t="shared" si="0"/>
        <v>0</v>
      </c>
      <c r="BN23" s="75">
        <f t="shared" si="1"/>
        <v>0</v>
      </c>
      <c r="BO23" s="75">
        <f t="shared" si="4"/>
        <v>17</v>
      </c>
      <c r="BP23" s="75">
        <f t="shared" si="3"/>
        <v>17</v>
      </c>
      <c r="BQ23" s="80" t="s">
        <v>378</v>
      </c>
      <c r="BT23" s="110">
        <v>0</v>
      </c>
      <c r="BV23" s="75" t="s">
        <v>360</v>
      </c>
    </row>
    <row r="24" spans="1:74" ht="16" x14ac:dyDescent="0.8">
      <c r="A24">
        <v>538</v>
      </c>
      <c r="B24" s="2">
        <v>543</v>
      </c>
      <c r="C24" s="267">
        <v>526</v>
      </c>
      <c r="D24" s="75" t="s">
        <v>357</v>
      </c>
      <c r="E24" s="76" t="s">
        <v>358</v>
      </c>
      <c r="F24" s="77" t="s">
        <v>359</v>
      </c>
      <c r="G24" s="75" t="s">
        <v>23</v>
      </c>
      <c r="H24" s="75">
        <v>18.358733000000001</v>
      </c>
      <c r="I24" s="75">
        <v>-64.774867</v>
      </c>
      <c r="J24" s="81">
        <v>44641</v>
      </c>
      <c r="K24" s="75" t="s">
        <v>360</v>
      </c>
      <c r="L24" s="75" t="s">
        <v>361</v>
      </c>
      <c r="M24" s="75">
        <v>1</v>
      </c>
      <c r="N24" s="75">
        <v>4</v>
      </c>
      <c r="O24" s="75" t="s">
        <v>362</v>
      </c>
      <c r="P24" s="83">
        <f>SUM(TreatmentUsed!E58:E73)</f>
        <v>116</v>
      </c>
      <c r="Q24" s="75" t="s">
        <v>364</v>
      </c>
      <c r="R24" s="75">
        <v>0</v>
      </c>
      <c r="S24" s="75">
        <v>0</v>
      </c>
      <c r="T24" s="75">
        <v>0</v>
      </c>
      <c r="U24" s="75">
        <v>0</v>
      </c>
      <c r="V24" s="75">
        <v>0</v>
      </c>
      <c r="W24" s="75">
        <v>0</v>
      </c>
      <c r="X24" s="75">
        <v>0</v>
      </c>
      <c r="Y24" s="75">
        <v>0</v>
      </c>
      <c r="Z24" s="75">
        <v>0</v>
      </c>
      <c r="AA24" s="75">
        <v>0</v>
      </c>
      <c r="AB24" s="75">
        <v>0</v>
      </c>
      <c r="AC24" s="75">
        <v>0</v>
      </c>
      <c r="AD24" s="75">
        <v>0</v>
      </c>
      <c r="AE24" s="75">
        <v>0</v>
      </c>
      <c r="AF24" s="75">
        <v>0</v>
      </c>
      <c r="AG24" s="75">
        <v>0</v>
      </c>
      <c r="AH24" s="75">
        <v>0</v>
      </c>
      <c r="AI24" s="75">
        <v>0</v>
      </c>
      <c r="AJ24" s="75">
        <v>0</v>
      </c>
      <c r="AK24" s="75">
        <v>0</v>
      </c>
      <c r="AL24" s="75">
        <v>0</v>
      </c>
      <c r="AM24" s="75">
        <v>0</v>
      </c>
      <c r="AN24" s="75">
        <v>0</v>
      </c>
      <c r="AO24" s="75">
        <v>3</v>
      </c>
      <c r="AP24" s="75">
        <v>0</v>
      </c>
      <c r="AQ24" s="75">
        <v>0</v>
      </c>
      <c r="AR24" s="75">
        <v>0</v>
      </c>
      <c r="AS24" s="75">
        <v>0</v>
      </c>
      <c r="AT24" s="75">
        <v>0</v>
      </c>
      <c r="AU24" s="75">
        <v>0</v>
      </c>
      <c r="AV24" s="75">
        <v>0</v>
      </c>
      <c r="AW24" s="75">
        <v>0</v>
      </c>
      <c r="AX24" s="75">
        <v>0</v>
      </c>
      <c r="AY24" s="75">
        <v>0</v>
      </c>
      <c r="AZ24" s="75">
        <v>3</v>
      </c>
      <c r="BA24" s="75">
        <v>10</v>
      </c>
      <c r="BB24" s="75">
        <v>0</v>
      </c>
      <c r="BC24" s="75">
        <v>1</v>
      </c>
      <c r="BD24" s="75">
        <v>0</v>
      </c>
      <c r="BE24" s="75">
        <v>0</v>
      </c>
      <c r="BF24" s="75">
        <v>1</v>
      </c>
      <c r="BG24" s="75">
        <v>0</v>
      </c>
      <c r="BH24" s="75">
        <v>0</v>
      </c>
      <c r="BM24" s="75">
        <f t="shared" si="0"/>
        <v>0</v>
      </c>
      <c r="BN24" s="75">
        <f t="shared" si="1"/>
        <v>0</v>
      </c>
      <c r="BO24" s="75">
        <f t="shared" si="4"/>
        <v>18</v>
      </c>
      <c r="BP24" s="75">
        <f t="shared" si="3"/>
        <v>18</v>
      </c>
      <c r="BQ24" s="80" t="s">
        <v>379</v>
      </c>
      <c r="BT24" s="110">
        <v>0</v>
      </c>
      <c r="BV24" s="75" t="s">
        <v>360</v>
      </c>
    </row>
    <row r="25" spans="1:74" ht="16" x14ac:dyDescent="0.8">
      <c r="A25">
        <v>539</v>
      </c>
      <c r="B25" s="2">
        <v>544</v>
      </c>
      <c r="C25" s="267">
        <v>527</v>
      </c>
      <c r="D25" s="75" t="s">
        <v>357</v>
      </c>
      <c r="E25" s="76" t="s">
        <v>358</v>
      </c>
      <c r="F25" s="77" t="s">
        <v>359</v>
      </c>
      <c r="G25" s="75" t="s">
        <v>23</v>
      </c>
      <c r="H25" s="75">
        <v>18.362017000000002</v>
      </c>
      <c r="I25" s="75">
        <v>-64.772132999999997</v>
      </c>
      <c r="J25" s="81">
        <v>44641</v>
      </c>
      <c r="K25" s="75" t="s">
        <v>360</v>
      </c>
      <c r="L25" s="75" t="s">
        <v>361</v>
      </c>
      <c r="M25" s="75">
        <v>2</v>
      </c>
      <c r="N25" s="75">
        <v>4</v>
      </c>
      <c r="O25" s="75" t="s">
        <v>362</v>
      </c>
      <c r="P25" s="83">
        <f>SUM(TreatmentUsed!E74:E75)</f>
        <v>86</v>
      </c>
      <c r="Q25" s="75" t="s">
        <v>364</v>
      </c>
      <c r="R25" s="75">
        <v>0</v>
      </c>
      <c r="S25" s="75">
        <v>0</v>
      </c>
      <c r="T25" s="75">
        <v>0</v>
      </c>
      <c r="U25" s="75">
        <v>0</v>
      </c>
      <c r="V25" s="75">
        <v>0</v>
      </c>
      <c r="W25" s="75">
        <v>0</v>
      </c>
      <c r="X25" s="75">
        <v>0</v>
      </c>
      <c r="Y25" s="75">
        <v>0</v>
      </c>
      <c r="Z25" s="75">
        <v>0</v>
      </c>
      <c r="AA25" s="75">
        <v>0</v>
      </c>
      <c r="AB25" s="75">
        <v>0</v>
      </c>
      <c r="AC25" s="75">
        <v>0</v>
      </c>
      <c r="AD25" s="75">
        <v>0</v>
      </c>
      <c r="AE25" s="75">
        <v>0</v>
      </c>
      <c r="AF25" s="75">
        <v>0</v>
      </c>
      <c r="AG25" s="75">
        <v>0</v>
      </c>
      <c r="AH25" s="75">
        <v>0</v>
      </c>
      <c r="AI25" s="75">
        <v>0</v>
      </c>
      <c r="AJ25" s="75">
        <v>0</v>
      </c>
      <c r="AK25" s="75">
        <v>0</v>
      </c>
      <c r="AL25" s="75">
        <v>0</v>
      </c>
      <c r="AM25" s="75">
        <v>0</v>
      </c>
      <c r="AN25" s="75">
        <v>0</v>
      </c>
      <c r="AO25" s="75">
        <v>0</v>
      </c>
      <c r="AP25" s="75">
        <v>0</v>
      </c>
      <c r="AQ25" s="75">
        <v>1</v>
      </c>
      <c r="AR25" s="75">
        <v>0</v>
      </c>
      <c r="AS25" s="75">
        <v>0</v>
      </c>
      <c r="AT25" s="75">
        <v>0</v>
      </c>
      <c r="AU25" s="75">
        <v>0</v>
      </c>
      <c r="AV25" s="75">
        <v>0</v>
      </c>
      <c r="AW25" s="75">
        <v>0</v>
      </c>
      <c r="AX25" s="75">
        <v>0</v>
      </c>
      <c r="AY25" s="75">
        <v>0</v>
      </c>
      <c r="AZ25" s="75">
        <v>0</v>
      </c>
      <c r="BA25" s="75">
        <v>0</v>
      </c>
      <c r="BB25" s="75">
        <v>0</v>
      </c>
      <c r="BC25" s="75">
        <v>0</v>
      </c>
      <c r="BD25" s="75">
        <v>0</v>
      </c>
      <c r="BE25" s="75">
        <v>0</v>
      </c>
      <c r="BF25" s="75">
        <v>1</v>
      </c>
      <c r="BG25" s="75">
        <v>0</v>
      </c>
      <c r="BH25" s="75">
        <v>0</v>
      </c>
      <c r="BM25" s="75">
        <f t="shared" si="0"/>
        <v>0</v>
      </c>
      <c r="BN25" s="75">
        <f t="shared" si="1"/>
        <v>0</v>
      </c>
      <c r="BO25" s="75">
        <f t="shared" si="4"/>
        <v>2</v>
      </c>
      <c r="BP25" s="75">
        <f t="shared" si="3"/>
        <v>2</v>
      </c>
      <c r="BQ25" s="80" t="s">
        <v>380</v>
      </c>
      <c r="BT25" s="110">
        <v>0</v>
      </c>
      <c r="BV25" s="75" t="s">
        <v>360</v>
      </c>
    </row>
    <row r="26" spans="1:74" ht="16" x14ac:dyDescent="0.8">
      <c r="A26">
        <v>567</v>
      </c>
      <c r="B26" s="2">
        <v>572</v>
      </c>
      <c r="C26" s="267">
        <v>529</v>
      </c>
      <c r="D26" s="75" t="s">
        <v>357</v>
      </c>
      <c r="E26" s="76" t="s">
        <v>358</v>
      </c>
      <c r="F26" s="77" t="s">
        <v>359</v>
      </c>
      <c r="G26" s="75" t="s">
        <v>139</v>
      </c>
      <c r="H26" s="75">
        <v>18.356349999999999</v>
      </c>
      <c r="I26" s="75">
        <v>-64.756349999999998</v>
      </c>
      <c r="J26" s="79">
        <v>44642</v>
      </c>
      <c r="K26" s="75" t="s">
        <v>361</v>
      </c>
      <c r="L26" s="75" t="s">
        <v>360</v>
      </c>
      <c r="M26" s="75">
        <v>0</v>
      </c>
      <c r="N26" s="75">
        <v>3</v>
      </c>
      <c r="O26" s="75" t="s">
        <v>362</v>
      </c>
      <c r="P26" s="83">
        <f>SUM(TreatmentUsed!E76:E79)</f>
        <v>35</v>
      </c>
      <c r="Q26" s="75" t="s">
        <v>364</v>
      </c>
      <c r="R26" s="75">
        <v>0</v>
      </c>
      <c r="S26" s="75">
        <v>0</v>
      </c>
      <c r="T26" s="75">
        <v>0</v>
      </c>
      <c r="U26" s="75">
        <v>0</v>
      </c>
      <c r="V26" s="75">
        <v>0</v>
      </c>
      <c r="W26" s="75">
        <v>0</v>
      </c>
      <c r="X26" s="75">
        <v>0</v>
      </c>
      <c r="Y26" s="75">
        <v>0</v>
      </c>
      <c r="Z26" s="75">
        <v>0</v>
      </c>
      <c r="AA26" s="75">
        <v>0</v>
      </c>
      <c r="AB26" s="75">
        <v>0</v>
      </c>
      <c r="AC26" s="75">
        <v>0</v>
      </c>
      <c r="AD26" s="75">
        <v>0</v>
      </c>
      <c r="AE26" s="75">
        <v>0</v>
      </c>
      <c r="AF26" s="75">
        <v>0</v>
      </c>
      <c r="AG26" s="75">
        <v>0</v>
      </c>
      <c r="AH26" s="75">
        <v>0</v>
      </c>
      <c r="AI26" s="75">
        <v>0</v>
      </c>
      <c r="AJ26" s="75">
        <v>0</v>
      </c>
      <c r="AK26" s="75">
        <v>0</v>
      </c>
      <c r="AL26" s="75">
        <v>0</v>
      </c>
      <c r="AM26" s="75">
        <v>0</v>
      </c>
      <c r="AN26" s="75">
        <v>0</v>
      </c>
      <c r="AO26" s="75">
        <v>0</v>
      </c>
      <c r="AP26" s="75">
        <v>0</v>
      </c>
      <c r="AQ26" s="75">
        <v>0</v>
      </c>
      <c r="AR26" s="75">
        <v>0</v>
      </c>
      <c r="AS26" s="75">
        <v>0</v>
      </c>
      <c r="AT26" s="75">
        <v>0</v>
      </c>
      <c r="AU26" s="75">
        <v>2</v>
      </c>
      <c r="AV26" s="75">
        <v>0</v>
      </c>
      <c r="AW26" s="75">
        <v>0</v>
      </c>
      <c r="AX26" s="75">
        <v>0</v>
      </c>
      <c r="AY26" s="75">
        <v>0</v>
      </c>
      <c r="AZ26" s="84">
        <v>0</v>
      </c>
      <c r="BA26" s="84">
        <v>1</v>
      </c>
      <c r="BB26" s="75">
        <v>0</v>
      </c>
      <c r="BC26" s="75">
        <v>0</v>
      </c>
      <c r="BD26" s="75">
        <v>0</v>
      </c>
      <c r="BE26" s="75">
        <v>0</v>
      </c>
      <c r="BF26" s="75">
        <v>0</v>
      </c>
      <c r="BG26" s="75">
        <v>0</v>
      </c>
      <c r="BH26" s="75">
        <v>1</v>
      </c>
      <c r="BM26" s="75">
        <f t="shared" si="0"/>
        <v>0</v>
      </c>
      <c r="BN26" s="75">
        <f t="shared" si="1"/>
        <v>0</v>
      </c>
      <c r="BO26" s="75">
        <f t="shared" si="4"/>
        <v>4</v>
      </c>
      <c r="BP26" s="75">
        <f t="shared" si="3"/>
        <v>4</v>
      </c>
      <c r="BQ26" s="80" t="s">
        <v>381</v>
      </c>
      <c r="BT26" s="110">
        <v>0</v>
      </c>
      <c r="BV26" s="75" t="s">
        <v>360</v>
      </c>
    </row>
    <row r="27" spans="1:74" ht="16" x14ac:dyDescent="0.8">
      <c r="A27">
        <v>568</v>
      </c>
      <c r="B27" s="2">
        <v>573</v>
      </c>
      <c r="C27" s="267">
        <v>530</v>
      </c>
      <c r="D27" s="75" t="s">
        <v>357</v>
      </c>
      <c r="E27" s="76" t="s">
        <v>358</v>
      </c>
      <c r="F27" s="77" t="s">
        <v>359</v>
      </c>
      <c r="G27" s="75" t="s">
        <v>23</v>
      </c>
      <c r="H27" s="75">
        <v>18.365749999999998</v>
      </c>
      <c r="I27" s="75">
        <v>-64.773619999999994</v>
      </c>
      <c r="J27" s="79">
        <v>44642</v>
      </c>
      <c r="K27" s="75" t="s">
        <v>361</v>
      </c>
      <c r="L27" s="75" t="s">
        <v>360</v>
      </c>
      <c r="M27" s="75">
        <v>0</v>
      </c>
      <c r="N27" s="75">
        <v>3</v>
      </c>
      <c r="O27" s="75" t="s">
        <v>362</v>
      </c>
      <c r="P27" s="83">
        <f>SUM(TreatmentUsed!E80)</f>
        <v>96</v>
      </c>
      <c r="Q27" s="75" t="s">
        <v>364</v>
      </c>
      <c r="R27" s="75">
        <v>0</v>
      </c>
      <c r="S27" s="75">
        <v>0</v>
      </c>
      <c r="T27" s="75">
        <v>0</v>
      </c>
      <c r="U27" s="75">
        <v>0</v>
      </c>
      <c r="V27" s="75">
        <v>0</v>
      </c>
      <c r="W27" s="75">
        <v>0</v>
      </c>
      <c r="X27" s="75">
        <v>0</v>
      </c>
      <c r="Y27" s="75">
        <v>0</v>
      </c>
      <c r="Z27" s="75">
        <v>0</v>
      </c>
      <c r="AA27" s="75">
        <v>0</v>
      </c>
      <c r="AB27" s="75">
        <v>0</v>
      </c>
      <c r="AC27" s="75">
        <v>0</v>
      </c>
      <c r="AD27" s="75">
        <v>0</v>
      </c>
      <c r="AE27" s="75">
        <v>0</v>
      </c>
      <c r="AF27" s="75">
        <v>0</v>
      </c>
      <c r="AG27" s="75">
        <v>0</v>
      </c>
      <c r="AH27" s="75">
        <v>0</v>
      </c>
      <c r="AI27" s="75">
        <v>0</v>
      </c>
      <c r="AJ27" s="75">
        <v>0</v>
      </c>
      <c r="AK27" s="75">
        <v>0</v>
      </c>
      <c r="AL27" s="75">
        <v>0</v>
      </c>
      <c r="AM27" s="75">
        <v>0</v>
      </c>
      <c r="AN27" s="75">
        <v>0</v>
      </c>
      <c r="AO27" s="75">
        <v>0</v>
      </c>
      <c r="AP27" s="75">
        <v>0</v>
      </c>
      <c r="AQ27" s="75">
        <v>1</v>
      </c>
      <c r="AR27" s="75">
        <v>0</v>
      </c>
      <c r="AS27" s="75">
        <v>0</v>
      </c>
      <c r="AT27" s="75">
        <v>0</v>
      </c>
      <c r="AU27" s="75">
        <v>0</v>
      </c>
      <c r="AV27" s="75">
        <v>0</v>
      </c>
      <c r="AW27" s="75">
        <v>0</v>
      </c>
      <c r="AX27" s="75">
        <v>0</v>
      </c>
      <c r="AY27" s="75">
        <v>0</v>
      </c>
      <c r="AZ27" s="75">
        <v>0</v>
      </c>
      <c r="BA27" s="75">
        <v>0</v>
      </c>
      <c r="BB27" s="75">
        <v>0</v>
      </c>
      <c r="BC27" s="75">
        <v>0</v>
      </c>
      <c r="BD27" s="75">
        <v>0</v>
      </c>
      <c r="BE27" s="75">
        <v>0</v>
      </c>
      <c r="BF27" s="75">
        <v>0</v>
      </c>
      <c r="BG27" s="75">
        <v>0</v>
      </c>
      <c r="BH27" s="75">
        <v>0</v>
      </c>
      <c r="BM27" s="75">
        <f t="shared" si="0"/>
        <v>0</v>
      </c>
      <c r="BN27" s="75">
        <f t="shared" si="1"/>
        <v>0</v>
      </c>
      <c r="BO27" s="75">
        <f t="shared" si="4"/>
        <v>1</v>
      </c>
      <c r="BP27" s="75">
        <f t="shared" si="3"/>
        <v>1</v>
      </c>
      <c r="BQ27" s="80" t="s">
        <v>382</v>
      </c>
      <c r="BR27" s="138">
        <v>3884</v>
      </c>
      <c r="BT27" s="110">
        <v>0</v>
      </c>
      <c r="BV27" s="75" t="s">
        <v>360</v>
      </c>
    </row>
    <row r="28" spans="1:74" ht="16" x14ac:dyDescent="0.8">
      <c r="A28">
        <v>569</v>
      </c>
      <c r="B28" s="2">
        <v>574</v>
      </c>
      <c r="C28" s="267">
        <v>533</v>
      </c>
      <c r="D28" s="75" t="s">
        <v>357</v>
      </c>
      <c r="E28" s="76" t="s">
        <v>358</v>
      </c>
      <c r="F28" s="77" t="s">
        <v>359</v>
      </c>
      <c r="G28" s="75" t="s">
        <v>44</v>
      </c>
      <c r="H28" s="75">
        <v>18.364650000000001</v>
      </c>
      <c r="I28" s="75">
        <v>-64.726183000000006</v>
      </c>
      <c r="J28" s="79">
        <v>44644</v>
      </c>
      <c r="K28" s="75" t="s">
        <v>361</v>
      </c>
      <c r="L28" s="75" t="s">
        <v>360</v>
      </c>
      <c r="M28" s="75">
        <v>0</v>
      </c>
      <c r="N28" s="75">
        <v>3</v>
      </c>
      <c r="O28" s="75" t="s">
        <v>362</v>
      </c>
      <c r="P28" s="75">
        <v>0</v>
      </c>
      <c r="Q28" s="75" t="s">
        <v>364</v>
      </c>
      <c r="R28" s="75">
        <v>0</v>
      </c>
      <c r="S28" s="75">
        <v>0</v>
      </c>
      <c r="T28" s="75">
        <v>0</v>
      </c>
      <c r="U28" s="75">
        <v>0</v>
      </c>
      <c r="V28" s="84">
        <v>2</v>
      </c>
      <c r="W28" s="75">
        <v>0</v>
      </c>
      <c r="X28" s="75">
        <v>0</v>
      </c>
      <c r="Y28" s="75">
        <v>0</v>
      </c>
      <c r="Z28" s="75">
        <v>0</v>
      </c>
      <c r="AA28" s="75">
        <v>0</v>
      </c>
      <c r="AB28" s="75">
        <v>0</v>
      </c>
      <c r="AC28" s="75">
        <v>0</v>
      </c>
      <c r="AD28" s="75">
        <v>0</v>
      </c>
      <c r="AE28" s="75">
        <v>0</v>
      </c>
      <c r="AF28" s="75">
        <v>0</v>
      </c>
      <c r="AG28" s="75">
        <v>0</v>
      </c>
      <c r="AH28" s="75">
        <v>0</v>
      </c>
      <c r="AI28" s="75">
        <v>0</v>
      </c>
      <c r="AJ28" s="75">
        <v>0</v>
      </c>
      <c r="AK28" s="75">
        <v>0</v>
      </c>
      <c r="AL28" s="75">
        <v>0</v>
      </c>
      <c r="AM28" s="75">
        <v>0</v>
      </c>
      <c r="AN28" s="75">
        <v>0</v>
      </c>
      <c r="AO28" s="75">
        <v>0</v>
      </c>
      <c r="AP28" s="75">
        <v>0</v>
      </c>
      <c r="AQ28" s="75">
        <v>0</v>
      </c>
      <c r="AR28" s="75">
        <v>0</v>
      </c>
      <c r="AS28" s="75">
        <v>0</v>
      </c>
      <c r="AT28" s="75">
        <v>0</v>
      </c>
      <c r="AU28" s="75">
        <v>0</v>
      </c>
      <c r="AV28" s="75">
        <v>0</v>
      </c>
      <c r="AW28" s="75">
        <v>0</v>
      </c>
      <c r="AX28" s="75">
        <v>0</v>
      </c>
      <c r="AY28" s="75">
        <v>0</v>
      </c>
      <c r="AZ28" s="75">
        <v>0</v>
      </c>
      <c r="BA28" s="75">
        <v>0</v>
      </c>
      <c r="BB28" s="75">
        <v>0</v>
      </c>
      <c r="BC28" s="75">
        <v>0</v>
      </c>
      <c r="BD28" s="75">
        <v>0</v>
      </c>
      <c r="BE28" s="75">
        <v>0</v>
      </c>
      <c r="BF28" s="75">
        <v>0</v>
      </c>
      <c r="BG28" s="75">
        <v>0</v>
      </c>
      <c r="BH28" s="75">
        <v>0</v>
      </c>
      <c r="BM28" s="75">
        <f t="shared" si="0"/>
        <v>2</v>
      </c>
      <c r="BN28" s="75">
        <f t="shared" si="1"/>
        <v>0</v>
      </c>
      <c r="BO28" s="75">
        <f t="shared" si="4"/>
        <v>0</v>
      </c>
      <c r="BP28" s="75">
        <f t="shared" si="3"/>
        <v>2</v>
      </c>
      <c r="BQ28" s="80" t="s">
        <v>383</v>
      </c>
      <c r="BT28" s="110">
        <v>0</v>
      </c>
      <c r="BU28" s="75">
        <v>1</v>
      </c>
      <c r="BV28" s="75" t="s">
        <v>360</v>
      </c>
    </row>
    <row r="29" spans="1:74" ht="16" x14ac:dyDescent="0.8">
      <c r="A29">
        <v>540</v>
      </c>
      <c r="B29" s="2">
        <v>545</v>
      </c>
      <c r="C29" s="267">
        <v>537</v>
      </c>
      <c r="D29" s="75" t="s">
        <v>357</v>
      </c>
      <c r="E29" s="76" t="s">
        <v>358</v>
      </c>
      <c r="F29" s="77" t="s">
        <v>359</v>
      </c>
      <c r="G29" s="75" t="s">
        <v>44</v>
      </c>
      <c r="H29" s="75">
        <v>18.365082999999998</v>
      </c>
      <c r="I29" s="75">
        <v>-64.726716999999994</v>
      </c>
      <c r="J29" s="81">
        <v>44648</v>
      </c>
      <c r="K29" s="75" t="s">
        <v>360</v>
      </c>
      <c r="L29" s="75" t="s">
        <v>361</v>
      </c>
      <c r="M29" s="75">
        <v>0</v>
      </c>
      <c r="N29" s="75">
        <v>2</v>
      </c>
      <c r="O29" s="75" t="s">
        <v>362</v>
      </c>
      <c r="P29" s="83">
        <f>SUM(TreatmentUsed!E81:E85)</f>
        <v>87</v>
      </c>
      <c r="Q29" s="75" t="s">
        <v>364</v>
      </c>
      <c r="R29" s="75">
        <v>0</v>
      </c>
      <c r="S29" s="75">
        <v>0</v>
      </c>
      <c r="T29" s="75">
        <v>0</v>
      </c>
      <c r="U29" s="75">
        <v>0</v>
      </c>
      <c r="V29" s="75">
        <v>0</v>
      </c>
      <c r="W29" s="75">
        <v>0</v>
      </c>
      <c r="X29" s="75">
        <v>0</v>
      </c>
      <c r="Y29" s="75">
        <v>0</v>
      </c>
      <c r="Z29" s="75">
        <v>0</v>
      </c>
      <c r="AA29" s="75">
        <v>0</v>
      </c>
      <c r="AB29" s="75">
        <v>0</v>
      </c>
      <c r="AC29" s="75">
        <v>0</v>
      </c>
      <c r="AD29" s="75">
        <v>0</v>
      </c>
      <c r="AE29" s="75">
        <v>0</v>
      </c>
      <c r="AF29" s="75">
        <v>0</v>
      </c>
      <c r="AG29" s="75">
        <v>0</v>
      </c>
      <c r="AH29" s="75">
        <v>0</v>
      </c>
      <c r="AI29" s="75">
        <v>0</v>
      </c>
      <c r="AJ29" s="75">
        <v>0</v>
      </c>
      <c r="AK29" s="75">
        <v>0</v>
      </c>
      <c r="AL29" s="75">
        <v>0</v>
      </c>
      <c r="AM29" s="75">
        <v>0</v>
      </c>
      <c r="AN29" s="75">
        <v>0</v>
      </c>
      <c r="AO29" s="75">
        <v>0</v>
      </c>
      <c r="AP29" s="75">
        <v>0</v>
      </c>
      <c r="AQ29" s="75">
        <v>0</v>
      </c>
      <c r="AR29" s="75">
        <v>0</v>
      </c>
      <c r="AS29" s="75">
        <v>0</v>
      </c>
      <c r="AT29" s="75">
        <v>0</v>
      </c>
      <c r="AU29" s="75">
        <v>1</v>
      </c>
      <c r="AV29" s="75">
        <v>0</v>
      </c>
      <c r="AW29" s="75">
        <v>0</v>
      </c>
      <c r="AX29" s="75">
        <v>0</v>
      </c>
      <c r="AY29" s="75">
        <v>0</v>
      </c>
      <c r="AZ29" s="75">
        <v>1</v>
      </c>
      <c r="BA29" s="75">
        <v>0</v>
      </c>
      <c r="BB29" s="75">
        <v>0</v>
      </c>
      <c r="BC29" s="75">
        <v>3</v>
      </c>
      <c r="BD29" s="75">
        <v>0</v>
      </c>
      <c r="BE29" s="75">
        <v>0</v>
      </c>
      <c r="BF29" s="75">
        <v>0</v>
      </c>
      <c r="BG29" s="75">
        <v>0</v>
      </c>
      <c r="BH29" s="75">
        <v>0</v>
      </c>
      <c r="BM29" s="75">
        <f t="shared" si="0"/>
        <v>0</v>
      </c>
      <c r="BN29" s="75">
        <f t="shared" si="1"/>
        <v>0</v>
      </c>
      <c r="BO29" s="75">
        <f t="shared" si="4"/>
        <v>5</v>
      </c>
      <c r="BP29" s="75">
        <f t="shared" si="3"/>
        <v>5</v>
      </c>
      <c r="BQ29" s="80" t="s">
        <v>373</v>
      </c>
      <c r="BT29" s="110">
        <v>0</v>
      </c>
      <c r="BV29" s="75" t="s">
        <v>360</v>
      </c>
    </row>
    <row r="30" spans="1:74" ht="16" x14ac:dyDescent="0.8">
      <c r="A30">
        <v>541</v>
      </c>
      <c r="B30" s="2">
        <v>546</v>
      </c>
      <c r="C30" s="267">
        <v>538</v>
      </c>
      <c r="D30" s="75" t="s">
        <v>357</v>
      </c>
      <c r="E30" s="76" t="s">
        <v>358</v>
      </c>
      <c r="F30" s="77" t="s">
        <v>359</v>
      </c>
      <c r="G30" s="75" t="s">
        <v>56</v>
      </c>
      <c r="H30" s="75">
        <v>18.363116999999999</v>
      </c>
      <c r="I30" s="75">
        <v>-64.723483000000002</v>
      </c>
      <c r="J30" s="79">
        <v>44648</v>
      </c>
      <c r="K30" s="75" t="s">
        <v>360</v>
      </c>
      <c r="L30" s="75" t="s">
        <v>361</v>
      </c>
      <c r="M30" s="75">
        <v>0</v>
      </c>
      <c r="N30" s="75">
        <v>2</v>
      </c>
      <c r="O30" s="75" t="s">
        <v>362</v>
      </c>
      <c r="P30" s="83">
        <f>SUM(TreatmentUsed!E94:E97)</f>
        <v>37</v>
      </c>
      <c r="Q30" s="75" t="s">
        <v>364</v>
      </c>
      <c r="R30" s="75">
        <v>0</v>
      </c>
      <c r="S30" s="75">
        <v>0</v>
      </c>
      <c r="T30" s="75">
        <v>0</v>
      </c>
      <c r="U30" s="75">
        <v>0</v>
      </c>
      <c r="V30" s="75">
        <v>0</v>
      </c>
      <c r="W30" s="75">
        <v>0</v>
      </c>
      <c r="X30" s="75">
        <v>0</v>
      </c>
      <c r="Y30" s="75">
        <v>0</v>
      </c>
      <c r="Z30" s="75">
        <v>0</v>
      </c>
      <c r="AA30" s="75">
        <v>0</v>
      </c>
      <c r="AB30" s="75">
        <v>0</v>
      </c>
      <c r="AC30" s="75">
        <v>0</v>
      </c>
      <c r="AD30" s="75">
        <v>0</v>
      </c>
      <c r="AE30" s="75">
        <v>0</v>
      </c>
      <c r="AF30" s="75">
        <v>0</v>
      </c>
      <c r="AG30" s="75">
        <v>0</v>
      </c>
      <c r="AH30" s="75">
        <v>0</v>
      </c>
      <c r="AI30" s="75">
        <v>0</v>
      </c>
      <c r="AJ30" s="75">
        <v>0</v>
      </c>
      <c r="AK30" s="75">
        <v>0</v>
      </c>
      <c r="AL30" s="75">
        <v>0</v>
      </c>
      <c r="AM30" s="75">
        <v>0</v>
      </c>
      <c r="AN30" s="75">
        <v>0</v>
      </c>
      <c r="AO30" s="75">
        <v>1</v>
      </c>
      <c r="AP30" s="75">
        <v>0</v>
      </c>
      <c r="AQ30" s="75">
        <v>0</v>
      </c>
      <c r="AR30" s="75">
        <v>2</v>
      </c>
      <c r="AS30" s="75">
        <v>1</v>
      </c>
      <c r="AT30" s="75">
        <v>0</v>
      </c>
      <c r="AU30" s="75">
        <v>0</v>
      </c>
      <c r="AV30" s="75">
        <v>0</v>
      </c>
      <c r="AW30" s="75">
        <v>0</v>
      </c>
      <c r="AX30" s="75">
        <v>0</v>
      </c>
      <c r="AY30" s="75">
        <v>0</v>
      </c>
      <c r="AZ30" s="75">
        <v>0</v>
      </c>
      <c r="BA30" s="75">
        <v>0</v>
      </c>
      <c r="BB30" s="75">
        <v>0</v>
      </c>
      <c r="BC30" s="75">
        <v>0</v>
      </c>
      <c r="BD30" s="75">
        <v>0</v>
      </c>
      <c r="BE30" s="75">
        <v>0</v>
      </c>
      <c r="BF30" s="75">
        <v>0</v>
      </c>
      <c r="BG30" s="75">
        <v>0</v>
      </c>
      <c r="BH30" s="75">
        <v>0</v>
      </c>
      <c r="BM30" s="75">
        <f t="shared" si="0"/>
        <v>0</v>
      </c>
      <c r="BN30" s="75">
        <f t="shared" si="1"/>
        <v>0</v>
      </c>
      <c r="BO30" s="75">
        <f t="shared" si="4"/>
        <v>4</v>
      </c>
      <c r="BP30" s="75">
        <f t="shared" si="3"/>
        <v>4</v>
      </c>
      <c r="BQ30" s="80" t="s">
        <v>373</v>
      </c>
      <c r="BT30" s="110">
        <v>0</v>
      </c>
      <c r="BV30" s="75" t="s">
        <v>360</v>
      </c>
    </row>
    <row r="31" spans="1:74" ht="16" x14ac:dyDescent="0.8">
      <c r="A31">
        <v>542</v>
      </c>
      <c r="B31" s="2">
        <v>547</v>
      </c>
      <c r="C31" s="267">
        <v>539</v>
      </c>
      <c r="D31" s="75" t="s">
        <v>357</v>
      </c>
      <c r="E31" s="76" t="s">
        <v>358</v>
      </c>
      <c r="F31" s="77" t="s">
        <v>359</v>
      </c>
      <c r="G31" s="75" t="s">
        <v>60</v>
      </c>
      <c r="H31" s="75">
        <v>18.36675</v>
      </c>
      <c r="I31" s="75">
        <v>-64.733999999999995</v>
      </c>
      <c r="J31" s="79">
        <v>44648</v>
      </c>
      <c r="K31" s="75" t="s">
        <v>360</v>
      </c>
      <c r="L31" s="75" t="s">
        <v>361</v>
      </c>
      <c r="M31" s="75">
        <v>0</v>
      </c>
      <c r="N31" s="75">
        <v>2</v>
      </c>
      <c r="O31" s="75" t="s">
        <v>362</v>
      </c>
      <c r="P31" s="83">
        <f>SUM(TreatmentUsed!E86:E93)</f>
        <v>83</v>
      </c>
      <c r="Q31" s="75" t="s">
        <v>364</v>
      </c>
      <c r="R31" s="75">
        <v>0</v>
      </c>
      <c r="S31" s="75">
        <v>0</v>
      </c>
      <c r="T31" s="75">
        <v>0</v>
      </c>
      <c r="U31" s="75">
        <v>0</v>
      </c>
      <c r="V31" s="75">
        <v>0</v>
      </c>
      <c r="W31" s="75">
        <v>0</v>
      </c>
      <c r="X31" s="75">
        <v>0</v>
      </c>
      <c r="Y31" s="75">
        <v>0</v>
      </c>
      <c r="Z31" s="75">
        <v>0</v>
      </c>
      <c r="AA31" s="75">
        <v>0</v>
      </c>
      <c r="AB31" s="75">
        <v>0</v>
      </c>
      <c r="AC31" s="75">
        <v>0</v>
      </c>
      <c r="AD31" s="75">
        <v>0</v>
      </c>
      <c r="AE31" s="75">
        <v>0</v>
      </c>
      <c r="AF31" s="75">
        <v>0</v>
      </c>
      <c r="AG31" s="75">
        <v>0</v>
      </c>
      <c r="AH31" s="75">
        <v>0</v>
      </c>
      <c r="AI31" s="75">
        <v>0</v>
      </c>
      <c r="AJ31" s="75">
        <v>0</v>
      </c>
      <c r="AK31" s="75">
        <v>0</v>
      </c>
      <c r="AL31" s="75">
        <v>0</v>
      </c>
      <c r="AM31" s="75">
        <v>0</v>
      </c>
      <c r="AN31" s="75">
        <v>0</v>
      </c>
      <c r="AO31" s="75">
        <v>0</v>
      </c>
      <c r="AP31" s="75">
        <v>0</v>
      </c>
      <c r="AQ31" s="75">
        <v>0</v>
      </c>
      <c r="AR31" s="75">
        <v>0</v>
      </c>
      <c r="AS31" s="75">
        <v>0</v>
      </c>
      <c r="AT31" s="75">
        <v>0</v>
      </c>
      <c r="AU31" s="75">
        <v>0</v>
      </c>
      <c r="AV31" s="75">
        <v>0</v>
      </c>
      <c r="AW31" s="75">
        <v>0</v>
      </c>
      <c r="AX31" s="75">
        <v>0</v>
      </c>
      <c r="AY31" s="75">
        <v>4</v>
      </c>
      <c r="AZ31" s="75">
        <v>0</v>
      </c>
      <c r="BA31" s="75">
        <v>3</v>
      </c>
      <c r="BB31" s="75">
        <v>0</v>
      </c>
      <c r="BC31" s="75">
        <v>1</v>
      </c>
      <c r="BD31" s="75">
        <v>0</v>
      </c>
      <c r="BE31" s="75">
        <v>0</v>
      </c>
      <c r="BF31" s="75">
        <v>0</v>
      </c>
      <c r="BG31" s="75">
        <v>0</v>
      </c>
      <c r="BH31" s="75">
        <v>0</v>
      </c>
      <c r="BM31" s="75">
        <f t="shared" si="0"/>
        <v>0</v>
      </c>
      <c r="BN31" s="75">
        <f t="shared" si="1"/>
        <v>0</v>
      </c>
      <c r="BO31" s="75">
        <f t="shared" si="4"/>
        <v>8</v>
      </c>
      <c r="BP31" s="75">
        <f t="shared" si="3"/>
        <v>8</v>
      </c>
      <c r="BQ31" s="80" t="s">
        <v>373</v>
      </c>
      <c r="BT31" s="110">
        <v>0</v>
      </c>
      <c r="BV31" s="75" t="s">
        <v>360</v>
      </c>
    </row>
    <row r="32" spans="1:74" s="173" customFormat="1" ht="16" x14ac:dyDescent="0.8">
      <c r="A32" s="173">
        <v>543</v>
      </c>
      <c r="B32" s="182">
        <v>548</v>
      </c>
      <c r="C32" s="268">
        <v>541</v>
      </c>
      <c r="D32" s="174" t="s">
        <v>357</v>
      </c>
      <c r="E32" s="183" t="s">
        <v>358</v>
      </c>
      <c r="F32" s="184" t="s">
        <v>359</v>
      </c>
      <c r="G32" s="174" t="s">
        <v>48</v>
      </c>
      <c r="H32" s="174">
        <v>18.361667000000001</v>
      </c>
      <c r="I32" s="174">
        <v>-64.705883</v>
      </c>
      <c r="J32" s="185">
        <v>44649</v>
      </c>
      <c r="K32" s="174" t="s">
        <v>360</v>
      </c>
      <c r="L32" s="174" t="s">
        <v>361</v>
      </c>
      <c r="M32" s="174">
        <v>0</v>
      </c>
      <c r="N32" s="174">
        <v>2</v>
      </c>
      <c r="O32" s="174" t="s">
        <v>362</v>
      </c>
      <c r="P32" s="186">
        <f>SUM(TreatmentUsed!E98:E103)</f>
        <v>115</v>
      </c>
      <c r="Q32" s="174" t="s">
        <v>364</v>
      </c>
      <c r="R32" s="174">
        <v>0</v>
      </c>
      <c r="S32" s="174">
        <v>0</v>
      </c>
      <c r="T32" s="174">
        <v>0</v>
      </c>
      <c r="U32" s="174">
        <v>0</v>
      </c>
      <c r="V32" s="174">
        <v>0</v>
      </c>
      <c r="W32" s="174">
        <v>0</v>
      </c>
      <c r="X32" s="174">
        <v>0</v>
      </c>
      <c r="Y32" s="174">
        <v>0</v>
      </c>
      <c r="Z32" s="174">
        <v>0</v>
      </c>
      <c r="AA32" s="174">
        <v>0</v>
      </c>
      <c r="AB32" s="174">
        <v>0</v>
      </c>
      <c r="AC32" s="174">
        <v>0</v>
      </c>
      <c r="AD32" s="174">
        <v>0</v>
      </c>
      <c r="AE32" s="174">
        <v>0</v>
      </c>
      <c r="AF32" s="174">
        <v>0</v>
      </c>
      <c r="AG32" s="174">
        <v>0</v>
      </c>
      <c r="AH32" s="174">
        <v>0</v>
      </c>
      <c r="AI32" s="174">
        <v>0</v>
      </c>
      <c r="AJ32" s="174">
        <v>0</v>
      </c>
      <c r="AK32" s="174">
        <v>0</v>
      </c>
      <c r="AL32" s="174">
        <v>0</v>
      </c>
      <c r="AM32" s="174">
        <v>0</v>
      </c>
      <c r="AN32" s="174">
        <v>0</v>
      </c>
      <c r="AO32" s="174">
        <v>0</v>
      </c>
      <c r="AP32" s="174">
        <v>0</v>
      </c>
      <c r="AQ32" s="174">
        <v>0</v>
      </c>
      <c r="AR32" s="174">
        <v>0</v>
      </c>
      <c r="AS32" s="174">
        <v>2</v>
      </c>
      <c r="AT32" s="174">
        <v>0</v>
      </c>
      <c r="AU32" s="174">
        <v>0</v>
      </c>
      <c r="AV32" s="174">
        <v>0</v>
      </c>
      <c r="AW32" s="174">
        <v>0</v>
      </c>
      <c r="AX32" s="174">
        <v>0</v>
      </c>
      <c r="AY32" s="174">
        <v>0</v>
      </c>
      <c r="AZ32" s="174">
        <v>0</v>
      </c>
      <c r="BA32" s="174">
        <v>3</v>
      </c>
      <c r="BB32" s="174">
        <v>1</v>
      </c>
      <c r="BC32" s="174">
        <v>0</v>
      </c>
      <c r="BD32" s="174">
        <v>0</v>
      </c>
      <c r="BE32" s="174">
        <v>0</v>
      </c>
      <c r="BF32" s="174">
        <v>0</v>
      </c>
      <c r="BG32" s="174">
        <v>0</v>
      </c>
      <c r="BH32" s="174">
        <v>0</v>
      </c>
      <c r="BI32" s="174"/>
      <c r="BJ32" s="174"/>
      <c r="BK32" s="174"/>
      <c r="BL32" s="174"/>
      <c r="BM32" s="174">
        <f t="shared" si="0"/>
        <v>0</v>
      </c>
      <c r="BN32" s="174">
        <f t="shared" si="1"/>
        <v>0</v>
      </c>
      <c r="BO32" s="174">
        <f t="shared" si="4"/>
        <v>6</v>
      </c>
      <c r="BP32" s="174">
        <f t="shared" si="3"/>
        <v>6</v>
      </c>
      <c r="BQ32" s="177" t="s">
        <v>373</v>
      </c>
      <c r="BR32" s="250"/>
      <c r="BS32" s="178"/>
      <c r="BT32" s="110">
        <v>0</v>
      </c>
      <c r="BU32" s="174"/>
      <c r="BV32" s="174" t="s">
        <v>360</v>
      </c>
    </row>
    <row r="33" spans="1:74" ht="16" x14ac:dyDescent="0.8">
      <c r="A33">
        <v>558</v>
      </c>
      <c r="B33" s="2">
        <v>563</v>
      </c>
      <c r="C33" s="267">
        <v>544</v>
      </c>
      <c r="D33" s="75" t="s">
        <v>357</v>
      </c>
      <c r="E33" s="76" t="s">
        <v>358</v>
      </c>
      <c r="F33" s="77" t="s">
        <v>359</v>
      </c>
      <c r="G33" s="75" t="s">
        <v>28</v>
      </c>
      <c r="H33" s="75">
        <v>18.315639999999998</v>
      </c>
      <c r="I33" s="75">
        <v>-64.725899999999996</v>
      </c>
      <c r="J33" s="79">
        <v>44655</v>
      </c>
      <c r="K33" s="75" t="s">
        <v>360</v>
      </c>
      <c r="L33" s="75" t="s">
        <v>361</v>
      </c>
      <c r="M33" s="75">
        <v>0</v>
      </c>
      <c r="N33" s="75">
        <v>3</v>
      </c>
      <c r="O33" s="75" t="s">
        <v>362</v>
      </c>
      <c r="P33" s="83">
        <f>SUM(TreatmentUsed!E104:E118)</f>
        <v>146</v>
      </c>
      <c r="Q33" s="75" t="s">
        <v>364</v>
      </c>
      <c r="R33" s="75">
        <v>0</v>
      </c>
      <c r="S33" s="75">
        <v>0</v>
      </c>
      <c r="T33" s="75">
        <v>0</v>
      </c>
      <c r="U33" s="75">
        <v>0</v>
      </c>
      <c r="V33" s="75">
        <v>0</v>
      </c>
      <c r="W33" s="75">
        <v>0</v>
      </c>
      <c r="X33" s="75">
        <v>0</v>
      </c>
      <c r="Y33" s="75">
        <v>0</v>
      </c>
      <c r="Z33" s="75">
        <v>0</v>
      </c>
      <c r="AA33" s="75">
        <v>0</v>
      </c>
      <c r="AB33" s="75">
        <v>0</v>
      </c>
      <c r="AC33" s="75">
        <v>0</v>
      </c>
      <c r="AD33" s="75">
        <v>0</v>
      </c>
      <c r="AE33" s="75">
        <v>0</v>
      </c>
      <c r="AF33" s="75">
        <v>0</v>
      </c>
      <c r="AG33" s="75">
        <v>0</v>
      </c>
      <c r="AH33" s="75">
        <v>0</v>
      </c>
      <c r="AI33" s="75">
        <v>0</v>
      </c>
      <c r="AJ33" s="75">
        <v>0</v>
      </c>
      <c r="AK33" s="75">
        <v>0</v>
      </c>
      <c r="AL33" s="75">
        <v>0</v>
      </c>
      <c r="AM33" s="75">
        <v>0</v>
      </c>
      <c r="AN33" s="75">
        <v>0</v>
      </c>
      <c r="AO33" s="75">
        <v>1</v>
      </c>
      <c r="AP33" s="75">
        <v>0</v>
      </c>
      <c r="AQ33" s="75">
        <v>1</v>
      </c>
      <c r="AR33" s="75">
        <v>1</v>
      </c>
      <c r="AS33" s="75">
        <v>0</v>
      </c>
      <c r="AT33" s="75">
        <v>0</v>
      </c>
      <c r="AU33" s="75">
        <v>0</v>
      </c>
      <c r="AV33" s="75">
        <v>0</v>
      </c>
      <c r="AW33" s="75">
        <v>0</v>
      </c>
      <c r="AX33" s="75">
        <v>0</v>
      </c>
      <c r="AY33" s="75">
        <v>3</v>
      </c>
      <c r="AZ33" s="75">
        <v>4</v>
      </c>
      <c r="BA33" s="75">
        <v>4</v>
      </c>
      <c r="BB33" s="75">
        <v>0</v>
      </c>
      <c r="BC33" s="75">
        <v>1</v>
      </c>
      <c r="BD33" s="75">
        <v>0</v>
      </c>
      <c r="BE33" s="75">
        <v>0</v>
      </c>
      <c r="BF33" s="75">
        <v>0</v>
      </c>
      <c r="BG33" s="75">
        <v>0</v>
      </c>
      <c r="BH33" s="75">
        <v>0</v>
      </c>
      <c r="BM33" s="75">
        <f t="shared" si="0"/>
        <v>0</v>
      </c>
      <c r="BN33" s="75">
        <f t="shared" si="1"/>
        <v>0</v>
      </c>
      <c r="BO33" s="75">
        <f t="shared" si="4"/>
        <v>15</v>
      </c>
      <c r="BP33" s="75">
        <f t="shared" si="3"/>
        <v>15</v>
      </c>
      <c r="BQ33" s="80" t="s">
        <v>384</v>
      </c>
      <c r="BR33" s="138">
        <v>4190</v>
      </c>
      <c r="BT33" s="110">
        <v>0</v>
      </c>
      <c r="BV33" s="75" t="s">
        <v>360</v>
      </c>
    </row>
    <row r="34" spans="1:74" ht="16" x14ac:dyDescent="0.8">
      <c r="A34">
        <v>559</v>
      </c>
      <c r="B34" s="2">
        <v>564</v>
      </c>
      <c r="C34" s="267">
        <v>545</v>
      </c>
      <c r="D34" s="75" t="s">
        <v>357</v>
      </c>
      <c r="E34" s="76" t="s">
        <v>358</v>
      </c>
      <c r="F34" s="77" t="s">
        <v>359</v>
      </c>
      <c r="G34" s="75" t="s">
        <v>28</v>
      </c>
      <c r="H34" s="75">
        <v>18.315639999999998</v>
      </c>
      <c r="I34" s="75">
        <v>-64.725899999999996</v>
      </c>
      <c r="J34" s="79">
        <v>44655</v>
      </c>
      <c r="K34" s="75" t="s">
        <v>360</v>
      </c>
      <c r="L34" s="75" t="s">
        <v>367</v>
      </c>
      <c r="M34" s="75">
        <v>0</v>
      </c>
      <c r="N34" s="75">
        <v>3</v>
      </c>
      <c r="O34" s="75" t="s">
        <v>362</v>
      </c>
      <c r="P34" s="83">
        <f>SUM(TreatmentUsed!E119:E123)</f>
        <v>61</v>
      </c>
      <c r="Q34" s="75" t="s">
        <v>364</v>
      </c>
      <c r="R34" s="75">
        <v>0</v>
      </c>
      <c r="S34" s="75">
        <v>0</v>
      </c>
      <c r="T34" s="75">
        <v>0</v>
      </c>
      <c r="U34" s="75">
        <v>0</v>
      </c>
      <c r="V34" s="75">
        <v>0</v>
      </c>
      <c r="W34" s="75">
        <v>0</v>
      </c>
      <c r="X34" s="75">
        <v>0</v>
      </c>
      <c r="Y34" s="75">
        <v>0</v>
      </c>
      <c r="Z34" s="75">
        <v>0</v>
      </c>
      <c r="AA34" s="75">
        <v>0</v>
      </c>
      <c r="AB34" s="75">
        <v>0</v>
      </c>
      <c r="AC34" s="75">
        <v>0</v>
      </c>
      <c r="AD34" s="75">
        <v>0</v>
      </c>
      <c r="AE34" s="75">
        <v>0</v>
      </c>
      <c r="AF34" s="75">
        <v>0</v>
      </c>
      <c r="AG34" s="75">
        <v>0</v>
      </c>
      <c r="AH34" s="75">
        <v>0</v>
      </c>
      <c r="AI34" s="75">
        <v>0</v>
      </c>
      <c r="AJ34" s="75">
        <v>0</v>
      </c>
      <c r="AK34" s="75">
        <v>0</v>
      </c>
      <c r="AL34" s="75">
        <v>0</v>
      </c>
      <c r="AM34" s="75">
        <v>0</v>
      </c>
      <c r="AN34" s="75">
        <v>0</v>
      </c>
      <c r="AO34" s="75">
        <v>0</v>
      </c>
      <c r="AP34" s="75">
        <v>0</v>
      </c>
      <c r="AQ34" s="75">
        <v>2</v>
      </c>
      <c r="AR34" s="75">
        <v>0</v>
      </c>
      <c r="AS34" s="75">
        <v>0</v>
      </c>
      <c r="AT34" s="75">
        <v>0</v>
      </c>
      <c r="AU34" s="75">
        <v>0</v>
      </c>
      <c r="AV34" s="75">
        <v>0</v>
      </c>
      <c r="AW34" s="75">
        <v>0</v>
      </c>
      <c r="AX34" s="75">
        <v>0</v>
      </c>
      <c r="AY34" s="75">
        <v>1</v>
      </c>
      <c r="AZ34" s="75">
        <v>0</v>
      </c>
      <c r="BA34" s="75">
        <v>1</v>
      </c>
      <c r="BB34" s="75">
        <v>0</v>
      </c>
      <c r="BC34" s="75">
        <v>0</v>
      </c>
      <c r="BD34" s="75">
        <v>0</v>
      </c>
      <c r="BE34" s="75">
        <v>0</v>
      </c>
      <c r="BF34" s="75">
        <v>1</v>
      </c>
      <c r="BG34" s="75">
        <v>0</v>
      </c>
      <c r="BH34" s="75">
        <v>0</v>
      </c>
      <c r="BM34" s="75">
        <f t="shared" si="0"/>
        <v>0</v>
      </c>
      <c r="BN34" s="75">
        <f t="shared" si="1"/>
        <v>0</v>
      </c>
      <c r="BO34" s="75">
        <f t="shared" si="4"/>
        <v>5</v>
      </c>
      <c r="BP34" s="75">
        <f t="shared" ref="BP34:BP65" si="5">SUM(R34:BH34)</f>
        <v>5</v>
      </c>
      <c r="BQ34" s="80" t="s">
        <v>385</v>
      </c>
      <c r="BR34" s="138">
        <v>4133</v>
      </c>
      <c r="BT34" s="110">
        <v>0</v>
      </c>
      <c r="BV34" s="75" t="s">
        <v>360</v>
      </c>
    </row>
    <row r="35" spans="1:74" ht="16" x14ac:dyDescent="0.8">
      <c r="A35">
        <v>560</v>
      </c>
      <c r="B35" s="2">
        <v>565</v>
      </c>
      <c r="C35" s="267">
        <v>546</v>
      </c>
      <c r="D35" s="75" t="s">
        <v>357</v>
      </c>
      <c r="E35" s="76" t="s">
        <v>358</v>
      </c>
      <c r="F35" s="77" t="s">
        <v>359</v>
      </c>
      <c r="G35" s="75" t="s">
        <v>28</v>
      </c>
      <c r="H35" s="75">
        <v>18.315639999999998</v>
      </c>
      <c r="I35" s="75">
        <v>-64.725899999999996</v>
      </c>
      <c r="J35" s="79">
        <v>44655</v>
      </c>
      <c r="K35" s="75" t="s">
        <v>360</v>
      </c>
      <c r="L35" s="75" t="s">
        <v>367</v>
      </c>
      <c r="M35" s="75">
        <v>0</v>
      </c>
      <c r="N35" s="75">
        <v>3</v>
      </c>
      <c r="O35" s="75" t="s">
        <v>362</v>
      </c>
      <c r="P35" s="83">
        <f>SUM(TreatmentUsed!E124:E132)</f>
        <v>95</v>
      </c>
      <c r="Q35" s="75" t="s">
        <v>364</v>
      </c>
      <c r="R35" s="75">
        <v>0</v>
      </c>
      <c r="S35" s="75">
        <v>0</v>
      </c>
      <c r="T35" s="75">
        <v>0</v>
      </c>
      <c r="U35" s="75">
        <v>0</v>
      </c>
      <c r="V35" s="75">
        <v>0</v>
      </c>
      <c r="W35" s="75">
        <v>0</v>
      </c>
      <c r="X35" s="75">
        <v>0</v>
      </c>
      <c r="Y35" s="75">
        <v>0</v>
      </c>
      <c r="Z35" s="75">
        <v>0</v>
      </c>
      <c r="AA35" s="75">
        <v>0</v>
      </c>
      <c r="AB35" s="75">
        <v>0</v>
      </c>
      <c r="AC35" s="75">
        <v>0</v>
      </c>
      <c r="AD35" s="75">
        <v>0</v>
      </c>
      <c r="AE35" s="75">
        <v>0</v>
      </c>
      <c r="AF35" s="75">
        <v>0</v>
      </c>
      <c r="AG35" s="75">
        <v>0</v>
      </c>
      <c r="AH35" s="75">
        <v>0</v>
      </c>
      <c r="AI35" s="75">
        <v>0</v>
      </c>
      <c r="AJ35" s="75">
        <v>0</v>
      </c>
      <c r="AK35" s="75">
        <v>0</v>
      </c>
      <c r="AL35" s="75">
        <v>0</v>
      </c>
      <c r="AM35" s="75">
        <v>0</v>
      </c>
      <c r="AN35" s="75">
        <v>0</v>
      </c>
      <c r="AO35" s="75">
        <v>0</v>
      </c>
      <c r="AP35" s="75">
        <v>0</v>
      </c>
      <c r="AQ35" s="75">
        <v>0</v>
      </c>
      <c r="AR35" s="75">
        <v>2</v>
      </c>
      <c r="AS35" s="75">
        <v>0</v>
      </c>
      <c r="AT35" s="75">
        <v>0</v>
      </c>
      <c r="AU35" s="75">
        <v>1</v>
      </c>
      <c r="AV35" s="75">
        <v>0</v>
      </c>
      <c r="AW35" s="75">
        <v>0</v>
      </c>
      <c r="AX35" s="75">
        <v>0</v>
      </c>
      <c r="AY35" s="75">
        <v>4</v>
      </c>
      <c r="AZ35" s="75">
        <v>0</v>
      </c>
      <c r="BA35" s="75">
        <v>2</v>
      </c>
      <c r="BB35" s="75">
        <v>0</v>
      </c>
      <c r="BC35" s="75">
        <v>0</v>
      </c>
      <c r="BD35" s="75">
        <v>0</v>
      </c>
      <c r="BE35" s="75">
        <v>0</v>
      </c>
      <c r="BF35" s="75">
        <v>0</v>
      </c>
      <c r="BG35" s="75">
        <v>0</v>
      </c>
      <c r="BH35" s="75">
        <v>0</v>
      </c>
      <c r="BM35" s="75">
        <f t="shared" si="0"/>
        <v>0</v>
      </c>
      <c r="BN35" s="75">
        <f t="shared" si="1"/>
        <v>0</v>
      </c>
      <c r="BO35" s="75">
        <f t="shared" si="4"/>
        <v>9</v>
      </c>
      <c r="BP35" s="75">
        <f t="shared" si="5"/>
        <v>9</v>
      </c>
      <c r="BQ35" s="80" t="s">
        <v>386</v>
      </c>
      <c r="BT35" s="110">
        <v>0</v>
      </c>
      <c r="BV35" s="75" t="s">
        <v>360</v>
      </c>
    </row>
    <row r="36" spans="1:74" ht="16" x14ac:dyDescent="0.8">
      <c r="A36">
        <v>561</v>
      </c>
      <c r="B36" s="2">
        <v>566</v>
      </c>
      <c r="C36" s="267">
        <v>548</v>
      </c>
      <c r="D36" s="75" t="s">
        <v>357</v>
      </c>
      <c r="E36" s="76" t="s">
        <v>358</v>
      </c>
      <c r="F36" s="77" t="s">
        <v>359</v>
      </c>
      <c r="G36" s="75" t="s">
        <v>39</v>
      </c>
      <c r="H36" s="75">
        <v>18.357482999999998</v>
      </c>
      <c r="I36" s="75">
        <v>-64.751949999999994</v>
      </c>
      <c r="J36" s="79">
        <v>44656</v>
      </c>
      <c r="K36" s="75" t="s">
        <v>360</v>
      </c>
      <c r="L36" s="75" t="s">
        <v>361</v>
      </c>
      <c r="M36" s="75">
        <v>3</v>
      </c>
      <c r="N36" s="75">
        <v>2</v>
      </c>
      <c r="O36" s="75" t="s">
        <v>362</v>
      </c>
      <c r="P36" s="83">
        <f>SUM(TreatmentUsed!E133:E145)</f>
        <v>133</v>
      </c>
      <c r="Q36" s="75" t="s">
        <v>364</v>
      </c>
      <c r="R36" s="75">
        <v>0</v>
      </c>
      <c r="S36" s="75">
        <v>0</v>
      </c>
      <c r="T36" s="75">
        <v>0</v>
      </c>
      <c r="U36" s="75">
        <v>0</v>
      </c>
      <c r="V36" s="75">
        <v>0</v>
      </c>
      <c r="W36" s="75">
        <v>0</v>
      </c>
      <c r="X36" s="75">
        <v>0</v>
      </c>
      <c r="Y36" s="75">
        <v>0</v>
      </c>
      <c r="Z36" s="75">
        <v>0</v>
      </c>
      <c r="AA36" s="75">
        <v>0</v>
      </c>
      <c r="AB36" s="75">
        <v>0</v>
      </c>
      <c r="AC36" s="75">
        <v>0</v>
      </c>
      <c r="AD36" s="75">
        <v>0</v>
      </c>
      <c r="AE36" s="75">
        <v>0</v>
      </c>
      <c r="AF36" s="75">
        <v>0</v>
      </c>
      <c r="AG36" s="75">
        <v>0</v>
      </c>
      <c r="AH36" s="75">
        <v>0</v>
      </c>
      <c r="AI36" s="75">
        <v>0</v>
      </c>
      <c r="AJ36" s="75">
        <v>0</v>
      </c>
      <c r="AK36" s="75">
        <v>0</v>
      </c>
      <c r="AL36" s="75">
        <v>0</v>
      </c>
      <c r="AM36" s="75">
        <v>0</v>
      </c>
      <c r="AN36" s="75">
        <v>0</v>
      </c>
      <c r="AO36" s="75">
        <v>0</v>
      </c>
      <c r="AP36" s="75">
        <v>0</v>
      </c>
      <c r="AQ36" s="75">
        <v>0</v>
      </c>
      <c r="AR36" s="75">
        <v>0</v>
      </c>
      <c r="AS36" s="75">
        <v>2</v>
      </c>
      <c r="AT36" s="75">
        <v>3</v>
      </c>
      <c r="AU36" s="75">
        <v>0</v>
      </c>
      <c r="AV36" s="75">
        <v>0</v>
      </c>
      <c r="AW36" s="75">
        <v>0</v>
      </c>
      <c r="AX36" s="75">
        <v>0</v>
      </c>
      <c r="AY36" s="75">
        <v>0</v>
      </c>
      <c r="AZ36" s="75">
        <v>0</v>
      </c>
      <c r="BA36" s="75">
        <v>0</v>
      </c>
      <c r="BB36" s="75">
        <v>0</v>
      </c>
      <c r="BC36" s="75">
        <v>6</v>
      </c>
      <c r="BD36" s="75">
        <v>0</v>
      </c>
      <c r="BE36" s="75">
        <v>0</v>
      </c>
      <c r="BF36" s="75">
        <v>3</v>
      </c>
      <c r="BG36" s="75">
        <v>0</v>
      </c>
      <c r="BH36" s="75">
        <v>0</v>
      </c>
      <c r="BM36" s="75">
        <f t="shared" si="0"/>
        <v>0</v>
      </c>
      <c r="BN36" s="75">
        <f t="shared" si="1"/>
        <v>0</v>
      </c>
      <c r="BO36" s="75">
        <f t="shared" si="4"/>
        <v>14</v>
      </c>
      <c r="BP36" s="75">
        <f t="shared" si="5"/>
        <v>14</v>
      </c>
      <c r="BQ36" s="80" t="s">
        <v>387</v>
      </c>
      <c r="BT36" s="110">
        <v>0</v>
      </c>
      <c r="BV36" s="75" t="s">
        <v>360</v>
      </c>
    </row>
    <row r="37" spans="1:74" ht="16" x14ac:dyDescent="0.8">
      <c r="A37">
        <v>562</v>
      </c>
      <c r="B37" s="2">
        <v>567</v>
      </c>
      <c r="C37" s="267">
        <v>549</v>
      </c>
      <c r="D37" s="75" t="s">
        <v>357</v>
      </c>
      <c r="E37" s="76" t="s">
        <v>358</v>
      </c>
      <c r="F37" s="77" t="s">
        <v>359</v>
      </c>
      <c r="G37" s="75" t="s">
        <v>39</v>
      </c>
      <c r="H37" s="75">
        <v>18.357482999999998</v>
      </c>
      <c r="I37" s="75">
        <v>-64.751949999999994</v>
      </c>
      <c r="J37" s="79">
        <v>44656</v>
      </c>
      <c r="K37" s="75" t="s">
        <v>360</v>
      </c>
      <c r="L37" s="75" t="s">
        <v>361</v>
      </c>
      <c r="M37" s="75">
        <v>0</v>
      </c>
      <c r="N37" s="75">
        <v>3</v>
      </c>
      <c r="O37" s="75" t="s">
        <v>362</v>
      </c>
      <c r="P37" s="83">
        <f>SUM(TreatmentUsed!E146:E155)</f>
        <v>124</v>
      </c>
      <c r="Q37" s="75" t="s">
        <v>364</v>
      </c>
      <c r="R37" s="75">
        <v>0</v>
      </c>
      <c r="S37" s="75">
        <v>0</v>
      </c>
      <c r="T37" s="75">
        <v>0</v>
      </c>
      <c r="U37" s="75">
        <v>0</v>
      </c>
      <c r="V37" s="75">
        <v>0</v>
      </c>
      <c r="W37" s="75">
        <v>0</v>
      </c>
      <c r="X37" s="75">
        <v>0</v>
      </c>
      <c r="Y37" s="75">
        <v>0</v>
      </c>
      <c r="Z37" s="75">
        <v>0</v>
      </c>
      <c r="AA37" s="75">
        <v>0</v>
      </c>
      <c r="AB37" s="75">
        <v>0</v>
      </c>
      <c r="AC37" s="75">
        <v>0</v>
      </c>
      <c r="AD37" s="75">
        <v>0</v>
      </c>
      <c r="AE37" s="75">
        <v>0</v>
      </c>
      <c r="AF37" s="75">
        <v>0</v>
      </c>
      <c r="AG37" s="75">
        <v>0</v>
      </c>
      <c r="AH37" s="75">
        <v>0</v>
      </c>
      <c r="AI37" s="75">
        <v>0</v>
      </c>
      <c r="AJ37" s="75">
        <v>0</v>
      </c>
      <c r="AK37" s="75">
        <v>0</v>
      </c>
      <c r="AL37" s="75">
        <v>0</v>
      </c>
      <c r="AM37" s="75">
        <v>0</v>
      </c>
      <c r="AN37" s="75">
        <v>0</v>
      </c>
      <c r="AO37" s="75">
        <v>0</v>
      </c>
      <c r="AP37" s="75">
        <v>0</v>
      </c>
      <c r="AQ37" s="75">
        <v>0</v>
      </c>
      <c r="AR37" s="75">
        <v>0</v>
      </c>
      <c r="AS37" s="75">
        <v>5</v>
      </c>
      <c r="AT37" s="75">
        <v>4</v>
      </c>
      <c r="AU37" s="75">
        <v>0</v>
      </c>
      <c r="AV37" s="75">
        <v>0</v>
      </c>
      <c r="AW37" s="75">
        <v>0</v>
      </c>
      <c r="AX37" s="75">
        <v>0</v>
      </c>
      <c r="AY37" s="75">
        <v>0</v>
      </c>
      <c r="AZ37" s="75">
        <v>0</v>
      </c>
      <c r="BA37" s="75">
        <v>0</v>
      </c>
      <c r="BB37" s="75">
        <v>0</v>
      </c>
      <c r="BC37" s="75">
        <v>1</v>
      </c>
      <c r="BD37" s="75">
        <v>0</v>
      </c>
      <c r="BE37" s="75">
        <v>0</v>
      </c>
      <c r="BF37" s="75">
        <v>0</v>
      </c>
      <c r="BG37" s="75">
        <v>0</v>
      </c>
      <c r="BH37" s="75">
        <v>0</v>
      </c>
      <c r="BM37" s="75">
        <f t="shared" si="0"/>
        <v>0</v>
      </c>
      <c r="BN37" s="75">
        <f t="shared" si="1"/>
        <v>0</v>
      </c>
      <c r="BO37" s="75">
        <f t="shared" si="4"/>
        <v>10</v>
      </c>
      <c r="BP37" s="75">
        <f t="shared" si="5"/>
        <v>10</v>
      </c>
      <c r="BQ37" s="80" t="s">
        <v>388</v>
      </c>
      <c r="BT37" s="110">
        <v>0</v>
      </c>
      <c r="BV37" s="75" t="s">
        <v>360</v>
      </c>
    </row>
    <row r="38" spans="1:74" ht="16" x14ac:dyDescent="0.8">
      <c r="A38">
        <v>563</v>
      </c>
      <c r="B38" s="2">
        <v>568</v>
      </c>
      <c r="C38" s="267">
        <v>550</v>
      </c>
      <c r="D38" s="75" t="s">
        <v>357</v>
      </c>
      <c r="E38" s="76" t="s">
        <v>358</v>
      </c>
      <c r="F38" s="77" t="s">
        <v>359</v>
      </c>
      <c r="G38" s="75" t="s">
        <v>39</v>
      </c>
      <c r="H38" s="75">
        <v>18.357482999999998</v>
      </c>
      <c r="I38" s="75">
        <v>-64.751949999999994</v>
      </c>
      <c r="J38" s="79">
        <v>44656</v>
      </c>
      <c r="K38" s="75" t="s">
        <v>360</v>
      </c>
      <c r="L38" s="75" t="s">
        <v>367</v>
      </c>
      <c r="M38" s="75">
        <v>0</v>
      </c>
      <c r="N38" s="75">
        <v>3</v>
      </c>
      <c r="O38" s="75" t="s">
        <v>362</v>
      </c>
      <c r="P38" s="83">
        <f>SUM(TreatmentUsed!E156:E159)</f>
        <v>39</v>
      </c>
      <c r="Q38" s="75" t="s">
        <v>364</v>
      </c>
      <c r="R38" s="75">
        <v>0</v>
      </c>
      <c r="S38" s="75">
        <v>0</v>
      </c>
      <c r="T38" s="75">
        <v>0</v>
      </c>
      <c r="U38" s="75">
        <v>0</v>
      </c>
      <c r="V38" s="75">
        <v>0</v>
      </c>
      <c r="W38" s="75">
        <v>0</v>
      </c>
      <c r="X38" s="75">
        <v>0</v>
      </c>
      <c r="Y38" s="75">
        <v>0</v>
      </c>
      <c r="Z38" s="75">
        <v>0</v>
      </c>
      <c r="AA38" s="75">
        <v>0</v>
      </c>
      <c r="AB38" s="75">
        <v>0</v>
      </c>
      <c r="AC38" s="75">
        <v>0</v>
      </c>
      <c r="AD38" s="75">
        <v>0</v>
      </c>
      <c r="AE38" s="75">
        <v>0</v>
      </c>
      <c r="AF38" s="75">
        <v>0</v>
      </c>
      <c r="AG38" s="75">
        <v>0</v>
      </c>
      <c r="AH38" s="75">
        <v>0</v>
      </c>
      <c r="AI38" s="75">
        <v>0</v>
      </c>
      <c r="AJ38" s="75">
        <v>0</v>
      </c>
      <c r="AK38" s="75">
        <v>0</v>
      </c>
      <c r="AL38" s="75">
        <v>0</v>
      </c>
      <c r="AM38" s="75">
        <v>0</v>
      </c>
      <c r="AN38" s="75">
        <v>0</v>
      </c>
      <c r="AO38" s="75">
        <v>0</v>
      </c>
      <c r="AP38" s="75">
        <v>0</v>
      </c>
      <c r="AQ38" s="75">
        <v>0</v>
      </c>
      <c r="AR38" s="75">
        <v>0</v>
      </c>
      <c r="AS38" s="75">
        <v>0</v>
      </c>
      <c r="AT38" s="75">
        <v>0</v>
      </c>
      <c r="AU38" s="75">
        <v>0</v>
      </c>
      <c r="AV38" s="75">
        <v>0</v>
      </c>
      <c r="AW38" s="75">
        <v>0</v>
      </c>
      <c r="AX38" s="75">
        <v>0</v>
      </c>
      <c r="AY38" s="75">
        <v>0</v>
      </c>
      <c r="AZ38" s="75">
        <v>0</v>
      </c>
      <c r="BA38" s="75">
        <v>0</v>
      </c>
      <c r="BB38" s="75">
        <v>0</v>
      </c>
      <c r="BC38" s="75">
        <v>4</v>
      </c>
      <c r="BD38" s="75">
        <v>0</v>
      </c>
      <c r="BE38" s="75">
        <v>0</v>
      </c>
      <c r="BF38" s="75">
        <v>0</v>
      </c>
      <c r="BG38" s="75">
        <v>0</v>
      </c>
      <c r="BH38" s="75">
        <v>0</v>
      </c>
      <c r="BM38" s="75">
        <f t="shared" si="0"/>
        <v>0</v>
      </c>
      <c r="BN38" s="75">
        <f t="shared" si="1"/>
        <v>0</v>
      </c>
      <c r="BO38" s="75">
        <f t="shared" si="4"/>
        <v>4</v>
      </c>
      <c r="BP38" s="75">
        <f t="shared" si="5"/>
        <v>4</v>
      </c>
      <c r="BQ38" s="80" t="s">
        <v>389</v>
      </c>
      <c r="BS38" s="110" t="s">
        <v>390</v>
      </c>
      <c r="BT38" s="110">
        <v>0</v>
      </c>
      <c r="BV38" s="75" t="s">
        <v>360</v>
      </c>
    </row>
    <row r="39" spans="1:74" ht="16" x14ac:dyDescent="0.8">
      <c r="A39">
        <v>564</v>
      </c>
      <c r="B39" s="2">
        <v>569</v>
      </c>
      <c r="C39" s="267">
        <v>552</v>
      </c>
      <c r="D39" s="75" t="s">
        <v>357</v>
      </c>
      <c r="E39" s="76" t="s">
        <v>358</v>
      </c>
      <c r="F39" s="77" t="s">
        <v>359</v>
      </c>
      <c r="G39" s="75" t="s">
        <v>64</v>
      </c>
      <c r="H39" s="75">
        <v>18.370450000000002</v>
      </c>
      <c r="I39" s="75">
        <v>-64.752866999999995</v>
      </c>
      <c r="J39" s="79">
        <v>44657</v>
      </c>
      <c r="K39" s="75" t="s">
        <v>360</v>
      </c>
      <c r="L39" s="75" t="s">
        <v>367</v>
      </c>
      <c r="M39" s="75">
        <v>0</v>
      </c>
      <c r="N39" s="75">
        <v>3</v>
      </c>
      <c r="O39" s="75" t="s">
        <v>362</v>
      </c>
      <c r="P39" s="83">
        <f>SUM(TreatmentUsed!E160:E170)</f>
        <v>180</v>
      </c>
      <c r="Q39" s="75" t="s">
        <v>364</v>
      </c>
      <c r="R39" s="75">
        <v>0</v>
      </c>
      <c r="S39" s="75">
        <v>0</v>
      </c>
      <c r="T39" s="75">
        <v>0</v>
      </c>
      <c r="U39" s="75">
        <v>0</v>
      </c>
      <c r="V39" s="75">
        <v>0</v>
      </c>
      <c r="W39" s="75">
        <v>0</v>
      </c>
      <c r="X39" s="75">
        <v>0</v>
      </c>
      <c r="Y39" s="75">
        <v>0</v>
      </c>
      <c r="Z39" s="75">
        <v>0</v>
      </c>
      <c r="AA39" s="75">
        <v>0</v>
      </c>
      <c r="AB39" s="75">
        <v>0</v>
      </c>
      <c r="AC39" s="75">
        <v>0</v>
      </c>
      <c r="AD39" s="75">
        <v>0</v>
      </c>
      <c r="AE39" s="75">
        <v>0</v>
      </c>
      <c r="AF39" s="75">
        <v>0</v>
      </c>
      <c r="AG39" s="75">
        <v>0</v>
      </c>
      <c r="AH39" s="75">
        <v>0</v>
      </c>
      <c r="AI39" s="75">
        <v>0</v>
      </c>
      <c r="AJ39" s="75">
        <v>0</v>
      </c>
      <c r="AK39" s="75">
        <v>0</v>
      </c>
      <c r="AL39" s="75">
        <v>0</v>
      </c>
      <c r="AM39" s="75">
        <v>0</v>
      </c>
      <c r="AN39" s="75">
        <v>0</v>
      </c>
      <c r="AO39" s="75">
        <v>0</v>
      </c>
      <c r="AP39" s="75">
        <v>0</v>
      </c>
      <c r="AQ39" s="75">
        <v>2</v>
      </c>
      <c r="AR39" s="75">
        <v>0</v>
      </c>
      <c r="AS39" s="75">
        <v>1</v>
      </c>
      <c r="AT39" s="75">
        <v>0</v>
      </c>
      <c r="AU39" s="75">
        <v>0</v>
      </c>
      <c r="AV39" s="75">
        <v>0</v>
      </c>
      <c r="AW39" s="75">
        <v>0</v>
      </c>
      <c r="AX39" s="75">
        <v>0</v>
      </c>
      <c r="AY39" s="75">
        <v>0</v>
      </c>
      <c r="AZ39" s="75">
        <v>0</v>
      </c>
      <c r="BA39" s="75">
        <v>0</v>
      </c>
      <c r="BB39" s="75">
        <v>0</v>
      </c>
      <c r="BC39" s="75">
        <v>7</v>
      </c>
      <c r="BD39" s="75">
        <v>0</v>
      </c>
      <c r="BE39" s="75">
        <v>0</v>
      </c>
      <c r="BF39" s="75">
        <v>0</v>
      </c>
      <c r="BG39" s="75">
        <v>0</v>
      </c>
      <c r="BH39" s="75">
        <v>1</v>
      </c>
      <c r="BM39" s="75">
        <f t="shared" si="0"/>
        <v>0</v>
      </c>
      <c r="BN39" s="75">
        <f t="shared" si="1"/>
        <v>0</v>
      </c>
      <c r="BO39" s="75">
        <f t="shared" si="4"/>
        <v>11</v>
      </c>
      <c r="BP39" s="75">
        <f t="shared" si="5"/>
        <v>11</v>
      </c>
      <c r="BQ39" s="80" t="s">
        <v>391</v>
      </c>
      <c r="BT39" s="110">
        <v>0</v>
      </c>
      <c r="BV39" s="75" t="s">
        <v>360</v>
      </c>
    </row>
    <row r="40" spans="1:74" ht="16" x14ac:dyDescent="0.8">
      <c r="A40">
        <v>565</v>
      </c>
      <c r="B40" s="2">
        <v>570</v>
      </c>
      <c r="C40" s="267">
        <v>553</v>
      </c>
      <c r="D40" s="75" t="s">
        <v>357</v>
      </c>
      <c r="E40" s="76" t="s">
        <v>358</v>
      </c>
      <c r="F40" s="77" t="s">
        <v>359</v>
      </c>
      <c r="G40" s="75" t="s">
        <v>69</v>
      </c>
      <c r="H40" s="75">
        <v>18.344349999999999</v>
      </c>
      <c r="I40" s="75">
        <v>-64.687282999999994</v>
      </c>
      <c r="J40" s="79">
        <v>44659</v>
      </c>
      <c r="K40" s="75" t="s">
        <v>360</v>
      </c>
      <c r="L40" s="75" t="s">
        <v>367</v>
      </c>
      <c r="M40" s="75">
        <v>0</v>
      </c>
      <c r="N40" s="75">
        <v>4</v>
      </c>
      <c r="O40" s="75" t="s">
        <v>362</v>
      </c>
      <c r="P40" s="83">
        <f>SUM(TreatmentUsed!E171:E210)</f>
        <v>303</v>
      </c>
      <c r="Q40" s="75" t="s">
        <v>364</v>
      </c>
      <c r="R40" s="75">
        <v>0</v>
      </c>
      <c r="S40" s="75">
        <v>0</v>
      </c>
      <c r="T40" s="75">
        <v>0</v>
      </c>
      <c r="U40" s="75">
        <v>0</v>
      </c>
      <c r="V40" s="75">
        <v>0</v>
      </c>
      <c r="W40" s="75">
        <v>0</v>
      </c>
      <c r="X40" s="75">
        <v>0</v>
      </c>
      <c r="Y40" s="75">
        <v>0</v>
      </c>
      <c r="Z40" s="75">
        <v>0</v>
      </c>
      <c r="AA40" s="75">
        <v>0</v>
      </c>
      <c r="AB40" s="75">
        <v>0</v>
      </c>
      <c r="AC40" s="75">
        <v>0</v>
      </c>
      <c r="AD40" s="75">
        <v>0</v>
      </c>
      <c r="AE40" s="75">
        <v>0</v>
      </c>
      <c r="AF40" s="75">
        <v>0</v>
      </c>
      <c r="AG40" s="75">
        <v>0</v>
      </c>
      <c r="AH40" s="75">
        <v>0</v>
      </c>
      <c r="AI40" s="75">
        <v>0</v>
      </c>
      <c r="AJ40" s="75">
        <v>0</v>
      </c>
      <c r="AK40" s="75">
        <v>0</v>
      </c>
      <c r="AL40" s="75">
        <v>0</v>
      </c>
      <c r="AM40" s="75">
        <v>0</v>
      </c>
      <c r="AN40" s="75">
        <v>0</v>
      </c>
      <c r="AO40" s="75">
        <v>0</v>
      </c>
      <c r="AP40" s="75">
        <v>0</v>
      </c>
      <c r="AQ40" s="75">
        <v>0</v>
      </c>
      <c r="AR40" s="75">
        <v>0</v>
      </c>
      <c r="AS40" s="75">
        <v>11</v>
      </c>
      <c r="AT40" s="75">
        <v>0</v>
      </c>
      <c r="AU40" s="75">
        <v>0</v>
      </c>
      <c r="AV40" s="75">
        <v>0</v>
      </c>
      <c r="AW40" s="75">
        <v>0</v>
      </c>
      <c r="AX40" s="75">
        <v>0</v>
      </c>
      <c r="AY40" s="75">
        <v>4</v>
      </c>
      <c r="AZ40" s="75">
        <v>0</v>
      </c>
      <c r="BA40" s="75">
        <v>3</v>
      </c>
      <c r="BB40" s="75">
        <v>0</v>
      </c>
      <c r="BC40" s="75">
        <v>8</v>
      </c>
      <c r="BD40" s="75">
        <v>0</v>
      </c>
      <c r="BE40" s="75">
        <v>1</v>
      </c>
      <c r="BF40" s="75">
        <v>13</v>
      </c>
      <c r="BG40" s="75">
        <v>0</v>
      </c>
      <c r="BH40" s="75">
        <v>0</v>
      </c>
      <c r="BM40" s="75">
        <f t="shared" si="0"/>
        <v>0</v>
      </c>
      <c r="BN40" s="75">
        <f t="shared" si="1"/>
        <v>0</v>
      </c>
      <c r="BO40" s="75">
        <f t="shared" si="4"/>
        <v>40</v>
      </c>
      <c r="BP40" s="75">
        <f t="shared" si="5"/>
        <v>40</v>
      </c>
      <c r="BQ40" s="80" t="s">
        <v>392</v>
      </c>
      <c r="BT40" s="110">
        <v>0</v>
      </c>
      <c r="BV40" s="75" t="s">
        <v>360</v>
      </c>
    </row>
    <row r="41" spans="1:74" ht="16" x14ac:dyDescent="0.8">
      <c r="A41">
        <v>566</v>
      </c>
      <c r="B41" s="2">
        <v>571</v>
      </c>
      <c r="C41" s="267">
        <v>554</v>
      </c>
      <c r="D41" s="75" t="s">
        <v>357</v>
      </c>
      <c r="E41" s="76" t="s">
        <v>358</v>
      </c>
      <c r="F41" s="77" t="s">
        <v>359</v>
      </c>
      <c r="G41" s="75" t="s">
        <v>69</v>
      </c>
      <c r="H41" s="75">
        <v>18.3432</v>
      </c>
      <c r="I41" s="75">
        <v>-64.687650000000005</v>
      </c>
      <c r="J41" s="79">
        <v>44659</v>
      </c>
      <c r="K41" s="75" t="s">
        <v>360</v>
      </c>
      <c r="L41" s="75" t="s">
        <v>367</v>
      </c>
      <c r="M41" s="75">
        <v>0</v>
      </c>
      <c r="N41" s="75">
        <v>4</v>
      </c>
      <c r="O41" s="75" t="s">
        <v>362</v>
      </c>
      <c r="P41" s="83">
        <f>SUM(TreatmentUsed!E211:E234)</f>
        <v>210</v>
      </c>
      <c r="Q41" s="75" t="s">
        <v>364</v>
      </c>
      <c r="R41" s="75">
        <v>0</v>
      </c>
      <c r="S41" s="75">
        <v>0</v>
      </c>
      <c r="T41" s="75">
        <v>0</v>
      </c>
      <c r="U41" s="75">
        <v>0</v>
      </c>
      <c r="V41" s="75">
        <v>0</v>
      </c>
      <c r="W41" s="75">
        <v>0</v>
      </c>
      <c r="X41" s="75">
        <v>0</v>
      </c>
      <c r="Y41" s="75">
        <v>0</v>
      </c>
      <c r="Z41" s="75">
        <v>0</v>
      </c>
      <c r="AA41" s="75">
        <v>0</v>
      </c>
      <c r="AB41" s="75">
        <v>0</v>
      </c>
      <c r="AC41" s="75">
        <v>0</v>
      </c>
      <c r="AD41" s="75">
        <v>0</v>
      </c>
      <c r="AE41" s="75">
        <v>0</v>
      </c>
      <c r="AF41" s="75">
        <v>0</v>
      </c>
      <c r="AG41" s="75">
        <v>0</v>
      </c>
      <c r="AH41" s="75">
        <v>0</v>
      </c>
      <c r="AI41" s="75">
        <v>0</v>
      </c>
      <c r="AJ41" s="75">
        <v>0</v>
      </c>
      <c r="AK41" s="75">
        <v>0</v>
      </c>
      <c r="AL41" s="75">
        <v>0</v>
      </c>
      <c r="AM41" s="75">
        <v>0</v>
      </c>
      <c r="AN41" s="75">
        <v>0</v>
      </c>
      <c r="AO41" s="75">
        <v>0</v>
      </c>
      <c r="AP41" s="75">
        <v>0</v>
      </c>
      <c r="AQ41" s="75">
        <v>0</v>
      </c>
      <c r="AR41" s="75">
        <v>2</v>
      </c>
      <c r="AS41" s="75">
        <v>3</v>
      </c>
      <c r="AT41" s="75">
        <v>0</v>
      </c>
      <c r="AU41" s="75">
        <v>1</v>
      </c>
      <c r="AV41" s="75">
        <v>0</v>
      </c>
      <c r="AW41" s="75">
        <v>0</v>
      </c>
      <c r="AX41" s="75">
        <v>0</v>
      </c>
      <c r="AY41" s="75">
        <v>3</v>
      </c>
      <c r="AZ41" s="75">
        <v>0</v>
      </c>
      <c r="BA41" s="75">
        <v>2</v>
      </c>
      <c r="BB41" s="75">
        <v>2</v>
      </c>
      <c r="BC41" s="75">
        <v>11</v>
      </c>
      <c r="BD41" s="75">
        <v>0</v>
      </c>
      <c r="BE41" s="75">
        <v>0</v>
      </c>
      <c r="BF41" s="75">
        <v>0</v>
      </c>
      <c r="BG41" s="75">
        <v>0</v>
      </c>
      <c r="BH41" s="75">
        <v>0</v>
      </c>
      <c r="BM41" s="75">
        <f t="shared" si="0"/>
        <v>0</v>
      </c>
      <c r="BN41" s="75">
        <f t="shared" si="1"/>
        <v>0</v>
      </c>
      <c r="BO41" s="75">
        <f t="shared" si="4"/>
        <v>24</v>
      </c>
      <c r="BP41" s="75">
        <f t="shared" si="5"/>
        <v>24</v>
      </c>
      <c r="BQ41" s="80" t="s">
        <v>393</v>
      </c>
      <c r="BR41" s="251">
        <v>3341</v>
      </c>
      <c r="BT41" s="110">
        <v>0</v>
      </c>
      <c r="BV41" s="75" t="s">
        <v>360</v>
      </c>
    </row>
    <row r="42" spans="1:74" ht="16" x14ac:dyDescent="0.8">
      <c r="A42">
        <v>570</v>
      </c>
      <c r="B42" s="2">
        <v>575</v>
      </c>
      <c r="C42" s="267">
        <v>561</v>
      </c>
      <c r="D42" s="75" t="s">
        <v>357</v>
      </c>
      <c r="E42" s="76" t="s">
        <v>358</v>
      </c>
      <c r="F42" s="77" t="s">
        <v>359</v>
      </c>
      <c r="G42" s="75" t="s">
        <v>23</v>
      </c>
      <c r="H42" s="75">
        <v>18.365749999999998</v>
      </c>
      <c r="I42" s="75">
        <v>-64.773619999999994</v>
      </c>
      <c r="J42" s="79">
        <v>44663</v>
      </c>
      <c r="K42" s="75" t="s">
        <v>367</v>
      </c>
      <c r="L42" s="75" t="s">
        <v>360</v>
      </c>
      <c r="M42" s="75">
        <v>0</v>
      </c>
      <c r="N42" s="75">
        <v>4</v>
      </c>
      <c r="O42" s="75" t="s">
        <v>362</v>
      </c>
      <c r="P42" s="83">
        <f>SUM(TreatmentUsed!E235:E250)</f>
        <v>167</v>
      </c>
      <c r="Q42" s="75" t="s">
        <v>364</v>
      </c>
      <c r="R42" s="75">
        <v>0</v>
      </c>
      <c r="S42" s="75">
        <v>0</v>
      </c>
      <c r="T42" s="75">
        <v>0</v>
      </c>
      <c r="U42" s="75">
        <v>0</v>
      </c>
      <c r="V42" s="75">
        <v>0</v>
      </c>
      <c r="W42" s="75">
        <v>0</v>
      </c>
      <c r="X42" s="75">
        <v>0</v>
      </c>
      <c r="Y42" s="75">
        <v>0</v>
      </c>
      <c r="Z42" s="75">
        <v>0</v>
      </c>
      <c r="AA42" s="75">
        <v>0</v>
      </c>
      <c r="AB42" s="75">
        <v>0</v>
      </c>
      <c r="AC42" s="75">
        <v>0</v>
      </c>
      <c r="AD42" s="75">
        <v>0</v>
      </c>
      <c r="AE42" s="75">
        <v>0</v>
      </c>
      <c r="AF42" s="75">
        <v>0</v>
      </c>
      <c r="AG42" s="75">
        <v>0</v>
      </c>
      <c r="AH42" s="75">
        <v>0</v>
      </c>
      <c r="AI42" s="75">
        <v>0</v>
      </c>
      <c r="AJ42" s="75">
        <v>0</v>
      </c>
      <c r="AK42" s="75">
        <v>0</v>
      </c>
      <c r="AL42" s="75">
        <v>0</v>
      </c>
      <c r="AM42" s="75">
        <v>0</v>
      </c>
      <c r="AN42" s="75">
        <v>0</v>
      </c>
      <c r="AO42" s="75">
        <v>0</v>
      </c>
      <c r="AP42" s="75">
        <v>0</v>
      </c>
      <c r="AQ42" s="75">
        <v>0</v>
      </c>
      <c r="AR42" s="75">
        <v>0</v>
      </c>
      <c r="AS42" s="75">
        <v>0</v>
      </c>
      <c r="AT42" s="75">
        <v>0</v>
      </c>
      <c r="AU42" s="75">
        <v>0</v>
      </c>
      <c r="AV42" s="75">
        <v>0</v>
      </c>
      <c r="AW42" s="75">
        <v>0</v>
      </c>
      <c r="AX42" s="75">
        <v>0</v>
      </c>
      <c r="AY42" s="75">
        <v>0</v>
      </c>
      <c r="AZ42" s="84">
        <v>3</v>
      </c>
      <c r="BA42" s="84">
        <v>9</v>
      </c>
      <c r="BB42" s="84">
        <v>0</v>
      </c>
      <c r="BC42" s="75">
        <v>3</v>
      </c>
      <c r="BD42" s="75">
        <v>0</v>
      </c>
      <c r="BE42" s="75">
        <v>0</v>
      </c>
      <c r="BF42" s="75">
        <v>0</v>
      </c>
      <c r="BG42" s="75">
        <v>0</v>
      </c>
      <c r="BH42" s="75">
        <v>1</v>
      </c>
      <c r="BM42" s="75">
        <f t="shared" si="0"/>
        <v>0</v>
      </c>
      <c r="BN42" s="75">
        <f t="shared" si="1"/>
        <v>0</v>
      </c>
      <c r="BO42" s="75">
        <f t="shared" si="4"/>
        <v>16</v>
      </c>
      <c r="BP42" s="75">
        <f t="shared" si="5"/>
        <v>16</v>
      </c>
      <c r="BQ42" s="80" t="s">
        <v>394</v>
      </c>
      <c r="BT42" s="110">
        <v>0</v>
      </c>
      <c r="BV42" s="75" t="s">
        <v>360</v>
      </c>
    </row>
    <row r="43" spans="1:74" ht="16" x14ac:dyDescent="0.8">
      <c r="A43">
        <v>571</v>
      </c>
      <c r="B43" s="2">
        <v>576</v>
      </c>
      <c r="C43" s="267">
        <v>562</v>
      </c>
      <c r="D43" s="75" t="s">
        <v>357</v>
      </c>
      <c r="E43" s="76" t="s">
        <v>358</v>
      </c>
      <c r="F43" s="77" t="s">
        <v>359</v>
      </c>
      <c r="G43" s="75" t="s">
        <v>23</v>
      </c>
      <c r="H43" s="75">
        <v>18.365749999999998</v>
      </c>
      <c r="I43" s="75">
        <v>-64.773619999999994</v>
      </c>
      <c r="J43" s="79">
        <v>44663</v>
      </c>
      <c r="K43" s="75" t="s">
        <v>367</v>
      </c>
      <c r="L43" s="75" t="s">
        <v>360</v>
      </c>
      <c r="M43" s="75">
        <v>0</v>
      </c>
      <c r="N43" s="75">
        <v>4</v>
      </c>
      <c r="O43" s="75" t="s">
        <v>362</v>
      </c>
      <c r="P43" s="83">
        <f>SUM(TreatmentUsed!E251:E260)</f>
        <v>109</v>
      </c>
      <c r="Q43" s="75" t="s">
        <v>364</v>
      </c>
      <c r="R43" s="75">
        <v>0</v>
      </c>
      <c r="S43" s="75">
        <v>0</v>
      </c>
      <c r="T43" s="75">
        <v>0</v>
      </c>
      <c r="U43" s="75">
        <v>0</v>
      </c>
      <c r="V43" s="75">
        <v>0</v>
      </c>
      <c r="W43" s="75">
        <v>0</v>
      </c>
      <c r="X43" s="75">
        <v>0</v>
      </c>
      <c r="Y43" s="75">
        <v>0</v>
      </c>
      <c r="Z43" s="75">
        <v>0</v>
      </c>
      <c r="AA43" s="75">
        <v>0</v>
      </c>
      <c r="AB43" s="75">
        <v>0</v>
      </c>
      <c r="AC43" s="75">
        <v>0</v>
      </c>
      <c r="AD43" s="75">
        <v>0</v>
      </c>
      <c r="AE43" s="75">
        <v>0</v>
      </c>
      <c r="AF43" s="75">
        <v>0</v>
      </c>
      <c r="AG43" s="75">
        <v>0</v>
      </c>
      <c r="AH43" s="75">
        <v>0</v>
      </c>
      <c r="AI43" s="75">
        <v>0</v>
      </c>
      <c r="AJ43" s="75">
        <v>0</v>
      </c>
      <c r="AK43" s="75">
        <v>0</v>
      </c>
      <c r="AL43" s="75">
        <v>0</v>
      </c>
      <c r="AM43" s="75">
        <v>0</v>
      </c>
      <c r="AN43" s="75">
        <v>0</v>
      </c>
      <c r="AO43" s="75">
        <v>1</v>
      </c>
      <c r="AP43" s="75">
        <v>0</v>
      </c>
      <c r="AQ43" s="75">
        <v>0</v>
      </c>
      <c r="AR43" s="75">
        <v>0</v>
      </c>
      <c r="AS43" s="75">
        <v>0</v>
      </c>
      <c r="AT43" s="75">
        <v>0</v>
      </c>
      <c r="AU43" s="75">
        <v>0</v>
      </c>
      <c r="AV43" s="75">
        <v>0</v>
      </c>
      <c r="AW43" s="75">
        <v>0</v>
      </c>
      <c r="AX43" s="75">
        <v>1</v>
      </c>
      <c r="AY43" s="75">
        <v>0</v>
      </c>
      <c r="AZ43" s="84">
        <v>0</v>
      </c>
      <c r="BA43" s="84">
        <v>5</v>
      </c>
      <c r="BB43" s="84">
        <v>0</v>
      </c>
      <c r="BC43" s="75">
        <v>3</v>
      </c>
      <c r="BD43" s="75">
        <v>0</v>
      </c>
      <c r="BE43" s="75">
        <v>0</v>
      </c>
      <c r="BF43" s="75">
        <v>0</v>
      </c>
      <c r="BG43" s="75">
        <v>0</v>
      </c>
      <c r="BH43" s="75">
        <v>0</v>
      </c>
      <c r="BM43" s="75">
        <v>0</v>
      </c>
      <c r="BN43" s="75">
        <f t="shared" si="1"/>
        <v>0</v>
      </c>
      <c r="BO43" s="75">
        <f t="shared" ref="BO43:BO65" si="6">SUM(AO43:BH43)</f>
        <v>10</v>
      </c>
      <c r="BP43" s="75">
        <f t="shared" si="5"/>
        <v>10</v>
      </c>
      <c r="BQ43" s="80" t="s">
        <v>395</v>
      </c>
      <c r="BT43" s="110">
        <v>0</v>
      </c>
      <c r="BV43" s="75" t="s">
        <v>360</v>
      </c>
    </row>
    <row r="44" spans="1:74" x14ac:dyDescent="0.75">
      <c r="A44">
        <v>572</v>
      </c>
      <c r="B44" s="2">
        <v>577</v>
      </c>
      <c r="C44" s="267">
        <v>563</v>
      </c>
      <c r="D44" s="75" t="s">
        <v>357</v>
      </c>
      <c r="E44" s="75" t="s">
        <v>358</v>
      </c>
      <c r="F44" s="75" t="s">
        <v>359</v>
      </c>
      <c r="G44" s="75" t="s">
        <v>56</v>
      </c>
      <c r="H44" s="75">
        <v>18.363499999999998</v>
      </c>
      <c r="I44" s="75">
        <v>-64.724450000000004</v>
      </c>
      <c r="J44" s="79">
        <v>44664</v>
      </c>
      <c r="K44" s="75" t="s">
        <v>367</v>
      </c>
      <c r="L44" s="75" t="s">
        <v>360</v>
      </c>
      <c r="M44" s="75">
        <v>0</v>
      </c>
      <c r="N44" s="75">
        <v>2</v>
      </c>
      <c r="O44" s="75" t="s">
        <v>362</v>
      </c>
      <c r="P44" s="75">
        <f>SUM(TreatmentUsed!E286:E291)</f>
        <v>34</v>
      </c>
      <c r="Q44" s="75" t="s">
        <v>364</v>
      </c>
      <c r="R44" s="75">
        <v>0</v>
      </c>
      <c r="S44" s="75">
        <v>0</v>
      </c>
      <c r="T44" s="75">
        <v>0</v>
      </c>
      <c r="U44" s="75">
        <v>0</v>
      </c>
      <c r="V44" s="75">
        <v>0</v>
      </c>
      <c r="W44" s="75">
        <v>0</v>
      </c>
      <c r="X44" s="75">
        <v>0</v>
      </c>
      <c r="Y44" s="75">
        <v>0</v>
      </c>
      <c r="Z44" s="75">
        <v>0</v>
      </c>
      <c r="AA44" s="75">
        <v>0</v>
      </c>
      <c r="AB44" s="75">
        <v>0</v>
      </c>
      <c r="AC44" s="75">
        <v>0</v>
      </c>
      <c r="AD44" s="75">
        <v>0</v>
      </c>
      <c r="AE44" s="75">
        <v>0</v>
      </c>
      <c r="AF44" s="75">
        <v>0</v>
      </c>
      <c r="AG44" s="75">
        <v>0</v>
      </c>
      <c r="AH44" s="75">
        <v>0</v>
      </c>
      <c r="AI44" s="75">
        <v>0</v>
      </c>
      <c r="AJ44" s="75">
        <v>0</v>
      </c>
      <c r="AK44" s="75">
        <v>0</v>
      </c>
      <c r="AL44" s="75">
        <v>0</v>
      </c>
      <c r="AM44" s="75">
        <v>0</v>
      </c>
      <c r="AN44" s="75">
        <v>0</v>
      </c>
      <c r="AO44" s="75">
        <v>0</v>
      </c>
      <c r="AP44" s="75">
        <v>0</v>
      </c>
      <c r="AQ44" s="75">
        <v>0</v>
      </c>
      <c r="AR44" s="84">
        <v>2</v>
      </c>
      <c r="AS44" s="75">
        <v>0</v>
      </c>
      <c r="AT44" s="84">
        <v>0</v>
      </c>
      <c r="AU44" s="75">
        <v>1</v>
      </c>
      <c r="AV44" s="75">
        <v>0</v>
      </c>
      <c r="AW44" s="75">
        <v>0</v>
      </c>
      <c r="AX44" s="75">
        <v>0</v>
      </c>
      <c r="AY44" s="75">
        <v>0</v>
      </c>
      <c r="AZ44" s="75">
        <v>0</v>
      </c>
      <c r="BA44" s="84">
        <v>1</v>
      </c>
      <c r="BB44" s="84">
        <v>0</v>
      </c>
      <c r="BC44" s="75">
        <v>0</v>
      </c>
      <c r="BD44" s="75">
        <v>0</v>
      </c>
      <c r="BE44" s="75">
        <v>0</v>
      </c>
      <c r="BF44" s="75">
        <v>1</v>
      </c>
      <c r="BG44" s="75">
        <v>0</v>
      </c>
      <c r="BH44" s="75">
        <v>1</v>
      </c>
      <c r="BM44" s="75">
        <v>0</v>
      </c>
      <c r="BN44" s="75">
        <f t="shared" si="1"/>
        <v>0</v>
      </c>
      <c r="BO44" s="75">
        <f t="shared" si="6"/>
        <v>6</v>
      </c>
      <c r="BP44" s="75">
        <f t="shared" si="5"/>
        <v>6</v>
      </c>
      <c r="BQ44" s="80" t="s">
        <v>396</v>
      </c>
      <c r="BT44" s="110">
        <v>0</v>
      </c>
      <c r="BV44" s="75" t="s">
        <v>360</v>
      </c>
    </row>
    <row r="45" spans="1:74" x14ac:dyDescent="0.75">
      <c r="A45">
        <v>573</v>
      </c>
      <c r="B45" s="2">
        <v>578</v>
      </c>
      <c r="C45" s="267">
        <v>564</v>
      </c>
      <c r="D45" s="75" t="s">
        <v>357</v>
      </c>
      <c r="E45" s="75" t="s">
        <v>358</v>
      </c>
      <c r="F45" s="75" t="s">
        <v>359</v>
      </c>
      <c r="G45" s="75" t="s">
        <v>44</v>
      </c>
      <c r="H45" s="75">
        <v>18.364650000000001</v>
      </c>
      <c r="I45" s="75">
        <v>-64.726183000000006</v>
      </c>
      <c r="J45" s="79">
        <v>44664</v>
      </c>
      <c r="K45" s="75" t="s">
        <v>367</v>
      </c>
      <c r="L45" s="75" t="s">
        <v>360</v>
      </c>
      <c r="M45" s="75">
        <v>0</v>
      </c>
      <c r="N45" s="75">
        <v>2</v>
      </c>
      <c r="O45" s="75" t="s">
        <v>362</v>
      </c>
      <c r="P45" s="75">
        <f>SUM(TreatmentUsed!E261:E267)</f>
        <v>78</v>
      </c>
      <c r="Q45" s="75" t="s">
        <v>364</v>
      </c>
      <c r="R45" s="75">
        <v>0</v>
      </c>
      <c r="S45" s="75">
        <v>0</v>
      </c>
      <c r="T45" s="75">
        <v>0</v>
      </c>
      <c r="U45" s="75">
        <v>0</v>
      </c>
      <c r="V45" s="75">
        <v>0</v>
      </c>
      <c r="W45" s="75">
        <v>0</v>
      </c>
      <c r="X45" s="75">
        <v>0</v>
      </c>
      <c r="Y45" s="75">
        <v>0</v>
      </c>
      <c r="Z45" s="75">
        <v>0</v>
      </c>
      <c r="AA45" s="75">
        <v>0</v>
      </c>
      <c r="AB45" s="75">
        <v>0</v>
      </c>
      <c r="AC45" s="75">
        <v>0</v>
      </c>
      <c r="AD45" s="75">
        <v>0</v>
      </c>
      <c r="AE45" s="75">
        <v>0</v>
      </c>
      <c r="AF45" s="75">
        <v>0</v>
      </c>
      <c r="AG45" s="75">
        <v>0</v>
      </c>
      <c r="AH45" s="75">
        <v>0</v>
      </c>
      <c r="AI45" s="75">
        <v>0</v>
      </c>
      <c r="AJ45" s="75">
        <v>0</v>
      </c>
      <c r="AK45" s="75">
        <v>0</v>
      </c>
      <c r="AL45" s="75">
        <v>0</v>
      </c>
      <c r="AM45" s="75">
        <v>0</v>
      </c>
      <c r="AN45" s="75">
        <v>0</v>
      </c>
      <c r="AO45" s="75">
        <v>0</v>
      </c>
      <c r="AP45" s="75">
        <v>0</v>
      </c>
      <c r="AQ45" s="75">
        <v>0</v>
      </c>
      <c r="AR45" s="75">
        <v>1</v>
      </c>
      <c r="AS45" s="75">
        <v>0</v>
      </c>
      <c r="AT45" s="75">
        <v>0</v>
      </c>
      <c r="AU45" s="75">
        <v>0</v>
      </c>
      <c r="AV45" s="75">
        <v>0</v>
      </c>
      <c r="AW45" s="75">
        <v>0</v>
      </c>
      <c r="AX45" s="75">
        <v>0</v>
      </c>
      <c r="AY45" s="75">
        <v>0</v>
      </c>
      <c r="AZ45" s="75">
        <v>1</v>
      </c>
      <c r="BA45" s="75">
        <v>0</v>
      </c>
      <c r="BB45" s="75">
        <v>0</v>
      </c>
      <c r="BC45" s="75">
        <v>5</v>
      </c>
      <c r="BD45" s="75">
        <v>0</v>
      </c>
      <c r="BE45" s="75">
        <v>0</v>
      </c>
      <c r="BF45" s="75">
        <v>0</v>
      </c>
      <c r="BG45" s="75">
        <v>0</v>
      </c>
      <c r="BH45" s="75">
        <v>0</v>
      </c>
      <c r="BM45" s="75">
        <f>SUM(R44:AD44)</f>
        <v>0</v>
      </c>
      <c r="BN45" s="75">
        <f>SUM(AE44:AN44)</f>
        <v>0</v>
      </c>
      <c r="BO45" s="75">
        <f t="shared" si="6"/>
        <v>7</v>
      </c>
      <c r="BP45" s="75">
        <f t="shared" si="5"/>
        <v>7</v>
      </c>
      <c r="BQ45" s="80" t="s">
        <v>373</v>
      </c>
      <c r="BT45" s="110">
        <v>0</v>
      </c>
      <c r="BV45" s="75" t="s">
        <v>360</v>
      </c>
    </row>
    <row r="46" spans="1:74" x14ac:dyDescent="0.75">
      <c r="A46">
        <v>574</v>
      </c>
      <c r="B46" s="2">
        <v>579</v>
      </c>
      <c r="C46" s="267">
        <v>565</v>
      </c>
      <c r="D46" s="75" t="s">
        <v>357</v>
      </c>
      <c r="E46" s="75" t="s">
        <v>358</v>
      </c>
      <c r="F46" s="75" t="s">
        <v>359</v>
      </c>
      <c r="G46" s="75" t="s">
        <v>60</v>
      </c>
      <c r="H46" s="75">
        <v>18.367850000000001</v>
      </c>
      <c r="I46" s="75">
        <v>-64.732933000000003</v>
      </c>
      <c r="J46" s="81">
        <v>44664</v>
      </c>
      <c r="K46" s="75" t="s">
        <v>367</v>
      </c>
      <c r="L46" s="75" t="s">
        <v>360</v>
      </c>
      <c r="M46" s="75">
        <v>0</v>
      </c>
      <c r="N46" s="75">
        <v>3</v>
      </c>
      <c r="O46" s="75" t="s">
        <v>362</v>
      </c>
      <c r="P46" s="75">
        <f>SUM(TreatmentUsed!E268:E285)</f>
        <v>210</v>
      </c>
      <c r="Q46" s="75" t="s">
        <v>364</v>
      </c>
      <c r="R46" s="75">
        <v>0</v>
      </c>
      <c r="S46" s="75">
        <v>0</v>
      </c>
      <c r="T46" s="75">
        <v>0</v>
      </c>
      <c r="U46" s="75">
        <v>0</v>
      </c>
      <c r="V46" s="75">
        <v>0</v>
      </c>
      <c r="W46" s="75">
        <v>0</v>
      </c>
      <c r="X46" s="75">
        <v>0</v>
      </c>
      <c r="Y46" s="75">
        <v>0</v>
      </c>
      <c r="Z46" s="75">
        <v>0</v>
      </c>
      <c r="AA46" s="75">
        <v>0</v>
      </c>
      <c r="AB46" s="75">
        <v>0</v>
      </c>
      <c r="AC46" s="75">
        <v>0</v>
      </c>
      <c r="AD46" s="75">
        <v>0</v>
      </c>
      <c r="AE46" s="75">
        <v>0</v>
      </c>
      <c r="AF46" s="75">
        <v>0</v>
      </c>
      <c r="AG46" s="75">
        <v>0</v>
      </c>
      <c r="AH46" s="75">
        <v>0</v>
      </c>
      <c r="AI46" s="75">
        <v>0</v>
      </c>
      <c r="AJ46" s="75">
        <v>0</v>
      </c>
      <c r="AK46" s="75">
        <v>0</v>
      </c>
      <c r="AL46" s="75">
        <v>0</v>
      </c>
      <c r="AM46" s="75">
        <v>0</v>
      </c>
      <c r="AN46" s="75">
        <v>0</v>
      </c>
      <c r="AO46" s="75">
        <v>2</v>
      </c>
      <c r="AP46" s="75">
        <v>0</v>
      </c>
      <c r="AQ46" s="75">
        <v>0</v>
      </c>
      <c r="AR46" s="75">
        <v>0</v>
      </c>
      <c r="AS46" s="75">
        <v>0</v>
      </c>
      <c r="AT46" s="75">
        <v>0</v>
      </c>
      <c r="AU46" s="75">
        <v>0</v>
      </c>
      <c r="AV46" s="75">
        <v>0</v>
      </c>
      <c r="AW46" s="75">
        <v>0</v>
      </c>
      <c r="AX46" s="75">
        <v>0</v>
      </c>
      <c r="AY46" s="84">
        <v>4</v>
      </c>
      <c r="AZ46" s="84">
        <v>3</v>
      </c>
      <c r="BA46" s="84">
        <v>4</v>
      </c>
      <c r="BB46" s="75">
        <v>1</v>
      </c>
      <c r="BC46" s="75">
        <v>2</v>
      </c>
      <c r="BD46" s="75">
        <v>0</v>
      </c>
      <c r="BE46" s="84">
        <v>1</v>
      </c>
      <c r="BF46" s="84">
        <v>0</v>
      </c>
      <c r="BG46" s="75">
        <v>0</v>
      </c>
      <c r="BH46" s="75">
        <v>1</v>
      </c>
      <c r="BM46" s="75">
        <f t="shared" ref="BM46:BM65" si="7">SUM(R46:AD46)</f>
        <v>0</v>
      </c>
      <c r="BN46" s="75">
        <f t="shared" ref="BN46:BN65" si="8">SUM(AE46:AN46)</f>
        <v>0</v>
      </c>
      <c r="BO46" s="75">
        <f t="shared" si="6"/>
        <v>18</v>
      </c>
      <c r="BP46" s="75">
        <f t="shared" si="5"/>
        <v>18</v>
      </c>
      <c r="BQ46" s="80" t="s">
        <v>397</v>
      </c>
      <c r="BT46" s="110">
        <v>0</v>
      </c>
      <c r="BV46" s="75" t="s">
        <v>360</v>
      </c>
    </row>
    <row r="47" spans="1:74" x14ac:dyDescent="0.75">
      <c r="A47">
        <v>575</v>
      </c>
      <c r="B47" s="2">
        <v>580</v>
      </c>
      <c r="C47" s="267">
        <v>570</v>
      </c>
      <c r="D47" s="75" t="s">
        <v>357</v>
      </c>
      <c r="E47" s="75" t="s">
        <v>358</v>
      </c>
      <c r="F47" s="75" t="s">
        <v>359</v>
      </c>
      <c r="G47" s="84" t="s">
        <v>23</v>
      </c>
      <c r="H47" s="75">
        <v>18.365749999999998</v>
      </c>
      <c r="I47" s="75">
        <v>-64.773619999999994</v>
      </c>
      <c r="J47" s="79">
        <v>44670</v>
      </c>
      <c r="K47" s="75" t="s">
        <v>367</v>
      </c>
      <c r="L47" s="75" t="s">
        <v>360</v>
      </c>
      <c r="M47" s="75">
        <v>0</v>
      </c>
      <c r="N47" s="84">
        <v>2</v>
      </c>
      <c r="O47" s="75" t="s">
        <v>362</v>
      </c>
      <c r="P47" s="83">
        <f>SUM(TreatmentUsed!E316:E318)</f>
        <v>27</v>
      </c>
      <c r="Q47" s="75" t="s">
        <v>364</v>
      </c>
      <c r="R47" s="75">
        <v>0</v>
      </c>
      <c r="S47" s="75">
        <v>0</v>
      </c>
      <c r="T47" s="75">
        <v>0</v>
      </c>
      <c r="U47" s="75">
        <v>0</v>
      </c>
      <c r="V47" s="75">
        <v>0</v>
      </c>
      <c r="W47" s="75">
        <v>0</v>
      </c>
      <c r="X47" s="75">
        <v>0</v>
      </c>
      <c r="Y47" s="75">
        <v>0</v>
      </c>
      <c r="Z47" s="75">
        <v>0</v>
      </c>
      <c r="AA47" s="75">
        <v>0</v>
      </c>
      <c r="AB47" s="75">
        <v>0</v>
      </c>
      <c r="AC47" s="75">
        <v>0</v>
      </c>
      <c r="AD47" s="75">
        <v>0</v>
      </c>
      <c r="AE47" s="75">
        <v>0</v>
      </c>
      <c r="AF47" s="75">
        <v>0</v>
      </c>
      <c r="AG47" s="75">
        <v>0</v>
      </c>
      <c r="AH47" s="75">
        <v>0</v>
      </c>
      <c r="AI47" s="75">
        <v>0</v>
      </c>
      <c r="AJ47" s="75">
        <v>0</v>
      </c>
      <c r="AK47" s="75">
        <v>0</v>
      </c>
      <c r="AL47" s="75">
        <v>0</v>
      </c>
      <c r="AM47" s="75">
        <v>0</v>
      </c>
      <c r="AN47" s="75">
        <v>0</v>
      </c>
      <c r="AO47" s="75">
        <v>0</v>
      </c>
      <c r="AP47" s="75">
        <v>0</v>
      </c>
      <c r="AQ47" s="75">
        <v>1</v>
      </c>
      <c r="AR47" s="75">
        <v>0</v>
      </c>
      <c r="AS47" s="84">
        <v>1</v>
      </c>
      <c r="AT47" s="84">
        <v>1</v>
      </c>
      <c r="AU47" s="84">
        <v>0</v>
      </c>
      <c r="AV47" s="75">
        <v>0</v>
      </c>
      <c r="AW47" s="75">
        <v>0</v>
      </c>
      <c r="AX47" s="75">
        <v>0</v>
      </c>
      <c r="AY47" s="75">
        <v>0</v>
      </c>
      <c r="AZ47" s="75">
        <v>0</v>
      </c>
      <c r="BA47" s="75">
        <v>0</v>
      </c>
      <c r="BB47" s="75">
        <v>0</v>
      </c>
      <c r="BC47" s="84">
        <v>0</v>
      </c>
      <c r="BD47" s="75">
        <v>0</v>
      </c>
      <c r="BE47" s="75">
        <v>0</v>
      </c>
      <c r="BF47" s="84">
        <v>0</v>
      </c>
      <c r="BG47" s="75">
        <v>0</v>
      </c>
      <c r="BH47" s="75">
        <v>0</v>
      </c>
      <c r="BM47" s="75">
        <f t="shared" si="7"/>
        <v>0</v>
      </c>
      <c r="BN47" s="75">
        <f t="shared" si="8"/>
        <v>0</v>
      </c>
      <c r="BO47" s="75">
        <f t="shared" si="6"/>
        <v>3</v>
      </c>
      <c r="BP47" s="75">
        <f t="shared" si="5"/>
        <v>3</v>
      </c>
      <c r="BQ47" s="85" t="s">
        <v>398</v>
      </c>
      <c r="BR47" s="251">
        <v>3884</v>
      </c>
      <c r="BT47" s="110">
        <v>0</v>
      </c>
      <c r="BV47" s="75" t="s">
        <v>360</v>
      </c>
    </row>
    <row r="48" spans="1:74" x14ac:dyDescent="0.75">
      <c r="A48">
        <v>576</v>
      </c>
      <c r="B48" s="2">
        <v>581</v>
      </c>
      <c r="C48" s="267">
        <v>571</v>
      </c>
      <c r="D48" s="75" t="s">
        <v>357</v>
      </c>
      <c r="E48" s="75" t="s">
        <v>358</v>
      </c>
      <c r="F48" s="75" t="s">
        <v>359</v>
      </c>
      <c r="G48" s="75" t="s">
        <v>23</v>
      </c>
      <c r="H48" s="75">
        <v>18.365749999999998</v>
      </c>
      <c r="I48" s="75">
        <v>-64.773619999999994</v>
      </c>
      <c r="J48" s="79">
        <v>44670</v>
      </c>
      <c r="K48" s="75" t="s">
        <v>360</v>
      </c>
      <c r="L48" s="75" t="s">
        <v>367</v>
      </c>
      <c r="M48" s="75">
        <v>0</v>
      </c>
      <c r="N48" s="75">
        <v>2</v>
      </c>
      <c r="O48" s="75" t="s">
        <v>362</v>
      </c>
      <c r="P48" s="83">
        <f>SUM(TreatmentUsed!E319)</f>
        <v>4</v>
      </c>
      <c r="Q48" s="75" t="s">
        <v>364</v>
      </c>
      <c r="R48" s="75">
        <v>0</v>
      </c>
      <c r="S48" s="75">
        <v>0</v>
      </c>
      <c r="T48" s="75">
        <v>0</v>
      </c>
      <c r="U48" s="75">
        <v>0</v>
      </c>
      <c r="V48" s="75">
        <v>0</v>
      </c>
      <c r="W48" s="75">
        <v>0</v>
      </c>
      <c r="X48" s="75">
        <v>0</v>
      </c>
      <c r="Y48" s="75">
        <v>0</v>
      </c>
      <c r="Z48" s="75">
        <v>0</v>
      </c>
      <c r="AA48" s="75">
        <v>0</v>
      </c>
      <c r="AB48" s="75">
        <v>0</v>
      </c>
      <c r="AC48" s="75">
        <v>0</v>
      </c>
      <c r="AD48" s="75">
        <v>0</v>
      </c>
      <c r="AE48" s="75">
        <v>0</v>
      </c>
      <c r="AF48" s="75">
        <v>0</v>
      </c>
      <c r="AG48" s="75">
        <v>0</v>
      </c>
      <c r="AH48" s="75">
        <v>0</v>
      </c>
      <c r="AI48" s="75">
        <v>0</v>
      </c>
      <c r="AJ48" s="75">
        <v>0</v>
      </c>
      <c r="AK48" s="75">
        <v>0</v>
      </c>
      <c r="AL48" s="75">
        <v>0</v>
      </c>
      <c r="AM48" s="75">
        <v>0</v>
      </c>
      <c r="AN48" s="75">
        <v>0</v>
      </c>
      <c r="AO48" s="75">
        <v>0</v>
      </c>
      <c r="AP48" s="75">
        <v>0</v>
      </c>
      <c r="AQ48" s="75">
        <v>0</v>
      </c>
      <c r="AR48" s="75">
        <v>0</v>
      </c>
      <c r="AS48" s="75">
        <v>0</v>
      </c>
      <c r="AT48" s="75">
        <v>0</v>
      </c>
      <c r="AU48" s="75">
        <v>0</v>
      </c>
      <c r="AV48" s="75">
        <v>0</v>
      </c>
      <c r="AW48" s="75">
        <v>0</v>
      </c>
      <c r="AX48" s="75">
        <v>0</v>
      </c>
      <c r="AY48" s="75">
        <v>0</v>
      </c>
      <c r="AZ48" s="75">
        <v>1</v>
      </c>
      <c r="BA48" s="75">
        <v>0</v>
      </c>
      <c r="BB48" s="75">
        <v>0</v>
      </c>
      <c r="BC48" s="75">
        <v>0</v>
      </c>
      <c r="BD48" s="75">
        <v>0</v>
      </c>
      <c r="BE48" s="75">
        <v>0</v>
      </c>
      <c r="BF48" s="75">
        <v>0</v>
      </c>
      <c r="BG48" s="75">
        <v>0</v>
      </c>
      <c r="BH48" s="75">
        <v>0</v>
      </c>
      <c r="BM48" s="75">
        <f t="shared" si="7"/>
        <v>0</v>
      </c>
      <c r="BN48" s="75">
        <f t="shared" si="8"/>
        <v>0</v>
      </c>
      <c r="BO48" s="75">
        <f t="shared" si="6"/>
        <v>1</v>
      </c>
      <c r="BP48" s="75">
        <f t="shared" si="5"/>
        <v>1</v>
      </c>
      <c r="BQ48" s="80" t="s">
        <v>399</v>
      </c>
      <c r="BR48" s="138" t="s">
        <v>400</v>
      </c>
      <c r="BT48" s="110">
        <v>0</v>
      </c>
      <c r="BV48" s="75" t="s">
        <v>360</v>
      </c>
    </row>
    <row r="49" spans="1:74" x14ac:dyDescent="0.75">
      <c r="A49">
        <v>577</v>
      </c>
      <c r="B49" s="2">
        <v>582</v>
      </c>
      <c r="C49" s="316">
        <v>572</v>
      </c>
      <c r="D49" s="75" t="s">
        <v>357</v>
      </c>
      <c r="E49" s="75" t="s">
        <v>358</v>
      </c>
      <c r="F49" s="75" t="s">
        <v>359</v>
      </c>
      <c r="G49" s="75" t="s">
        <v>39</v>
      </c>
      <c r="H49" s="75">
        <v>18.357482999999998</v>
      </c>
      <c r="I49" s="75">
        <v>-64.751949999999994</v>
      </c>
      <c r="J49" s="79">
        <v>44670</v>
      </c>
      <c r="K49" s="75" t="s">
        <v>367</v>
      </c>
      <c r="L49" s="75" t="s">
        <v>360</v>
      </c>
      <c r="M49" s="75">
        <v>0</v>
      </c>
      <c r="N49" s="75">
        <v>4</v>
      </c>
      <c r="O49" s="75" t="s">
        <v>362</v>
      </c>
      <c r="P49" s="83">
        <f>SUM(TreatmentUsed!E293:E315)</f>
        <v>126</v>
      </c>
      <c r="Q49" s="75" t="s">
        <v>364</v>
      </c>
      <c r="R49" s="75">
        <v>0</v>
      </c>
      <c r="S49" s="75">
        <v>0</v>
      </c>
      <c r="T49" s="75">
        <v>0</v>
      </c>
      <c r="U49" s="75">
        <v>0</v>
      </c>
      <c r="V49" s="75">
        <v>0</v>
      </c>
      <c r="W49" s="75">
        <v>0</v>
      </c>
      <c r="X49" s="75">
        <v>0</v>
      </c>
      <c r="Y49" s="75">
        <v>0</v>
      </c>
      <c r="Z49" s="75">
        <v>0</v>
      </c>
      <c r="AA49" s="75">
        <v>0</v>
      </c>
      <c r="AB49" s="75">
        <v>0</v>
      </c>
      <c r="AC49" s="75">
        <v>0</v>
      </c>
      <c r="AD49" s="75">
        <v>0</v>
      </c>
      <c r="AE49" s="75">
        <v>0</v>
      </c>
      <c r="AF49" s="75">
        <v>0</v>
      </c>
      <c r="AG49" s="75">
        <v>0</v>
      </c>
      <c r="AH49" s="75">
        <v>0</v>
      </c>
      <c r="AI49" s="75">
        <v>0</v>
      </c>
      <c r="AJ49" s="75">
        <v>0</v>
      </c>
      <c r="AK49" s="75">
        <v>0</v>
      </c>
      <c r="AL49" s="75">
        <v>0</v>
      </c>
      <c r="AM49" s="75">
        <v>0</v>
      </c>
      <c r="AN49" s="75">
        <v>0</v>
      </c>
      <c r="AO49" s="75">
        <v>0</v>
      </c>
      <c r="AP49" s="75">
        <v>0</v>
      </c>
      <c r="AQ49" s="75">
        <v>0</v>
      </c>
      <c r="AR49" s="75">
        <v>0</v>
      </c>
      <c r="AS49" s="75">
        <v>3</v>
      </c>
      <c r="AT49" s="75">
        <v>3</v>
      </c>
      <c r="AU49" s="84">
        <v>2</v>
      </c>
      <c r="AV49" s="75">
        <v>0</v>
      </c>
      <c r="AW49" s="75">
        <v>0</v>
      </c>
      <c r="AX49" s="75">
        <v>0</v>
      </c>
      <c r="AY49" s="75">
        <v>0</v>
      </c>
      <c r="AZ49" s="75">
        <v>0</v>
      </c>
      <c r="BA49" s="75">
        <v>0</v>
      </c>
      <c r="BB49" s="84">
        <v>0</v>
      </c>
      <c r="BC49" s="84">
        <v>13</v>
      </c>
      <c r="BD49" s="75">
        <v>0</v>
      </c>
      <c r="BE49" s="75">
        <v>0</v>
      </c>
      <c r="BF49" s="84">
        <v>2</v>
      </c>
      <c r="BG49" s="75">
        <v>0</v>
      </c>
      <c r="BH49" s="75">
        <v>0</v>
      </c>
      <c r="BM49" s="75">
        <f t="shared" si="7"/>
        <v>0</v>
      </c>
      <c r="BN49" s="75">
        <f t="shared" si="8"/>
        <v>0</v>
      </c>
      <c r="BO49" s="75">
        <f t="shared" si="6"/>
        <v>23</v>
      </c>
      <c r="BP49" s="75">
        <f t="shared" si="5"/>
        <v>23</v>
      </c>
      <c r="BQ49" s="80" t="s">
        <v>401</v>
      </c>
      <c r="BR49" s="252" t="s">
        <v>402</v>
      </c>
      <c r="BT49" s="110">
        <v>0</v>
      </c>
      <c r="BV49" s="75" t="s">
        <v>360</v>
      </c>
    </row>
    <row r="50" spans="1:74" x14ac:dyDescent="0.75">
      <c r="A50">
        <v>587</v>
      </c>
      <c r="B50" s="2">
        <v>592</v>
      </c>
      <c r="C50" s="316">
        <v>573</v>
      </c>
      <c r="D50" s="75" t="s">
        <v>357</v>
      </c>
      <c r="E50" s="75" t="s">
        <v>358</v>
      </c>
      <c r="F50" s="75" t="s">
        <v>359</v>
      </c>
      <c r="G50" s="75" t="s">
        <v>48</v>
      </c>
      <c r="H50" s="75">
        <v>18.363399999999999</v>
      </c>
      <c r="I50" s="75">
        <v>-64.706067000000004</v>
      </c>
      <c r="J50" s="79">
        <v>44670</v>
      </c>
      <c r="K50" s="75" t="s">
        <v>360</v>
      </c>
      <c r="L50" s="75" t="s">
        <v>367</v>
      </c>
      <c r="M50" s="75">
        <v>0</v>
      </c>
      <c r="N50" s="75">
        <v>2</v>
      </c>
      <c r="O50" s="75" t="s">
        <v>362</v>
      </c>
      <c r="P50" s="83">
        <f>SUM(TreatmentUsed!E292)</f>
        <v>5</v>
      </c>
      <c r="Q50" s="75" t="s">
        <v>364</v>
      </c>
      <c r="R50" s="75">
        <v>0</v>
      </c>
      <c r="S50" s="75">
        <v>0</v>
      </c>
      <c r="T50" s="75">
        <v>0</v>
      </c>
      <c r="U50" s="75">
        <v>0</v>
      </c>
      <c r="V50" s="75">
        <v>0</v>
      </c>
      <c r="W50" s="75">
        <v>0</v>
      </c>
      <c r="X50" s="75">
        <v>0</v>
      </c>
      <c r="Y50" s="75">
        <v>0</v>
      </c>
      <c r="Z50" s="75">
        <v>0</v>
      </c>
      <c r="AA50" s="75">
        <v>0</v>
      </c>
      <c r="AB50" s="75">
        <v>0</v>
      </c>
      <c r="AC50" s="75">
        <v>0</v>
      </c>
      <c r="AD50" s="75">
        <v>0</v>
      </c>
      <c r="AE50" s="75">
        <v>0</v>
      </c>
      <c r="AF50" s="75">
        <v>0</v>
      </c>
      <c r="AG50" s="75">
        <v>0</v>
      </c>
      <c r="AH50" s="75">
        <v>0</v>
      </c>
      <c r="AI50" s="75">
        <v>0</v>
      </c>
      <c r="AJ50" s="75">
        <v>0</v>
      </c>
      <c r="AK50" s="75">
        <v>0</v>
      </c>
      <c r="AL50" s="75">
        <v>0</v>
      </c>
      <c r="AM50" s="75">
        <v>0</v>
      </c>
      <c r="AN50" s="75">
        <v>0</v>
      </c>
      <c r="AO50" s="75">
        <v>0</v>
      </c>
      <c r="AP50" s="75">
        <v>0</v>
      </c>
      <c r="AQ50" s="75">
        <v>0</v>
      </c>
      <c r="AR50" s="75">
        <v>0</v>
      </c>
      <c r="AS50" s="75">
        <v>0</v>
      </c>
      <c r="AT50" s="75">
        <v>0</v>
      </c>
      <c r="AU50" s="75">
        <v>0</v>
      </c>
      <c r="AV50" s="75">
        <v>0</v>
      </c>
      <c r="AW50" s="75">
        <v>0</v>
      </c>
      <c r="AX50" s="75">
        <v>0</v>
      </c>
      <c r="AY50" s="75">
        <v>0</v>
      </c>
      <c r="AZ50" s="75">
        <v>0</v>
      </c>
      <c r="BA50" s="75">
        <v>1</v>
      </c>
      <c r="BB50" s="75">
        <v>0</v>
      </c>
      <c r="BC50" s="75">
        <v>0</v>
      </c>
      <c r="BD50" s="75">
        <v>0</v>
      </c>
      <c r="BE50" s="75">
        <v>0</v>
      </c>
      <c r="BF50" s="75">
        <v>0</v>
      </c>
      <c r="BG50" s="75">
        <v>0</v>
      </c>
      <c r="BH50" s="75">
        <v>0</v>
      </c>
      <c r="BM50" s="75">
        <f t="shared" si="7"/>
        <v>0</v>
      </c>
      <c r="BN50" s="75">
        <f t="shared" si="8"/>
        <v>0</v>
      </c>
      <c r="BO50" s="75">
        <f t="shared" si="6"/>
        <v>1</v>
      </c>
      <c r="BP50" s="75">
        <f t="shared" si="5"/>
        <v>1</v>
      </c>
      <c r="BQ50" s="80" t="s">
        <v>403</v>
      </c>
      <c r="BT50" s="110">
        <v>0</v>
      </c>
      <c r="BV50" s="75" t="s">
        <v>360</v>
      </c>
    </row>
    <row r="51" spans="1:74" x14ac:dyDescent="0.75">
      <c r="B51">
        <v>658</v>
      </c>
      <c r="C51" s="2">
        <v>572</v>
      </c>
      <c r="D51" s="75" t="s">
        <v>357</v>
      </c>
      <c r="E51" s="75" t="s">
        <v>358</v>
      </c>
      <c r="F51" s="75" t="s">
        <v>359</v>
      </c>
      <c r="G51" s="75" t="s">
        <v>28</v>
      </c>
      <c r="H51" s="84">
        <v>18.315639999999998</v>
      </c>
      <c r="I51" s="84">
        <v>-64.725899999999996</v>
      </c>
      <c r="J51" s="81">
        <v>44677</v>
      </c>
      <c r="K51" s="75" t="s">
        <v>361</v>
      </c>
      <c r="L51" s="75" t="s">
        <v>360</v>
      </c>
      <c r="M51" s="75">
        <v>0</v>
      </c>
      <c r="N51" s="75">
        <v>3</v>
      </c>
      <c r="O51" s="75" t="s">
        <v>362</v>
      </c>
      <c r="P51" s="75">
        <f>SUM(TreatmentUsed!E320:E338)</f>
        <v>120</v>
      </c>
      <c r="Q51" s="75" t="s">
        <v>364</v>
      </c>
      <c r="R51" s="75">
        <v>0</v>
      </c>
      <c r="S51" s="75">
        <v>0</v>
      </c>
      <c r="T51" s="75">
        <v>0</v>
      </c>
      <c r="U51" s="75">
        <v>0</v>
      </c>
      <c r="V51" s="75">
        <v>0</v>
      </c>
      <c r="W51" s="75">
        <v>0</v>
      </c>
      <c r="X51" s="75">
        <v>0</v>
      </c>
      <c r="Y51" s="75">
        <v>0</v>
      </c>
      <c r="Z51" s="75">
        <v>0</v>
      </c>
      <c r="AA51" s="75">
        <v>0</v>
      </c>
      <c r="AB51" s="75">
        <v>0</v>
      </c>
      <c r="AC51" s="75">
        <v>0</v>
      </c>
      <c r="AD51" s="75">
        <v>0</v>
      </c>
      <c r="AE51" s="75">
        <v>0</v>
      </c>
      <c r="AF51" s="75">
        <v>0</v>
      </c>
      <c r="AG51" s="75">
        <v>0</v>
      </c>
      <c r="AH51" s="75">
        <v>0</v>
      </c>
      <c r="AI51" s="75">
        <v>0</v>
      </c>
      <c r="AJ51" s="75">
        <v>0</v>
      </c>
      <c r="AK51" s="75">
        <v>0</v>
      </c>
      <c r="AL51" s="75">
        <v>0</v>
      </c>
      <c r="AM51" s="75">
        <v>0</v>
      </c>
      <c r="AN51" s="75">
        <v>0</v>
      </c>
      <c r="AO51" s="75">
        <v>0</v>
      </c>
      <c r="AP51" s="75">
        <v>0</v>
      </c>
      <c r="AQ51" s="75">
        <v>0</v>
      </c>
      <c r="AR51" s="75">
        <v>0</v>
      </c>
      <c r="AS51" s="75">
        <v>0</v>
      </c>
      <c r="AT51" s="75">
        <v>0</v>
      </c>
      <c r="AU51" s="75">
        <v>0</v>
      </c>
      <c r="AV51" s="75">
        <v>0</v>
      </c>
      <c r="AW51" s="75">
        <v>0</v>
      </c>
      <c r="AX51" s="75">
        <v>0</v>
      </c>
      <c r="AY51" s="84">
        <v>3</v>
      </c>
      <c r="AZ51" s="84">
        <v>4</v>
      </c>
      <c r="BA51" s="84">
        <v>8</v>
      </c>
      <c r="BB51" s="75">
        <v>0</v>
      </c>
      <c r="BC51" s="75">
        <v>2</v>
      </c>
      <c r="BD51" s="75">
        <v>0</v>
      </c>
      <c r="BE51" s="75">
        <v>0</v>
      </c>
      <c r="BF51" s="75">
        <v>2</v>
      </c>
      <c r="BG51" s="75">
        <v>0</v>
      </c>
      <c r="BH51" s="75">
        <v>0</v>
      </c>
      <c r="BM51" s="75">
        <f t="shared" si="7"/>
        <v>0</v>
      </c>
      <c r="BN51" s="75">
        <f t="shared" si="8"/>
        <v>0</v>
      </c>
      <c r="BO51" s="75">
        <f t="shared" si="6"/>
        <v>19</v>
      </c>
      <c r="BP51" s="75">
        <f t="shared" si="5"/>
        <v>19</v>
      </c>
      <c r="BR51" s="252">
        <v>4190</v>
      </c>
      <c r="BT51" s="110">
        <v>0</v>
      </c>
      <c r="BV51" s="75" t="s">
        <v>360</v>
      </c>
    </row>
    <row r="52" spans="1:74" x14ac:dyDescent="0.75">
      <c r="B52">
        <v>659</v>
      </c>
      <c r="C52" s="317">
        <v>573</v>
      </c>
      <c r="D52" s="75" t="s">
        <v>357</v>
      </c>
      <c r="E52" s="75" t="s">
        <v>358</v>
      </c>
      <c r="F52" s="75" t="s">
        <v>359</v>
      </c>
      <c r="G52" s="75" t="s">
        <v>28</v>
      </c>
      <c r="H52" s="84">
        <v>18.315639999999998</v>
      </c>
      <c r="I52" s="84">
        <v>-64.725899999999996</v>
      </c>
      <c r="J52" s="81">
        <v>44677</v>
      </c>
      <c r="K52" s="75" t="s">
        <v>361</v>
      </c>
      <c r="L52" s="75" t="s">
        <v>360</v>
      </c>
      <c r="M52" s="75">
        <v>0</v>
      </c>
      <c r="N52" s="75">
        <v>3</v>
      </c>
      <c r="O52" s="75" t="s">
        <v>362</v>
      </c>
      <c r="P52" s="75">
        <f>SUM(TreatmentUsed!E339:E353)</f>
        <v>98</v>
      </c>
      <c r="Q52" s="75" t="s">
        <v>364</v>
      </c>
      <c r="R52" s="75">
        <v>0</v>
      </c>
      <c r="S52" s="75">
        <v>0</v>
      </c>
      <c r="T52" s="75">
        <v>0</v>
      </c>
      <c r="U52" s="75">
        <v>0</v>
      </c>
      <c r="V52" s="75">
        <v>0</v>
      </c>
      <c r="W52" s="75">
        <v>0</v>
      </c>
      <c r="X52" s="75">
        <v>0</v>
      </c>
      <c r="Y52" s="75">
        <v>0</v>
      </c>
      <c r="Z52" s="75">
        <v>0</v>
      </c>
      <c r="AA52" s="75">
        <v>0</v>
      </c>
      <c r="AB52" s="75">
        <v>0</v>
      </c>
      <c r="AC52" s="75">
        <v>0</v>
      </c>
      <c r="AD52" s="75">
        <v>0</v>
      </c>
      <c r="AE52" s="75">
        <v>0</v>
      </c>
      <c r="AF52" s="75">
        <v>0</v>
      </c>
      <c r="AG52" s="75">
        <v>0</v>
      </c>
      <c r="AH52" s="75">
        <v>0</v>
      </c>
      <c r="AI52" s="75">
        <v>0</v>
      </c>
      <c r="AJ52" s="75">
        <v>0</v>
      </c>
      <c r="AK52" s="75">
        <v>0</v>
      </c>
      <c r="AL52" s="75">
        <v>0</v>
      </c>
      <c r="AM52" s="75">
        <v>0</v>
      </c>
      <c r="AN52" s="75">
        <v>0</v>
      </c>
      <c r="AO52" s="75">
        <v>0</v>
      </c>
      <c r="AP52" s="75">
        <v>0</v>
      </c>
      <c r="AQ52" s="75">
        <v>0</v>
      </c>
      <c r="AR52" s="84">
        <v>0</v>
      </c>
      <c r="AS52" s="75">
        <v>0</v>
      </c>
      <c r="AT52" s="75">
        <v>0</v>
      </c>
      <c r="AU52" s="75">
        <v>0</v>
      </c>
      <c r="AV52" s="75">
        <v>0</v>
      </c>
      <c r="AW52" s="75">
        <v>0</v>
      </c>
      <c r="AX52" s="295">
        <v>1</v>
      </c>
      <c r="AY52" s="75">
        <v>3</v>
      </c>
      <c r="AZ52" s="84">
        <v>3</v>
      </c>
      <c r="BA52" s="84">
        <v>2</v>
      </c>
      <c r="BB52" s="75">
        <v>0</v>
      </c>
      <c r="BC52" s="75">
        <v>3</v>
      </c>
      <c r="BD52" s="75">
        <v>0</v>
      </c>
      <c r="BE52" s="75">
        <v>0</v>
      </c>
      <c r="BF52" s="75">
        <v>1</v>
      </c>
      <c r="BG52" s="75">
        <v>0</v>
      </c>
      <c r="BH52" s="295">
        <v>2</v>
      </c>
      <c r="BI52" s="84"/>
      <c r="BJ52" s="84"/>
      <c r="BK52" s="84"/>
      <c r="BM52" s="75">
        <f t="shared" si="7"/>
        <v>0</v>
      </c>
      <c r="BN52" s="75">
        <f t="shared" si="8"/>
        <v>0</v>
      </c>
      <c r="BO52" s="75">
        <f t="shared" si="6"/>
        <v>15</v>
      </c>
      <c r="BP52" s="75">
        <f t="shared" si="5"/>
        <v>15</v>
      </c>
      <c r="BQ52" s="80" t="s">
        <v>404</v>
      </c>
      <c r="BR52" s="252">
        <v>4133</v>
      </c>
      <c r="BT52" s="110">
        <v>0</v>
      </c>
      <c r="BV52" s="75" t="s">
        <v>360</v>
      </c>
    </row>
    <row r="53" spans="1:74" x14ac:dyDescent="0.75">
      <c r="B53">
        <v>660</v>
      </c>
      <c r="C53" s="2">
        <v>574</v>
      </c>
      <c r="D53" s="75" t="s">
        <v>357</v>
      </c>
      <c r="E53" s="75" t="s">
        <v>358</v>
      </c>
      <c r="F53" s="75" t="s">
        <v>359</v>
      </c>
      <c r="G53" s="75" t="s">
        <v>28</v>
      </c>
      <c r="H53" s="84">
        <v>18.315639999999998</v>
      </c>
      <c r="I53" s="84">
        <v>-64.725899999999996</v>
      </c>
      <c r="J53" s="81">
        <v>44677</v>
      </c>
      <c r="K53" s="75" t="s">
        <v>361</v>
      </c>
      <c r="L53" s="75" t="s">
        <v>360</v>
      </c>
      <c r="M53" s="75">
        <v>0</v>
      </c>
      <c r="N53" s="75">
        <v>3</v>
      </c>
      <c r="O53" s="75" t="s">
        <v>362</v>
      </c>
      <c r="P53" s="75">
        <f>SUM(TreatmentUsed!E354:E370)</f>
        <v>90</v>
      </c>
      <c r="Q53" s="75" t="s">
        <v>364</v>
      </c>
      <c r="R53" s="75">
        <v>0</v>
      </c>
      <c r="S53" s="75">
        <v>0</v>
      </c>
      <c r="T53" s="75">
        <v>0</v>
      </c>
      <c r="U53" s="75">
        <v>0</v>
      </c>
      <c r="V53" s="75">
        <v>0</v>
      </c>
      <c r="W53" s="75">
        <v>0</v>
      </c>
      <c r="X53" s="75">
        <v>0</v>
      </c>
      <c r="Y53" s="75">
        <v>0</v>
      </c>
      <c r="Z53" s="75">
        <v>0</v>
      </c>
      <c r="AA53" s="75">
        <v>0</v>
      </c>
      <c r="AB53" s="75">
        <v>0</v>
      </c>
      <c r="AC53" s="75">
        <v>0</v>
      </c>
      <c r="AD53" s="75">
        <v>0</v>
      </c>
      <c r="AE53" s="75">
        <v>0</v>
      </c>
      <c r="AF53" s="75">
        <v>0</v>
      </c>
      <c r="AG53" s="75">
        <v>0</v>
      </c>
      <c r="AH53" s="75">
        <v>0</v>
      </c>
      <c r="AI53" s="75">
        <v>0</v>
      </c>
      <c r="AJ53" s="75">
        <v>0</v>
      </c>
      <c r="AK53" s="75">
        <v>0</v>
      </c>
      <c r="AL53" s="75">
        <v>0</v>
      </c>
      <c r="AM53" s="75">
        <v>0</v>
      </c>
      <c r="AN53" s="75">
        <v>0</v>
      </c>
      <c r="AO53" s="75">
        <v>0</v>
      </c>
      <c r="AP53" s="75">
        <v>0</v>
      </c>
      <c r="AQ53" s="75">
        <v>1</v>
      </c>
      <c r="AR53" s="75">
        <v>0</v>
      </c>
      <c r="AS53" s="75">
        <v>0</v>
      </c>
      <c r="AT53" s="75">
        <v>0</v>
      </c>
      <c r="AU53" s="75">
        <v>0</v>
      </c>
      <c r="AV53" s="75">
        <v>0</v>
      </c>
      <c r="AW53" s="75">
        <v>0</v>
      </c>
      <c r="AX53" s="75">
        <v>0</v>
      </c>
      <c r="AY53" s="84">
        <v>7</v>
      </c>
      <c r="AZ53" s="84">
        <v>0</v>
      </c>
      <c r="BA53" s="75">
        <v>6</v>
      </c>
      <c r="BB53" s="75">
        <v>0</v>
      </c>
      <c r="BC53" s="75">
        <v>1</v>
      </c>
      <c r="BD53" s="75">
        <v>0</v>
      </c>
      <c r="BE53" s="75">
        <v>0</v>
      </c>
      <c r="BF53" s="75">
        <v>2</v>
      </c>
      <c r="BG53" s="75">
        <v>0</v>
      </c>
      <c r="BH53" s="75">
        <v>0</v>
      </c>
      <c r="BM53" s="75">
        <f t="shared" si="7"/>
        <v>0</v>
      </c>
      <c r="BN53" s="75">
        <f t="shared" si="8"/>
        <v>0</v>
      </c>
      <c r="BO53" s="75">
        <f t="shared" si="6"/>
        <v>17</v>
      </c>
      <c r="BP53" s="75">
        <f t="shared" si="5"/>
        <v>17</v>
      </c>
      <c r="BT53" s="110">
        <v>0</v>
      </c>
      <c r="BV53" s="75" t="s">
        <v>360</v>
      </c>
    </row>
    <row r="54" spans="1:74" x14ac:dyDescent="0.75">
      <c r="B54">
        <v>661</v>
      </c>
      <c r="C54" s="2">
        <v>575</v>
      </c>
      <c r="D54" s="75" t="s">
        <v>357</v>
      </c>
      <c r="E54" s="75" t="s">
        <v>358</v>
      </c>
      <c r="F54" s="75" t="s">
        <v>359</v>
      </c>
      <c r="G54" s="75" t="s">
        <v>48</v>
      </c>
      <c r="H54" s="84">
        <v>18.363399999999999</v>
      </c>
      <c r="I54" s="84">
        <v>-64.706067000000004</v>
      </c>
      <c r="J54" s="81">
        <v>44679</v>
      </c>
      <c r="K54" s="75" t="s">
        <v>361</v>
      </c>
      <c r="L54" s="75" t="s">
        <v>360</v>
      </c>
      <c r="M54" s="75">
        <v>0</v>
      </c>
      <c r="N54" s="75">
        <v>3</v>
      </c>
      <c r="O54" s="75" t="s">
        <v>362</v>
      </c>
      <c r="P54" s="75">
        <f>SUM(TreatmentUsed!E393:E408)</f>
        <v>57</v>
      </c>
      <c r="Q54" s="75" t="s">
        <v>364</v>
      </c>
      <c r="R54" s="75">
        <v>0</v>
      </c>
      <c r="S54" s="75">
        <v>0</v>
      </c>
      <c r="T54" s="75">
        <v>0</v>
      </c>
      <c r="U54" s="75">
        <v>0</v>
      </c>
      <c r="V54" s="75">
        <v>0</v>
      </c>
      <c r="W54" s="75">
        <v>0</v>
      </c>
      <c r="X54" s="75">
        <v>0</v>
      </c>
      <c r="Y54" s="75">
        <v>0</v>
      </c>
      <c r="Z54" s="75">
        <v>0</v>
      </c>
      <c r="AA54" s="75">
        <v>0</v>
      </c>
      <c r="AB54" s="75">
        <v>0</v>
      </c>
      <c r="AC54" s="75">
        <v>0</v>
      </c>
      <c r="AD54" s="75">
        <v>0</v>
      </c>
      <c r="AE54" s="75">
        <v>0</v>
      </c>
      <c r="AF54" s="75">
        <v>0</v>
      </c>
      <c r="AG54" s="75">
        <v>0</v>
      </c>
      <c r="AH54" s="75">
        <v>0</v>
      </c>
      <c r="AI54" s="75">
        <v>0</v>
      </c>
      <c r="AJ54" s="75">
        <v>0</v>
      </c>
      <c r="AK54" s="75">
        <v>0</v>
      </c>
      <c r="AL54" s="75">
        <v>0</v>
      </c>
      <c r="AM54" s="75">
        <v>0</v>
      </c>
      <c r="AN54" s="75">
        <v>0</v>
      </c>
      <c r="AO54" s="75">
        <v>0</v>
      </c>
      <c r="AP54" s="75">
        <v>0</v>
      </c>
      <c r="AQ54" s="75">
        <v>0</v>
      </c>
      <c r="AR54" s="75">
        <v>0</v>
      </c>
      <c r="AS54" s="75">
        <v>0</v>
      </c>
      <c r="AT54" s="75">
        <v>0</v>
      </c>
      <c r="AU54" s="75">
        <v>0</v>
      </c>
      <c r="AV54" s="75">
        <v>0</v>
      </c>
      <c r="AW54" s="75">
        <v>0</v>
      </c>
      <c r="AX54" s="75">
        <v>0</v>
      </c>
      <c r="AY54" s="75">
        <v>9</v>
      </c>
      <c r="AZ54" s="84">
        <v>0</v>
      </c>
      <c r="BA54" s="84">
        <v>6</v>
      </c>
      <c r="BB54" s="84">
        <v>0</v>
      </c>
      <c r="BC54" s="75">
        <v>0</v>
      </c>
      <c r="BD54" s="75">
        <v>0</v>
      </c>
      <c r="BE54" s="75">
        <v>0</v>
      </c>
      <c r="BF54" s="75">
        <v>1</v>
      </c>
      <c r="BG54" s="75">
        <v>0</v>
      </c>
      <c r="BH54" s="75">
        <v>0</v>
      </c>
      <c r="BM54" s="75">
        <f t="shared" si="7"/>
        <v>0</v>
      </c>
      <c r="BN54" s="75">
        <f t="shared" si="8"/>
        <v>0</v>
      </c>
      <c r="BO54" s="75">
        <f t="shared" si="6"/>
        <v>16</v>
      </c>
      <c r="BP54" s="75">
        <f t="shared" si="5"/>
        <v>16</v>
      </c>
      <c r="BT54" s="110">
        <v>0</v>
      </c>
      <c r="BV54" s="75" t="s">
        <v>360</v>
      </c>
    </row>
    <row r="55" spans="1:74" x14ac:dyDescent="0.75">
      <c r="B55">
        <v>662</v>
      </c>
      <c r="C55" s="317">
        <v>576</v>
      </c>
      <c r="D55" s="75" t="s">
        <v>357</v>
      </c>
      <c r="E55" s="75" t="s">
        <v>358</v>
      </c>
      <c r="F55" s="75" t="s">
        <v>359</v>
      </c>
      <c r="G55" s="75" t="s">
        <v>44</v>
      </c>
      <c r="H55" s="84">
        <v>18.364650000000001</v>
      </c>
      <c r="I55" s="84">
        <v>-64.726183000000006</v>
      </c>
      <c r="J55" s="81">
        <v>44679</v>
      </c>
      <c r="K55" s="75" t="s">
        <v>361</v>
      </c>
      <c r="L55" s="75" t="s">
        <v>360</v>
      </c>
      <c r="M55" s="75">
        <v>0</v>
      </c>
      <c r="N55" s="75">
        <v>3</v>
      </c>
      <c r="O55" s="75" t="s">
        <v>362</v>
      </c>
      <c r="P55" s="75">
        <f>SUM(TreatmentUsed!E371:E392)</f>
        <v>151</v>
      </c>
      <c r="Q55" s="75" t="s">
        <v>364</v>
      </c>
      <c r="R55" s="75">
        <v>0</v>
      </c>
      <c r="S55" s="75">
        <v>0</v>
      </c>
      <c r="T55" s="75">
        <v>0</v>
      </c>
      <c r="U55" s="75">
        <v>0</v>
      </c>
      <c r="V55" s="75">
        <v>0</v>
      </c>
      <c r="W55" s="75">
        <v>0</v>
      </c>
      <c r="X55" s="75">
        <v>0</v>
      </c>
      <c r="Y55" s="75">
        <v>0</v>
      </c>
      <c r="Z55" s="75">
        <v>0</v>
      </c>
      <c r="AA55" s="75">
        <v>0</v>
      </c>
      <c r="AB55" s="75">
        <v>0</v>
      </c>
      <c r="AC55" s="75">
        <v>0</v>
      </c>
      <c r="AD55" s="75">
        <v>0</v>
      </c>
      <c r="AE55" s="75">
        <v>0</v>
      </c>
      <c r="AF55" s="75">
        <v>0</v>
      </c>
      <c r="AG55" s="75">
        <v>0</v>
      </c>
      <c r="AH55" s="75">
        <v>0</v>
      </c>
      <c r="AI55" s="75">
        <v>0</v>
      </c>
      <c r="AJ55" s="75">
        <v>0</v>
      </c>
      <c r="AK55" s="75">
        <v>0</v>
      </c>
      <c r="AL55" s="75">
        <v>0</v>
      </c>
      <c r="AM55" s="75">
        <v>0</v>
      </c>
      <c r="AN55" s="75">
        <v>0</v>
      </c>
      <c r="AO55" s="75">
        <v>1</v>
      </c>
      <c r="AP55" s="75">
        <v>0</v>
      </c>
      <c r="AQ55" s="75">
        <v>0</v>
      </c>
      <c r="AR55" s="75">
        <v>0</v>
      </c>
      <c r="AS55" s="75">
        <v>0</v>
      </c>
      <c r="AT55" s="75">
        <v>0</v>
      </c>
      <c r="AU55" s="75">
        <v>0</v>
      </c>
      <c r="AV55" s="75">
        <v>0</v>
      </c>
      <c r="AW55" s="75">
        <v>0</v>
      </c>
      <c r="AX55" s="75">
        <v>0</v>
      </c>
      <c r="AY55" s="75">
        <v>6</v>
      </c>
      <c r="AZ55" s="84">
        <v>3</v>
      </c>
      <c r="BA55" s="84">
        <v>4</v>
      </c>
      <c r="BB55" s="84">
        <v>1</v>
      </c>
      <c r="BC55" s="75">
        <v>4</v>
      </c>
      <c r="BD55" s="75">
        <v>0</v>
      </c>
      <c r="BE55" s="295">
        <v>1</v>
      </c>
      <c r="BF55" s="75">
        <v>0</v>
      </c>
      <c r="BG55" s="75">
        <v>0</v>
      </c>
      <c r="BH55" s="295">
        <v>2</v>
      </c>
      <c r="BI55" s="84"/>
      <c r="BJ55" s="84"/>
      <c r="BK55" s="84"/>
      <c r="BM55" s="75">
        <f t="shared" si="7"/>
        <v>0</v>
      </c>
      <c r="BN55" s="75">
        <f t="shared" si="8"/>
        <v>0</v>
      </c>
      <c r="BO55" s="75">
        <f t="shared" si="6"/>
        <v>22</v>
      </c>
      <c r="BP55" s="75">
        <f t="shared" si="5"/>
        <v>22</v>
      </c>
      <c r="BQ55" s="293" t="s">
        <v>404</v>
      </c>
      <c r="BT55" s="110">
        <v>0</v>
      </c>
      <c r="BV55" s="75" t="s">
        <v>360</v>
      </c>
    </row>
    <row r="56" spans="1:74" s="205" customFormat="1" x14ac:dyDescent="0.75">
      <c r="A56" s="205">
        <v>583</v>
      </c>
      <c r="B56" s="224">
        <v>588</v>
      </c>
      <c r="C56" s="269">
        <v>589</v>
      </c>
      <c r="D56" s="225" t="s">
        <v>357</v>
      </c>
      <c r="E56" s="225" t="s">
        <v>358</v>
      </c>
      <c r="F56" s="225" t="s">
        <v>359</v>
      </c>
      <c r="G56" s="225" t="s">
        <v>23</v>
      </c>
      <c r="H56" s="225">
        <v>18.365749999999998</v>
      </c>
      <c r="I56" s="225">
        <v>-64.773619999999994</v>
      </c>
      <c r="J56" s="228">
        <v>44694</v>
      </c>
      <c r="K56" s="225" t="s">
        <v>360</v>
      </c>
      <c r="L56" s="225" t="s">
        <v>361</v>
      </c>
      <c r="M56" s="225">
        <v>0</v>
      </c>
      <c r="N56" s="225">
        <v>2</v>
      </c>
      <c r="O56" s="225" t="s">
        <v>362</v>
      </c>
      <c r="P56" s="231">
        <f>SUM(TreatmentUsed!E418:E419)</f>
        <v>12</v>
      </c>
      <c r="Q56" s="225" t="s">
        <v>364</v>
      </c>
      <c r="R56" s="225">
        <v>0</v>
      </c>
      <c r="S56" s="225">
        <v>0</v>
      </c>
      <c r="T56" s="225">
        <v>0</v>
      </c>
      <c r="U56" s="225">
        <v>0</v>
      </c>
      <c r="V56" s="225">
        <v>0</v>
      </c>
      <c r="W56" s="225">
        <v>0</v>
      </c>
      <c r="X56" s="225">
        <v>0</v>
      </c>
      <c r="Y56" s="225">
        <v>0</v>
      </c>
      <c r="Z56" s="225">
        <v>0</v>
      </c>
      <c r="AA56" s="225">
        <v>0</v>
      </c>
      <c r="AB56" s="225">
        <v>0</v>
      </c>
      <c r="AC56" s="225">
        <v>0</v>
      </c>
      <c r="AD56" s="225">
        <v>0</v>
      </c>
      <c r="AE56" s="225">
        <v>0</v>
      </c>
      <c r="AF56" s="225">
        <v>0</v>
      </c>
      <c r="AG56" s="225">
        <v>0</v>
      </c>
      <c r="AH56" s="225">
        <v>0</v>
      </c>
      <c r="AI56" s="225">
        <v>0</v>
      </c>
      <c r="AJ56" s="225">
        <v>0</v>
      </c>
      <c r="AK56" s="225">
        <v>0</v>
      </c>
      <c r="AL56" s="225">
        <v>0</v>
      </c>
      <c r="AM56" s="225">
        <v>0</v>
      </c>
      <c r="AN56" s="225">
        <v>0</v>
      </c>
      <c r="AO56" s="225">
        <v>0</v>
      </c>
      <c r="AP56" s="225">
        <v>0</v>
      </c>
      <c r="AQ56" s="225">
        <v>0</v>
      </c>
      <c r="AR56" s="225">
        <v>0</v>
      </c>
      <c r="AS56" s="225">
        <v>0</v>
      </c>
      <c r="AT56" s="225">
        <v>0</v>
      </c>
      <c r="AU56" s="225">
        <v>0</v>
      </c>
      <c r="AV56" s="225">
        <v>0</v>
      </c>
      <c r="AW56" s="225">
        <v>0</v>
      </c>
      <c r="AX56" s="225">
        <v>0</v>
      </c>
      <c r="AY56" s="225">
        <v>0</v>
      </c>
      <c r="AZ56" s="225">
        <v>1</v>
      </c>
      <c r="BA56" s="225">
        <v>1</v>
      </c>
      <c r="BB56" s="225">
        <v>0</v>
      </c>
      <c r="BC56" s="225">
        <v>0</v>
      </c>
      <c r="BD56" s="225">
        <v>0</v>
      </c>
      <c r="BE56" s="225">
        <v>0</v>
      </c>
      <c r="BF56" s="225">
        <v>0</v>
      </c>
      <c r="BG56" s="225">
        <v>0</v>
      </c>
      <c r="BH56" s="225">
        <v>0</v>
      </c>
      <c r="BI56" s="225"/>
      <c r="BJ56" s="225"/>
      <c r="BK56" s="225"/>
      <c r="BL56" s="225"/>
      <c r="BM56" s="225">
        <f t="shared" si="7"/>
        <v>0</v>
      </c>
      <c r="BN56" s="225">
        <f t="shared" si="8"/>
        <v>0</v>
      </c>
      <c r="BO56" s="225">
        <f t="shared" si="6"/>
        <v>2</v>
      </c>
      <c r="BP56" s="225">
        <f t="shared" si="5"/>
        <v>2</v>
      </c>
      <c r="BQ56" s="229" t="s">
        <v>373</v>
      </c>
      <c r="BR56" s="249" t="s">
        <v>405</v>
      </c>
      <c r="BS56" s="230"/>
      <c r="BT56" s="110">
        <v>0</v>
      </c>
      <c r="BU56" s="225"/>
      <c r="BV56" s="225" t="s">
        <v>360</v>
      </c>
    </row>
    <row r="57" spans="1:74" x14ac:dyDescent="0.75">
      <c r="A57">
        <v>584</v>
      </c>
      <c r="B57" s="2">
        <v>589</v>
      </c>
      <c r="C57" s="267">
        <v>590</v>
      </c>
      <c r="D57" s="75" t="s">
        <v>357</v>
      </c>
      <c r="E57" s="75" t="s">
        <v>358</v>
      </c>
      <c r="F57" s="75" t="s">
        <v>359</v>
      </c>
      <c r="G57" s="75" t="s">
        <v>23</v>
      </c>
      <c r="H57" s="75">
        <v>18.365749999999998</v>
      </c>
      <c r="I57" s="75">
        <v>-64.773619999999994</v>
      </c>
      <c r="J57" s="79">
        <v>44694</v>
      </c>
      <c r="K57" s="75" t="s">
        <v>360</v>
      </c>
      <c r="L57" s="75" t="s">
        <v>367</v>
      </c>
      <c r="M57" s="75">
        <v>0</v>
      </c>
      <c r="N57" s="75">
        <v>2</v>
      </c>
      <c r="O57" s="75" t="s">
        <v>362</v>
      </c>
      <c r="P57" s="83">
        <f>SUM(TreatmentUsed!E420:E422)</f>
        <v>47</v>
      </c>
      <c r="Q57" s="75" t="s">
        <v>364</v>
      </c>
      <c r="R57" s="75">
        <v>0</v>
      </c>
      <c r="S57" s="75">
        <v>0</v>
      </c>
      <c r="T57" s="75">
        <v>0</v>
      </c>
      <c r="U57" s="75">
        <v>0</v>
      </c>
      <c r="V57" s="75">
        <v>0</v>
      </c>
      <c r="W57" s="75">
        <v>0</v>
      </c>
      <c r="X57" s="75">
        <v>0</v>
      </c>
      <c r="Y57" s="75">
        <v>0</v>
      </c>
      <c r="Z57" s="75">
        <v>0</v>
      </c>
      <c r="AA57" s="75">
        <v>0</v>
      </c>
      <c r="AB57" s="75">
        <v>0</v>
      </c>
      <c r="AC57" s="75">
        <v>0</v>
      </c>
      <c r="AD57" s="75">
        <v>0</v>
      </c>
      <c r="AE57" s="75">
        <v>0</v>
      </c>
      <c r="AF57" s="75">
        <v>0</v>
      </c>
      <c r="AG57" s="75">
        <v>0</v>
      </c>
      <c r="AH57" s="75">
        <v>0</v>
      </c>
      <c r="AI57" s="75">
        <v>0</v>
      </c>
      <c r="AJ57" s="75">
        <v>0</v>
      </c>
      <c r="AK57" s="75">
        <v>0</v>
      </c>
      <c r="AL57" s="75">
        <v>0</v>
      </c>
      <c r="AM57" s="75">
        <v>0</v>
      </c>
      <c r="AN57" s="75">
        <v>0</v>
      </c>
      <c r="AO57" s="75">
        <v>0</v>
      </c>
      <c r="AP57" s="75">
        <v>0</v>
      </c>
      <c r="AQ57" s="75">
        <v>1</v>
      </c>
      <c r="AR57" s="75">
        <v>0</v>
      </c>
      <c r="AS57" s="75">
        <v>0</v>
      </c>
      <c r="AT57" s="75">
        <v>0</v>
      </c>
      <c r="AU57" s="75">
        <v>0</v>
      </c>
      <c r="AV57" s="75">
        <v>0</v>
      </c>
      <c r="AW57" s="75">
        <v>0</v>
      </c>
      <c r="AX57" s="75">
        <v>0</v>
      </c>
      <c r="AY57" s="75">
        <v>0</v>
      </c>
      <c r="AZ57" s="75">
        <v>0</v>
      </c>
      <c r="BA57" s="75">
        <v>1</v>
      </c>
      <c r="BB57" s="75">
        <v>0</v>
      </c>
      <c r="BC57" s="75">
        <v>0</v>
      </c>
      <c r="BD57" s="75">
        <v>0</v>
      </c>
      <c r="BE57" s="75">
        <v>0</v>
      </c>
      <c r="BF57" s="75">
        <v>1</v>
      </c>
      <c r="BG57" s="75">
        <v>0</v>
      </c>
      <c r="BH57" s="75">
        <v>0</v>
      </c>
      <c r="BM57" s="75">
        <f t="shared" si="7"/>
        <v>0</v>
      </c>
      <c r="BN57" s="75">
        <f t="shared" si="8"/>
        <v>0</v>
      </c>
      <c r="BO57" s="75">
        <f t="shared" si="6"/>
        <v>3</v>
      </c>
      <c r="BP57" s="75">
        <f t="shared" si="5"/>
        <v>3</v>
      </c>
      <c r="BQ57" s="80" t="s">
        <v>373</v>
      </c>
      <c r="BR57" s="138">
        <v>3884</v>
      </c>
      <c r="BT57" s="110">
        <v>0</v>
      </c>
      <c r="BV57" s="75" t="s">
        <v>360</v>
      </c>
    </row>
    <row r="58" spans="1:74" x14ac:dyDescent="0.75">
      <c r="A58">
        <v>585</v>
      </c>
      <c r="B58" s="2">
        <v>590</v>
      </c>
      <c r="C58" s="267">
        <v>591</v>
      </c>
      <c r="D58" s="75" t="s">
        <v>357</v>
      </c>
      <c r="E58" s="75" t="s">
        <v>358</v>
      </c>
      <c r="F58" s="75" t="s">
        <v>359</v>
      </c>
      <c r="G58" s="75" t="s">
        <v>39</v>
      </c>
      <c r="H58" s="75">
        <v>18.357482999999998</v>
      </c>
      <c r="I58" s="75">
        <v>-64.751949999999994</v>
      </c>
      <c r="J58" s="79">
        <v>44694</v>
      </c>
      <c r="K58" s="75" t="s">
        <v>360</v>
      </c>
      <c r="L58" s="75" t="s">
        <v>361</v>
      </c>
      <c r="M58" s="75">
        <v>0</v>
      </c>
      <c r="N58" s="75">
        <v>2</v>
      </c>
      <c r="O58" s="75" t="s">
        <v>362</v>
      </c>
      <c r="P58" s="83">
        <f>SUM(TreatmentUsed!E409:E415)</f>
        <v>70</v>
      </c>
      <c r="Q58" s="75" t="s">
        <v>364</v>
      </c>
      <c r="R58" s="75">
        <v>0</v>
      </c>
      <c r="S58" s="75">
        <v>0</v>
      </c>
      <c r="T58" s="75">
        <v>0</v>
      </c>
      <c r="U58" s="75">
        <v>0</v>
      </c>
      <c r="V58" s="75">
        <v>0</v>
      </c>
      <c r="W58" s="75">
        <v>0</v>
      </c>
      <c r="X58" s="75">
        <v>0</v>
      </c>
      <c r="Y58" s="75">
        <v>0</v>
      </c>
      <c r="Z58" s="75">
        <v>0</v>
      </c>
      <c r="AA58" s="75">
        <v>0</v>
      </c>
      <c r="AB58" s="75">
        <v>0</v>
      </c>
      <c r="AC58" s="75">
        <v>0</v>
      </c>
      <c r="AD58" s="75">
        <v>0</v>
      </c>
      <c r="AE58" s="75">
        <v>0</v>
      </c>
      <c r="AF58" s="75">
        <v>0</v>
      </c>
      <c r="AG58" s="75">
        <v>0</v>
      </c>
      <c r="AH58" s="75">
        <v>0</v>
      </c>
      <c r="AI58" s="75">
        <v>0</v>
      </c>
      <c r="AJ58" s="75">
        <v>0</v>
      </c>
      <c r="AK58" s="75">
        <v>0</v>
      </c>
      <c r="AL58" s="75">
        <v>0</v>
      </c>
      <c r="AM58" s="75">
        <v>0</v>
      </c>
      <c r="AN58" s="75">
        <v>0</v>
      </c>
      <c r="AO58" s="75">
        <v>0</v>
      </c>
      <c r="AP58" s="75">
        <v>0</v>
      </c>
      <c r="AQ58" s="75">
        <v>0</v>
      </c>
      <c r="AR58" s="75">
        <v>0</v>
      </c>
      <c r="AS58" s="75">
        <v>1</v>
      </c>
      <c r="AT58" s="75">
        <v>2</v>
      </c>
      <c r="AU58" s="75">
        <v>0</v>
      </c>
      <c r="AV58" s="75">
        <v>0</v>
      </c>
      <c r="AW58" s="75">
        <v>0</v>
      </c>
      <c r="AX58" s="75">
        <v>0</v>
      </c>
      <c r="AY58" s="75">
        <v>0</v>
      </c>
      <c r="AZ58" s="75">
        <v>0</v>
      </c>
      <c r="BA58" s="75">
        <v>0</v>
      </c>
      <c r="BB58" s="75">
        <v>0</v>
      </c>
      <c r="BC58" s="75">
        <v>4</v>
      </c>
      <c r="BD58" s="75">
        <v>0</v>
      </c>
      <c r="BE58" s="75">
        <v>0</v>
      </c>
      <c r="BF58" s="75">
        <v>0</v>
      </c>
      <c r="BG58" s="75">
        <v>0</v>
      </c>
      <c r="BH58" s="75">
        <v>0</v>
      </c>
      <c r="BM58" s="75">
        <f t="shared" si="7"/>
        <v>0</v>
      </c>
      <c r="BN58" s="75">
        <f t="shared" si="8"/>
        <v>0</v>
      </c>
      <c r="BO58" s="75">
        <f t="shared" si="6"/>
        <v>7</v>
      </c>
      <c r="BP58" s="75">
        <f t="shared" si="5"/>
        <v>7</v>
      </c>
      <c r="BQ58" s="80" t="s">
        <v>406</v>
      </c>
      <c r="BR58" s="138">
        <v>3883</v>
      </c>
      <c r="BT58" s="110">
        <v>0</v>
      </c>
      <c r="BV58" s="75" t="s">
        <v>360</v>
      </c>
    </row>
    <row r="59" spans="1:74" x14ac:dyDescent="0.75">
      <c r="A59">
        <v>586</v>
      </c>
      <c r="B59" s="2">
        <v>591</v>
      </c>
      <c r="C59" s="267">
        <v>592</v>
      </c>
      <c r="D59" s="75" t="s">
        <v>357</v>
      </c>
      <c r="E59" s="75" t="s">
        <v>358</v>
      </c>
      <c r="F59" s="75" t="s">
        <v>359</v>
      </c>
      <c r="G59" s="75" t="s">
        <v>39</v>
      </c>
      <c r="H59" s="75">
        <v>18.357482999999998</v>
      </c>
      <c r="I59" s="75">
        <v>-64.751949999999994</v>
      </c>
      <c r="J59" s="79">
        <v>44694</v>
      </c>
      <c r="K59" s="75" t="s">
        <v>360</v>
      </c>
      <c r="L59" s="75" t="s">
        <v>367</v>
      </c>
      <c r="M59" s="75">
        <v>0</v>
      </c>
      <c r="N59" s="75">
        <v>2</v>
      </c>
      <c r="O59" s="75" t="s">
        <v>362</v>
      </c>
      <c r="P59" s="83">
        <f>SUM(TreatmentUsed!E416:E417)</f>
        <v>9</v>
      </c>
      <c r="Q59" s="75" t="s">
        <v>364</v>
      </c>
      <c r="R59" s="75">
        <v>0</v>
      </c>
      <c r="S59" s="75">
        <v>0</v>
      </c>
      <c r="T59" s="75">
        <v>0</v>
      </c>
      <c r="U59" s="75">
        <v>0</v>
      </c>
      <c r="V59" s="75">
        <v>0</v>
      </c>
      <c r="W59" s="75">
        <v>0</v>
      </c>
      <c r="X59" s="75">
        <v>0</v>
      </c>
      <c r="Y59" s="75">
        <v>0</v>
      </c>
      <c r="Z59" s="75">
        <v>0</v>
      </c>
      <c r="AA59" s="75">
        <v>0</v>
      </c>
      <c r="AB59" s="75">
        <v>0</v>
      </c>
      <c r="AC59" s="75">
        <v>0</v>
      </c>
      <c r="AD59" s="75">
        <v>0</v>
      </c>
      <c r="AE59" s="75">
        <v>0</v>
      </c>
      <c r="AF59" s="75">
        <v>0</v>
      </c>
      <c r="AG59" s="75">
        <v>0</v>
      </c>
      <c r="AH59" s="75">
        <v>0</v>
      </c>
      <c r="AI59" s="75">
        <v>0</v>
      </c>
      <c r="AJ59" s="75">
        <v>0</v>
      </c>
      <c r="AK59" s="75">
        <v>0</v>
      </c>
      <c r="AL59" s="75">
        <v>0</v>
      </c>
      <c r="AM59" s="75">
        <v>0</v>
      </c>
      <c r="AN59" s="75">
        <v>0</v>
      </c>
      <c r="AO59" s="75">
        <v>0</v>
      </c>
      <c r="AP59" s="75">
        <v>0</v>
      </c>
      <c r="AQ59" s="75">
        <v>0</v>
      </c>
      <c r="AR59" s="75">
        <v>0</v>
      </c>
      <c r="AS59" s="75">
        <v>0</v>
      </c>
      <c r="AT59" s="75">
        <v>0</v>
      </c>
      <c r="AU59" s="75">
        <v>0</v>
      </c>
      <c r="AV59" s="75">
        <v>0</v>
      </c>
      <c r="AW59" s="75">
        <v>0</v>
      </c>
      <c r="AX59" s="75">
        <v>0</v>
      </c>
      <c r="AY59" s="75">
        <v>0</v>
      </c>
      <c r="AZ59" s="75">
        <v>0</v>
      </c>
      <c r="BA59" s="75">
        <v>0</v>
      </c>
      <c r="BB59" s="75">
        <v>0</v>
      </c>
      <c r="BC59" s="75">
        <v>2</v>
      </c>
      <c r="BD59" s="75">
        <v>0</v>
      </c>
      <c r="BE59" s="75">
        <v>0</v>
      </c>
      <c r="BF59" s="75">
        <v>0</v>
      </c>
      <c r="BG59" s="75">
        <v>0</v>
      </c>
      <c r="BH59" s="75">
        <v>0</v>
      </c>
      <c r="BM59" s="75">
        <f t="shared" si="7"/>
        <v>0</v>
      </c>
      <c r="BN59" s="75">
        <f t="shared" si="8"/>
        <v>0</v>
      </c>
      <c r="BO59" s="75">
        <f t="shared" si="6"/>
        <v>2</v>
      </c>
      <c r="BP59" s="75">
        <f t="shared" si="5"/>
        <v>2</v>
      </c>
      <c r="BQ59" s="80" t="s">
        <v>407</v>
      </c>
      <c r="BS59" s="110" t="s">
        <v>390</v>
      </c>
      <c r="BT59" s="110">
        <v>0</v>
      </c>
      <c r="BV59" s="75" t="s">
        <v>360</v>
      </c>
    </row>
    <row r="60" spans="1:74" x14ac:dyDescent="0.75">
      <c r="A60">
        <v>588</v>
      </c>
      <c r="B60" s="2">
        <v>593</v>
      </c>
      <c r="C60" s="270">
        <v>593</v>
      </c>
      <c r="D60" s="75" t="s">
        <v>357</v>
      </c>
      <c r="E60" s="75" t="s">
        <v>358</v>
      </c>
      <c r="F60" s="75" t="s">
        <v>359</v>
      </c>
      <c r="G60" s="75" t="s">
        <v>28</v>
      </c>
      <c r="H60" s="75">
        <v>18.315639999999998</v>
      </c>
      <c r="I60" s="75">
        <v>-64.725899999999996</v>
      </c>
      <c r="J60" s="79">
        <v>44698</v>
      </c>
      <c r="K60" s="75" t="s">
        <v>360</v>
      </c>
      <c r="L60" s="75" t="s">
        <v>361</v>
      </c>
      <c r="M60" s="75">
        <v>0</v>
      </c>
      <c r="N60" s="75">
        <v>3</v>
      </c>
      <c r="O60" s="75" t="s">
        <v>362</v>
      </c>
      <c r="P60" s="83">
        <f>SUM(TreatmentUsed!E423:E439)</f>
        <v>101</v>
      </c>
      <c r="Q60" s="75" t="s">
        <v>364</v>
      </c>
      <c r="R60" s="75">
        <v>0</v>
      </c>
      <c r="S60" s="75">
        <v>0</v>
      </c>
      <c r="T60" s="75">
        <v>0</v>
      </c>
      <c r="U60" s="75">
        <v>0</v>
      </c>
      <c r="V60" s="75">
        <v>0</v>
      </c>
      <c r="W60" s="75">
        <v>0</v>
      </c>
      <c r="X60" s="75">
        <v>0</v>
      </c>
      <c r="Y60" s="75">
        <v>0</v>
      </c>
      <c r="Z60" s="75">
        <v>0</v>
      </c>
      <c r="AA60" s="75">
        <v>0</v>
      </c>
      <c r="AB60" s="75">
        <v>0</v>
      </c>
      <c r="AC60" s="75">
        <v>0</v>
      </c>
      <c r="AD60" s="75">
        <v>0</v>
      </c>
      <c r="AE60" s="75">
        <v>0</v>
      </c>
      <c r="AF60" s="75">
        <v>0</v>
      </c>
      <c r="AG60" s="75">
        <v>0</v>
      </c>
      <c r="AH60" s="75">
        <v>0</v>
      </c>
      <c r="AI60" s="75">
        <v>0</v>
      </c>
      <c r="AJ60" s="75">
        <v>0</v>
      </c>
      <c r="AK60" s="75">
        <v>0</v>
      </c>
      <c r="AL60" s="75">
        <v>0</v>
      </c>
      <c r="AM60" s="75">
        <v>0</v>
      </c>
      <c r="AN60" s="75">
        <v>0</v>
      </c>
      <c r="AO60" s="75">
        <v>0</v>
      </c>
      <c r="AP60" s="75">
        <v>0</v>
      </c>
      <c r="AQ60" s="75">
        <v>1</v>
      </c>
      <c r="AR60" s="75">
        <v>0</v>
      </c>
      <c r="AS60" s="75">
        <v>0</v>
      </c>
      <c r="AT60" s="75">
        <v>0</v>
      </c>
      <c r="AU60" s="75">
        <v>0</v>
      </c>
      <c r="AV60" s="75">
        <v>0</v>
      </c>
      <c r="AW60" s="75">
        <v>0</v>
      </c>
      <c r="AX60" s="75">
        <v>0</v>
      </c>
      <c r="AY60" s="75">
        <v>7</v>
      </c>
      <c r="AZ60" s="75">
        <v>0</v>
      </c>
      <c r="BA60" s="75">
        <v>3</v>
      </c>
      <c r="BB60" s="75">
        <v>0</v>
      </c>
      <c r="BC60" s="75">
        <v>3</v>
      </c>
      <c r="BD60" s="75">
        <v>0</v>
      </c>
      <c r="BE60" s="75">
        <v>0</v>
      </c>
      <c r="BF60" s="75">
        <v>1</v>
      </c>
      <c r="BG60" s="75">
        <v>0</v>
      </c>
      <c r="BH60" s="75">
        <v>2</v>
      </c>
      <c r="BM60" s="75">
        <f t="shared" si="7"/>
        <v>0</v>
      </c>
      <c r="BN60" s="75">
        <f t="shared" si="8"/>
        <v>0</v>
      </c>
      <c r="BO60" s="75">
        <f t="shared" si="6"/>
        <v>17</v>
      </c>
      <c r="BP60" s="75">
        <f t="shared" si="5"/>
        <v>17</v>
      </c>
      <c r="BQ60" s="80" t="s">
        <v>408</v>
      </c>
      <c r="BR60" s="138">
        <v>4190</v>
      </c>
      <c r="BT60" s="110">
        <v>0</v>
      </c>
      <c r="BV60" s="75" t="s">
        <v>360</v>
      </c>
    </row>
    <row r="61" spans="1:74" x14ac:dyDescent="0.75">
      <c r="A61">
        <v>589</v>
      </c>
      <c r="B61" s="2">
        <v>594</v>
      </c>
      <c r="C61" s="270">
        <v>594</v>
      </c>
      <c r="D61" s="75" t="s">
        <v>357</v>
      </c>
      <c r="E61" s="75" t="s">
        <v>358</v>
      </c>
      <c r="F61" s="75" t="s">
        <v>359</v>
      </c>
      <c r="G61" s="75" t="s">
        <v>28</v>
      </c>
      <c r="H61" s="75">
        <v>18.315639999999998</v>
      </c>
      <c r="I61" s="75">
        <v>-64.725899999999996</v>
      </c>
      <c r="J61" s="79">
        <v>44698</v>
      </c>
      <c r="K61" s="75" t="s">
        <v>360</v>
      </c>
      <c r="L61" s="75" t="s">
        <v>367</v>
      </c>
      <c r="M61" s="75">
        <v>0</v>
      </c>
      <c r="N61" s="75">
        <v>3</v>
      </c>
      <c r="O61" s="75" t="s">
        <v>362</v>
      </c>
      <c r="P61" s="83">
        <f>SUM(TreatmentUsed!E440:E451)</f>
        <v>161</v>
      </c>
      <c r="Q61" s="75" t="s">
        <v>364</v>
      </c>
      <c r="R61" s="75">
        <v>0</v>
      </c>
      <c r="S61" s="75">
        <v>0</v>
      </c>
      <c r="T61" s="75">
        <v>0</v>
      </c>
      <c r="U61" s="75">
        <v>0</v>
      </c>
      <c r="V61" s="75">
        <v>0</v>
      </c>
      <c r="W61" s="75">
        <v>0</v>
      </c>
      <c r="X61" s="75">
        <v>0</v>
      </c>
      <c r="Y61" s="75">
        <v>0</v>
      </c>
      <c r="Z61" s="75">
        <v>0</v>
      </c>
      <c r="AA61" s="75">
        <v>0</v>
      </c>
      <c r="AB61" s="75">
        <v>0</v>
      </c>
      <c r="AC61" s="75">
        <v>0</v>
      </c>
      <c r="AD61" s="75">
        <v>0</v>
      </c>
      <c r="AE61" s="75">
        <v>0</v>
      </c>
      <c r="AF61" s="75">
        <v>0</v>
      </c>
      <c r="AG61" s="75">
        <v>0</v>
      </c>
      <c r="AH61" s="75">
        <v>0</v>
      </c>
      <c r="AI61" s="75">
        <v>0</v>
      </c>
      <c r="AJ61" s="75">
        <v>0</v>
      </c>
      <c r="AK61" s="75">
        <v>0</v>
      </c>
      <c r="AL61" s="75">
        <v>0</v>
      </c>
      <c r="AM61" s="75">
        <v>0</v>
      </c>
      <c r="AN61" s="75">
        <v>0</v>
      </c>
      <c r="AO61" s="75">
        <v>0</v>
      </c>
      <c r="AP61" s="75">
        <v>0</v>
      </c>
      <c r="AQ61" s="75">
        <v>0</v>
      </c>
      <c r="AR61" s="75">
        <v>0</v>
      </c>
      <c r="AS61" s="84">
        <v>5</v>
      </c>
      <c r="AT61" s="75">
        <v>1</v>
      </c>
      <c r="AU61" s="75">
        <v>1</v>
      </c>
      <c r="AV61" s="75">
        <v>0</v>
      </c>
      <c r="AW61" s="75">
        <v>0</v>
      </c>
      <c r="AX61" s="75">
        <v>0</v>
      </c>
      <c r="AY61" s="75">
        <v>0</v>
      </c>
      <c r="AZ61" s="75">
        <v>1</v>
      </c>
      <c r="BA61" s="75">
        <v>1</v>
      </c>
      <c r="BB61" s="75">
        <v>0</v>
      </c>
      <c r="BC61" s="75">
        <v>1</v>
      </c>
      <c r="BD61" s="75">
        <v>0</v>
      </c>
      <c r="BE61" s="75">
        <v>0</v>
      </c>
      <c r="BF61" s="75">
        <v>1</v>
      </c>
      <c r="BG61" s="75">
        <v>0</v>
      </c>
      <c r="BH61" s="75">
        <v>1</v>
      </c>
      <c r="BM61" s="75">
        <f t="shared" si="7"/>
        <v>0</v>
      </c>
      <c r="BN61" s="75">
        <f t="shared" si="8"/>
        <v>0</v>
      </c>
      <c r="BO61" s="75">
        <f t="shared" si="6"/>
        <v>12</v>
      </c>
      <c r="BP61" s="75">
        <f t="shared" si="5"/>
        <v>12</v>
      </c>
      <c r="BQ61" s="80" t="s">
        <v>409</v>
      </c>
      <c r="BT61" s="110">
        <v>0</v>
      </c>
      <c r="BV61" s="75" t="s">
        <v>360</v>
      </c>
    </row>
    <row r="62" spans="1:74" x14ac:dyDescent="0.75">
      <c r="A62">
        <v>590</v>
      </c>
      <c r="B62" s="2">
        <v>595</v>
      </c>
      <c r="C62" s="270">
        <v>595</v>
      </c>
      <c r="D62" s="75" t="s">
        <v>357</v>
      </c>
      <c r="E62" s="75" t="s">
        <v>358</v>
      </c>
      <c r="F62" s="75" t="s">
        <v>359</v>
      </c>
      <c r="G62" s="75" t="s">
        <v>28</v>
      </c>
      <c r="H62" s="75">
        <v>18.315639999999998</v>
      </c>
      <c r="I62" s="75">
        <v>-64.725899999999996</v>
      </c>
      <c r="J62" s="79">
        <v>44698</v>
      </c>
      <c r="K62" s="75" t="s">
        <v>360</v>
      </c>
      <c r="L62" s="75" t="s">
        <v>367</v>
      </c>
      <c r="M62" s="75">
        <v>0</v>
      </c>
      <c r="N62" s="75">
        <v>3</v>
      </c>
      <c r="O62" s="75" t="s">
        <v>362</v>
      </c>
      <c r="P62" s="83">
        <f>SUM(TreatmentUsed!E452:E461)</f>
        <v>150</v>
      </c>
      <c r="Q62" s="75" t="s">
        <v>364</v>
      </c>
      <c r="R62" s="75">
        <v>0</v>
      </c>
      <c r="S62" s="75">
        <v>0</v>
      </c>
      <c r="T62" s="75">
        <v>0</v>
      </c>
      <c r="U62" s="75">
        <v>0</v>
      </c>
      <c r="V62" s="75">
        <v>0</v>
      </c>
      <c r="W62" s="75">
        <v>0</v>
      </c>
      <c r="X62" s="75">
        <v>0</v>
      </c>
      <c r="Y62" s="75">
        <v>0</v>
      </c>
      <c r="Z62" s="75">
        <v>0</v>
      </c>
      <c r="AA62" s="75">
        <v>0</v>
      </c>
      <c r="AB62" s="75">
        <v>0</v>
      </c>
      <c r="AC62" s="75">
        <v>0</v>
      </c>
      <c r="AD62" s="75">
        <v>0</v>
      </c>
      <c r="AE62" s="75">
        <v>0</v>
      </c>
      <c r="AF62" s="75">
        <v>0</v>
      </c>
      <c r="AG62" s="75">
        <v>0</v>
      </c>
      <c r="AH62" s="75">
        <v>0</v>
      </c>
      <c r="AI62" s="75">
        <v>0</v>
      </c>
      <c r="AJ62" s="75">
        <v>0</v>
      </c>
      <c r="AK62" s="75">
        <v>0</v>
      </c>
      <c r="AL62" s="75">
        <v>0</v>
      </c>
      <c r="AM62" s="75">
        <v>0</v>
      </c>
      <c r="AN62" s="75">
        <v>0</v>
      </c>
      <c r="AO62" s="75">
        <v>0</v>
      </c>
      <c r="AP62" s="75">
        <v>0</v>
      </c>
      <c r="AQ62" s="75">
        <v>2</v>
      </c>
      <c r="AR62" s="75">
        <v>0</v>
      </c>
      <c r="AS62" s="75">
        <v>6</v>
      </c>
      <c r="AT62" s="75">
        <v>0</v>
      </c>
      <c r="AU62" s="75">
        <v>0</v>
      </c>
      <c r="AV62" s="75">
        <v>0</v>
      </c>
      <c r="AW62" s="75">
        <v>0</v>
      </c>
      <c r="AX62" s="75">
        <v>0</v>
      </c>
      <c r="AY62" s="75">
        <v>1</v>
      </c>
      <c r="AZ62" s="75">
        <v>0</v>
      </c>
      <c r="BA62" s="75">
        <v>1</v>
      </c>
      <c r="BB62" s="75">
        <v>0</v>
      </c>
      <c r="BC62" s="75">
        <v>0</v>
      </c>
      <c r="BD62" s="75">
        <v>0</v>
      </c>
      <c r="BE62" s="75">
        <v>0</v>
      </c>
      <c r="BF62" s="75">
        <v>0</v>
      </c>
      <c r="BG62" s="75">
        <v>0</v>
      </c>
      <c r="BH62" s="75">
        <v>0</v>
      </c>
      <c r="BM62" s="75">
        <f t="shared" si="7"/>
        <v>0</v>
      </c>
      <c r="BN62" s="75">
        <f t="shared" si="8"/>
        <v>0</v>
      </c>
      <c r="BO62" s="75">
        <f t="shared" si="6"/>
        <v>10</v>
      </c>
      <c r="BP62" s="75">
        <f t="shared" si="5"/>
        <v>10</v>
      </c>
      <c r="BQ62" s="80" t="s">
        <v>373</v>
      </c>
      <c r="BR62" s="138">
        <v>4133</v>
      </c>
      <c r="BT62" s="110">
        <v>0</v>
      </c>
      <c r="BV62" s="75" t="s">
        <v>360</v>
      </c>
    </row>
    <row r="63" spans="1:74" x14ac:dyDescent="0.75">
      <c r="A63">
        <v>592</v>
      </c>
      <c r="B63" s="2">
        <v>597</v>
      </c>
      <c r="C63" s="267">
        <v>596</v>
      </c>
      <c r="D63" s="75" t="s">
        <v>357</v>
      </c>
      <c r="E63" s="75" t="s">
        <v>358</v>
      </c>
      <c r="F63" s="75" t="s">
        <v>359</v>
      </c>
      <c r="G63" s="75" t="s">
        <v>64</v>
      </c>
      <c r="H63" s="75">
        <v>18.315639999999998</v>
      </c>
      <c r="I63" s="75">
        <v>-64.725899999999996</v>
      </c>
      <c r="J63" s="79">
        <v>44699</v>
      </c>
      <c r="K63" s="75" t="s">
        <v>367</v>
      </c>
      <c r="L63" s="75" t="s">
        <v>360</v>
      </c>
      <c r="M63" s="75">
        <v>2</v>
      </c>
      <c r="N63" s="75">
        <v>3</v>
      </c>
      <c r="O63" s="75" t="s">
        <v>362</v>
      </c>
      <c r="P63" s="83">
        <f>SUM(TreatmentUsed!E494:E509)</f>
        <v>87</v>
      </c>
      <c r="Q63" s="75" t="s">
        <v>364</v>
      </c>
      <c r="R63" s="75">
        <v>0</v>
      </c>
      <c r="S63" s="75">
        <v>0</v>
      </c>
      <c r="T63" s="75">
        <v>0</v>
      </c>
      <c r="U63" s="75">
        <v>0</v>
      </c>
      <c r="V63" s="75">
        <v>0</v>
      </c>
      <c r="W63" s="75">
        <v>0</v>
      </c>
      <c r="X63" s="75">
        <v>0</v>
      </c>
      <c r="Y63" s="75">
        <v>0</v>
      </c>
      <c r="Z63" s="75">
        <v>0</v>
      </c>
      <c r="AA63" s="75">
        <v>0</v>
      </c>
      <c r="AB63" s="75">
        <v>0</v>
      </c>
      <c r="AC63" s="75">
        <v>0</v>
      </c>
      <c r="AD63" s="75">
        <v>0</v>
      </c>
      <c r="AE63" s="75">
        <v>0</v>
      </c>
      <c r="AF63" s="75">
        <v>0</v>
      </c>
      <c r="AG63" s="75">
        <v>0</v>
      </c>
      <c r="AH63" s="75">
        <v>0</v>
      </c>
      <c r="AI63" s="75">
        <v>0</v>
      </c>
      <c r="AJ63" s="75">
        <v>0</v>
      </c>
      <c r="AK63" s="75">
        <v>0</v>
      </c>
      <c r="AL63" s="75">
        <v>0</v>
      </c>
      <c r="AM63" s="75">
        <v>0</v>
      </c>
      <c r="AN63" s="75">
        <v>0</v>
      </c>
      <c r="AO63" s="75">
        <v>2</v>
      </c>
      <c r="AP63" s="75">
        <v>0</v>
      </c>
      <c r="AQ63" s="75">
        <v>2</v>
      </c>
      <c r="AR63" s="75">
        <v>0</v>
      </c>
      <c r="AS63" s="75">
        <v>0</v>
      </c>
      <c r="AT63" s="75">
        <v>0</v>
      </c>
      <c r="AU63" s="75">
        <v>0</v>
      </c>
      <c r="AV63" s="75">
        <v>0</v>
      </c>
      <c r="AW63" s="75">
        <v>0</v>
      </c>
      <c r="AX63" s="75">
        <v>0</v>
      </c>
      <c r="AY63" s="75">
        <v>3</v>
      </c>
      <c r="AZ63" s="75">
        <v>0</v>
      </c>
      <c r="BA63" s="75">
        <v>0</v>
      </c>
      <c r="BB63" s="75">
        <v>1</v>
      </c>
      <c r="BC63" s="75">
        <v>6</v>
      </c>
      <c r="BD63" s="75">
        <v>0</v>
      </c>
      <c r="BE63" s="75">
        <v>0</v>
      </c>
      <c r="BF63" s="75">
        <v>0</v>
      </c>
      <c r="BG63" s="75">
        <v>0</v>
      </c>
      <c r="BH63" s="75">
        <v>2</v>
      </c>
      <c r="BM63" s="75">
        <f t="shared" si="7"/>
        <v>0</v>
      </c>
      <c r="BN63" s="75">
        <f t="shared" si="8"/>
        <v>0</v>
      </c>
      <c r="BO63" s="75">
        <f t="shared" si="6"/>
        <v>16</v>
      </c>
      <c r="BP63" s="75">
        <f t="shared" si="5"/>
        <v>16</v>
      </c>
      <c r="BQ63" s="80" t="s">
        <v>410</v>
      </c>
      <c r="BR63" s="138" t="s">
        <v>411</v>
      </c>
      <c r="BT63" s="110">
        <v>0</v>
      </c>
      <c r="BV63" s="75" t="s">
        <v>360</v>
      </c>
    </row>
    <row r="64" spans="1:74" x14ac:dyDescent="0.75">
      <c r="A64">
        <v>593</v>
      </c>
      <c r="B64" s="2">
        <v>598</v>
      </c>
      <c r="C64" s="267">
        <v>597</v>
      </c>
      <c r="D64" s="75" t="s">
        <v>357</v>
      </c>
      <c r="E64" s="75" t="s">
        <v>358</v>
      </c>
      <c r="F64" s="75" t="s">
        <v>359</v>
      </c>
      <c r="G64" s="75" t="s">
        <v>39</v>
      </c>
      <c r="H64" s="75">
        <v>18.357482999999998</v>
      </c>
      <c r="I64" s="75">
        <v>-64.751949999999994</v>
      </c>
      <c r="J64" s="79">
        <v>44699</v>
      </c>
      <c r="K64" s="75" t="s">
        <v>361</v>
      </c>
      <c r="L64" s="75" t="s">
        <v>360</v>
      </c>
      <c r="M64" s="75">
        <v>1</v>
      </c>
      <c r="N64" s="75">
        <v>3</v>
      </c>
      <c r="O64" s="75" t="s">
        <v>362</v>
      </c>
      <c r="P64" s="83">
        <f>SUM(TreatmentUsed!E462:E493)</f>
        <v>236</v>
      </c>
      <c r="Q64" s="75" t="s">
        <v>364</v>
      </c>
      <c r="R64" s="75">
        <v>0</v>
      </c>
      <c r="S64" s="75">
        <v>0</v>
      </c>
      <c r="T64" s="75">
        <v>0</v>
      </c>
      <c r="U64" s="75">
        <v>0</v>
      </c>
      <c r="V64" s="75">
        <v>0</v>
      </c>
      <c r="W64" s="75">
        <v>0</v>
      </c>
      <c r="X64" s="75">
        <v>0</v>
      </c>
      <c r="Y64" s="75">
        <v>0</v>
      </c>
      <c r="Z64" s="75">
        <v>0</v>
      </c>
      <c r="AA64" s="75">
        <v>0</v>
      </c>
      <c r="AB64" s="75">
        <v>0</v>
      </c>
      <c r="AC64" s="75">
        <v>0</v>
      </c>
      <c r="AD64" s="75">
        <v>0</v>
      </c>
      <c r="AE64" s="75">
        <v>0</v>
      </c>
      <c r="AF64" s="75">
        <v>0</v>
      </c>
      <c r="AG64" s="75">
        <v>0</v>
      </c>
      <c r="AH64" s="75">
        <v>0</v>
      </c>
      <c r="AI64" s="75">
        <v>0</v>
      </c>
      <c r="AJ64" s="75">
        <v>0</v>
      </c>
      <c r="AK64" s="75">
        <v>0</v>
      </c>
      <c r="AL64" s="75">
        <v>0</v>
      </c>
      <c r="AM64" s="75">
        <v>0</v>
      </c>
      <c r="AN64" s="75">
        <v>0</v>
      </c>
      <c r="AO64" s="75">
        <v>0</v>
      </c>
      <c r="AP64" s="75">
        <v>0</v>
      </c>
      <c r="AQ64" s="75">
        <v>0</v>
      </c>
      <c r="AR64" s="75">
        <v>2</v>
      </c>
      <c r="AS64" s="75">
        <v>0</v>
      </c>
      <c r="AT64" s="75">
        <v>0</v>
      </c>
      <c r="AU64" s="75">
        <v>0</v>
      </c>
      <c r="AV64" s="75">
        <v>0</v>
      </c>
      <c r="AW64" s="75">
        <v>0</v>
      </c>
      <c r="AX64" s="75">
        <v>0</v>
      </c>
      <c r="AY64" s="84">
        <v>5</v>
      </c>
      <c r="AZ64" s="84">
        <v>4</v>
      </c>
      <c r="BA64" s="84">
        <v>10</v>
      </c>
      <c r="BB64" s="84">
        <v>2</v>
      </c>
      <c r="BC64" s="75">
        <v>8</v>
      </c>
      <c r="BD64" s="75">
        <v>0</v>
      </c>
      <c r="BE64" s="75">
        <v>1</v>
      </c>
      <c r="BF64" s="75">
        <v>2</v>
      </c>
      <c r="BG64" s="75">
        <v>0</v>
      </c>
      <c r="BH64" s="75">
        <v>2</v>
      </c>
      <c r="BM64" s="75">
        <f t="shared" si="7"/>
        <v>0</v>
      </c>
      <c r="BN64" s="75">
        <f t="shared" si="8"/>
        <v>0</v>
      </c>
      <c r="BO64" s="75">
        <f t="shared" si="6"/>
        <v>36</v>
      </c>
      <c r="BP64" s="75">
        <f t="shared" si="5"/>
        <v>36</v>
      </c>
      <c r="BQ64" s="80" t="s">
        <v>412</v>
      </c>
      <c r="BR64" s="138">
        <v>3535</v>
      </c>
      <c r="BT64" s="110">
        <v>0</v>
      </c>
      <c r="BV64" s="75" t="s">
        <v>360</v>
      </c>
    </row>
    <row r="65" spans="1:74" x14ac:dyDescent="0.75">
      <c r="B65">
        <v>626</v>
      </c>
      <c r="C65" s="267">
        <v>598</v>
      </c>
      <c r="D65" s="75" t="s">
        <v>357</v>
      </c>
      <c r="E65" s="75" t="s">
        <v>358</v>
      </c>
      <c r="F65" s="75" t="s">
        <v>359</v>
      </c>
      <c r="G65" s="75" t="s">
        <v>48</v>
      </c>
      <c r="H65" s="75">
        <v>18.363399999999999</v>
      </c>
      <c r="I65" s="75">
        <v>-64.706067000000004</v>
      </c>
      <c r="J65" s="81">
        <v>44701</v>
      </c>
      <c r="K65" s="75" t="s">
        <v>361</v>
      </c>
      <c r="L65" s="75" t="s">
        <v>367</v>
      </c>
      <c r="M65" s="75">
        <v>0</v>
      </c>
      <c r="N65" s="75">
        <v>3</v>
      </c>
      <c r="O65" s="75" t="s">
        <v>362</v>
      </c>
      <c r="P65" s="75">
        <f>SUM(TreatmentUsed!E518:E528)</f>
        <v>157</v>
      </c>
      <c r="Q65" s="75" t="s">
        <v>364</v>
      </c>
      <c r="R65" s="75">
        <v>0</v>
      </c>
      <c r="S65" s="75">
        <v>0</v>
      </c>
      <c r="T65" s="75">
        <v>0</v>
      </c>
      <c r="U65" s="75">
        <v>0</v>
      </c>
      <c r="V65" s="75">
        <v>0</v>
      </c>
      <c r="W65" s="75">
        <v>0</v>
      </c>
      <c r="X65" s="75">
        <v>0</v>
      </c>
      <c r="Y65" s="75">
        <v>0</v>
      </c>
      <c r="Z65" s="75">
        <v>0</v>
      </c>
      <c r="AA65" s="75">
        <v>0</v>
      </c>
      <c r="AB65" s="75">
        <v>0</v>
      </c>
      <c r="AC65" s="75">
        <v>0</v>
      </c>
      <c r="AD65" s="75">
        <v>0</v>
      </c>
      <c r="AE65" s="75">
        <v>0</v>
      </c>
      <c r="AF65" s="75">
        <v>0</v>
      </c>
      <c r="AG65" s="75">
        <v>0</v>
      </c>
      <c r="AH65" s="75">
        <v>0</v>
      </c>
      <c r="AI65" s="75">
        <v>0</v>
      </c>
      <c r="AJ65" s="75">
        <v>0</v>
      </c>
      <c r="AK65" s="75">
        <v>0</v>
      </c>
      <c r="AL65" s="75">
        <v>0</v>
      </c>
      <c r="AM65" s="75">
        <v>0</v>
      </c>
      <c r="AN65" s="75">
        <v>0</v>
      </c>
      <c r="AO65" s="75">
        <v>0</v>
      </c>
      <c r="AP65" s="75">
        <v>0</v>
      </c>
      <c r="AQ65" s="75">
        <v>0</v>
      </c>
      <c r="AR65" s="75">
        <v>0</v>
      </c>
      <c r="AS65" s="75">
        <v>0</v>
      </c>
      <c r="AT65" s="75">
        <v>0</v>
      </c>
      <c r="AU65" s="75">
        <v>0</v>
      </c>
      <c r="AV65" s="75">
        <v>0</v>
      </c>
      <c r="AW65" s="75">
        <v>0</v>
      </c>
      <c r="AX65" s="75">
        <v>0</v>
      </c>
      <c r="AY65" s="75">
        <v>6</v>
      </c>
      <c r="AZ65" s="84">
        <v>0</v>
      </c>
      <c r="BA65" s="84">
        <v>3</v>
      </c>
      <c r="BB65" s="84">
        <v>0</v>
      </c>
      <c r="BC65" s="75">
        <v>1</v>
      </c>
      <c r="BD65" s="75">
        <v>0</v>
      </c>
      <c r="BE65" s="75">
        <v>0</v>
      </c>
      <c r="BF65" s="75">
        <v>1</v>
      </c>
      <c r="BG65" s="75">
        <v>0</v>
      </c>
      <c r="BH65" s="75">
        <v>0</v>
      </c>
      <c r="BM65" s="75">
        <f t="shared" si="7"/>
        <v>0</v>
      </c>
      <c r="BN65" s="75">
        <f t="shared" si="8"/>
        <v>0</v>
      </c>
      <c r="BO65" s="75">
        <f t="shared" si="6"/>
        <v>11</v>
      </c>
      <c r="BP65" s="75">
        <f t="shared" si="5"/>
        <v>11</v>
      </c>
      <c r="BT65" s="110">
        <v>0</v>
      </c>
      <c r="BV65" s="75" t="s">
        <v>360</v>
      </c>
    </row>
    <row r="66" spans="1:74" x14ac:dyDescent="0.75">
      <c r="B66">
        <v>627</v>
      </c>
      <c r="C66" s="267">
        <v>599</v>
      </c>
      <c r="D66" s="75" t="s">
        <v>357</v>
      </c>
      <c r="E66" s="75" t="s">
        <v>358</v>
      </c>
      <c r="F66" s="75" t="s">
        <v>359</v>
      </c>
      <c r="G66" s="75" t="s">
        <v>44</v>
      </c>
      <c r="H66" s="75">
        <v>18.364650000000001</v>
      </c>
      <c r="I66" s="75">
        <v>-64.726183000000006</v>
      </c>
      <c r="J66" s="81">
        <v>44701</v>
      </c>
      <c r="K66" s="75" t="s">
        <v>361</v>
      </c>
      <c r="L66" s="75" t="s">
        <v>367</v>
      </c>
      <c r="M66" s="75">
        <v>0</v>
      </c>
      <c r="N66" s="75">
        <v>3</v>
      </c>
      <c r="O66" s="75" t="s">
        <v>362</v>
      </c>
      <c r="P66" s="75">
        <f>+SUM(TreatmentUsed!E510:E513)</f>
        <v>88</v>
      </c>
      <c r="Q66" s="75" t="s">
        <v>364</v>
      </c>
      <c r="R66" s="75">
        <v>0</v>
      </c>
      <c r="S66" s="75">
        <v>0</v>
      </c>
      <c r="T66" s="75">
        <v>0</v>
      </c>
      <c r="U66" s="75">
        <v>0</v>
      </c>
      <c r="V66" s="75">
        <v>0</v>
      </c>
      <c r="W66" s="75">
        <v>0</v>
      </c>
      <c r="X66" s="75">
        <v>0</v>
      </c>
      <c r="Y66" s="75">
        <v>0</v>
      </c>
      <c r="Z66" s="75">
        <v>0</v>
      </c>
      <c r="AA66" s="75">
        <v>0</v>
      </c>
      <c r="AB66" s="75">
        <v>0</v>
      </c>
      <c r="AC66" s="75">
        <v>0</v>
      </c>
      <c r="AD66" s="75">
        <v>0</v>
      </c>
      <c r="AE66" s="75">
        <v>0</v>
      </c>
      <c r="AF66" s="75">
        <v>0</v>
      </c>
      <c r="AG66" s="75">
        <v>0</v>
      </c>
      <c r="AH66" s="75">
        <v>0</v>
      </c>
      <c r="AI66" s="75">
        <v>0</v>
      </c>
      <c r="AJ66" s="75">
        <v>0</v>
      </c>
      <c r="AK66" s="75">
        <v>0</v>
      </c>
      <c r="AL66" s="75">
        <v>0</v>
      </c>
      <c r="AM66" s="75">
        <v>0</v>
      </c>
      <c r="AN66" s="75">
        <v>0</v>
      </c>
      <c r="AO66" s="75">
        <v>0</v>
      </c>
      <c r="AP66" s="75">
        <v>0</v>
      </c>
      <c r="AQ66" s="75">
        <v>0</v>
      </c>
      <c r="AR66" s="75">
        <v>1</v>
      </c>
      <c r="AS66" s="75">
        <v>0</v>
      </c>
      <c r="AT66" s="75">
        <v>0</v>
      </c>
      <c r="AU66" s="75">
        <v>1</v>
      </c>
      <c r="AV66" s="75">
        <v>0</v>
      </c>
      <c r="AW66" s="75">
        <v>0</v>
      </c>
      <c r="AX66" s="75">
        <v>0</v>
      </c>
      <c r="AY66" s="75">
        <v>0</v>
      </c>
      <c r="AZ66" s="75">
        <v>1</v>
      </c>
      <c r="BA66" s="75">
        <v>0</v>
      </c>
      <c r="BB66" s="75">
        <v>0</v>
      </c>
      <c r="BC66" s="75">
        <v>0</v>
      </c>
      <c r="BD66" s="75">
        <v>0</v>
      </c>
      <c r="BE66" s="75">
        <v>0</v>
      </c>
      <c r="BF66" s="75">
        <v>1</v>
      </c>
      <c r="BG66" s="75">
        <v>0</v>
      </c>
      <c r="BH66" s="75">
        <v>0</v>
      </c>
      <c r="BM66" s="75">
        <v>0</v>
      </c>
      <c r="BN66" s="75">
        <v>0</v>
      </c>
      <c r="BO66" s="75">
        <v>4</v>
      </c>
      <c r="BP66" s="75">
        <v>4</v>
      </c>
      <c r="BT66" s="110">
        <v>0</v>
      </c>
      <c r="BV66" s="75" t="s">
        <v>360</v>
      </c>
    </row>
    <row r="67" spans="1:74" x14ac:dyDescent="0.75">
      <c r="B67">
        <v>628</v>
      </c>
      <c r="C67" s="267">
        <v>600</v>
      </c>
      <c r="D67" s="75" t="s">
        <v>357</v>
      </c>
      <c r="E67" s="75" t="s">
        <v>358</v>
      </c>
      <c r="F67" s="75" t="s">
        <v>359</v>
      </c>
      <c r="G67" s="75" t="s">
        <v>44</v>
      </c>
      <c r="H67" s="75">
        <v>18.364650000000001</v>
      </c>
      <c r="I67" s="75">
        <v>-64.726183000000006</v>
      </c>
      <c r="J67" s="81">
        <v>44701</v>
      </c>
      <c r="K67" s="75" t="s">
        <v>361</v>
      </c>
      <c r="L67" s="75" t="s">
        <v>367</v>
      </c>
      <c r="M67" s="75">
        <v>0</v>
      </c>
      <c r="N67" s="75">
        <v>2</v>
      </c>
      <c r="O67" s="75" t="s">
        <v>362</v>
      </c>
      <c r="P67" s="75">
        <f>SUM(TreatmentUsed!E514:E517)</f>
        <v>14</v>
      </c>
      <c r="Q67" s="75" t="s">
        <v>364</v>
      </c>
      <c r="R67" s="75">
        <v>0</v>
      </c>
      <c r="S67" s="75">
        <v>0</v>
      </c>
      <c r="T67" s="75">
        <v>0</v>
      </c>
      <c r="U67" s="75">
        <v>0</v>
      </c>
      <c r="V67" s="75">
        <v>0</v>
      </c>
      <c r="W67" s="75">
        <v>0</v>
      </c>
      <c r="X67" s="75">
        <v>0</v>
      </c>
      <c r="Y67" s="75">
        <v>0</v>
      </c>
      <c r="Z67" s="75">
        <v>0</v>
      </c>
      <c r="AA67" s="75">
        <v>0</v>
      </c>
      <c r="AB67" s="75">
        <v>0</v>
      </c>
      <c r="AC67" s="75">
        <v>0</v>
      </c>
      <c r="AD67" s="75">
        <v>0</v>
      </c>
      <c r="AE67" s="75">
        <v>0</v>
      </c>
      <c r="AF67" s="75">
        <v>0</v>
      </c>
      <c r="AG67" s="75">
        <v>0</v>
      </c>
      <c r="AH67" s="75">
        <v>0</v>
      </c>
      <c r="AI67" s="75">
        <v>0</v>
      </c>
      <c r="AJ67" s="75">
        <v>0</v>
      </c>
      <c r="AK67" s="75">
        <v>0</v>
      </c>
      <c r="AL67" s="75">
        <v>0</v>
      </c>
      <c r="AM67" s="75">
        <v>0</v>
      </c>
      <c r="AN67" s="75">
        <v>0</v>
      </c>
      <c r="AO67" s="75">
        <v>0</v>
      </c>
      <c r="AP67" s="75">
        <v>0</v>
      </c>
      <c r="AQ67" s="75">
        <v>0</v>
      </c>
      <c r="AR67" s="75">
        <v>0</v>
      </c>
      <c r="AS67" s="75">
        <v>0</v>
      </c>
      <c r="AT67" s="75">
        <v>0</v>
      </c>
      <c r="AU67" s="75">
        <v>0</v>
      </c>
      <c r="AV67" s="75">
        <v>0</v>
      </c>
      <c r="AW67" s="75">
        <v>1</v>
      </c>
      <c r="AX67" s="75">
        <v>0</v>
      </c>
      <c r="AY67" s="75">
        <v>1</v>
      </c>
      <c r="AZ67" s="75">
        <v>0</v>
      </c>
      <c r="BA67" s="75">
        <v>0</v>
      </c>
      <c r="BB67" s="75">
        <v>0</v>
      </c>
      <c r="BC67" s="75">
        <v>2</v>
      </c>
      <c r="BD67" s="75">
        <v>0</v>
      </c>
      <c r="BE67" s="75">
        <v>0</v>
      </c>
      <c r="BF67" s="75">
        <v>0</v>
      </c>
      <c r="BG67" s="75">
        <v>0</v>
      </c>
      <c r="BH67" s="75">
        <v>0</v>
      </c>
      <c r="BM67" s="75">
        <f t="shared" ref="BM67:BM79" si="9">SUM(R67:AD67)</f>
        <v>0</v>
      </c>
      <c r="BN67" s="75">
        <f t="shared" ref="BN67:BN99" si="10">SUM(AE67:AN67)</f>
        <v>0</v>
      </c>
      <c r="BO67" s="75">
        <f t="shared" ref="BO67:BO98" si="11">SUM(AO67:BH67)</f>
        <v>4</v>
      </c>
      <c r="BP67" s="75">
        <f t="shared" ref="BP67:BP98" si="12">SUM(R67:BH67)</f>
        <v>4</v>
      </c>
      <c r="BQ67" s="80" t="s">
        <v>413</v>
      </c>
      <c r="BT67" s="110">
        <v>0</v>
      </c>
      <c r="BV67" s="75" t="s">
        <v>360</v>
      </c>
    </row>
    <row r="68" spans="1:74" x14ac:dyDescent="0.75">
      <c r="B68">
        <v>629</v>
      </c>
      <c r="C68" s="267">
        <v>603</v>
      </c>
      <c r="D68" s="75" t="s">
        <v>357</v>
      </c>
      <c r="E68" s="75" t="s">
        <v>358</v>
      </c>
      <c r="F68" s="75" t="s">
        <v>359</v>
      </c>
      <c r="G68" s="75" t="s">
        <v>28</v>
      </c>
      <c r="H68" s="75">
        <v>18.315639999999998</v>
      </c>
      <c r="I68" s="75">
        <v>-64.725899999999996</v>
      </c>
      <c r="J68" s="81">
        <v>44705</v>
      </c>
      <c r="K68" s="75" t="s">
        <v>361</v>
      </c>
      <c r="L68" s="75" t="s">
        <v>367</v>
      </c>
      <c r="M68" s="75">
        <v>0</v>
      </c>
      <c r="N68" s="75">
        <v>2</v>
      </c>
      <c r="O68" s="75" t="s">
        <v>362</v>
      </c>
      <c r="P68" s="75">
        <f>SUM(TreatmentUsed!E529:E555)</f>
        <v>353</v>
      </c>
      <c r="Q68" s="75" t="s">
        <v>364</v>
      </c>
      <c r="R68" s="75">
        <v>0</v>
      </c>
      <c r="S68" s="75">
        <v>0</v>
      </c>
      <c r="T68" s="75">
        <v>0</v>
      </c>
      <c r="U68" s="75">
        <v>0</v>
      </c>
      <c r="V68" s="75">
        <v>0</v>
      </c>
      <c r="W68" s="75">
        <v>0</v>
      </c>
      <c r="X68" s="75">
        <v>0</v>
      </c>
      <c r="Y68" s="75">
        <v>0</v>
      </c>
      <c r="Z68" s="75">
        <v>0</v>
      </c>
      <c r="AA68" s="75">
        <v>0</v>
      </c>
      <c r="AB68" s="75">
        <v>0</v>
      </c>
      <c r="AC68" s="75">
        <v>0</v>
      </c>
      <c r="AD68" s="75">
        <v>0</v>
      </c>
      <c r="AE68" s="75">
        <v>0</v>
      </c>
      <c r="AF68" s="75">
        <v>0</v>
      </c>
      <c r="AG68" s="75">
        <v>0</v>
      </c>
      <c r="AH68" s="75">
        <v>0</v>
      </c>
      <c r="AI68" s="75">
        <v>0</v>
      </c>
      <c r="AJ68" s="75">
        <v>0</v>
      </c>
      <c r="AK68" s="75">
        <v>0</v>
      </c>
      <c r="AL68" s="75">
        <v>0</v>
      </c>
      <c r="AM68" s="75">
        <v>0</v>
      </c>
      <c r="AN68" s="75">
        <v>0</v>
      </c>
      <c r="AO68" s="75">
        <v>0</v>
      </c>
      <c r="AP68" s="75">
        <v>0</v>
      </c>
      <c r="AQ68" s="75">
        <v>1</v>
      </c>
      <c r="AR68" s="75">
        <v>0</v>
      </c>
      <c r="AS68" s="84">
        <v>17</v>
      </c>
      <c r="AT68" s="84">
        <v>6</v>
      </c>
      <c r="AU68" s="75">
        <v>0</v>
      </c>
      <c r="AV68" s="75">
        <v>0</v>
      </c>
      <c r="AW68" s="75">
        <v>0</v>
      </c>
      <c r="AX68" s="75">
        <v>0</v>
      </c>
      <c r="AY68" s="75">
        <v>1</v>
      </c>
      <c r="AZ68" s="84">
        <v>1</v>
      </c>
      <c r="BA68" s="84">
        <v>3</v>
      </c>
      <c r="BB68" s="75">
        <v>0</v>
      </c>
      <c r="BC68" s="75">
        <v>0</v>
      </c>
      <c r="BD68" s="75">
        <v>0</v>
      </c>
      <c r="BE68" s="75">
        <v>0</v>
      </c>
      <c r="BF68" s="75">
        <v>0</v>
      </c>
      <c r="BG68" s="75">
        <v>0</v>
      </c>
      <c r="BH68" s="84">
        <v>0</v>
      </c>
      <c r="BI68" s="84"/>
      <c r="BJ68" s="84"/>
      <c r="BK68" s="84"/>
      <c r="BM68" s="75">
        <f t="shared" si="9"/>
        <v>0</v>
      </c>
      <c r="BN68" s="75">
        <f t="shared" si="10"/>
        <v>0</v>
      </c>
      <c r="BO68" s="75">
        <f t="shared" si="11"/>
        <v>29</v>
      </c>
      <c r="BP68" s="75">
        <f t="shared" si="12"/>
        <v>29</v>
      </c>
      <c r="BQ68" s="80" t="s">
        <v>414</v>
      </c>
      <c r="BT68" s="110">
        <v>0</v>
      </c>
      <c r="BV68" s="75" t="s">
        <v>360</v>
      </c>
    </row>
    <row r="69" spans="1:74" x14ac:dyDescent="0.75">
      <c r="B69">
        <v>630</v>
      </c>
      <c r="C69" s="267">
        <v>604</v>
      </c>
      <c r="D69" s="75" t="s">
        <v>357</v>
      </c>
      <c r="E69" s="75" t="s">
        <v>358</v>
      </c>
      <c r="F69" s="75" t="s">
        <v>359</v>
      </c>
      <c r="G69" s="75" t="s">
        <v>69</v>
      </c>
      <c r="H69" s="75">
        <v>18.343233000000001</v>
      </c>
      <c r="I69" s="75">
        <v>-64.687667000000005</v>
      </c>
      <c r="J69" s="81">
        <v>44706</v>
      </c>
      <c r="K69" s="84" t="s">
        <v>367</v>
      </c>
      <c r="L69" s="84" t="s">
        <v>361</v>
      </c>
      <c r="M69" s="84">
        <v>2</v>
      </c>
      <c r="N69" s="75">
        <v>3</v>
      </c>
      <c r="O69" s="75" t="s">
        <v>362</v>
      </c>
      <c r="P69" s="75">
        <f>SUM(TreatmentUsed!E556:E604)</f>
        <v>328</v>
      </c>
      <c r="Q69" s="75" t="s">
        <v>364</v>
      </c>
      <c r="R69" s="75">
        <v>0</v>
      </c>
      <c r="S69" s="75">
        <v>0</v>
      </c>
      <c r="T69" s="75">
        <v>0</v>
      </c>
      <c r="U69" s="75">
        <v>0</v>
      </c>
      <c r="V69" s="75">
        <v>0</v>
      </c>
      <c r="W69" s="75">
        <v>0</v>
      </c>
      <c r="X69" s="75">
        <v>0</v>
      </c>
      <c r="Y69" s="75">
        <v>0</v>
      </c>
      <c r="Z69" s="75">
        <v>0</v>
      </c>
      <c r="AA69" s="75">
        <v>0</v>
      </c>
      <c r="AB69" s="75">
        <v>0</v>
      </c>
      <c r="AC69" s="75">
        <v>0</v>
      </c>
      <c r="AD69" s="75">
        <v>0</v>
      </c>
      <c r="AE69" s="75">
        <v>0</v>
      </c>
      <c r="AF69" s="75">
        <v>0</v>
      </c>
      <c r="AG69" s="75">
        <v>0</v>
      </c>
      <c r="AH69" s="75">
        <v>0</v>
      </c>
      <c r="AI69" s="75">
        <v>0</v>
      </c>
      <c r="AJ69" s="75">
        <v>0</v>
      </c>
      <c r="AK69" s="75">
        <v>0</v>
      </c>
      <c r="AL69" s="75">
        <v>0</v>
      </c>
      <c r="AM69" s="75">
        <v>0</v>
      </c>
      <c r="AN69" s="75">
        <v>0</v>
      </c>
      <c r="AO69" s="75">
        <v>0</v>
      </c>
      <c r="AP69" s="75">
        <v>0</v>
      </c>
      <c r="AQ69" s="75">
        <v>0</v>
      </c>
      <c r="AR69" s="75">
        <v>1</v>
      </c>
      <c r="AS69" s="84">
        <v>2</v>
      </c>
      <c r="AT69" s="84">
        <v>7</v>
      </c>
      <c r="AU69" s="75">
        <v>0</v>
      </c>
      <c r="AV69" s="75">
        <v>0</v>
      </c>
      <c r="AW69" s="75">
        <v>0</v>
      </c>
      <c r="AX69" s="75">
        <v>0</v>
      </c>
      <c r="AY69" s="84">
        <v>5</v>
      </c>
      <c r="AZ69" s="84">
        <v>0</v>
      </c>
      <c r="BA69" s="84">
        <v>5</v>
      </c>
      <c r="BB69" s="84">
        <v>1</v>
      </c>
      <c r="BC69" s="84">
        <v>9</v>
      </c>
      <c r="BD69" s="75">
        <v>0</v>
      </c>
      <c r="BE69" s="75">
        <v>0</v>
      </c>
      <c r="BF69" s="84">
        <v>20</v>
      </c>
      <c r="BG69" s="75">
        <v>0</v>
      </c>
      <c r="BH69" s="75">
        <v>0</v>
      </c>
      <c r="BM69" s="75">
        <f t="shared" si="9"/>
        <v>0</v>
      </c>
      <c r="BN69" s="75">
        <f t="shared" si="10"/>
        <v>0</v>
      </c>
      <c r="BO69" s="75">
        <f t="shared" si="11"/>
        <v>50</v>
      </c>
      <c r="BP69" s="75">
        <f t="shared" si="12"/>
        <v>50</v>
      </c>
      <c r="BQ69" s="80" t="s">
        <v>415</v>
      </c>
      <c r="BT69" s="110">
        <v>0</v>
      </c>
      <c r="BV69" s="75" t="s">
        <v>360</v>
      </c>
    </row>
    <row r="70" spans="1:74" x14ac:dyDescent="0.75">
      <c r="B70">
        <v>631</v>
      </c>
      <c r="C70" s="267">
        <v>605</v>
      </c>
      <c r="D70" s="75" t="s">
        <v>357</v>
      </c>
      <c r="E70" s="75" t="s">
        <v>358</v>
      </c>
      <c r="F70" s="75" t="s">
        <v>359</v>
      </c>
      <c r="G70" s="75" t="s">
        <v>69</v>
      </c>
      <c r="H70" s="75">
        <v>18.343233000000001</v>
      </c>
      <c r="I70" s="75">
        <v>-64.687667000000005</v>
      </c>
      <c r="J70" s="81">
        <v>44706</v>
      </c>
      <c r="K70" s="84" t="s">
        <v>367</v>
      </c>
      <c r="L70" s="84" t="s">
        <v>361</v>
      </c>
      <c r="M70" s="84">
        <v>5</v>
      </c>
      <c r="N70" s="75">
        <v>3</v>
      </c>
      <c r="O70" s="75" t="s">
        <v>362</v>
      </c>
      <c r="P70" s="75">
        <f>SUM(TreatmentUsed!E605:E625)</f>
        <v>236</v>
      </c>
      <c r="Q70" s="75" t="s">
        <v>364</v>
      </c>
      <c r="R70" s="75">
        <v>0</v>
      </c>
      <c r="S70" s="75">
        <v>0</v>
      </c>
      <c r="T70" s="75">
        <v>0</v>
      </c>
      <c r="U70" s="75">
        <v>0</v>
      </c>
      <c r="V70" s="75">
        <v>0</v>
      </c>
      <c r="W70" s="75">
        <v>0</v>
      </c>
      <c r="X70" s="75">
        <v>0</v>
      </c>
      <c r="Y70" s="75">
        <v>0</v>
      </c>
      <c r="Z70" s="75">
        <v>0</v>
      </c>
      <c r="AA70" s="75">
        <v>0</v>
      </c>
      <c r="AB70" s="75">
        <v>0</v>
      </c>
      <c r="AC70" s="75">
        <v>0</v>
      </c>
      <c r="AD70" s="75">
        <v>0</v>
      </c>
      <c r="AE70" s="75">
        <v>0</v>
      </c>
      <c r="AF70" s="75">
        <v>0</v>
      </c>
      <c r="AG70" s="75">
        <v>0</v>
      </c>
      <c r="AH70" s="75">
        <v>0</v>
      </c>
      <c r="AI70" s="75">
        <v>0</v>
      </c>
      <c r="AJ70" s="75">
        <v>0</v>
      </c>
      <c r="AK70" s="75">
        <v>0</v>
      </c>
      <c r="AL70" s="75">
        <v>0</v>
      </c>
      <c r="AM70" s="75">
        <v>0</v>
      </c>
      <c r="AN70" s="75">
        <v>0</v>
      </c>
      <c r="AO70" s="75">
        <v>1</v>
      </c>
      <c r="AP70" s="75">
        <v>0</v>
      </c>
      <c r="AQ70" s="75">
        <v>0</v>
      </c>
      <c r="AR70" s="75">
        <v>0</v>
      </c>
      <c r="AS70" s="75">
        <v>4</v>
      </c>
      <c r="AT70" s="75">
        <v>1</v>
      </c>
      <c r="AU70" s="75">
        <v>0</v>
      </c>
      <c r="AV70" s="75">
        <v>0</v>
      </c>
      <c r="AW70" s="75">
        <v>0</v>
      </c>
      <c r="AX70" s="75">
        <v>0</v>
      </c>
      <c r="AY70" s="75">
        <v>6</v>
      </c>
      <c r="AZ70" s="75">
        <v>0</v>
      </c>
      <c r="BA70" s="84">
        <v>5</v>
      </c>
      <c r="BB70" s="84">
        <v>0</v>
      </c>
      <c r="BC70" s="75">
        <v>2</v>
      </c>
      <c r="BD70" s="75">
        <v>0</v>
      </c>
      <c r="BE70" s="75">
        <v>0</v>
      </c>
      <c r="BF70" s="75">
        <v>1</v>
      </c>
      <c r="BG70" s="75">
        <v>0</v>
      </c>
      <c r="BH70" s="84">
        <v>1</v>
      </c>
      <c r="BI70" s="84"/>
      <c r="BJ70" s="84"/>
      <c r="BK70" s="84"/>
      <c r="BM70" s="75">
        <f t="shared" si="9"/>
        <v>0</v>
      </c>
      <c r="BN70" s="75">
        <f t="shared" si="10"/>
        <v>0</v>
      </c>
      <c r="BO70" s="75">
        <f t="shared" si="11"/>
        <v>21</v>
      </c>
      <c r="BP70" s="75">
        <f t="shared" si="12"/>
        <v>21</v>
      </c>
      <c r="BQ70" s="80" t="s">
        <v>416</v>
      </c>
      <c r="BT70" s="110">
        <v>0</v>
      </c>
      <c r="BV70" s="75" t="s">
        <v>360</v>
      </c>
    </row>
    <row r="71" spans="1:74" x14ac:dyDescent="0.75">
      <c r="B71">
        <v>632</v>
      </c>
      <c r="C71" s="267">
        <v>607</v>
      </c>
      <c r="D71" s="75" t="s">
        <v>357</v>
      </c>
      <c r="E71" s="75" t="s">
        <v>358</v>
      </c>
      <c r="F71" s="75" t="s">
        <v>359</v>
      </c>
      <c r="G71" s="75" t="s">
        <v>69</v>
      </c>
      <c r="H71" s="75">
        <v>18.343233000000001</v>
      </c>
      <c r="I71" s="75">
        <v>-64.687667000000005</v>
      </c>
      <c r="J71" s="81">
        <v>44707</v>
      </c>
      <c r="K71" s="75" t="s">
        <v>367</v>
      </c>
      <c r="L71" s="75" t="s">
        <v>361</v>
      </c>
      <c r="M71" s="75">
        <v>1</v>
      </c>
      <c r="N71" s="75">
        <v>3</v>
      </c>
      <c r="O71" s="75" t="s">
        <v>362</v>
      </c>
      <c r="P71" s="75">
        <f>SUM(TreatmentUsed!E626:E659)</f>
        <v>358</v>
      </c>
      <c r="Q71" s="75" t="s">
        <v>364</v>
      </c>
      <c r="R71" s="75">
        <v>0</v>
      </c>
      <c r="S71" s="75">
        <v>0</v>
      </c>
      <c r="T71" s="75">
        <v>0</v>
      </c>
      <c r="U71" s="75">
        <v>0</v>
      </c>
      <c r="V71" s="75">
        <v>0</v>
      </c>
      <c r="W71" s="75">
        <v>0</v>
      </c>
      <c r="X71" s="75">
        <v>0</v>
      </c>
      <c r="Y71" s="75">
        <v>0</v>
      </c>
      <c r="Z71" s="75">
        <v>0</v>
      </c>
      <c r="AA71" s="75">
        <v>0</v>
      </c>
      <c r="AB71" s="75">
        <v>0</v>
      </c>
      <c r="AC71" s="75">
        <v>0</v>
      </c>
      <c r="AD71" s="75">
        <v>0</v>
      </c>
      <c r="AE71" s="75">
        <v>0</v>
      </c>
      <c r="AF71" s="75">
        <v>0</v>
      </c>
      <c r="AG71" s="75">
        <v>0</v>
      </c>
      <c r="AH71" s="75">
        <v>0</v>
      </c>
      <c r="AI71" s="75">
        <v>0</v>
      </c>
      <c r="AJ71" s="75">
        <v>0</v>
      </c>
      <c r="AK71" s="75">
        <v>0</v>
      </c>
      <c r="AL71" s="75">
        <v>0</v>
      </c>
      <c r="AM71" s="75">
        <v>0</v>
      </c>
      <c r="AN71" s="75">
        <v>0</v>
      </c>
      <c r="AO71" s="75">
        <v>0</v>
      </c>
      <c r="AP71" s="75">
        <v>0</v>
      </c>
      <c r="AQ71" s="75">
        <v>0</v>
      </c>
      <c r="AR71" s="75">
        <v>0</v>
      </c>
      <c r="AS71" s="84">
        <v>7</v>
      </c>
      <c r="AT71" s="84">
        <v>1</v>
      </c>
      <c r="AU71" s="75">
        <v>0</v>
      </c>
      <c r="AV71" s="75">
        <v>0</v>
      </c>
      <c r="AW71" s="75">
        <v>0</v>
      </c>
      <c r="AX71" s="75">
        <v>0</v>
      </c>
      <c r="AY71" s="84">
        <v>12</v>
      </c>
      <c r="AZ71" s="75">
        <v>0</v>
      </c>
      <c r="BA71" s="84">
        <v>5</v>
      </c>
      <c r="BB71" s="84">
        <v>0</v>
      </c>
      <c r="BC71" s="75">
        <v>3</v>
      </c>
      <c r="BD71" s="75">
        <v>0</v>
      </c>
      <c r="BE71" s="75">
        <v>0</v>
      </c>
      <c r="BF71" s="75">
        <v>6</v>
      </c>
      <c r="BG71" s="75">
        <v>0</v>
      </c>
      <c r="BH71" s="75">
        <v>0</v>
      </c>
      <c r="BM71" s="75">
        <f t="shared" si="9"/>
        <v>0</v>
      </c>
      <c r="BN71" s="75">
        <f t="shared" si="10"/>
        <v>0</v>
      </c>
      <c r="BO71" s="75">
        <f t="shared" si="11"/>
        <v>34</v>
      </c>
      <c r="BP71" s="75">
        <f t="shared" si="12"/>
        <v>34</v>
      </c>
      <c r="BQ71" s="80" t="s">
        <v>417</v>
      </c>
      <c r="BT71" s="110">
        <v>0</v>
      </c>
      <c r="BV71" s="75" t="s">
        <v>360</v>
      </c>
    </row>
    <row r="72" spans="1:74" x14ac:dyDescent="0.75">
      <c r="B72">
        <v>633</v>
      </c>
      <c r="C72" s="267">
        <v>608</v>
      </c>
      <c r="D72" s="75" t="s">
        <v>357</v>
      </c>
      <c r="E72" s="75" t="s">
        <v>358</v>
      </c>
      <c r="F72" s="75" t="s">
        <v>359</v>
      </c>
      <c r="G72" s="75" t="s">
        <v>69</v>
      </c>
      <c r="H72" s="75">
        <v>18.343233000000001</v>
      </c>
      <c r="I72" s="75">
        <v>-64.687667000000005</v>
      </c>
      <c r="J72" s="81">
        <v>44707</v>
      </c>
      <c r="K72" s="75" t="s">
        <v>367</v>
      </c>
      <c r="L72" s="75" t="s">
        <v>361</v>
      </c>
      <c r="M72" s="75">
        <v>4</v>
      </c>
      <c r="N72" s="75">
        <v>3</v>
      </c>
      <c r="O72" s="75" t="s">
        <v>362</v>
      </c>
      <c r="P72" s="75">
        <f>SUM(TreatmentUsed!E660:E681)</f>
        <v>231</v>
      </c>
      <c r="Q72" s="75" t="s">
        <v>364</v>
      </c>
      <c r="R72" s="75">
        <v>0</v>
      </c>
      <c r="S72" s="75">
        <v>0</v>
      </c>
      <c r="T72" s="75">
        <v>0</v>
      </c>
      <c r="U72" s="75">
        <v>0</v>
      </c>
      <c r="V72" s="75">
        <v>0</v>
      </c>
      <c r="W72" s="75">
        <v>0</v>
      </c>
      <c r="X72" s="75">
        <v>0</v>
      </c>
      <c r="Y72" s="75">
        <v>0</v>
      </c>
      <c r="Z72" s="75">
        <v>0</v>
      </c>
      <c r="AA72" s="75">
        <v>0</v>
      </c>
      <c r="AB72" s="75">
        <v>0</v>
      </c>
      <c r="AC72" s="75">
        <v>0</v>
      </c>
      <c r="AD72" s="75">
        <v>0</v>
      </c>
      <c r="AE72" s="75">
        <v>0</v>
      </c>
      <c r="AF72" s="75">
        <v>0</v>
      </c>
      <c r="AG72" s="75">
        <v>0</v>
      </c>
      <c r="AH72" s="75">
        <v>0</v>
      </c>
      <c r="AI72" s="75">
        <v>0</v>
      </c>
      <c r="AJ72" s="75">
        <v>0</v>
      </c>
      <c r="AK72" s="75">
        <v>0</v>
      </c>
      <c r="AL72" s="75">
        <v>0</v>
      </c>
      <c r="AM72" s="75">
        <v>0</v>
      </c>
      <c r="AN72" s="75">
        <v>0</v>
      </c>
      <c r="AO72" s="75">
        <v>0</v>
      </c>
      <c r="AP72" s="75">
        <v>0</v>
      </c>
      <c r="AQ72" s="75">
        <v>1</v>
      </c>
      <c r="AR72" s="84">
        <v>1</v>
      </c>
      <c r="AS72" s="84">
        <v>0</v>
      </c>
      <c r="AT72" s="75">
        <v>0</v>
      </c>
      <c r="AU72" s="75">
        <v>0</v>
      </c>
      <c r="AV72" s="75">
        <v>0</v>
      </c>
      <c r="AW72" s="75">
        <v>0</v>
      </c>
      <c r="AX72" s="75">
        <v>0</v>
      </c>
      <c r="AY72" s="75">
        <v>4</v>
      </c>
      <c r="AZ72" s="84">
        <v>0</v>
      </c>
      <c r="BA72" s="84">
        <v>5</v>
      </c>
      <c r="BB72" s="84">
        <v>0</v>
      </c>
      <c r="BC72" s="75">
        <v>1</v>
      </c>
      <c r="BD72" s="75">
        <v>0</v>
      </c>
      <c r="BE72" s="75">
        <v>0</v>
      </c>
      <c r="BF72" s="75">
        <v>10</v>
      </c>
      <c r="BG72" s="75">
        <v>0</v>
      </c>
      <c r="BH72" s="75">
        <v>0</v>
      </c>
      <c r="BM72" s="75">
        <f t="shared" si="9"/>
        <v>0</v>
      </c>
      <c r="BN72" s="75">
        <f t="shared" si="10"/>
        <v>0</v>
      </c>
      <c r="BO72" s="75">
        <f t="shared" si="11"/>
        <v>22</v>
      </c>
      <c r="BP72" s="75">
        <f t="shared" si="12"/>
        <v>22</v>
      </c>
      <c r="BQ72" s="80" t="s">
        <v>418</v>
      </c>
      <c r="BT72" s="110">
        <v>0</v>
      </c>
      <c r="BV72" s="75" t="s">
        <v>360</v>
      </c>
    </row>
    <row r="73" spans="1:74" x14ac:dyDescent="0.75">
      <c r="B73">
        <v>634</v>
      </c>
      <c r="C73" s="267">
        <v>612</v>
      </c>
      <c r="D73" s="75" t="s">
        <v>357</v>
      </c>
      <c r="E73" s="75" t="s">
        <v>358</v>
      </c>
      <c r="F73" s="75" t="s">
        <v>359</v>
      </c>
      <c r="G73" s="75" t="s">
        <v>23</v>
      </c>
      <c r="H73" s="75">
        <v>18.365749999999998</v>
      </c>
      <c r="I73" s="75">
        <v>-64.773619999999994</v>
      </c>
      <c r="J73" s="81">
        <v>44712</v>
      </c>
      <c r="K73" s="75" t="s">
        <v>367</v>
      </c>
      <c r="L73" s="75" t="s">
        <v>361</v>
      </c>
      <c r="M73" s="75">
        <v>0</v>
      </c>
      <c r="N73" s="75">
        <v>3</v>
      </c>
      <c r="O73" s="75" t="s">
        <v>362</v>
      </c>
      <c r="P73" s="75">
        <f>SUM(TreatmentUsed!E682:E699)</f>
        <v>161</v>
      </c>
      <c r="Q73" s="75" t="s">
        <v>364</v>
      </c>
      <c r="R73" s="75">
        <v>0</v>
      </c>
      <c r="S73" s="75">
        <v>0</v>
      </c>
      <c r="T73" s="75">
        <v>0</v>
      </c>
      <c r="U73" s="75">
        <v>0</v>
      </c>
      <c r="V73" s="75">
        <v>0</v>
      </c>
      <c r="W73" s="75">
        <v>0</v>
      </c>
      <c r="X73" s="75">
        <v>0</v>
      </c>
      <c r="Y73" s="75">
        <v>0</v>
      </c>
      <c r="Z73" s="75">
        <v>0</v>
      </c>
      <c r="AA73" s="75">
        <v>0</v>
      </c>
      <c r="AB73" s="75">
        <v>0</v>
      </c>
      <c r="AC73" s="75">
        <v>0</v>
      </c>
      <c r="AD73" s="75">
        <v>0</v>
      </c>
      <c r="AE73" s="75">
        <v>0</v>
      </c>
      <c r="AF73" s="75">
        <v>0</v>
      </c>
      <c r="AG73" s="75">
        <v>0</v>
      </c>
      <c r="AH73" s="75">
        <v>0</v>
      </c>
      <c r="AI73" s="75">
        <v>0</v>
      </c>
      <c r="AJ73" s="75">
        <v>0</v>
      </c>
      <c r="AK73" s="75">
        <v>0</v>
      </c>
      <c r="AL73" s="75">
        <v>0</v>
      </c>
      <c r="AM73" s="75">
        <v>0</v>
      </c>
      <c r="AN73" s="75">
        <v>0</v>
      </c>
      <c r="AO73" s="75">
        <v>1</v>
      </c>
      <c r="AP73" s="75">
        <v>0</v>
      </c>
      <c r="AQ73" s="75">
        <v>0</v>
      </c>
      <c r="AR73" s="75">
        <v>0</v>
      </c>
      <c r="AS73" s="75">
        <v>0</v>
      </c>
      <c r="AT73" s="75">
        <v>0</v>
      </c>
      <c r="AU73" s="75">
        <v>1</v>
      </c>
      <c r="AV73" s="75">
        <v>0</v>
      </c>
      <c r="AW73" s="75">
        <v>0</v>
      </c>
      <c r="AX73" s="75">
        <v>0</v>
      </c>
      <c r="AY73" s="75">
        <v>0</v>
      </c>
      <c r="AZ73" s="84">
        <v>11</v>
      </c>
      <c r="BA73" s="84">
        <v>0</v>
      </c>
      <c r="BB73" s="84">
        <v>0</v>
      </c>
      <c r="BC73" s="84">
        <v>3</v>
      </c>
      <c r="BD73" s="75">
        <v>0</v>
      </c>
      <c r="BE73" s="75">
        <v>0</v>
      </c>
      <c r="BF73" s="84">
        <v>1</v>
      </c>
      <c r="BG73" s="75">
        <v>0</v>
      </c>
      <c r="BH73" s="75">
        <v>1</v>
      </c>
      <c r="BM73" s="75">
        <f t="shared" si="9"/>
        <v>0</v>
      </c>
      <c r="BN73" s="75">
        <f t="shared" si="10"/>
        <v>0</v>
      </c>
      <c r="BO73" s="75">
        <f t="shared" si="11"/>
        <v>18</v>
      </c>
      <c r="BP73" s="75">
        <f t="shared" si="12"/>
        <v>18</v>
      </c>
      <c r="BQ73" s="80" t="s">
        <v>419</v>
      </c>
      <c r="BT73" s="110">
        <v>0</v>
      </c>
      <c r="BV73" s="75" t="s">
        <v>360</v>
      </c>
    </row>
    <row r="74" spans="1:74" x14ac:dyDescent="0.75">
      <c r="B74">
        <v>635</v>
      </c>
      <c r="C74" s="267">
        <v>613</v>
      </c>
      <c r="D74" s="75" t="s">
        <v>357</v>
      </c>
      <c r="E74" s="75" t="s">
        <v>358</v>
      </c>
      <c r="F74" s="75" t="s">
        <v>359</v>
      </c>
      <c r="G74" s="75" t="s">
        <v>23</v>
      </c>
      <c r="H74" s="75">
        <v>18.365749999999998</v>
      </c>
      <c r="I74" s="75">
        <v>-64.773619999999994</v>
      </c>
      <c r="J74" s="81">
        <v>44712</v>
      </c>
      <c r="K74" s="75" t="s">
        <v>361</v>
      </c>
      <c r="L74" s="75" t="s">
        <v>367</v>
      </c>
      <c r="M74" s="75">
        <v>0</v>
      </c>
      <c r="N74" s="75">
        <v>3</v>
      </c>
      <c r="O74" s="75" t="s">
        <v>362</v>
      </c>
      <c r="P74" s="75">
        <f>SUM(TreatmentUsed!E700:E730)</f>
        <v>261</v>
      </c>
      <c r="Q74" s="75" t="s">
        <v>364</v>
      </c>
      <c r="R74" s="75">
        <v>0</v>
      </c>
      <c r="S74" s="75">
        <v>0</v>
      </c>
      <c r="T74" s="75">
        <v>0</v>
      </c>
      <c r="U74" s="75">
        <v>0</v>
      </c>
      <c r="V74" s="75">
        <v>0</v>
      </c>
      <c r="W74" s="75">
        <v>0</v>
      </c>
      <c r="X74" s="75">
        <v>0</v>
      </c>
      <c r="Y74" s="75">
        <v>0</v>
      </c>
      <c r="Z74" s="75">
        <v>0</v>
      </c>
      <c r="AA74" s="75">
        <v>0</v>
      </c>
      <c r="AB74" s="75">
        <v>0</v>
      </c>
      <c r="AC74" s="75">
        <v>0</v>
      </c>
      <c r="AD74" s="75">
        <v>0</v>
      </c>
      <c r="AE74" s="75">
        <v>0</v>
      </c>
      <c r="AF74" s="75">
        <v>0</v>
      </c>
      <c r="AG74" s="75">
        <v>0</v>
      </c>
      <c r="AH74" s="75">
        <v>0</v>
      </c>
      <c r="AI74" s="75">
        <v>0</v>
      </c>
      <c r="AJ74" s="75">
        <v>0</v>
      </c>
      <c r="AK74" s="75">
        <v>0</v>
      </c>
      <c r="AL74" s="75">
        <v>0</v>
      </c>
      <c r="AM74" s="75">
        <v>0</v>
      </c>
      <c r="AN74" s="75">
        <v>0</v>
      </c>
      <c r="AO74" s="75">
        <v>0</v>
      </c>
      <c r="AP74" s="75">
        <v>0</v>
      </c>
      <c r="AQ74" s="75">
        <v>0</v>
      </c>
      <c r="AR74" s="75">
        <v>1</v>
      </c>
      <c r="AS74" s="75">
        <v>0</v>
      </c>
      <c r="AT74" s="75">
        <v>1</v>
      </c>
      <c r="AU74" s="75">
        <v>0</v>
      </c>
      <c r="AV74" s="75">
        <v>0</v>
      </c>
      <c r="AW74" s="75">
        <v>0</v>
      </c>
      <c r="AX74" s="75">
        <v>0</v>
      </c>
      <c r="AY74" s="84">
        <v>0</v>
      </c>
      <c r="AZ74" s="84">
        <v>6</v>
      </c>
      <c r="BA74" s="84">
        <v>20</v>
      </c>
      <c r="BB74" s="84">
        <v>1</v>
      </c>
      <c r="BC74" s="75">
        <v>2</v>
      </c>
      <c r="BD74" s="75">
        <v>0</v>
      </c>
      <c r="BE74" s="75">
        <v>0</v>
      </c>
      <c r="BF74" s="75">
        <v>0</v>
      </c>
      <c r="BG74" s="75">
        <v>0</v>
      </c>
      <c r="BH74" s="75">
        <v>0</v>
      </c>
      <c r="BM74" s="75">
        <f t="shared" si="9"/>
        <v>0</v>
      </c>
      <c r="BN74" s="75">
        <f t="shared" si="10"/>
        <v>0</v>
      </c>
      <c r="BO74" s="75">
        <f t="shared" si="11"/>
        <v>31</v>
      </c>
      <c r="BP74" s="75">
        <f t="shared" si="12"/>
        <v>31</v>
      </c>
      <c r="BT74" s="110">
        <v>0</v>
      </c>
      <c r="BV74" s="75" t="s">
        <v>360</v>
      </c>
    </row>
    <row r="75" spans="1:74" s="205" customFormat="1" x14ac:dyDescent="0.75">
      <c r="A75" s="232"/>
      <c r="B75" s="205">
        <v>636</v>
      </c>
      <c r="C75" s="269">
        <v>614</v>
      </c>
      <c r="D75" s="225" t="s">
        <v>357</v>
      </c>
      <c r="E75" s="225" t="s">
        <v>358</v>
      </c>
      <c r="F75" s="225" t="s">
        <v>359</v>
      </c>
      <c r="G75" s="225" t="s">
        <v>23</v>
      </c>
      <c r="H75" s="233">
        <v>18.365749999999998</v>
      </c>
      <c r="I75" s="233">
        <v>-64.773619999999994</v>
      </c>
      <c r="J75" s="234">
        <v>44713</v>
      </c>
      <c r="K75" s="225" t="s">
        <v>361</v>
      </c>
      <c r="L75" s="225" t="s">
        <v>367</v>
      </c>
      <c r="M75" s="225">
        <v>0</v>
      </c>
      <c r="N75" s="225">
        <v>3</v>
      </c>
      <c r="O75" s="225" t="s">
        <v>362</v>
      </c>
      <c r="P75" s="225">
        <f>SUM(TreatmentUsed!E731:E749)</f>
        <v>185</v>
      </c>
      <c r="Q75" s="225" t="s">
        <v>364</v>
      </c>
      <c r="R75" s="225">
        <v>0</v>
      </c>
      <c r="S75" s="225">
        <v>0</v>
      </c>
      <c r="T75" s="225">
        <v>0</v>
      </c>
      <c r="U75" s="225">
        <v>0</v>
      </c>
      <c r="V75" s="225">
        <v>0</v>
      </c>
      <c r="W75" s="225">
        <v>0</v>
      </c>
      <c r="X75" s="225">
        <v>0</v>
      </c>
      <c r="Y75" s="225">
        <v>0</v>
      </c>
      <c r="Z75" s="225">
        <v>0</v>
      </c>
      <c r="AA75" s="225">
        <v>0</v>
      </c>
      <c r="AB75" s="225">
        <v>0</v>
      </c>
      <c r="AC75" s="225">
        <v>0</v>
      </c>
      <c r="AD75" s="225">
        <v>0</v>
      </c>
      <c r="AE75" s="225">
        <v>0</v>
      </c>
      <c r="AF75" s="225">
        <v>0</v>
      </c>
      <c r="AG75" s="225">
        <v>0</v>
      </c>
      <c r="AH75" s="225">
        <v>0</v>
      </c>
      <c r="AI75" s="225">
        <v>0</v>
      </c>
      <c r="AJ75" s="225">
        <v>0</v>
      </c>
      <c r="AK75" s="225">
        <v>0</v>
      </c>
      <c r="AL75" s="225">
        <v>0</v>
      </c>
      <c r="AM75" s="225">
        <v>0</v>
      </c>
      <c r="AN75" s="225">
        <v>0</v>
      </c>
      <c r="AO75" s="233">
        <v>4</v>
      </c>
      <c r="AP75" s="225">
        <v>0</v>
      </c>
      <c r="AQ75" s="225">
        <v>0</v>
      </c>
      <c r="AR75" s="225">
        <v>0</v>
      </c>
      <c r="AS75" s="225">
        <v>0</v>
      </c>
      <c r="AT75" s="225">
        <v>0</v>
      </c>
      <c r="AU75" s="225">
        <v>0</v>
      </c>
      <c r="AV75" s="225">
        <v>0</v>
      </c>
      <c r="AW75" s="225">
        <v>0</v>
      </c>
      <c r="AX75" s="225">
        <v>0</v>
      </c>
      <c r="AY75" s="225">
        <v>2</v>
      </c>
      <c r="AZ75" s="225">
        <v>3</v>
      </c>
      <c r="BA75" s="233">
        <v>9</v>
      </c>
      <c r="BB75" s="233">
        <v>0</v>
      </c>
      <c r="BC75" s="225">
        <v>0</v>
      </c>
      <c r="BD75" s="225">
        <v>0</v>
      </c>
      <c r="BE75" s="225">
        <v>0</v>
      </c>
      <c r="BF75" s="225">
        <v>1</v>
      </c>
      <c r="BG75" s="225">
        <v>0</v>
      </c>
      <c r="BH75" s="233">
        <v>0</v>
      </c>
      <c r="BI75" s="233"/>
      <c r="BJ75" s="233"/>
      <c r="BK75" s="233"/>
      <c r="BL75" s="225"/>
      <c r="BM75" s="225">
        <f t="shared" si="9"/>
        <v>0</v>
      </c>
      <c r="BN75" s="225">
        <f t="shared" si="10"/>
        <v>0</v>
      </c>
      <c r="BO75" s="225">
        <f t="shared" si="11"/>
        <v>19</v>
      </c>
      <c r="BP75" s="225">
        <f t="shared" si="12"/>
        <v>19</v>
      </c>
      <c r="BQ75" s="229"/>
      <c r="BR75" s="253">
        <v>4112</v>
      </c>
      <c r="BS75" s="230"/>
      <c r="BT75" s="110">
        <v>0</v>
      </c>
      <c r="BU75" s="225"/>
      <c r="BV75" s="225" t="s">
        <v>360</v>
      </c>
    </row>
    <row r="76" spans="1:74" x14ac:dyDescent="0.75">
      <c r="B76">
        <v>637</v>
      </c>
      <c r="C76" s="267">
        <v>615</v>
      </c>
      <c r="D76" s="75" t="s">
        <v>357</v>
      </c>
      <c r="E76" s="75" t="s">
        <v>358</v>
      </c>
      <c r="F76" s="75" t="s">
        <v>359</v>
      </c>
      <c r="G76" s="75" t="s">
        <v>23</v>
      </c>
      <c r="H76" s="84">
        <v>18.365749999999998</v>
      </c>
      <c r="I76" s="84">
        <v>-64.773619999999994</v>
      </c>
      <c r="J76" s="81">
        <v>44713</v>
      </c>
      <c r="K76" s="75" t="s">
        <v>361</v>
      </c>
      <c r="L76" s="84" t="s">
        <v>367</v>
      </c>
      <c r="M76" s="75">
        <v>1</v>
      </c>
      <c r="N76" s="75">
        <v>3</v>
      </c>
      <c r="O76" s="75" t="s">
        <v>362</v>
      </c>
      <c r="P76" s="75">
        <f>SUM(TreatmentUsed!E750:E778)</f>
        <v>197</v>
      </c>
      <c r="Q76" s="75" t="s">
        <v>364</v>
      </c>
      <c r="R76" s="75">
        <v>0</v>
      </c>
      <c r="S76" s="75">
        <v>0</v>
      </c>
      <c r="T76" s="75">
        <v>0</v>
      </c>
      <c r="U76" s="75">
        <v>0</v>
      </c>
      <c r="V76" s="75">
        <v>0</v>
      </c>
      <c r="W76" s="75">
        <v>0</v>
      </c>
      <c r="X76" s="75">
        <v>0</v>
      </c>
      <c r="Y76" s="75">
        <v>0</v>
      </c>
      <c r="Z76" s="75">
        <v>0</v>
      </c>
      <c r="AA76" s="75">
        <v>0</v>
      </c>
      <c r="AB76" s="75">
        <v>0</v>
      </c>
      <c r="AC76" s="75">
        <v>0</v>
      </c>
      <c r="AD76" s="75">
        <v>0</v>
      </c>
      <c r="AE76" s="75">
        <v>0</v>
      </c>
      <c r="AF76" s="75">
        <v>0</v>
      </c>
      <c r="AG76" s="75">
        <v>0</v>
      </c>
      <c r="AH76" s="75">
        <v>0</v>
      </c>
      <c r="AI76" s="75">
        <v>0</v>
      </c>
      <c r="AJ76" s="75">
        <v>0</v>
      </c>
      <c r="AK76" s="75">
        <v>0</v>
      </c>
      <c r="AL76" s="75">
        <v>0</v>
      </c>
      <c r="AM76" s="75">
        <v>0</v>
      </c>
      <c r="AN76" s="75">
        <v>0</v>
      </c>
      <c r="AO76" s="75">
        <v>0</v>
      </c>
      <c r="AP76" s="75">
        <v>0</v>
      </c>
      <c r="AQ76" s="75">
        <v>0</v>
      </c>
      <c r="AR76" s="75">
        <v>1</v>
      </c>
      <c r="AS76" s="75">
        <v>0</v>
      </c>
      <c r="AT76" s="75">
        <v>0</v>
      </c>
      <c r="AU76" s="75">
        <v>0</v>
      </c>
      <c r="AV76" s="75">
        <v>0</v>
      </c>
      <c r="AW76" s="75">
        <v>0</v>
      </c>
      <c r="AX76" s="75">
        <v>0</v>
      </c>
      <c r="AY76" s="84">
        <v>3</v>
      </c>
      <c r="AZ76" s="84">
        <v>2</v>
      </c>
      <c r="BA76" s="84">
        <v>21</v>
      </c>
      <c r="BB76" s="75">
        <v>0</v>
      </c>
      <c r="BC76" s="75">
        <v>2</v>
      </c>
      <c r="BD76" s="75">
        <v>0</v>
      </c>
      <c r="BE76" s="75">
        <v>0</v>
      </c>
      <c r="BF76" s="75">
        <v>0</v>
      </c>
      <c r="BG76" s="75">
        <v>0</v>
      </c>
      <c r="BH76" s="75">
        <v>0</v>
      </c>
      <c r="BM76" s="75">
        <f t="shared" si="9"/>
        <v>0</v>
      </c>
      <c r="BN76" s="75">
        <f t="shared" si="10"/>
        <v>0</v>
      </c>
      <c r="BO76" s="75">
        <f t="shared" si="11"/>
        <v>29</v>
      </c>
      <c r="BP76" s="75">
        <f t="shared" si="12"/>
        <v>29</v>
      </c>
      <c r="BQ76" s="80" t="s">
        <v>420</v>
      </c>
      <c r="BT76" s="110">
        <v>0</v>
      </c>
      <c r="BV76" s="75" t="s">
        <v>360</v>
      </c>
    </row>
    <row r="77" spans="1:74" x14ac:dyDescent="0.75">
      <c r="B77">
        <v>638</v>
      </c>
      <c r="C77" s="267">
        <v>617</v>
      </c>
      <c r="D77" s="75" t="s">
        <v>357</v>
      </c>
      <c r="E77" s="75" t="s">
        <v>358</v>
      </c>
      <c r="F77" s="75" t="s">
        <v>359</v>
      </c>
      <c r="G77" s="75" t="s">
        <v>23</v>
      </c>
      <c r="H77" s="84">
        <v>18.365749999999998</v>
      </c>
      <c r="I77" s="84">
        <v>-64.773619999999994</v>
      </c>
      <c r="J77" s="81">
        <v>44715</v>
      </c>
      <c r="K77" s="75" t="s">
        <v>361</v>
      </c>
      <c r="L77" s="75" t="s">
        <v>367</v>
      </c>
      <c r="M77" s="75">
        <v>1</v>
      </c>
      <c r="N77" s="75">
        <v>3</v>
      </c>
      <c r="O77" s="75" t="s">
        <v>362</v>
      </c>
      <c r="P77" s="75">
        <f>SUM(TreatmentUsed!E837:E838)</f>
        <v>61</v>
      </c>
      <c r="Q77" s="75" t="s">
        <v>364</v>
      </c>
      <c r="R77" s="75">
        <v>0</v>
      </c>
      <c r="S77" s="75">
        <v>0</v>
      </c>
      <c r="T77" s="75">
        <v>0</v>
      </c>
      <c r="U77" s="75">
        <v>0</v>
      </c>
      <c r="V77" s="75">
        <v>0</v>
      </c>
      <c r="W77" s="75">
        <v>0</v>
      </c>
      <c r="X77" s="75">
        <v>0</v>
      </c>
      <c r="Y77" s="75">
        <v>0</v>
      </c>
      <c r="Z77" s="75">
        <v>0</v>
      </c>
      <c r="AA77" s="75">
        <v>0</v>
      </c>
      <c r="AB77" s="75">
        <v>0</v>
      </c>
      <c r="AC77" s="75">
        <v>0</v>
      </c>
      <c r="AD77" s="75">
        <v>0</v>
      </c>
      <c r="AE77" s="75">
        <v>0</v>
      </c>
      <c r="AF77" s="75">
        <v>0</v>
      </c>
      <c r="AG77" s="75">
        <v>0</v>
      </c>
      <c r="AH77" s="75">
        <v>0</v>
      </c>
      <c r="AI77" s="75">
        <v>0</v>
      </c>
      <c r="AJ77" s="75">
        <v>0</v>
      </c>
      <c r="AK77" s="75">
        <v>0</v>
      </c>
      <c r="AL77" s="75">
        <v>0</v>
      </c>
      <c r="AM77" s="75">
        <v>0</v>
      </c>
      <c r="AN77" s="75">
        <v>0</v>
      </c>
      <c r="AO77" s="75">
        <v>0</v>
      </c>
      <c r="AP77" s="75">
        <v>0</v>
      </c>
      <c r="AQ77" s="75">
        <v>2</v>
      </c>
      <c r="AR77" s="75">
        <v>0</v>
      </c>
      <c r="AS77" s="75">
        <v>0</v>
      </c>
      <c r="AT77" s="75">
        <v>0</v>
      </c>
      <c r="AU77" s="75">
        <v>0</v>
      </c>
      <c r="AV77" s="75">
        <v>0</v>
      </c>
      <c r="AW77" s="75">
        <v>0</v>
      </c>
      <c r="AX77" s="75">
        <v>0</v>
      </c>
      <c r="AY77" s="75">
        <v>0</v>
      </c>
      <c r="AZ77" s="75">
        <v>0</v>
      </c>
      <c r="BA77" s="75">
        <v>0</v>
      </c>
      <c r="BB77" s="75">
        <v>0</v>
      </c>
      <c r="BC77" s="75">
        <v>0</v>
      </c>
      <c r="BD77" s="75">
        <v>0</v>
      </c>
      <c r="BE77" s="75">
        <v>0</v>
      </c>
      <c r="BF77" s="75">
        <v>0</v>
      </c>
      <c r="BG77" s="75">
        <v>0</v>
      </c>
      <c r="BH77" s="75">
        <v>0</v>
      </c>
      <c r="BM77" s="75">
        <f t="shared" si="9"/>
        <v>0</v>
      </c>
      <c r="BN77" s="75">
        <f t="shared" si="10"/>
        <v>0</v>
      </c>
      <c r="BO77" s="75">
        <f t="shared" si="11"/>
        <v>2</v>
      </c>
      <c r="BP77" s="75">
        <f t="shared" si="12"/>
        <v>2</v>
      </c>
      <c r="BQ77" s="80" t="s">
        <v>421</v>
      </c>
      <c r="BR77" s="252">
        <v>3884</v>
      </c>
      <c r="BT77" s="110">
        <v>0</v>
      </c>
      <c r="BV77" s="75" t="s">
        <v>360</v>
      </c>
    </row>
    <row r="78" spans="1:74" x14ac:dyDescent="0.75">
      <c r="B78">
        <v>639</v>
      </c>
      <c r="C78" s="267">
        <v>618</v>
      </c>
      <c r="D78" s="75" t="s">
        <v>357</v>
      </c>
      <c r="E78" s="75" t="s">
        <v>358</v>
      </c>
      <c r="F78" s="75" t="s">
        <v>359</v>
      </c>
      <c r="G78" s="75" t="s">
        <v>39</v>
      </c>
      <c r="H78" s="84">
        <v>18.357482999999998</v>
      </c>
      <c r="I78" s="84">
        <v>-64.751949999999994</v>
      </c>
      <c r="J78" s="81">
        <v>44715</v>
      </c>
      <c r="K78" s="75" t="s">
        <v>367</v>
      </c>
      <c r="L78" s="75" t="s">
        <v>361</v>
      </c>
      <c r="M78" s="75">
        <v>2</v>
      </c>
      <c r="N78" s="75">
        <v>3</v>
      </c>
      <c r="O78" s="75" t="s">
        <v>362</v>
      </c>
      <c r="P78" s="75">
        <f>SUM(TreatmentUsed!E779:E801)</f>
        <v>170</v>
      </c>
      <c r="Q78" s="75" t="s">
        <v>364</v>
      </c>
      <c r="R78" s="75">
        <v>0</v>
      </c>
      <c r="S78" s="75">
        <v>0</v>
      </c>
      <c r="T78" s="75">
        <v>0</v>
      </c>
      <c r="U78" s="75">
        <v>0</v>
      </c>
      <c r="V78" s="75">
        <v>0</v>
      </c>
      <c r="W78" s="75">
        <v>0</v>
      </c>
      <c r="X78" s="75">
        <v>0</v>
      </c>
      <c r="Y78" s="75">
        <v>0</v>
      </c>
      <c r="Z78" s="75">
        <v>0</v>
      </c>
      <c r="AA78" s="75">
        <v>0</v>
      </c>
      <c r="AB78" s="75">
        <v>0</v>
      </c>
      <c r="AC78" s="75">
        <v>0</v>
      </c>
      <c r="AD78" s="75">
        <v>0</v>
      </c>
      <c r="AE78" s="75">
        <v>0</v>
      </c>
      <c r="AF78" s="75">
        <v>0</v>
      </c>
      <c r="AG78" s="75">
        <v>0</v>
      </c>
      <c r="AH78" s="75">
        <v>0</v>
      </c>
      <c r="AI78" s="75">
        <v>0</v>
      </c>
      <c r="AJ78" s="75">
        <v>0</v>
      </c>
      <c r="AK78" s="75">
        <v>0</v>
      </c>
      <c r="AL78" s="75">
        <v>0</v>
      </c>
      <c r="AM78" s="75">
        <v>0</v>
      </c>
      <c r="AN78" s="75">
        <v>0</v>
      </c>
      <c r="AO78" s="75">
        <v>1</v>
      </c>
      <c r="AP78" s="75">
        <v>0</v>
      </c>
      <c r="AQ78" s="75">
        <v>0</v>
      </c>
      <c r="AR78" s="75">
        <v>0</v>
      </c>
      <c r="AS78" s="84">
        <v>10</v>
      </c>
      <c r="AT78" s="84">
        <v>6</v>
      </c>
      <c r="AU78" s="75">
        <v>0</v>
      </c>
      <c r="AV78" s="75">
        <v>0</v>
      </c>
      <c r="AW78" s="75">
        <v>0</v>
      </c>
      <c r="AX78" s="75">
        <v>0</v>
      </c>
      <c r="AY78" s="75">
        <v>0</v>
      </c>
      <c r="AZ78" s="75">
        <v>0</v>
      </c>
      <c r="BA78" s="75">
        <v>0</v>
      </c>
      <c r="BB78" s="75">
        <v>0</v>
      </c>
      <c r="BC78" s="84">
        <v>6</v>
      </c>
      <c r="BD78" s="75">
        <v>0</v>
      </c>
      <c r="BE78" s="75">
        <v>0</v>
      </c>
      <c r="BF78" s="75">
        <v>0</v>
      </c>
      <c r="BG78" s="75">
        <v>0</v>
      </c>
      <c r="BH78" s="75">
        <v>0</v>
      </c>
      <c r="BM78" s="75">
        <f t="shared" si="9"/>
        <v>0</v>
      </c>
      <c r="BN78" s="75">
        <f t="shared" si="10"/>
        <v>0</v>
      </c>
      <c r="BO78" s="75">
        <f t="shared" si="11"/>
        <v>23</v>
      </c>
      <c r="BP78" s="75">
        <f t="shared" si="12"/>
        <v>23</v>
      </c>
      <c r="BQ78" s="80" t="s">
        <v>422</v>
      </c>
      <c r="BR78" s="252" t="s">
        <v>423</v>
      </c>
      <c r="BT78" s="110">
        <v>0</v>
      </c>
      <c r="BV78" s="75" t="s">
        <v>360</v>
      </c>
    </row>
    <row r="79" spans="1:74" x14ac:dyDescent="0.75">
      <c r="B79">
        <v>640</v>
      </c>
      <c r="C79" s="267">
        <v>619</v>
      </c>
      <c r="D79" s="75" t="s">
        <v>357</v>
      </c>
      <c r="E79" s="75" t="s">
        <v>358</v>
      </c>
      <c r="F79" s="75" t="s">
        <v>359</v>
      </c>
      <c r="G79" s="75" t="s">
        <v>39</v>
      </c>
      <c r="H79" s="84">
        <v>18.357482999999998</v>
      </c>
      <c r="I79" s="84">
        <v>-64.751949999999994</v>
      </c>
      <c r="J79" s="81">
        <v>44715</v>
      </c>
      <c r="K79" s="75" t="s">
        <v>367</v>
      </c>
      <c r="L79" s="75" t="s">
        <v>361</v>
      </c>
      <c r="M79" s="75">
        <v>2</v>
      </c>
      <c r="N79" s="75">
        <v>3</v>
      </c>
      <c r="O79" s="75" t="s">
        <v>362</v>
      </c>
      <c r="P79" s="75">
        <f>SUM(TreatmentUsed!E802:E828)</f>
        <v>113</v>
      </c>
      <c r="Q79" s="75" t="s">
        <v>364</v>
      </c>
      <c r="R79" s="75">
        <v>0</v>
      </c>
      <c r="S79" s="75">
        <v>0</v>
      </c>
      <c r="T79" s="75">
        <v>0</v>
      </c>
      <c r="U79" s="75">
        <v>0</v>
      </c>
      <c r="V79" s="75">
        <v>0</v>
      </c>
      <c r="W79" s="75">
        <v>0</v>
      </c>
      <c r="X79" s="75">
        <v>0</v>
      </c>
      <c r="Y79" s="75">
        <v>0</v>
      </c>
      <c r="Z79" s="75">
        <v>0</v>
      </c>
      <c r="AA79" s="75">
        <v>0</v>
      </c>
      <c r="AB79" s="75">
        <v>0</v>
      </c>
      <c r="AC79" s="75">
        <v>0</v>
      </c>
      <c r="AD79" s="75">
        <v>0</v>
      </c>
      <c r="AE79" s="75">
        <v>0</v>
      </c>
      <c r="AF79" s="75">
        <v>0</v>
      </c>
      <c r="AG79" s="75">
        <v>0</v>
      </c>
      <c r="AH79" s="75">
        <v>0</v>
      </c>
      <c r="AI79" s="75">
        <v>0</v>
      </c>
      <c r="AJ79" s="75">
        <v>0</v>
      </c>
      <c r="AK79" s="75">
        <v>0</v>
      </c>
      <c r="AL79" s="75">
        <v>0</v>
      </c>
      <c r="AM79" s="75">
        <v>0</v>
      </c>
      <c r="AN79" s="75">
        <v>0</v>
      </c>
      <c r="AO79" s="84">
        <v>3</v>
      </c>
      <c r="AP79" s="75">
        <v>0</v>
      </c>
      <c r="AQ79" s="75">
        <v>0</v>
      </c>
      <c r="AR79" s="75">
        <v>3</v>
      </c>
      <c r="AS79" s="75">
        <v>0</v>
      </c>
      <c r="AT79" s="75">
        <v>0</v>
      </c>
      <c r="AU79" s="75">
        <v>0</v>
      </c>
      <c r="AV79" s="75">
        <v>0</v>
      </c>
      <c r="AW79" s="75">
        <v>0</v>
      </c>
      <c r="AX79" s="75">
        <v>0</v>
      </c>
      <c r="AY79" s="84">
        <v>1</v>
      </c>
      <c r="AZ79" s="84">
        <v>11</v>
      </c>
      <c r="BA79" s="84">
        <v>2</v>
      </c>
      <c r="BB79" s="84">
        <v>1</v>
      </c>
      <c r="BC79" s="84">
        <v>3</v>
      </c>
      <c r="BD79" s="75">
        <v>0</v>
      </c>
      <c r="BE79" s="84">
        <v>1</v>
      </c>
      <c r="BF79" s="84">
        <v>2</v>
      </c>
      <c r="BG79" s="75">
        <v>0</v>
      </c>
      <c r="BH79" s="75">
        <v>0</v>
      </c>
      <c r="BM79" s="75">
        <f t="shared" si="9"/>
        <v>0</v>
      </c>
      <c r="BN79" s="75">
        <f t="shared" si="10"/>
        <v>0</v>
      </c>
      <c r="BO79" s="75">
        <f t="shared" si="11"/>
        <v>27</v>
      </c>
      <c r="BP79" s="75">
        <f t="shared" si="12"/>
        <v>27</v>
      </c>
      <c r="BQ79" s="80" t="s">
        <v>424</v>
      </c>
      <c r="BR79" s="252">
        <v>3535</v>
      </c>
      <c r="BT79" s="110">
        <v>0</v>
      </c>
      <c r="BV79" s="75" t="s">
        <v>360</v>
      </c>
    </row>
    <row r="80" spans="1:74" x14ac:dyDescent="0.75">
      <c r="B80">
        <v>663</v>
      </c>
      <c r="C80" s="267">
        <v>620</v>
      </c>
      <c r="D80" s="75" t="s">
        <v>357</v>
      </c>
      <c r="E80" s="75" t="s">
        <v>358</v>
      </c>
      <c r="F80" s="75" t="s">
        <v>359</v>
      </c>
      <c r="G80" s="75" t="s">
        <v>139</v>
      </c>
      <c r="H80" s="84">
        <v>18.356349999999999</v>
      </c>
      <c r="I80" s="84">
        <v>-64.756349999999998</v>
      </c>
      <c r="J80" s="81">
        <v>44715</v>
      </c>
      <c r="K80" s="75" t="s">
        <v>361</v>
      </c>
      <c r="L80" s="75" t="s">
        <v>360</v>
      </c>
      <c r="M80" s="75">
        <v>0</v>
      </c>
      <c r="N80" s="75">
        <v>3</v>
      </c>
      <c r="O80" s="75" t="s">
        <v>362</v>
      </c>
      <c r="P80" s="75">
        <f>SUM(TreatmentUsed!E829:E836)</f>
        <v>38</v>
      </c>
      <c r="Q80" s="75" t="s">
        <v>364</v>
      </c>
      <c r="R80" s="75">
        <v>0</v>
      </c>
      <c r="S80" s="75">
        <v>0</v>
      </c>
      <c r="T80" s="75">
        <v>0</v>
      </c>
      <c r="U80" s="75">
        <v>0</v>
      </c>
      <c r="V80" s="75">
        <v>0</v>
      </c>
      <c r="W80" s="75">
        <v>0</v>
      </c>
      <c r="X80" s="75">
        <v>0</v>
      </c>
      <c r="Y80" s="75">
        <v>0</v>
      </c>
      <c r="Z80" s="75">
        <v>0</v>
      </c>
      <c r="AA80" s="75">
        <v>0</v>
      </c>
      <c r="AB80" s="75">
        <v>0</v>
      </c>
      <c r="AC80" s="75">
        <v>0</v>
      </c>
      <c r="AD80" s="75">
        <v>0</v>
      </c>
      <c r="AE80" s="75">
        <v>0</v>
      </c>
      <c r="AF80" s="75">
        <v>0</v>
      </c>
      <c r="AG80" s="75">
        <v>0</v>
      </c>
      <c r="AH80" s="75">
        <v>0</v>
      </c>
      <c r="AI80" s="75">
        <v>0</v>
      </c>
      <c r="AJ80" s="75">
        <v>0</v>
      </c>
      <c r="AK80" s="75">
        <v>0</v>
      </c>
      <c r="AL80" s="75">
        <v>0</v>
      </c>
      <c r="AM80" s="75">
        <v>0</v>
      </c>
      <c r="AN80" s="75">
        <v>0</v>
      </c>
      <c r="AO80" s="75">
        <v>0</v>
      </c>
      <c r="AP80" s="75">
        <v>0</v>
      </c>
      <c r="AQ80" s="75">
        <v>0</v>
      </c>
      <c r="AR80" s="75">
        <v>0</v>
      </c>
      <c r="AS80" s="75">
        <v>0</v>
      </c>
      <c r="AT80" s="75">
        <v>1</v>
      </c>
      <c r="AU80" s="75">
        <v>0</v>
      </c>
      <c r="AV80" s="75">
        <v>0</v>
      </c>
      <c r="AW80" s="75">
        <v>0</v>
      </c>
      <c r="AX80" s="75">
        <v>0</v>
      </c>
      <c r="AY80" s="84">
        <v>4</v>
      </c>
      <c r="AZ80" s="75">
        <v>0</v>
      </c>
      <c r="BA80" s="75">
        <v>1</v>
      </c>
      <c r="BB80" s="75">
        <v>0</v>
      </c>
      <c r="BC80" s="75">
        <v>1</v>
      </c>
      <c r="BD80" s="75">
        <v>0</v>
      </c>
      <c r="BE80" s="75">
        <v>0</v>
      </c>
      <c r="BF80" s="75">
        <v>0</v>
      </c>
      <c r="BG80" s="75">
        <v>0</v>
      </c>
      <c r="BH80" s="75">
        <v>1</v>
      </c>
      <c r="BM80" s="75">
        <v>1</v>
      </c>
      <c r="BN80" s="75">
        <f t="shared" si="10"/>
        <v>0</v>
      </c>
      <c r="BO80" s="75">
        <f t="shared" si="11"/>
        <v>8</v>
      </c>
      <c r="BP80" s="75">
        <f t="shared" si="12"/>
        <v>8</v>
      </c>
      <c r="BQ80" s="80" t="s">
        <v>425</v>
      </c>
      <c r="BT80" s="110">
        <v>0</v>
      </c>
      <c r="BV80" s="75" t="s">
        <v>360</v>
      </c>
    </row>
    <row r="81" spans="2:74" x14ac:dyDescent="0.75">
      <c r="B81">
        <v>641</v>
      </c>
      <c r="C81" s="267">
        <v>624</v>
      </c>
      <c r="D81" s="75" t="s">
        <v>357</v>
      </c>
      <c r="E81" s="75" t="s">
        <v>358</v>
      </c>
      <c r="F81" s="75" t="s">
        <v>359</v>
      </c>
      <c r="G81" s="75" t="s">
        <v>48</v>
      </c>
      <c r="H81" s="84">
        <v>18.363399999999999</v>
      </c>
      <c r="I81" s="84">
        <v>-64.706067000000004</v>
      </c>
      <c r="J81" s="81">
        <v>44720</v>
      </c>
      <c r="K81" s="75" t="s">
        <v>367</v>
      </c>
      <c r="L81" s="75" t="s">
        <v>361</v>
      </c>
      <c r="M81" s="75">
        <v>0</v>
      </c>
      <c r="N81" s="75">
        <v>3</v>
      </c>
      <c r="O81" s="75" t="s">
        <v>362</v>
      </c>
      <c r="P81" s="75">
        <f>SUM(TreatmentUsed!E869:E884)</f>
        <v>94</v>
      </c>
      <c r="Q81" s="75">
        <f>40/3</f>
        <v>13.333333333333334</v>
      </c>
      <c r="R81" s="75">
        <v>0</v>
      </c>
      <c r="S81" s="75">
        <v>0</v>
      </c>
      <c r="T81" s="75">
        <v>0</v>
      </c>
      <c r="U81" s="75">
        <v>0</v>
      </c>
      <c r="V81" s="75">
        <v>0</v>
      </c>
      <c r="W81" s="75">
        <v>0</v>
      </c>
      <c r="X81" s="75">
        <v>0</v>
      </c>
      <c r="Y81" s="75">
        <v>0</v>
      </c>
      <c r="Z81" s="75">
        <v>0</v>
      </c>
      <c r="AA81" s="75">
        <v>0</v>
      </c>
      <c r="AB81" s="75">
        <v>0</v>
      </c>
      <c r="AC81" s="75">
        <v>0</v>
      </c>
      <c r="AD81" s="75">
        <v>0</v>
      </c>
      <c r="AE81" s="75">
        <v>0</v>
      </c>
      <c r="AF81" s="75">
        <v>0</v>
      </c>
      <c r="AG81" s="75">
        <v>0</v>
      </c>
      <c r="AH81" s="75">
        <v>0</v>
      </c>
      <c r="AI81" s="75">
        <v>0</v>
      </c>
      <c r="AJ81" s="75">
        <v>0</v>
      </c>
      <c r="AK81" s="75">
        <v>0</v>
      </c>
      <c r="AL81" s="75">
        <v>0</v>
      </c>
      <c r="AM81" s="75">
        <v>0</v>
      </c>
      <c r="AN81" s="75">
        <v>0</v>
      </c>
      <c r="AO81" s="84">
        <v>2</v>
      </c>
      <c r="AP81" s="75">
        <v>0</v>
      </c>
      <c r="AQ81" s="75">
        <v>0</v>
      </c>
      <c r="AR81" s="75">
        <v>0</v>
      </c>
      <c r="AS81" s="75">
        <v>0</v>
      </c>
      <c r="AT81" s="75">
        <v>0</v>
      </c>
      <c r="AU81" s="75">
        <v>0</v>
      </c>
      <c r="AV81" s="75">
        <v>0</v>
      </c>
      <c r="AW81" s="75">
        <v>0</v>
      </c>
      <c r="AX81" s="75">
        <v>0</v>
      </c>
      <c r="AY81" s="84">
        <v>7</v>
      </c>
      <c r="AZ81" s="75">
        <v>0</v>
      </c>
      <c r="BA81" s="84">
        <v>5</v>
      </c>
      <c r="BB81" s="84">
        <v>0</v>
      </c>
      <c r="BC81" s="75">
        <v>1</v>
      </c>
      <c r="BD81" s="75">
        <v>0</v>
      </c>
      <c r="BE81" s="75">
        <v>0</v>
      </c>
      <c r="BF81" s="75">
        <v>0</v>
      </c>
      <c r="BG81" s="75">
        <v>0</v>
      </c>
      <c r="BH81" s="84">
        <v>1</v>
      </c>
      <c r="BI81" s="84"/>
      <c r="BJ81" s="84"/>
      <c r="BK81" s="84"/>
      <c r="BM81" s="75">
        <f t="shared" ref="BM81:BM126" si="13">SUM(R81:AD81)</f>
        <v>0</v>
      </c>
      <c r="BN81" s="75">
        <f t="shared" si="10"/>
        <v>0</v>
      </c>
      <c r="BO81" s="75">
        <f t="shared" si="11"/>
        <v>16</v>
      </c>
      <c r="BP81" s="75">
        <f t="shared" si="12"/>
        <v>16</v>
      </c>
      <c r="BQ81" s="85" t="s">
        <v>426</v>
      </c>
      <c r="BT81" s="110">
        <v>0</v>
      </c>
      <c r="BV81" s="75" t="s">
        <v>360</v>
      </c>
    </row>
    <row r="82" spans="2:74" x14ac:dyDescent="0.75">
      <c r="B82">
        <v>642</v>
      </c>
      <c r="C82" s="267">
        <v>625</v>
      </c>
      <c r="D82" s="75" t="s">
        <v>357</v>
      </c>
      <c r="E82" s="75" t="s">
        <v>358</v>
      </c>
      <c r="F82" s="75" t="s">
        <v>359</v>
      </c>
      <c r="G82" s="75" t="s">
        <v>44</v>
      </c>
      <c r="H82" s="84">
        <v>18.364650000000001</v>
      </c>
      <c r="I82" s="84">
        <v>-64.726183000000006</v>
      </c>
      <c r="J82" s="81">
        <v>44720</v>
      </c>
      <c r="K82" s="75" t="s">
        <v>367</v>
      </c>
      <c r="L82" s="75" t="s">
        <v>361</v>
      </c>
      <c r="M82" s="75">
        <v>0</v>
      </c>
      <c r="N82" s="75">
        <v>3</v>
      </c>
      <c r="O82" s="75" t="s">
        <v>362</v>
      </c>
      <c r="P82" s="75">
        <f>SUM(TreatmentUsed!E839:E854)</f>
        <v>158</v>
      </c>
      <c r="Q82" s="75">
        <f>40/3</f>
        <v>13.333333333333334</v>
      </c>
      <c r="R82" s="75">
        <v>0</v>
      </c>
      <c r="S82" s="75">
        <v>0</v>
      </c>
      <c r="T82" s="75">
        <v>0</v>
      </c>
      <c r="U82" s="75">
        <v>0</v>
      </c>
      <c r="V82" s="75">
        <v>0</v>
      </c>
      <c r="W82" s="75">
        <v>0</v>
      </c>
      <c r="X82" s="75">
        <v>0</v>
      </c>
      <c r="Y82" s="75">
        <v>0</v>
      </c>
      <c r="Z82" s="75">
        <v>0</v>
      </c>
      <c r="AA82" s="75">
        <v>0</v>
      </c>
      <c r="AB82" s="75">
        <v>0</v>
      </c>
      <c r="AC82" s="75">
        <v>0</v>
      </c>
      <c r="AD82" s="75">
        <v>0</v>
      </c>
      <c r="AE82" s="75">
        <v>0</v>
      </c>
      <c r="AF82" s="75">
        <v>0</v>
      </c>
      <c r="AG82" s="75">
        <v>0</v>
      </c>
      <c r="AH82" s="75">
        <v>0</v>
      </c>
      <c r="AI82" s="75">
        <v>0</v>
      </c>
      <c r="AJ82" s="75">
        <v>0</v>
      </c>
      <c r="AK82" s="75">
        <v>0</v>
      </c>
      <c r="AL82" s="75">
        <v>0</v>
      </c>
      <c r="AM82" s="75">
        <v>0</v>
      </c>
      <c r="AN82" s="75">
        <v>0</v>
      </c>
      <c r="AO82" s="75">
        <v>1</v>
      </c>
      <c r="AP82" s="75">
        <v>0</v>
      </c>
      <c r="AQ82" s="75">
        <v>0</v>
      </c>
      <c r="AR82" s="84">
        <v>1</v>
      </c>
      <c r="AS82" s="84">
        <v>2</v>
      </c>
      <c r="AT82" s="84">
        <v>1</v>
      </c>
      <c r="AU82" s="75">
        <v>1</v>
      </c>
      <c r="AV82" s="75">
        <v>0</v>
      </c>
      <c r="AW82" s="75">
        <v>0</v>
      </c>
      <c r="AX82" s="75">
        <v>0</v>
      </c>
      <c r="AY82" s="84">
        <v>0</v>
      </c>
      <c r="AZ82" s="75">
        <v>3</v>
      </c>
      <c r="BA82" s="75">
        <v>1</v>
      </c>
      <c r="BB82" s="84">
        <v>1</v>
      </c>
      <c r="BC82" s="75">
        <v>1</v>
      </c>
      <c r="BD82" s="75">
        <v>0</v>
      </c>
      <c r="BE82" s="75">
        <v>0</v>
      </c>
      <c r="BF82" s="75">
        <v>4</v>
      </c>
      <c r="BG82" s="75">
        <v>0</v>
      </c>
      <c r="BH82" s="75">
        <v>0</v>
      </c>
      <c r="BM82" s="75">
        <f t="shared" si="13"/>
        <v>0</v>
      </c>
      <c r="BN82" s="75">
        <f t="shared" si="10"/>
        <v>0</v>
      </c>
      <c r="BO82" s="75">
        <f t="shared" si="11"/>
        <v>16</v>
      </c>
      <c r="BP82" s="75">
        <f t="shared" si="12"/>
        <v>16</v>
      </c>
      <c r="BQ82" s="80" t="s">
        <v>427</v>
      </c>
      <c r="BT82" s="110">
        <v>0</v>
      </c>
      <c r="BV82" s="75" t="s">
        <v>360</v>
      </c>
    </row>
    <row r="83" spans="2:74" x14ac:dyDescent="0.75">
      <c r="B83">
        <v>643</v>
      </c>
      <c r="C83" s="267">
        <v>626</v>
      </c>
      <c r="D83" s="75" t="s">
        <v>357</v>
      </c>
      <c r="E83" s="75" t="s">
        <v>358</v>
      </c>
      <c r="F83" s="75" t="s">
        <v>359</v>
      </c>
      <c r="G83" s="75" t="s">
        <v>60</v>
      </c>
      <c r="H83" s="84">
        <v>18.367850000000001</v>
      </c>
      <c r="I83" s="84">
        <v>-64.732933000000003</v>
      </c>
      <c r="J83" s="81">
        <v>44720</v>
      </c>
      <c r="K83" s="75" t="s">
        <v>367</v>
      </c>
      <c r="L83" s="75" t="s">
        <v>361</v>
      </c>
      <c r="M83" s="75">
        <v>0</v>
      </c>
      <c r="N83" s="75">
        <v>3</v>
      </c>
      <c r="O83" s="75" t="s">
        <v>362</v>
      </c>
      <c r="P83" s="75">
        <f>SUM(TreatmentUsed!E855:E868)</f>
        <v>105</v>
      </c>
      <c r="Q83" s="75">
        <f>40/3</f>
        <v>13.333333333333334</v>
      </c>
      <c r="R83" s="75">
        <v>0</v>
      </c>
      <c r="S83" s="75">
        <v>0</v>
      </c>
      <c r="T83" s="75">
        <v>0</v>
      </c>
      <c r="U83" s="75">
        <v>0</v>
      </c>
      <c r="V83" s="75">
        <v>0</v>
      </c>
      <c r="W83" s="75">
        <v>0</v>
      </c>
      <c r="X83" s="75">
        <v>0</v>
      </c>
      <c r="Y83" s="75">
        <v>0</v>
      </c>
      <c r="Z83" s="75">
        <v>0</v>
      </c>
      <c r="AA83" s="75">
        <v>0</v>
      </c>
      <c r="AB83" s="75">
        <v>0</v>
      </c>
      <c r="AC83" s="75">
        <v>0</v>
      </c>
      <c r="AD83" s="75">
        <v>0</v>
      </c>
      <c r="AE83" s="75">
        <v>0</v>
      </c>
      <c r="AF83" s="75">
        <v>0</v>
      </c>
      <c r="AG83" s="75">
        <v>0</v>
      </c>
      <c r="AH83" s="75">
        <v>0</v>
      </c>
      <c r="AI83" s="75">
        <v>0</v>
      </c>
      <c r="AJ83" s="75">
        <v>0</v>
      </c>
      <c r="AK83" s="75">
        <v>0</v>
      </c>
      <c r="AL83" s="75">
        <v>0</v>
      </c>
      <c r="AM83" s="75">
        <v>0</v>
      </c>
      <c r="AN83" s="75">
        <v>0</v>
      </c>
      <c r="AO83" s="84">
        <v>0</v>
      </c>
      <c r="AP83" s="75">
        <v>0</v>
      </c>
      <c r="AQ83" s="75">
        <v>0</v>
      </c>
      <c r="AR83" s="75">
        <v>0</v>
      </c>
      <c r="AS83" s="75">
        <v>0</v>
      </c>
      <c r="AT83" s="75">
        <v>0</v>
      </c>
      <c r="AU83" s="75">
        <v>0</v>
      </c>
      <c r="AV83" s="75">
        <v>0</v>
      </c>
      <c r="AW83" s="75">
        <v>0</v>
      </c>
      <c r="AX83" s="75">
        <v>0</v>
      </c>
      <c r="AY83" s="75">
        <v>9</v>
      </c>
      <c r="AZ83" s="75">
        <v>0</v>
      </c>
      <c r="BA83" s="75">
        <v>4</v>
      </c>
      <c r="BB83" s="84">
        <v>0</v>
      </c>
      <c r="BC83" s="75">
        <v>1</v>
      </c>
      <c r="BD83" s="75">
        <v>0</v>
      </c>
      <c r="BE83" s="75">
        <v>0</v>
      </c>
      <c r="BF83" s="75">
        <v>0</v>
      </c>
      <c r="BG83" s="75">
        <v>0</v>
      </c>
      <c r="BH83" s="75">
        <v>0</v>
      </c>
      <c r="BM83" s="75">
        <f t="shared" si="13"/>
        <v>0</v>
      </c>
      <c r="BN83" s="75">
        <f t="shared" si="10"/>
        <v>0</v>
      </c>
      <c r="BO83" s="75">
        <f t="shared" si="11"/>
        <v>14</v>
      </c>
      <c r="BP83" s="75">
        <f t="shared" si="12"/>
        <v>14</v>
      </c>
      <c r="BT83" s="110">
        <v>0</v>
      </c>
      <c r="BV83" s="75" t="s">
        <v>360</v>
      </c>
    </row>
    <row r="84" spans="2:74" x14ac:dyDescent="0.75">
      <c r="B84">
        <v>644</v>
      </c>
      <c r="C84" s="267">
        <v>630</v>
      </c>
      <c r="D84" s="75" t="s">
        <v>357</v>
      </c>
      <c r="E84" s="75" t="s">
        <v>358</v>
      </c>
      <c r="F84" s="75" t="s">
        <v>359</v>
      </c>
      <c r="G84" s="75" t="s">
        <v>69</v>
      </c>
      <c r="H84" s="84">
        <v>18.343233000000001</v>
      </c>
      <c r="I84" s="84">
        <v>-64.687667000000005</v>
      </c>
      <c r="J84" s="81">
        <v>44722</v>
      </c>
      <c r="K84" s="75" t="s">
        <v>361</v>
      </c>
      <c r="L84" s="75" t="s">
        <v>367</v>
      </c>
      <c r="M84" s="75">
        <v>1</v>
      </c>
      <c r="N84" s="75">
        <v>4</v>
      </c>
      <c r="O84" s="75" t="s">
        <v>362</v>
      </c>
      <c r="P84" s="75">
        <f>SUM(TreatmentUsed!E885:E906)</f>
        <v>168</v>
      </c>
      <c r="Q84" s="75">
        <f>(30+20+40+50+31)/3</f>
        <v>57</v>
      </c>
      <c r="R84" s="75">
        <v>0</v>
      </c>
      <c r="S84" s="75">
        <v>0</v>
      </c>
      <c r="T84" s="75">
        <v>0</v>
      </c>
      <c r="U84" s="75">
        <v>0</v>
      </c>
      <c r="V84" s="75">
        <v>0</v>
      </c>
      <c r="W84" s="75">
        <v>0</v>
      </c>
      <c r="X84" s="75">
        <v>0</v>
      </c>
      <c r="Y84" s="75">
        <v>0</v>
      </c>
      <c r="Z84" s="75">
        <v>0</v>
      </c>
      <c r="AA84" s="75">
        <v>0</v>
      </c>
      <c r="AB84" s="75">
        <v>0</v>
      </c>
      <c r="AC84" s="75">
        <v>0</v>
      </c>
      <c r="AD84" s="75">
        <v>0</v>
      </c>
      <c r="AE84" s="75">
        <v>0</v>
      </c>
      <c r="AF84" s="75">
        <v>0</v>
      </c>
      <c r="AG84" s="75">
        <v>0</v>
      </c>
      <c r="AH84" s="75">
        <v>0</v>
      </c>
      <c r="AI84" s="75">
        <v>0</v>
      </c>
      <c r="AJ84" s="75">
        <v>0</v>
      </c>
      <c r="AK84" s="75">
        <v>0</v>
      </c>
      <c r="AL84" s="75">
        <v>0</v>
      </c>
      <c r="AM84" s="75">
        <v>0</v>
      </c>
      <c r="AN84" s="75">
        <v>0</v>
      </c>
      <c r="AO84" s="75">
        <v>0</v>
      </c>
      <c r="AP84" s="75">
        <v>0</v>
      </c>
      <c r="AQ84" s="75">
        <v>0</v>
      </c>
      <c r="AR84" s="75">
        <v>1</v>
      </c>
      <c r="AS84" s="75">
        <v>3</v>
      </c>
      <c r="AT84" s="75">
        <v>2</v>
      </c>
      <c r="AU84" s="75">
        <v>0</v>
      </c>
      <c r="AV84" s="75">
        <v>0</v>
      </c>
      <c r="AW84" s="75">
        <v>0</v>
      </c>
      <c r="AX84" s="75">
        <v>0</v>
      </c>
      <c r="AY84" s="75">
        <v>3</v>
      </c>
      <c r="AZ84" s="84">
        <v>0</v>
      </c>
      <c r="BA84" s="75">
        <v>5</v>
      </c>
      <c r="BB84" s="84">
        <v>1</v>
      </c>
      <c r="BC84" s="75">
        <v>6</v>
      </c>
      <c r="BD84" s="75">
        <v>0</v>
      </c>
      <c r="BE84" s="75">
        <v>0</v>
      </c>
      <c r="BF84" s="75">
        <v>1</v>
      </c>
      <c r="BG84" s="75">
        <v>0</v>
      </c>
      <c r="BH84" s="75">
        <v>0</v>
      </c>
      <c r="BM84" s="75">
        <f t="shared" si="13"/>
        <v>0</v>
      </c>
      <c r="BN84" s="75">
        <f t="shared" si="10"/>
        <v>0</v>
      </c>
      <c r="BO84" s="75">
        <f t="shared" si="11"/>
        <v>22</v>
      </c>
      <c r="BP84" s="75">
        <f t="shared" si="12"/>
        <v>22</v>
      </c>
      <c r="BQ84" s="80" t="s">
        <v>428</v>
      </c>
      <c r="BR84" s="252" t="s">
        <v>429</v>
      </c>
      <c r="BT84" s="110">
        <v>0</v>
      </c>
      <c r="BV84" s="75" t="s">
        <v>360</v>
      </c>
    </row>
    <row r="85" spans="2:74" x14ac:dyDescent="0.75">
      <c r="B85">
        <v>645</v>
      </c>
      <c r="C85" s="271">
        <v>631</v>
      </c>
      <c r="D85" s="75" t="s">
        <v>357</v>
      </c>
      <c r="E85" s="75" t="s">
        <v>358</v>
      </c>
      <c r="F85" s="75" t="s">
        <v>359</v>
      </c>
      <c r="G85" s="75" t="s">
        <v>69</v>
      </c>
      <c r="H85" s="84">
        <v>18.343233000000001</v>
      </c>
      <c r="I85" s="84">
        <v>-64.687667000000005</v>
      </c>
      <c r="J85" s="81">
        <v>44722</v>
      </c>
      <c r="K85" s="75" t="s">
        <v>361</v>
      </c>
      <c r="L85" s="75" t="s">
        <v>367</v>
      </c>
      <c r="M85" s="75">
        <v>1</v>
      </c>
      <c r="N85" s="75">
        <v>4</v>
      </c>
      <c r="O85" s="75" t="s">
        <v>362</v>
      </c>
      <c r="P85" s="75">
        <f>SUM(TreatmentUsed!E907:E929)</f>
        <v>351</v>
      </c>
      <c r="Q85" s="75">
        <f>(30+20+40+50+31)/3</f>
        <v>57</v>
      </c>
      <c r="R85" s="75">
        <v>0</v>
      </c>
      <c r="S85" s="75">
        <v>0</v>
      </c>
      <c r="T85" s="75">
        <v>0</v>
      </c>
      <c r="U85" s="75">
        <v>0</v>
      </c>
      <c r="V85" s="75">
        <v>0</v>
      </c>
      <c r="W85" s="75">
        <v>0</v>
      </c>
      <c r="X85" s="75">
        <v>0</v>
      </c>
      <c r="Y85" s="75">
        <v>0</v>
      </c>
      <c r="Z85" s="75">
        <v>0</v>
      </c>
      <c r="AA85" s="75">
        <v>0</v>
      </c>
      <c r="AB85" s="75">
        <v>0</v>
      </c>
      <c r="AC85" s="75">
        <v>0</v>
      </c>
      <c r="AD85" s="75">
        <v>0</v>
      </c>
      <c r="AE85" s="75">
        <v>0</v>
      </c>
      <c r="AF85" s="75">
        <v>0</v>
      </c>
      <c r="AG85" s="75">
        <v>0</v>
      </c>
      <c r="AH85" s="75">
        <v>0</v>
      </c>
      <c r="AI85" s="75">
        <v>0</v>
      </c>
      <c r="AJ85" s="75">
        <v>0</v>
      </c>
      <c r="AK85" s="75">
        <v>0</v>
      </c>
      <c r="AL85" s="75">
        <v>0</v>
      </c>
      <c r="AM85" s="75">
        <v>0</v>
      </c>
      <c r="AN85" s="75">
        <v>0</v>
      </c>
      <c r="AO85" s="75">
        <v>0</v>
      </c>
      <c r="AP85" s="75">
        <v>0</v>
      </c>
      <c r="AQ85" s="75">
        <v>0</v>
      </c>
      <c r="AR85" s="75">
        <v>1</v>
      </c>
      <c r="AS85" s="75">
        <v>0</v>
      </c>
      <c r="AT85" s="75">
        <v>0</v>
      </c>
      <c r="AU85" s="75">
        <v>0</v>
      </c>
      <c r="AV85" s="75">
        <v>0</v>
      </c>
      <c r="AW85" s="75">
        <v>0</v>
      </c>
      <c r="AX85" s="75">
        <v>0</v>
      </c>
      <c r="AY85" s="84">
        <v>12</v>
      </c>
      <c r="AZ85" s="75">
        <v>0</v>
      </c>
      <c r="BA85" s="75">
        <v>7</v>
      </c>
      <c r="BB85" s="84">
        <v>0</v>
      </c>
      <c r="BC85" s="75">
        <v>0</v>
      </c>
      <c r="BD85" s="75">
        <v>0</v>
      </c>
      <c r="BE85" s="75">
        <v>0</v>
      </c>
      <c r="BF85" s="75">
        <v>3</v>
      </c>
      <c r="BG85" s="75">
        <v>0</v>
      </c>
      <c r="BH85" s="75">
        <v>0</v>
      </c>
      <c r="BM85" s="75">
        <f t="shared" si="13"/>
        <v>0</v>
      </c>
      <c r="BN85" s="75">
        <f t="shared" si="10"/>
        <v>0</v>
      </c>
      <c r="BO85" s="75">
        <f t="shared" si="11"/>
        <v>23</v>
      </c>
      <c r="BP85" s="75">
        <f t="shared" si="12"/>
        <v>23</v>
      </c>
      <c r="BQ85" s="80" t="s">
        <v>430</v>
      </c>
      <c r="BR85" s="252" t="s">
        <v>431</v>
      </c>
      <c r="BT85" s="110">
        <v>0</v>
      </c>
      <c r="BV85" s="75" t="s">
        <v>360</v>
      </c>
    </row>
    <row r="86" spans="2:74" x14ac:dyDescent="0.75">
      <c r="B86">
        <v>646</v>
      </c>
      <c r="C86" s="271">
        <v>632</v>
      </c>
      <c r="D86" s="75" t="s">
        <v>357</v>
      </c>
      <c r="E86" s="75" t="s">
        <v>358</v>
      </c>
      <c r="F86" s="75" t="s">
        <v>359</v>
      </c>
      <c r="G86" s="75" t="s">
        <v>69</v>
      </c>
      <c r="H86" s="84">
        <v>18.343233000000001</v>
      </c>
      <c r="I86" s="84">
        <v>-64.687667000000005</v>
      </c>
      <c r="J86" s="81">
        <v>44722</v>
      </c>
      <c r="K86" s="75" t="s">
        <v>361</v>
      </c>
      <c r="L86" s="75" t="s">
        <v>367</v>
      </c>
      <c r="M86" s="75">
        <v>0</v>
      </c>
      <c r="N86" s="75">
        <v>3</v>
      </c>
      <c r="O86" s="75" t="s">
        <v>362</v>
      </c>
      <c r="P86" s="75">
        <f>SUM(TreatmentUsed!E930:E939)</f>
        <v>93</v>
      </c>
      <c r="Q86" s="75">
        <f>(30+20+40+50+31)/3</f>
        <v>57</v>
      </c>
      <c r="R86" s="75">
        <v>0</v>
      </c>
      <c r="S86" s="75">
        <v>0</v>
      </c>
      <c r="T86" s="75">
        <v>0</v>
      </c>
      <c r="U86" s="75">
        <v>0</v>
      </c>
      <c r="V86" s="75">
        <v>0</v>
      </c>
      <c r="W86" s="75">
        <v>0</v>
      </c>
      <c r="X86" s="75">
        <v>0</v>
      </c>
      <c r="Y86" s="75">
        <v>0</v>
      </c>
      <c r="Z86" s="75">
        <v>0</v>
      </c>
      <c r="AA86" s="75">
        <v>0</v>
      </c>
      <c r="AB86" s="75">
        <v>0</v>
      </c>
      <c r="AC86" s="75">
        <v>0</v>
      </c>
      <c r="AD86" s="75">
        <v>0</v>
      </c>
      <c r="AE86" s="75">
        <v>0</v>
      </c>
      <c r="AF86" s="75">
        <v>0</v>
      </c>
      <c r="AG86" s="75">
        <v>0</v>
      </c>
      <c r="AH86" s="75">
        <v>0</v>
      </c>
      <c r="AI86" s="75">
        <v>0</v>
      </c>
      <c r="AJ86" s="75">
        <v>0</v>
      </c>
      <c r="AK86" s="75">
        <v>0</v>
      </c>
      <c r="AL86" s="75">
        <v>0</v>
      </c>
      <c r="AM86" s="75">
        <v>0</v>
      </c>
      <c r="AN86" s="75">
        <v>0</v>
      </c>
      <c r="AO86" s="75">
        <v>0</v>
      </c>
      <c r="AP86" s="75">
        <v>0</v>
      </c>
      <c r="AQ86" s="84">
        <v>4</v>
      </c>
      <c r="AR86" s="75">
        <v>0</v>
      </c>
      <c r="AS86" s="75">
        <v>0</v>
      </c>
      <c r="AT86" s="75">
        <v>1</v>
      </c>
      <c r="AU86" s="75">
        <v>0</v>
      </c>
      <c r="AV86" s="75">
        <v>0</v>
      </c>
      <c r="AW86" s="75">
        <v>0</v>
      </c>
      <c r="AX86" s="75">
        <v>0</v>
      </c>
      <c r="AY86" s="75">
        <v>0</v>
      </c>
      <c r="AZ86" s="75">
        <v>0</v>
      </c>
      <c r="BA86" s="75">
        <v>2</v>
      </c>
      <c r="BB86" s="75">
        <v>0</v>
      </c>
      <c r="BC86" s="75">
        <v>2</v>
      </c>
      <c r="BD86" s="75">
        <v>0</v>
      </c>
      <c r="BE86" s="75">
        <v>0</v>
      </c>
      <c r="BF86" s="75">
        <v>1</v>
      </c>
      <c r="BG86" s="75">
        <v>0</v>
      </c>
      <c r="BH86" s="75">
        <v>0</v>
      </c>
      <c r="BM86" s="75">
        <f t="shared" si="13"/>
        <v>0</v>
      </c>
      <c r="BN86" s="75">
        <f t="shared" si="10"/>
        <v>0</v>
      </c>
      <c r="BO86" s="75">
        <f t="shared" si="11"/>
        <v>10</v>
      </c>
      <c r="BP86" s="75">
        <f t="shared" si="12"/>
        <v>10</v>
      </c>
      <c r="BT86" s="110">
        <v>0</v>
      </c>
      <c r="BV86" s="75" t="s">
        <v>360</v>
      </c>
    </row>
    <row r="87" spans="2:74" x14ac:dyDescent="0.75">
      <c r="B87">
        <v>647</v>
      </c>
      <c r="C87" s="271">
        <v>636</v>
      </c>
      <c r="D87" s="75" t="s">
        <v>357</v>
      </c>
      <c r="E87" s="75" t="s">
        <v>358</v>
      </c>
      <c r="F87" s="75" t="s">
        <v>359</v>
      </c>
      <c r="G87" s="75" t="s">
        <v>23</v>
      </c>
      <c r="H87" s="84">
        <v>18.365749999999998</v>
      </c>
      <c r="I87" s="84">
        <v>-64.773619999999994</v>
      </c>
      <c r="J87" s="81">
        <v>44726</v>
      </c>
      <c r="K87" s="75" t="s">
        <v>361</v>
      </c>
      <c r="L87" s="75" t="s">
        <v>360</v>
      </c>
      <c r="M87" s="75">
        <v>0</v>
      </c>
      <c r="N87" s="75">
        <v>2</v>
      </c>
      <c r="O87" s="75" t="s">
        <v>362</v>
      </c>
      <c r="P87" s="75">
        <f>SUM(TreatmentUsed!E940:E948)</f>
        <v>105</v>
      </c>
      <c r="Q87" s="75" t="s">
        <v>364</v>
      </c>
      <c r="R87" s="75">
        <v>0</v>
      </c>
      <c r="S87" s="75">
        <v>0</v>
      </c>
      <c r="T87" s="75">
        <v>0</v>
      </c>
      <c r="U87" s="75">
        <v>0</v>
      </c>
      <c r="V87" s="75">
        <v>0</v>
      </c>
      <c r="W87" s="75">
        <v>0</v>
      </c>
      <c r="X87" s="75">
        <v>0</v>
      </c>
      <c r="Y87" s="75">
        <v>0</v>
      </c>
      <c r="Z87" s="75">
        <v>0</v>
      </c>
      <c r="AA87" s="75">
        <v>0</v>
      </c>
      <c r="AB87" s="75">
        <v>0</v>
      </c>
      <c r="AC87" s="75">
        <v>0</v>
      </c>
      <c r="AD87" s="75">
        <v>0</v>
      </c>
      <c r="AE87" s="75">
        <v>0</v>
      </c>
      <c r="AF87" s="75">
        <v>0</v>
      </c>
      <c r="AG87" s="75">
        <v>0</v>
      </c>
      <c r="AH87" s="75">
        <v>0</v>
      </c>
      <c r="AI87" s="75">
        <v>0</v>
      </c>
      <c r="AJ87" s="75">
        <v>0</v>
      </c>
      <c r="AK87" s="75">
        <v>0</v>
      </c>
      <c r="AL87" s="75">
        <v>0</v>
      </c>
      <c r="AM87" s="75">
        <v>0</v>
      </c>
      <c r="AN87" s="75">
        <v>0</v>
      </c>
      <c r="AO87" s="84">
        <v>0</v>
      </c>
      <c r="AP87" s="75">
        <v>0</v>
      </c>
      <c r="AQ87" s="75">
        <v>0</v>
      </c>
      <c r="AR87" s="75">
        <v>1</v>
      </c>
      <c r="AS87" s="75">
        <v>0</v>
      </c>
      <c r="AT87" s="75">
        <v>0</v>
      </c>
      <c r="AU87" s="75">
        <v>0</v>
      </c>
      <c r="AV87" s="75">
        <v>0</v>
      </c>
      <c r="AW87" s="75">
        <v>0</v>
      </c>
      <c r="AX87" s="75">
        <v>0</v>
      </c>
      <c r="AY87" s="75">
        <v>0</v>
      </c>
      <c r="AZ87" s="84">
        <v>1</v>
      </c>
      <c r="BA87" s="84">
        <v>5</v>
      </c>
      <c r="BB87" s="75">
        <v>0</v>
      </c>
      <c r="BC87" s="75">
        <v>0</v>
      </c>
      <c r="BD87" s="75">
        <v>0</v>
      </c>
      <c r="BE87" s="75">
        <v>0</v>
      </c>
      <c r="BF87" s="75">
        <v>1</v>
      </c>
      <c r="BG87" s="75">
        <v>0</v>
      </c>
      <c r="BH87" s="84">
        <v>1</v>
      </c>
      <c r="BI87" s="84"/>
      <c r="BJ87" s="84"/>
      <c r="BK87" s="84"/>
      <c r="BM87" s="75">
        <f t="shared" si="13"/>
        <v>0</v>
      </c>
      <c r="BN87" s="75">
        <f t="shared" si="10"/>
        <v>0</v>
      </c>
      <c r="BO87" s="75">
        <f t="shared" si="11"/>
        <v>9</v>
      </c>
      <c r="BP87" s="75">
        <f t="shared" si="12"/>
        <v>9</v>
      </c>
      <c r="BQ87" s="80" t="s">
        <v>432</v>
      </c>
      <c r="BT87" s="110">
        <v>0</v>
      </c>
      <c r="BV87" s="75" t="s">
        <v>360</v>
      </c>
    </row>
    <row r="88" spans="2:74" x14ac:dyDescent="0.75">
      <c r="B88">
        <v>648</v>
      </c>
      <c r="C88" s="317">
        <v>633</v>
      </c>
      <c r="D88" s="75" t="s">
        <v>357</v>
      </c>
      <c r="E88" s="75" t="s">
        <v>358</v>
      </c>
      <c r="F88" s="75" t="s">
        <v>359</v>
      </c>
      <c r="G88" s="75" t="s">
        <v>64</v>
      </c>
      <c r="H88" s="84">
        <v>18.368383000000001</v>
      </c>
      <c r="I88" s="84">
        <v>-64.751450000000006</v>
      </c>
      <c r="J88" s="81">
        <v>44726</v>
      </c>
      <c r="K88" s="75" t="s">
        <v>361</v>
      </c>
      <c r="L88" s="75" t="s">
        <v>360</v>
      </c>
      <c r="M88" s="75">
        <v>0</v>
      </c>
      <c r="N88" s="75">
        <v>2</v>
      </c>
      <c r="O88" s="75" t="s">
        <v>362</v>
      </c>
      <c r="P88" s="75">
        <f>SUM(TreatmentUsed!E949:E958)</f>
        <v>50</v>
      </c>
      <c r="Q88" s="75" t="s">
        <v>364</v>
      </c>
      <c r="R88" s="75">
        <v>0</v>
      </c>
      <c r="S88" s="75">
        <v>0</v>
      </c>
      <c r="T88" s="75">
        <v>0</v>
      </c>
      <c r="U88" s="75">
        <v>0</v>
      </c>
      <c r="V88" s="75">
        <v>0</v>
      </c>
      <c r="W88" s="75">
        <v>0</v>
      </c>
      <c r="X88" s="75">
        <v>0</v>
      </c>
      <c r="Y88" s="75">
        <v>0</v>
      </c>
      <c r="Z88" s="75">
        <v>0</v>
      </c>
      <c r="AA88" s="75">
        <v>0</v>
      </c>
      <c r="AB88" s="75">
        <v>0</v>
      </c>
      <c r="AC88" s="75">
        <v>0</v>
      </c>
      <c r="AD88" s="75">
        <v>0</v>
      </c>
      <c r="AE88" s="75">
        <v>0</v>
      </c>
      <c r="AF88" s="75">
        <v>0</v>
      </c>
      <c r="AG88" s="75">
        <v>0</v>
      </c>
      <c r="AH88" s="75">
        <v>0</v>
      </c>
      <c r="AI88" s="75">
        <v>0</v>
      </c>
      <c r="AJ88" s="75">
        <v>0</v>
      </c>
      <c r="AK88" s="75">
        <v>0</v>
      </c>
      <c r="AL88" s="75">
        <v>0</v>
      </c>
      <c r="AM88" s="75">
        <v>0</v>
      </c>
      <c r="AN88" s="75">
        <v>0</v>
      </c>
      <c r="AO88" s="75">
        <v>1</v>
      </c>
      <c r="AP88" s="75">
        <v>0</v>
      </c>
      <c r="AQ88" s="75">
        <v>0</v>
      </c>
      <c r="AR88" s="75">
        <v>0</v>
      </c>
      <c r="AS88" s="75">
        <v>0</v>
      </c>
      <c r="AT88" s="75">
        <v>0</v>
      </c>
      <c r="AU88" s="75">
        <v>0</v>
      </c>
      <c r="AV88" s="75">
        <v>1</v>
      </c>
      <c r="AW88" s="75">
        <v>0</v>
      </c>
      <c r="AX88" s="75">
        <v>0</v>
      </c>
      <c r="AY88" s="75">
        <v>0</v>
      </c>
      <c r="AZ88" s="75">
        <v>0</v>
      </c>
      <c r="BA88" s="84">
        <v>1</v>
      </c>
      <c r="BB88" s="84">
        <v>0</v>
      </c>
      <c r="BC88" s="75">
        <v>5</v>
      </c>
      <c r="BD88" s="75">
        <v>0</v>
      </c>
      <c r="BE88" s="295">
        <v>1</v>
      </c>
      <c r="BF88" s="84">
        <v>0</v>
      </c>
      <c r="BG88" s="75">
        <v>0</v>
      </c>
      <c r="BH88" s="295">
        <v>1</v>
      </c>
      <c r="BI88" s="84"/>
      <c r="BJ88" s="84"/>
      <c r="BK88" s="84"/>
      <c r="BM88" s="75">
        <f t="shared" si="13"/>
        <v>0</v>
      </c>
      <c r="BN88" s="75">
        <f t="shared" si="10"/>
        <v>0</v>
      </c>
      <c r="BO88" s="75">
        <f t="shared" si="11"/>
        <v>10</v>
      </c>
      <c r="BP88" s="75">
        <f t="shared" si="12"/>
        <v>10</v>
      </c>
      <c r="BQ88" s="85" t="s">
        <v>433</v>
      </c>
      <c r="BT88" s="110">
        <v>0</v>
      </c>
      <c r="BV88" s="75" t="s">
        <v>360</v>
      </c>
    </row>
    <row r="89" spans="2:74" x14ac:dyDescent="0.75">
      <c r="B89">
        <v>649</v>
      </c>
      <c r="C89" s="2">
        <v>636</v>
      </c>
      <c r="D89" s="75" t="s">
        <v>357</v>
      </c>
      <c r="E89" s="75" t="s">
        <v>358</v>
      </c>
      <c r="F89" s="75" t="s">
        <v>359</v>
      </c>
      <c r="G89" s="75" t="s">
        <v>28</v>
      </c>
      <c r="H89" s="84">
        <v>18.315639999999998</v>
      </c>
      <c r="I89" s="84">
        <v>-64.725899999999996</v>
      </c>
      <c r="J89" s="81">
        <v>44727</v>
      </c>
      <c r="K89" s="75" t="s">
        <v>361</v>
      </c>
      <c r="L89" s="75" t="s">
        <v>360</v>
      </c>
      <c r="M89" s="75">
        <v>0</v>
      </c>
      <c r="N89" s="75">
        <v>2</v>
      </c>
      <c r="O89" s="75" t="s">
        <v>362</v>
      </c>
      <c r="P89" s="75">
        <f>SUM(TreatmentUsed!E959:E970)</f>
        <v>49</v>
      </c>
      <c r="Q89" s="75" t="s">
        <v>364</v>
      </c>
      <c r="R89" s="75">
        <v>0</v>
      </c>
      <c r="S89" s="75">
        <v>0</v>
      </c>
      <c r="T89" s="75">
        <v>0</v>
      </c>
      <c r="U89" s="75">
        <v>0</v>
      </c>
      <c r="V89" s="75">
        <v>0</v>
      </c>
      <c r="W89" s="75">
        <v>0</v>
      </c>
      <c r="X89" s="75">
        <v>0</v>
      </c>
      <c r="Y89" s="75">
        <v>0</v>
      </c>
      <c r="Z89" s="75">
        <v>0</v>
      </c>
      <c r="AA89" s="75">
        <v>0</v>
      </c>
      <c r="AB89" s="75">
        <v>0</v>
      </c>
      <c r="AC89" s="75">
        <v>0</v>
      </c>
      <c r="AD89" s="75">
        <v>0</v>
      </c>
      <c r="AE89" s="75">
        <v>0</v>
      </c>
      <c r="AF89" s="75">
        <v>0</v>
      </c>
      <c r="AG89" s="75">
        <v>0</v>
      </c>
      <c r="AH89" s="75">
        <v>0</v>
      </c>
      <c r="AI89" s="75">
        <v>0</v>
      </c>
      <c r="AJ89" s="75">
        <v>0</v>
      </c>
      <c r="AK89" s="75">
        <v>0</v>
      </c>
      <c r="AL89" s="75">
        <v>0</v>
      </c>
      <c r="AM89" s="75">
        <v>0</v>
      </c>
      <c r="AN89" s="75">
        <v>0</v>
      </c>
      <c r="AO89" s="75">
        <v>2</v>
      </c>
      <c r="AP89" s="75">
        <v>0</v>
      </c>
      <c r="AQ89" s="75">
        <v>1</v>
      </c>
      <c r="AR89" s="75">
        <v>0</v>
      </c>
      <c r="AS89" s="75">
        <v>0</v>
      </c>
      <c r="AT89" s="75">
        <v>0</v>
      </c>
      <c r="AU89" s="75">
        <v>1</v>
      </c>
      <c r="AV89" s="75">
        <v>0</v>
      </c>
      <c r="AW89" s="75">
        <v>0</v>
      </c>
      <c r="AX89" s="75">
        <v>0</v>
      </c>
      <c r="AY89" s="75">
        <v>3</v>
      </c>
      <c r="AZ89" s="75">
        <v>1</v>
      </c>
      <c r="BA89" s="84">
        <v>3</v>
      </c>
      <c r="BB89" s="84">
        <v>0</v>
      </c>
      <c r="BC89" s="75">
        <v>0</v>
      </c>
      <c r="BD89" s="75">
        <v>0</v>
      </c>
      <c r="BE89" s="75">
        <v>0</v>
      </c>
      <c r="BF89" s="75">
        <v>1</v>
      </c>
      <c r="BG89" s="75">
        <v>0</v>
      </c>
      <c r="BH89" s="75">
        <v>0</v>
      </c>
      <c r="BM89" s="75">
        <f t="shared" si="13"/>
        <v>0</v>
      </c>
      <c r="BN89" s="75">
        <f t="shared" si="10"/>
        <v>0</v>
      </c>
      <c r="BO89" s="75">
        <f t="shared" si="11"/>
        <v>12</v>
      </c>
      <c r="BP89" s="75">
        <f t="shared" si="12"/>
        <v>12</v>
      </c>
      <c r="BR89" s="252">
        <v>4190</v>
      </c>
      <c r="BT89" s="110">
        <v>0</v>
      </c>
      <c r="BV89" s="75" t="s">
        <v>360</v>
      </c>
    </row>
    <row r="90" spans="2:74" x14ac:dyDescent="0.75">
      <c r="B90">
        <v>650</v>
      </c>
      <c r="C90" s="2">
        <v>637</v>
      </c>
      <c r="D90" s="75" t="s">
        <v>357</v>
      </c>
      <c r="E90" s="75" t="s">
        <v>358</v>
      </c>
      <c r="F90" s="75" t="s">
        <v>359</v>
      </c>
      <c r="G90" s="75" t="s">
        <v>28</v>
      </c>
      <c r="H90" s="84">
        <v>18.315639999999998</v>
      </c>
      <c r="I90" s="84">
        <v>-64.725899999999996</v>
      </c>
      <c r="J90" s="81">
        <v>44727</v>
      </c>
      <c r="K90" s="75" t="s">
        <v>361</v>
      </c>
      <c r="L90" s="75" t="s">
        <v>360</v>
      </c>
      <c r="M90" s="75">
        <v>0</v>
      </c>
      <c r="N90" s="75">
        <v>2</v>
      </c>
      <c r="O90" s="75" t="s">
        <v>362</v>
      </c>
      <c r="P90" s="75">
        <f>SUM(TreatmentUsed!E971:E989)</f>
        <v>127</v>
      </c>
      <c r="Q90" s="75" t="s">
        <v>364</v>
      </c>
      <c r="R90" s="75">
        <v>0</v>
      </c>
      <c r="S90" s="75">
        <v>0</v>
      </c>
      <c r="T90" s="75">
        <v>0</v>
      </c>
      <c r="U90" s="75">
        <v>0</v>
      </c>
      <c r="V90" s="75">
        <v>0</v>
      </c>
      <c r="W90" s="75">
        <v>0</v>
      </c>
      <c r="X90" s="75">
        <v>0</v>
      </c>
      <c r="Y90" s="75">
        <v>0</v>
      </c>
      <c r="Z90" s="75">
        <v>0</v>
      </c>
      <c r="AA90" s="75">
        <v>0</v>
      </c>
      <c r="AB90" s="75">
        <v>0</v>
      </c>
      <c r="AC90" s="75">
        <v>0</v>
      </c>
      <c r="AD90" s="75">
        <v>0</v>
      </c>
      <c r="AE90" s="75">
        <v>0</v>
      </c>
      <c r="AF90" s="75">
        <v>0</v>
      </c>
      <c r="AG90" s="75">
        <v>0</v>
      </c>
      <c r="AH90" s="75">
        <v>0</v>
      </c>
      <c r="AI90" s="75">
        <v>0</v>
      </c>
      <c r="AJ90" s="75">
        <v>0</v>
      </c>
      <c r="AK90" s="75">
        <v>0</v>
      </c>
      <c r="AL90" s="75">
        <v>0</v>
      </c>
      <c r="AM90" s="75">
        <v>0</v>
      </c>
      <c r="AN90" s="75">
        <v>0</v>
      </c>
      <c r="AO90" s="75">
        <v>0</v>
      </c>
      <c r="AP90" s="75">
        <v>0</v>
      </c>
      <c r="AQ90" s="75">
        <v>1</v>
      </c>
      <c r="AR90" s="75">
        <v>0</v>
      </c>
      <c r="AS90" s="75">
        <v>4</v>
      </c>
      <c r="AT90" s="75">
        <v>1</v>
      </c>
      <c r="AU90" s="75">
        <v>0</v>
      </c>
      <c r="AV90" s="75">
        <v>0</v>
      </c>
      <c r="AW90" s="75">
        <v>0</v>
      </c>
      <c r="AX90" s="75">
        <v>0</v>
      </c>
      <c r="AY90" s="84">
        <v>2</v>
      </c>
      <c r="AZ90" s="75">
        <v>0</v>
      </c>
      <c r="BA90" s="75">
        <v>2</v>
      </c>
      <c r="BB90" s="75">
        <v>0</v>
      </c>
      <c r="BC90" s="75">
        <v>1</v>
      </c>
      <c r="BD90" s="75">
        <v>0</v>
      </c>
      <c r="BE90" s="75">
        <v>0</v>
      </c>
      <c r="BF90" s="75">
        <v>7</v>
      </c>
      <c r="BG90" s="75">
        <v>1</v>
      </c>
      <c r="BH90" s="84">
        <v>0</v>
      </c>
      <c r="BI90" s="84"/>
      <c r="BJ90" s="84"/>
      <c r="BK90" s="84"/>
      <c r="BM90" s="75">
        <f t="shared" si="13"/>
        <v>0</v>
      </c>
      <c r="BN90" s="75">
        <f t="shared" si="10"/>
        <v>0</v>
      </c>
      <c r="BO90" s="75">
        <f t="shared" si="11"/>
        <v>19</v>
      </c>
      <c r="BP90" s="75">
        <f t="shared" si="12"/>
        <v>19</v>
      </c>
      <c r="BQ90" s="80" t="s">
        <v>434</v>
      </c>
      <c r="BR90" s="252" t="s">
        <v>435</v>
      </c>
      <c r="BS90" s="110" t="s">
        <v>390</v>
      </c>
      <c r="BT90" s="110">
        <v>0</v>
      </c>
      <c r="BV90" s="75" t="s">
        <v>360</v>
      </c>
    </row>
    <row r="91" spans="2:74" x14ac:dyDescent="0.75">
      <c r="B91">
        <v>651</v>
      </c>
      <c r="C91" s="2">
        <v>638</v>
      </c>
      <c r="D91" s="75" t="s">
        <v>357</v>
      </c>
      <c r="E91" s="75" t="s">
        <v>358</v>
      </c>
      <c r="F91" s="75" t="s">
        <v>359</v>
      </c>
      <c r="G91" s="75" t="s">
        <v>28</v>
      </c>
      <c r="H91" s="84">
        <v>18.315639999999998</v>
      </c>
      <c r="I91" s="84">
        <v>-64.725899999999996</v>
      </c>
      <c r="J91" s="81">
        <v>44727</v>
      </c>
      <c r="K91" s="75" t="s">
        <v>361</v>
      </c>
      <c r="L91" s="75" t="s">
        <v>360</v>
      </c>
      <c r="M91" s="75">
        <v>0</v>
      </c>
      <c r="N91" s="75">
        <v>2</v>
      </c>
      <c r="O91" s="75" t="s">
        <v>362</v>
      </c>
      <c r="P91" s="75">
        <f>SUM(TreatmentUsed!E990:E1012)</f>
        <v>143</v>
      </c>
      <c r="Q91" s="75" t="s">
        <v>364</v>
      </c>
      <c r="R91" s="75">
        <v>0</v>
      </c>
      <c r="S91" s="75">
        <v>0</v>
      </c>
      <c r="T91" s="75">
        <v>0</v>
      </c>
      <c r="U91" s="75">
        <v>0</v>
      </c>
      <c r="V91" s="75">
        <v>0</v>
      </c>
      <c r="W91" s="75">
        <v>0</v>
      </c>
      <c r="X91" s="75">
        <v>0</v>
      </c>
      <c r="Y91" s="75">
        <v>0</v>
      </c>
      <c r="Z91" s="75">
        <v>0</v>
      </c>
      <c r="AA91" s="75">
        <v>0</v>
      </c>
      <c r="AB91" s="75">
        <v>0</v>
      </c>
      <c r="AC91" s="75">
        <v>0</v>
      </c>
      <c r="AD91" s="75">
        <v>0</v>
      </c>
      <c r="AE91" s="75">
        <v>0</v>
      </c>
      <c r="AF91" s="75">
        <v>0</v>
      </c>
      <c r="AG91" s="75">
        <v>0</v>
      </c>
      <c r="AH91" s="75">
        <v>0</v>
      </c>
      <c r="AI91" s="75">
        <v>0</v>
      </c>
      <c r="AJ91" s="75">
        <v>0</v>
      </c>
      <c r="AK91" s="75">
        <v>0</v>
      </c>
      <c r="AL91" s="75">
        <v>0</v>
      </c>
      <c r="AM91" s="75">
        <v>0</v>
      </c>
      <c r="AN91" s="75">
        <v>0</v>
      </c>
      <c r="AO91" s="75">
        <v>1</v>
      </c>
      <c r="AP91" s="75">
        <v>0</v>
      </c>
      <c r="AQ91" s="75">
        <v>1</v>
      </c>
      <c r="AR91" s="75">
        <v>0</v>
      </c>
      <c r="AS91" s="75">
        <v>0</v>
      </c>
      <c r="AT91" s="75">
        <v>0</v>
      </c>
      <c r="AU91" s="75">
        <v>0</v>
      </c>
      <c r="AV91" s="75">
        <v>0</v>
      </c>
      <c r="AW91" s="75">
        <v>0</v>
      </c>
      <c r="AX91" s="75">
        <v>0</v>
      </c>
      <c r="AY91" s="84">
        <v>6</v>
      </c>
      <c r="AZ91" s="84">
        <v>1</v>
      </c>
      <c r="BA91" s="84">
        <v>7</v>
      </c>
      <c r="BB91" s="84">
        <v>0</v>
      </c>
      <c r="BC91" s="75">
        <v>2</v>
      </c>
      <c r="BD91" s="75">
        <v>0</v>
      </c>
      <c r="BE91" s="75">
        <v>0</v>
      </c>
      <c r="BF91" s="75">
        <v>4</v>
      </c>
      <c r="BG91" s="75">
        <v>0</v>
      </c>
      <c r="BH91" s="75">
        <v>1</v>
      </c>
      <c r="BM91" s="75">
        <f t="shared" si="13"/>
        <v>0</v>
      </c>
      <c r="BN91" s="75">
        <f t="shared" si="10"/>
        <v>0</v>
      </c>
      <c r="BO91" s="75">
        <f t="shared" si="11"/>
        <v>23</v>
      </c>
      <c r="BP91" s="75">
        <f t="shared" si="12"/>
        <v>23</v>
      </c>
      <c r="BQ91" s="80" t="s">
        <v>436</v>
      </c>
      <c r="BT91" s="110">
        <v>0</v>
      </c>
      <c r="BV91" s="75" t="s">
        <v>360</v>
      </c>
    </row>
    <row r="92" spans="2:74" x14ac:dyDescent="0.75">
      <c r="B92">
        <v>652</v>
      </c>
      <c r="C92" s="267">
        <v>650</v>
      </c>
      <c r="D92" s="75" t="s">
        <v>357</v>
      </c>
      <c r="E92" s="75" t="s">
        <v>358</v>
      </c>
      <c r="F92" s="75" t="s">
        <v>359</v>
      </c>
      <c r="G92" s="75" t="s">
        <v>23</v>
      </c>
      <c r="H92" s="75">
        <v>18.365749999999998</v>
      </c>
      <c r="I92" s="75">
        <v>-64.773619999999994</v>
      </c>
      <c r="J92" s="81">
        <v>44740</v>
      </c>
      <c r="K92" s="75" t="s">
        <v>367</v>
      </c>
      <c r="L92" s="75" t="s">
        <v>361</v>
      </c>
      <c r="M92" s="75">
        <v>0</v>
      </c>
      <c r="N92" s="75">
        <v>2</v>
      </c>
      <c r="O92" s="75" t="s">
        <v>362</v>
      </c>
      <c r="P92" s="75">
        <f>SUM(TreatmentUsed!E1017:E1041)</f>
        <v>109</v>
      </c>
      <c r="Q92" s="75" t="s">
        <v>364</v>
      </c>
      <c r="R92" s="75">
        <v>0</v>
      </c>
      <c r="S92" s="75">
        <v>0</v>
      </c>
      <c r="T92" s="75">
        <v>0</v>
      </c>
      <c r="U92" s="75">
        <v>0</v>
      </c>
      <c r="V92" s="75">
        <v>0</v>
      </c>
      <c r="W92" s="75">
        <v>0</v>
      </c>
      <c r="X92" s="75">
        <v>0</v>
      </c>
      <c r="Y92" s="75">
        <v>0</v>
      </c>
      <c r="Z92" s="75">
        <v>0</v>
      </c>
      <c r="AA92" s="75">
        <v>0</v>
      </c>
      <c r="AB92" s="75">
        <v>0</v>
      </c>
      <c r="AC92" s="75">
        <v>0</v>
      </c>
      <c r="AD92" s="75">
        <v>0</v>
      </c>
      <c r="AE92" s="75">
        <v>0</v>
      </c>
      <c r="AF92" s="75">
        <v>0</v>
      </c>
      <c r="AG92" s="75">
        <v>0</v>
      </c>
      <c r="AH92" s="75">
        <v>0</v>
      </c>
      <c r="AI92" s="75">
        <v>0</v>
      </c>
      <c r="AJ92" s="75">
        <v>0</v>
      </c>
      <c r="AK92" s="75">
        <v>0</v>
      </c>
      <c r="AL92" s="75">
        <v>0</v>
      </c>
      <c r="AM92" s="75">
        <v>0</v>
      </c>
      <c r="AN92" s="75">
        <v>0</v>
      </c>
      <c r="AO92" s="75">
        <v>0</v>
      </c>
      <c r="AP92" s="75">
        <v>0</v>
      </c>
      <c r="AQ92" s="75">
        <v>0</v>
      </c>
      <c r="AR92" s="75">
        <v>1</v>
      </c>
      <c r="AS92" s="75">
        <v>0</v>
      </c>
      <c r="AT92" s="75">
        <v>0</v>
      </c>
      <c r="AU92" s="75">
        <v>0</v>
      </c>
      <c r="AV92" s="75">
        <v>0</v>
      </c>
      <c r="AW92" s="75">
        <v>0</v>
      </c>
      <c r="AX92" s="75">
        <v>0</v>
      </c>
      <c r="AY92" s="75">
        <v>1</v>
      </c>
      <c r="AZ92" s="84">
        <v>4</v>
      </c>
      <c r="BA92" s="84">
        <v>14</v>
      </c>
      <c r="BB92" s="84">
        <v>0</v>
      </c>
      <c r="BC92" s="75">
        <v>1</v>
      </c>
      <c r="BD92" s="75">
        <v>0</v>
      </c>
      <c r="BE92" s="75">
        <v>0</v>
      </c>
      <c r="BF92" s="75">
        <v>4</v>
      </c>
      <c r="BG92" s="75">
        <v>0</v>
      </c>
      <c r="BH92" s="75">
        <v>0</v>
      </c>
      <c r="BM92" s="75">
        <f t="shared" si="13"/>
        <v>0</v>
      </c>
      <c r="BN92" s="75">
        <f t="shared" si="10"/>
        <v>0</v>
      </c>
      <c r="BO92" s="75">
        <f t="shared" si="11"/>
        <v>25</v>
      </c>
      <c r="BP92" s="75">
        <f t="shared" si="12"/>
        <v>25</v>
      </c>
      <c r="BT92" s="110">
        <v>0</v>
      </c>
      <c r="BV92" s="75" t="s">
        <v>360</v>
      </c>
    </row>
    <row r="93" spans="2:74" x14ac:dyDescent="0.75">
      <c r="B93">
        <v>653</v>
      </c>
      <c r="C93" s="267">
        <v>651</v>
      </c>
      <c r="D93" s="75" t="s">
        <v>357</v>
      </c>
      <c r="E93" s="75" t="s">
        <v>358</v>
      </c>
      <c r="F93" s="75" t="s">
        <v>359</v>
      </c>
      <c r="G93" s="75" t="s">
        <v>23</v>
      </c>
      <c r="H93" s="75">
        <v>18.365749999999998</v>
      </c>
      <c r="I93" s="75">
        <v>-64.773619999999994</v>
      </c>
      <c r="J93" s="81">
        <v>44740</v>
      </c>
      <c r="K93" s="75" t="s">
        <v>367</v>
      </c>
      <c r="L93" s="75" t="s">
        <v>361</v>
      </c>
      <c r="M93" s="75">
        <v>0</v>
      </c>
      <c r="N93" s="75">
        <v>2</v>
      </c>
      <c r="O93" s="75" t="s">
        <v>362</v>
      </c>
      <c r="P93" s="75">
        <f>SUM(TreatmentUsed!E1042:E1048)</f>
        <v>38</v>
      </c>
      <c r="Q93" s="75" t="s">
        <v>364</v>
      </c>
      <c r="R93" s="75">
        <v>0</v>
      </c>
      <c r="S93" s="75">
        <v>0</v>
      </c>
      <c r="T93" s="75">
        <v>0</v>
      </c>
      <c r="U93" s="75">
        <v>0</v>
      </c>
      <c r="V93" s="75">
        <v>0</v>
      </c>
      <c r="W93" s="75">
        <v>0</v>
      </c>
      <c r="X93" s="75">
        <v>0</v>
      </c>
      <c r="Y93" s="75">
        <v>0</v>
      </c>
      <c r="Z93" s="75">
        <v>0</v>
      </c>
      <c r="AA93" s="75">
        <v>0</v>
      </c>
      <c r="AB93" s="75">
        <v>0</v>
      </c>
      <c r="AC93" s="75">
        <v>0</v>
      </c>
      <c r="AD93" s="75">
        <v>0</v>
      </c>
      <c r="AE93" s="75">
        <v>0</v>
      </c>
      <c r="AF93" s="75">
        <v>0</v>
      </c>
      <c r="AG93" s="75">
        <v>0</v>
      </c>
      <c r="AH93" s="75">
        <v>0</v>
      </c>
      <c r="AI93" s="75">
        <v>0</v>
      </c>
      <c r="AJ93" s="75">
        <v>0</v>
      </c>
      <c r="AK93" s="75">
        <v>0</v>
      </c>
      <c r="AL93" s="75">
        <v>0</v>
      </c>
      <c r="AM93" s="75">
        <v>0</v>
      </c>
      <c r="AN93" s="75">
        <v>0</v>
      </c>
      <c r="AO93" s="75">
        <v>0</v>
      </c>
      <c r="AP93" s="75">
        <v>0</v>
      </c>
      <c r="AQ93" s="75">
        <v>0</v>
      </c>
      <c r="AR93" s="75">
        <v>0</v>
      </c>
      <c r="AS93" s="75">
        <v>0</v>
      </c>
      <c r="AT93" s="75">
        <v>0</v>
      </c>
      <c r="AU93" s="75">
        <v>1</v>
      </c>
      <c r="AV93" s="75">
        <v>0</v>
      </c>
      <c r="AW93" s="75">
        <v>0</v>
      </c>
      <c r="AX93" s="75">
        <v>0</v>
      </c>
      <c r="AY93" s="84">
        <v>0</v>
      </c>
      <c r="AZ93" s="75">
        <v>1</v>
      </c>
      <c r="BA93" s="84">
        <v>3</v>
      </c>
      <c r="BB93" s="75">
        <v>0</v>
      </c>
      <c r="BC93" s="75">
        <v>1</v>
      </c>
      <c r="BD93" s="75">
        <v>0</v>
      </c>
      <c r="BE93" s="75">
        <v>0</v>
      </c>
      <c r="BF93" s="75">
        <v>1</v>
      </c>
      <c r="BG93" s="75">
        <v>0</v>
      </c>
      <c r="BH93" s="75">
        <v>0</v>
      </c>
      <c r="BM93" s="75">
        <f t="shared" si="13"/>
        <v>0</v>
      </c>
      <c r="BN93" s="75">
        <f t="shared" si="10"/>
        <v>0</v>
      </c>
      <c r="BO93" s="75">
        <f t="shared" si="11"/>
        <v>7</v>
      </c>
      <c r="BP93" s="75">
        <f t="shared" si="12"/>
        <v>7</v>
      </c>
      <c r="BT93" s="110">
        <v>0</v>
      </c>
      <c r="BV93" s="75" t="s">
        <v>360</v>
      </c>
    </row>
    <row r="94" spans="2:74" x14ac:dyDescent="0.75">
      <c r="B94">
        <v>654</v>
      </c>
      <c r="C94" s="267">
        <v>652</v>
      </c>
      <c r="D94" s="75" t="s">
        <v>357</v>
      </c>
      <c r="E94" s="75" t="s">
        <v>358</v>
      </c>
      <c r="F94" s="75" t="s">
        <v>359</v>
      </c>
      <c r="G94" s="75" t="s">
        <v>23</v>
      </c>
      <c r="H94" s="84">
        <v>18.365749999999998</v>
      </c>
      <c r="I94" s="84">
        <v>-64.773619999999994</v>
      </c>
      <c r="J94" s="81">
        <v>44740</v>
      </c>
      <c r="K94" s="75" t="s">
        <v>367</v>
      </c>
      <c r="L94" s="75" t="s">
        <v>361</v>
      </c>
      <c r="M94" s="75">
        <v>0</v>
      </c>
      <c r="N94" s="75">
        <v>2</v>
      </c>
      <c r="O94" s="75" t="s">
        <v>362</v>
      </c>
      <c r="P94" s="75">
        <f>SUM(TreatmentUsed!E1049:E1050)</f>
        <v>10</v>
      </c>
      <c r="Q94" s="75" t="s">
        <v>364</v>
      </c>
      <c r="R94" s="75">
        <v>0</v>
      </c>
      <c r="S94" s="75">
        <v>0</v>
      </c>
      <c r="T94" s="75">
        <v>0</v>
      </c>
      <c r="U94" s="75">
        <v>0</v>
      </c>
      <c r="V94" s="75">
        <v>0</v>
      </c>
      <c r="W94" s="75">
        <v>0</v>
      </c>
      <c r="X94" s="75">
        <v>0</v>
      </c>
      <c r="Y94" s="75">
        <v>0</v>
      </c>
      <c r="Z94" s="75">
        <v>0</v>
      </c>
      <c r="AA94" s="75">
        <v>0</v>
      </c>
      <c r="AB94" s="75">
        <v>0</v>
      </c>
      <c r="AC94" s="75">
        <v>0</v>
      </c>
      <c r="AD94" s="75">
        <v>0</v>
      </c>
      <c r="AE94" s="75">
        <v>0</v>
      </c>
      <c r="AF94" s="75">
        <v>0</v>
      </c>
      <c r="AG94" s="75">
        <v>0</v>
      </c>
      <c r="AH94" s="75">
        <v>0</v>
      </c>
      <c r="AI94" s="75">
        <v>0</v>
      </c>
      <c r="AJ94" s="75">
        <v>0</v>
      </c>
      <c r="AK94" s="75">
        <v>0</v>
      </c>
      <c r="AL94" s="75">
        <v>0</v>
      </c>
      <c r="AM94" s="75">
        <v>0</v>
      </c>
      <c r="AN94" s="75">
        <v>0</v>
      </c>
      <c r="AO94" s="75">
        <v>0</v>
      </c>
      <c r="AP94" s="75">
        <v>0</v>
      </c>
      <c r="AQ94" s="75">
        <v>2</v>
      </c>
      <c r="AR94" s="75">
        <v>0</v>
      </c>
      <c r="AS94" s="75">
        <v>0</v>
      </c>
      <c r="AT94" s="75">
        <v>0</v>
      </c>
      <c r="AU94" s="75">
        <v>0</v>
      </c>
      <c r="AV94" s="75">
        <v>0</v>
      </c>
      <c r="AW94" s="75">
        <v>0</v>
      </c>
      <c r="AX94" s="75">
        <v>0</v>
      </c>
      <c r="AY94" s="75">
        <v>0</v>
      </c>
      <c r="AZ94" s="75">
        <v>0</v>
      </c>
      <c r="BA94" s="75">
        <v>0</v>
      </c>
      <c r="BB94" s="75">
        <v>0</v>
      </c>
      <c r="BC94" s="75">
        <v>0</v>
      </c>
      <c r="BD94" s="75">
        <v>0</v>
      </c>
      <c r="BE94" s="75">
        <v>0</v>
      </c>
      <c r="BF94" s="75">
        <v>0</v>
      </c>
      <c r="BG94" s="75">
        <v>0</v>
      </c>
      <c r="BH94" s="75">
        <v>0</v>
      </c>
      <c r="BM94" s="75">
        <f t="shared" si="13"/>
        <v>0</v>
      </c>
      <c r="BN94" s="75">
        <f t="shared" si="10"/>
        <v>0</v>
      </c>
      <c r="BO94" s="75">
        <f t="shared" si="11"/>
        <v>2</v>
      </c>
      <c r="BP94" s="75">
        <f t="shared" si="12"/>
        <v>2</v>
      </c>
      <c r="BR94" s="252" t="s">
        <v>437</v>
      </c>
      <c r="BT94" s="110">
        <v>0</v>
      </c>
      <c r="BV94" s="75" t="s">
        <v>360</v>
      </c>
    </row>
    <row r="95" spans="2:74" x14ac:dyDescent="0.75">
      <c r="B95">
        <v>664</v>
      </c>
      <c r="C95" s="267">
        <v>653</v>
      </c>
      <c r="D95" s="75" t="s">
        <v>357</v>
      </c>
      <c r="E95" s="75" t="s">
        <v>358</v>
      </c>
      <c r="F95" s="75" t="s">
        <v>359</v>
      </c>
      <c r="G95" s="75" t="s">
        <v>39</v>
      </c>
      <c r="H95" s="84">
        <v>18.357482999999998</v>
      </c>
      <c r="I95" s="84">
        <v>-64.751949999999994</v>
      </c>
      <c r="J95" s="81">
        <v>44740</v>
      </c>
      <c r="K95" s="75" t="s">
        <v>361</v>
      </c>
      <c r="L95" s="75" t="s">
        <v>360</v>
      </c>
      <c r="M95" s="75">
        <v>0</v>
      </c>
      <c r="N95" s="75">
        <v>2</v>
      </c>
      <c r="O95" s="75" t="s">
        <v>362</v>
      </c>
      <c r="P95" s="75">
        <f>SUM(TreatmentUsed!E1013:E1016)</f>
        <v>18</v>
      </c>
      <c r="Q95" s="75" t="s">
        <v>364</v>
      </c>
      <c r="R95" s="75">
        <v>0</v>
      </c>
      <c r="S95" s="75">
        <v>0</v>
      </c>
      <c r="T95" s="75">
        <v>0</v>
      </c>
      <c r="U95" s="75">
        <v>0</v>
      </c>
      <c r="V95" s="75">
        <v>0</v>
      </c>
      <c r="W95" s="75">
        <v>0</v>
      </c>
      <c r="X95" s="75">
        <v>0</v>
      </c>
      <c r="Y95" s="75">
        <v>0</v>
      </c>
      <c r="Z95" s="75">
        <v>0</v>
      </c>
      <c r="AA95" s="75">
        <v>0</v>
      </c>
      <c r="AB95" s="75">
        <v>0</v>
      </c>
      <c r="AC95" s="75">
        <v>0</v>
      </c>
      <c r="AD95" s="75">
        <v>0</v>
      </c>
      <c r="AE95" s="75">
        <v>0</v>
      </c>
      <c r="AF95" s="75">
        <v>0</v>
      </c>
      <c r="AG95" s="75">
        <v>0</v>
      </c>
      <c r="AH95" s="75">
        <v>0</v>
      </c>
      <c r="AI95" s="75">
        <v>0</v>
      </c>
      <c r="AJ95" s="75">
        <v>0</v>
      </c>
      <c r="AK95" s="75">
        <v>0</v>
      </c>
      <c r="AL95" s="75">
        <v>0</v>
      </c>
      <c r="AM95" s="75">
        <v>0</v>
      </c>
      <c r="AN95" s="75">
        <v>0</v>
      </c>
      <c r="AO95" s="75">
        <v>0</v>
      </c>
      <c r="AP95" s="75">
        <v>0</v>
      </c>
      <c r="AQ95" s="75">
        <v>0</v>
      </c>
      <c r="AR95" s="75">
        <v>0</v>
      </c>
      <c r="AS95" s="75">
        <v>1</v>
      </c>
      <c r="AT95" s="75">
        <v>1</v>
      </c>
      <c r="AU95" s="75">
        <v>0</v>
      </c>
      <c r="AV95" s="75">
        <v>0</v>
      </c>
      <c r="AW95" s="75">
        <v>0</v>
      </c>
      <c r="AX95" s="75">
        <v>0</v>
      </c>
      <c r="AY95" s="75">
        <v>0</v>
      </c>
      <c r="AZ95" s="75">
        <v>0</v>
      </c>
      <c r="BA95" s="75">
        <v>0</v>
      </c>
      <c r="BB95" s="75">
        <v>0</v>
      </c>
      <c r="BC95" s="75">
        <v>2</v>
      </c>
      <c r="BD95" s="75">
        <v>0</v>
      </c>
      <c r="BE95" s="75">
        <v>0</v>
      </c>
      <c r="BF95" s="75">
        <v>0</v>
      </c>
      <c r="BG95" s="75">
        <v>0</v>
      </c>
      <c r="BH95" s="75">
        <v>0</v>
      </c>
      <c r="BM95" s="75">
        <f t="shared" si="13"/>
        <v>0</v>
      </c>
      <c r="BN95" s="75">
        <f t="shared" si="10"/>
        <v>0</v>
      </c>
      <c r="BO95" s="75">
        <f t="shared" si="11"/>
        <v>4</v>
      </c>
      <c r="BP95" s="75">
        <f t="shared" si="12"/>
        <v>4</v>
      </c>
      <c r="BQ95" s="75"/>
      <c r="BR95" s="252">
        <v>942</v>
      </c>
      <c r="BT95" s="110">
        <v>0</v>
      </c>
      <c r="BV95" s="75" t="s">
        <v>360</v>
      </c>
    </row>
    <row r="96" spans="2:74" x14ac:dyDescent="0.75">
      <c r="B96">
        <v>655</v>
      </c>
      <c r="C96" s="267">
        <v>654</v>
      </c>
      <c r="D96" s="75" t="s">
        <v>357</v>
      </c>
      <c r="E96" s="75" t="s">
        <v>358</v>
      </c>
      <c r="F96" s="75" t="s">
        <v>359</v>
      </c>
      <c r="G96" s="75" t="s">
        <v>23</v>
      </c>
      <c r="H96" s="75">
        <v>18.365749999999998</v>
      </c>
      <c r="I96" s="75">
        <v>-64.773619999999994</v>
      </c>
      <c r="J96" s="81">
        <v>44742</v>
      </c>
      <c r="K96" s="75" t="s">
        <v>367</v>
      </c>
      <c r="L96" s="75" t="s">
        <v>361</v>
      </c>
      <c r="M96" s="75">
        <v>1</v>
      </c>
      <c r="N96" s="75">
        <v>2</v>
      </c>
      <c r="O96" s="75" t="s">
        <v>362</v>
      </c>
      <c r="P96" s="75">
        <f>SUM(TreatmentUsed!E1051:E1062)</f>
        <v>105</v>
      </c>
      <c r="Q96" s="75" t="s">
        <v>364</v>
      </c>
      <c r="R96" s="75">
        <v>0</v>
      </c>
      <c r="S96" s="75">
        <v>0</v>
      </c>
      <c r="T96" s="75">
        <v>0</v>
      </c>
      <c r="U96" s="75">
        <v>0</v>
      </c>
      <c r="V96" s="75">
        <v>0</v>
      </c>
      <c r="W96" s="75">
        <v>0</v>
      </c>
      <c r="X96" s="75">
        <v>0</v>
      </c>
      <c r="Y96" s="75">
        <v>0</v>
      </c>
      <c r="Z96" s="75">
        <v>0</v>
      </c>
      <c r="AA96" s="75">
        <v>0</v>
      </c>
      <c r="AB96" s="75">
        <v>0</v>
      </c>
      <c r="AC96" s="75">
        <v>0</v>
      </c>
      <c r="AD96" s="75">
        <v>0</v>
      </c>
      <c r="AE96" s="75">
        <v>0</v>
      </c>
      <c r="AF96" s="75">
        <v>0</v>
      </c>
      <c r="AG96" s="75">
        <v>0</v>
      </c>
      <c r="AH96" s="75">
        <v>0</v>
      </c>
      <c r="AI96" s="75">
        <v>0</v>
      </c>
      <c r="AJ96" s="75">
        <v>0</v>
      </c>
      <c r="AK96" s="75">
        <v>0</v>
      </c>
      <c r="AL96" s="75">
        <v>0</v>
      </c>
      <c r="AM96" s="75">
        <v>0</v>
      </c>
      <c r="AN96" s="75">
        <v>0</v>
      </c>
      <c r="AO96" s="75">
        <v>1</v>
      </c>
      <c r="AP96" s="75">
        <v>0</v>
      </c>
      <c r="AQ96" s="75">
        <v>0</v>
      </c>
      <c r="AR96" s="75">
        <v>0</v>
      </c>
      <c r="AS96" s="75">
        <v>1</v>
      </c>
      <c r="AT96" s="75">
        <v>0</v>
      </c>
      <c r="AU96" s="75">
        <v>0</v>
      </c>
      <c r="AV96" s="75">
        <v>0</v>
      </c>
      <c r="AW96" s="75">
        <v>0</v>
      </c>
      <c r="AX96" s="75">
        <v>0</v>
      </c>
      <c r="AY96" s="75">
        <v>2</v>
      </c>
      <c r="AZ96" s="75">
        <v>1</v>
      </c>
      <c r="BA96" s="84">
        <v>7</v>
      </c>
      <c r="BB96" s="84">
        <v>0</v>
      </c>
      <c r="BC96" s="75">
        <v>0</v>
      </c>
      <c r="BD96" s="75">
        <v>0</v>
      </c>
      <c r="BE96" s="75">
        <v>0</v>
      </c>
      <c r="BF96" s="75">
        <v>0</v>
      </c>
      <c r="BG96" s="75">
        <v>0</v>
      </c>
      <c r="BH96" s="75">
        <v>0</v>
      </c>
      <c r="BM96" s="75">
        <f t="shared" si="13"/>
        <v>0</v>
      </c>
      <c r="BN96" s="75">
        <f t="shared" si="10"/>
        <v>0</v>
      </c>
      <c r="BO96" s="75">
        <f t="shared" si="11"/>
        <v>12</v>
      </c>
      <c r="BP96" s="75">
        <f t="shared" si="12"/>
        <v>12</v>
      </c>
      <c r="BQ96" s="80" t="s">
        <v>438</v>
      </c>
      <c r="BR96" s="252" t="s">
        <v>439</v>
      </c>
      <c r="BT96" s="110">
        <v>0</v>
      </c>
      <c r="BV96" s="75" t="s">
        <v>360</v>
      </c>
    </row>
    <row r="97" spans="1:74" x14ac:dyDescent="0.75">
      <c r="B97">
        <v>656</v>
      </c>
      <c r="C97" s="267">
        <v>655</v>
      </c>
      <c r="D97" s="75" t="s">
        <v>357</v>
      </c>
      <c r="E97" s="75" t="s">
        <v>358</v>
      </c>
      <c r="F97" s="75" t="s">
        <v>359</v>
      </c>
      <c r="G97" s="75" t="s">
        <v>23</v>
      </c>
      <c r="H97" s="75">
        <v>18.365749999999998</v>
      </c>
      <c r="I97" s="75">
        <v>-64.773619999999994</v>
      </c>
      <c r="J97" s="81">
        <v>44742</v>
      </c>
      <c r="K97" s="75" t="s">
        <v>367</v>
      </c>
      <c r="L97" s="75" t="s">
        <v>361</v>
      </c>
      <c r="M97" s="75">
        <v>2</v>
      </c>
      <c r="N97" s="75">
        <v>2</v>
      </c>
      <c r="O97" s="75" t="s">
        <v>362</v>
      </c>
      <c r="P97" s="75">
        <f>SUM(TreatmentUsed!E1063:E1075)</f>
        <v>107</v>
      </c>
      <c r="Q97" s="75" t="s">
        <v>364</v>
      </c>
      <c r="R97" s="75">
        <v>0</v>
      </c>
      <c r="S97" s="75">
        <v>0</v>
      </c>
      <c r="T97" s="75">
        <v>0</v>
      </c>
      <c r="U97" s="75">
        <v>0</v>
      </c>
      <c r="V97" s="75">
        <v>0</v>
      </c>
      <c r="W97" s="75">
        <v>0</v>
      </c>
      <c r="X97" s="75">
        <v>0</v>
      </c>
      <c r="Y97" s="75">
        <v>0</v>
      </c>
      <c r="Z97" s="75">
        <v>0</v>
      </c>
      <c r="AA97" s="75">
        <v>0</v>
      </c>
      <c r="AB97" s="75">
        <v>0</v>
      </c>
      <c r="AC97" s="75">
        <v>0</v>
      </c>
      <c r="AD97" s="75">
        <v>0</v>
      </c>
      <c r="AE97" s="75">
        <v>0</v>
      </c>
      <c r="AF97" s="75">
        <v>0</v>
      </c>
      <c r="AG97" s="75">
        <v>0</v>
      </c>
      <c r="AH97" s="75">
        <v>0</v>
      </c>
      <c r="AI97" s="75">
        <v>0</v>
      </c>
      <c r="AJ97" s="75">
        <v>0</v>
      </c>
      <c r="AK97" s="75">
        <v>0</v>
      </c>
      <c r="AL97" s="75">
        <v>0</v>
      </c>
      <c r="AM97" s="75">
        <v>0</v>
      </c>
      <c r="AN97" s="75">
        <v>0</v>
      </c>
      <c r="AO97" s="75">
        <v>1</v>
      </c>
      <c r="AP97" s="75">
        <v>0</v>
      </c>
      <c r="AQ97" s="75">
        <v>0</v>
      </c>
      <c r="AR97" s="75">
        <v>1</v>
      </c>
      <c r="AS97" s="75">
        <v>0</v>
      </c>
      <c r="AT97" s="75">
        <v>0</v>
      </c>
      <c r="AU97" s="75">
        <v>0</v>
      </c>
      <c r="AV97" s="75">
        <v>0</v>
      </c>
      <c r="AW97" s="75">
        <v>0</v>
      </c>
      <c r="AX97" s="75">
        <v>0</v>
      </c>
      <c r="AY97" s="75">
        <v>0</v>
      </c>
      <c r="AZ97" s="84">
        <v>2</v>
      </c>
      <c r="BA97" s="84">
        <v>9</v>
      </c>
      <c r="BB97" s="84">
        <v>0</v>
      </c>
      <c r="BC97" s="75">
        <v>0</v>
      </c>
      <c r="BD97" s="75">
        <v>0</v>
      </c>
      <c r="BE97" s="75">
        <v>0</v>
      </c>
      <c r="BF97" s="75">
        <v>0</v>
      </c>
      <c r="BG97" s="75">
        <v>0</v>
      </c>
      <c r="BH97" s="75">
        <v>0</v>
      </c>
      <c r="BM97" s="75">
        <f t="shared" si="13"/>
        <v>0</v>
      </c>
      <c r="BN97" s="75">
        <f t="shared" si="10"/>
        <v>0</v>
      </c>
      <c r="BO97" s="75">
        <f t="shared" si="11"/>
        <v>13</v>
      </c>
      <c r="BP97" s="75">
        <f t="shared" si="12"/>
        <v>13</v>
      </c>
      <c r="BQ97" s="80" t="s">
        <v>440</v>
      </c>
      <c r="BT97" s="110">
        <v>0</v>
      </c>
      <c r="BV97" s="75" t="s">
        <v>360</v>
      </c>
    </row>
    <row r="98" spans="1:74" s="173" customFormat="1" x14ac:dyDescent="0.75">
      <c r="A98" s="171"/>
      <c r="B98" s="173">
        <v>657</v>
      </c>
      <c r="C98" s="268">
        <v>656</v>
      </c>
      <c r="D98" s="174" t="s">
        <v>357</v>
      </c>
      <c r="E98" s="174" t="s">
        <v>358</v>
      </c>
      <c r="F98" s="174" t="s">
        <v>359</v>
      </c>
      <c r="G98" s="174" t="s">
        <v>23</v>
      </c>
      <c r="H98" s="174">
        <v>18.365749999999998</v>
      </c>
      <c r="I98" s="174">
        <v>-64.773619999999994</v>
      </c>
      <c r="J98" s="175">
        <v>44742</v>
      </c>
      <c r="K98" s="174" t="s">
        <v>367</v>
      </c>
      <c r="L98" s="174" t="s">
        <v>361</v>
      </c>
      <c r="M98" s="174">
        <v>1</v>
      </c>
      <c r="N98" s="174">
        <v>2</v>
      </c>
      <c r="O98" s="174" t="s">
        <v>362</v>
      </c>
      <c r="P98" s="174">
        <f>SUM(TreatmentUsed!E1076:E1078)</f>
        <v>14</v>
      </c>
      <c r="Q98" s="174" t="s">
        <v>364</v>
      </c>
      <c r="R98" s="174">
        <v>0</v>
      </c>
      <c r="S98" s="174">
        <v>0</v>
      </c>
      <c r="T98" s="174">
        <v>0</v>
      </c>
      <c r="U98" s="174">
        <v>0</v>
      </c>
      <c r="V98" s="174">
        <v>0</v>
      </c>
      <c r="W98" s="174">
        <v>0</v>
      </c>
      <c r="X98" s="174">
        <v>0</v>
      </c>
      <c r="Y98" s="174">
        <v>0</v>
      </c>
      <c r="Z98" s="174">
        <v>0</v>
      </c>
      <c r="AA98" s="174">
        <v>0</v>
      </c>
      <c r="AB98" s="174">
        <v>0</v>
      </c>
      <c r="AC98" s="174">
        <v>0</v>
      </c>
      <c r="AD98" s="174">
        <v>0</v>
      </c>
      <c r="AE98" s="174">
        <v>0</v>
      </c>
      <c r="AF98" s="174">
        <v>0</v>
      </c>
      <c r="AG98" s="174">
        <v>0</v>
      </c>
      <c r="AH98" s="174">
        <v>0</v>
      </c>
      <c r="AI98" s="174">
        <v>0</v>
      </c>
      <c r="AJ98" s="174">
        <v>0</v>
      </c>
      <c r="AK98" s="174">
        <v>0</v>
      </c>
      <c r="AL98" s="174">
        <v>0</v>
      </c>
      <c r="AM98" s="174">
        <v>0</v>
      </c>
      <c r="AN98" s="174">
        <v>0</v>
      </c>
      <c r="AO98" s="176">
        <v>0</v>
      </c>
      <c r="AP98" s="174">
        <v>0</v>
      </c>
      <c r="AQ98" s="174">
        <v>0</v>
      </c>
      <c r="AR98" s="174">
        <v>0</v>
      </c>
      <c r="AS98" s="174">
        <v>0</v>
      </c>
      <c r="AT98" s="174">
        <v>0</v>
      </c>
      <c r="AU98" s="174">
        <v>0</v>
      </c>
      <c r="AV98" s="174">
        <v>0</v>
      </c>
      <c r="AW98" s="174">
        <v>0</v>
      </c>
      <c r="AX98" s="174">
        <v>0</v>
      </c>
      <c r="AY98" s="174">
        <v>0</v>
      </c>
      <c r="AZ98" s="174">
        <v>0</v>
      </c>
      <c r="BA98" s="176">
        <v>1</v>
      </c>
      <c r="BB98" s="174">
        <v>0</v>
      </c>
      <c r="BC98" s="174">
        <v>1</v>
      </c>
      <c r="BD98" s="174">
        <v>0</v>
      </c>
      <c r="BE98" s="174">
        <v>0</v>
      </c>
      <c r="BF98" s="174">
        <v>0</v>
      </c>
      <c r="BG98" s="174">
        <v>0</v>
      </c>
      <c r="BH98" s="174">
        <v>1</v>
      </c>
      <c r="BI98" s="174"/>
      <c r="BJ98" s="174"/>
      <c r="BK98" s="174"/>
      <c r="BL98" s="174"/>
      <c r="BM98" s="174">
        <f t="shared" si="13"/>
        <v>0</v>
      </c>
      <c r="BN98" s="174">
        <f t="shared" si="10"/>
        <v>0</v>
      </c>
      <c r="BO98" s="174">
        <f t="shared" si="11"/>
        <v>3</v>
      </c>
      <c r="BP98" s="174">
        <f t="shared" si="12"/>
        <v>3</v>
      </c>
      <c r="BQ98" s="177" t="s">
        <v>441</v>
      </c>
      <c r="BR98" s="250"/>
      <c r="BS98" s="178"/>
      <c r="BT98" s="110">
        <v>0</v>
      </c>
      <c r="BU98" s="174"/>
      <c r="BV98" s="174" t="s">
        <v>360</v>
      </c>
    </row>
    <row r="99" spans="1:74" x14ac:dyDescent="0.75">
      <c r="C99" s="270">
        <v>697</v>
      </c>
      <c r="D99" s="75" t="s">
        <v>357</v>
      </c>
      <c r="E99" s="75" t="s">
        <v>358</v>
      </c>
      <c r="F99" s="75" t="s">
        <v>359</v>
      </c>
      <c r="G99" s="75" t="s">
        <v>39</v>
      </c>
      <c r="H99" s="75">
        <v>18.357482999999998</v>
      </c>
      <c r="I99" s="75">
        <v>-64.751949999999994</v>
      </c>
      <c r="J99" s="81">
        <v>44743</v>
      </c>
      <c r="K99" s="75" t="s">
        <v>367</v>
      </c>
      <c r="L99" s="75" t="s">
        <v>360</v>
      </c>
      <c r="M99" s="84">
        <v>2</v>
      </c>
      <c r="N99" s="84">
        <v>3</v>
      </c>
      <c r="O99" s="75" t="s">
        <v>362</v>
      </c>
      <c r="P99" s="75">
        <f>SUM(TreatmentUsed!E1079:E1098)</f>
        <v>150</v>
      </c>
      <c r="Q99" s="75">
        <v>0</v>
      </c>
      <c r="R99" s="75">
        <v>0</v>
      </c>
      <c r="S99" s="75">
        <v>0</v>
      </c>
      <c r="T99" s="75">
        <v>0</v>
      </c>
      <c r="U99" s="75">
        <v>0</v>
      </c>
      <c r="V99" s="75">
        <v>0</v>
      </c>
      <c r="W99" s="75">
        <v>0</v>
      </c>
      <c r="X99" s="75">
        <v>0</v>
      </c>
      <c r="Y99" s="75">
        <v>0</v>
      </c>
      <c r="Z99" s="75">
        <v>0</v>
      </c>
      <c r="AA99" s="75">
        <v>0</v>
      </c>
      <c r="AB99" s="75">
        <v>0</v>
      </c>
      <c r="AC99" s="75">
        <v>0</v>
      </c>
      <c r="AD99" s="75">
        <v>0</v>
      </c>
      <c r="AE99" s="75">
        <v>0</v>
      </c>
      <c r="AF99" s="75">
        <v>0</v>
      </c>
      <c r="AG99" s="75">
        <v>0</v>
      </c>
      <c r="AH99" s="75">
        <v>0</v>
      </c>
      <c r="AI99" s="75">
        <v>0</v>
      </c>
      <c r="AJ99" s="75">
        <v>0</v>
      </c>
      <c r="AK99" s="75">
        <v>0</v>
      </c>
      <c r="AL99" s="75">
        <v>0</v>
      </c>
      <c r="AM99" s="75">
        <v>0</v>
      </c>
      <c r="AN99" s="75">
        <v>0</v>
      </c>
      <c r="AO99" s="75">
        <v>1</v>
      </c>
      <c r="AP99" s="75">
        <v>0</v>
      </c>
      <c r="AQ99" s="75">
        <v>0</v>
      </c>
      <c r="AR99" s="75">
        <v>2</v>
      </c>
      <c r="AS99" s="75">
        <v>0</v>
      </c>
      <c r="AT99" s="75">
        <v>0</v>
      </c>
      <c r="AU99" s="75">
        <v>0</v>
      </c>
      <c r="AV99" s="75">
        <v>0</v>
      </c>
      <c r="AW99" s="75">
        <v>0</v>
      </c>
      <c r="AX99" s="75">
        <v>0</v>
      </c>
      <c r="AY99" s="75">
        <v>3</v>
      </c>
      <c r="AZ99" s="84">
        <v>2</v>
      </c>
      <c r="BA99" s="84">
        <v>9</v>
      </c>
      <c r="BB99" s="84">
        <v>0</v>
      </c>
      <c r="BC99" s="75">
        <v>2</v>
      </c>
      <c r="BD99" s="75">
        <v>0</v>
      </c>
      <c r="BE99" s="75">
        <v>0</v>
      </c>
      <c r="BF99" s="75">
        <v>2</v>
      </c>
      <c r="BG99" s="75">
        <v>0</v>
      </c>
      <c r="BH99" s="75">
        <v>0</v>
      </c>
      <c r="BM99" s="75">
        <f t="shared" si="13"/>
        <v>0</v>
      </c>
      <c r="BN99" s="75">
        <f t="shared" si="10"/>
        <v>0</v>
      </c>
      <c r="BO99" s="75">
        <f t="shared" ref="BO99:BO130" si="14">SUM(AO99:BH99)</f>
        <v>21</v>
      </c>
      <c r="BP99" s="75">
        <f t="shared" ref="BP99:BP130" si="15">SUM(R99:BH99)</f>
        <v>21</v>
      </c>
      <c r="BQ99" s="80" t="s">
        <v>442</v>
      </c>
      <c r="BR99" s="138" t="s">
        <v>443</v>
      </c>
      <c r="BT99" s="110">
        <v>0</v>
      </c>
      <c r="BV99" s="75" t="s">
        <v>360</v>
      </c>
    </row>
    <row r="100" spans="1:74" x14ac:dyDescent="0.75">
      <c r="C100" s="270">
        <v>698</v>
      </c>
      <c r="D100" s="75" t="s">
        <v>357</v>
      </c>
      <c r="E100" s="75" t="s">
        <v>358</v>
      </c>
      <c r="F100" s="75" t="s">
        <v>359</v>
      </c>
      <c r="G100" s="75" t="s">
        <v>39</v>
      </c>
      <c r="H100" s="75">
        <v>18.357482999999998</v>
      </c>
      <c r="I100" s="75">
        <v>-64.751949999999994</v>
      </c>
      <c r="J100" s="81">
        <v>44743</v>
      </c>
      <c r="K100" s="75" t="s">
        <v>367</v>
      </c>
      <c r="L100" s="75" t="s">
        <v>360</v>
      </c>
      <c r="M100" s="75">
        <v>0</v>
      </c>
      <c r="N100" s="84">
        <v>3</v>
      </c>
      <c r="O100" s="75" t="s">
        <v>362</v>
      </c>
      <c r="P100" s="75">
        <f>SUM(TreatmentUsed!E1099:E1125)</f>
        <v>143</v>
      </c>
      <c r="Q100" s="75">
        <v>0</v>
      </c>
      <c r="R100" s="75">
        <v>0</v>
      </c>
      <c r="S100" s="75">
        <v>0</v>
      </c>
      <c r="T100" s="75">
        <v>0</v>
      </c>
      <c r="U100" s="75">
        <v>0</v>
      </c>
      <c r="V100" s="75">
        <v>0</v>
      </c>
      <c r="W100" s="75">
        <v>0</v>
      </c>
      <c r="X100" s="75">
        <v>0</v>
      </c>
      <c r="Y100" s="75">
        <v>0</v>
      </c>
      <c r="Z100" s="75">
        <v>0</v>
      </c>
      <c r="AA100" s="75">
        <v>0</v>
      </c>
      <c r="AB100" s="75">
        <v>0</v>
      </c>
      <c r="AC100" s="75">
        <v>0</v>
      </c>
      <c r="AD100" s="75">
        <v>0</v>
      </c>
      <c r="AE100" s="75">
        <v>0</v>
      </c>
      <c r="AF100" s="75">
        <v>0</v>
      </c>
      <c r="AG100" s="75">
        <v>0</v>
      </c>
      <c r="AH100" s="75">
        <v>0</v>
      </c>
      <c r="AI100" s="75">
        <v>0</v>
      </c>
      <c r="AJ100" s="75">
        <v>0</v>
      </c>
      <c r="AK100" s="75">
        <v>0</v>
      </c>
      <c r="AL100" s="75">
        <v>0</v>
      </c>
      <c r="AM100" s="75">
        <v>0</v>
      </c>
      <c r="AN100" s="75">
        <v>0</v>
      </c>
      <c r="AO100" s="75">
        <v>1</v>
      </c>
      <c r="AP100" s="84">
        <v>0</v>
      </c>
      <c r="AQ100" s="75">
        <v>3</v>
      </c>
      <c r="AR100" s="75">
        <v>1</v>
      </c>
      <c r="AS100" s="75">
        <v>1</v>
      </c>
      <c r="AT100" s="75">
        <v>0</v>
      </c>
      <c r="AU100" s="75">
        <v>0</v>
      </c>
      <c r="AV100" s="75">
        <v>0</v>
      </c>
      <c r="AW100" s="75">
        <v>0</v>
      </c>
      <c r="AX100" s="84">
        <v>1</v>
      </c>
      <c r="AY100" s="84">
        <v>1</v>
      </c>
      <c r="AZ100" s="84">
        <v>3</v>
      </c>
      <c r="BA100" s="84">
        <v>8</v>
      </c>
      <c r="BB100" s="84">
        <v>0</v>
      </c>
      <c r="BC100" s="75">
        <v>3</v>
      </c>
      <c r="BD100" s="75">
        <v>0</v>
      </c>
      <c r="BE100" s="84">
        <v>1</v>
      </c>
      <c r="BF100" s="84">
        <v>4</v>
      </c>
      <c r="BG100" s="75">
        <v>0</v>
      </c>
      <c r="BH100" s="75">
        <v>0</v>
      </c>
      <c r="BM100" s="75">
        <f t="shared" si="13"/>
        <v>0</v>
      </c>
      <c r="BN100" s="75">
        <v>0</v>
      </c>
      <c r="BO100" s="75">
        <f t="shared" si="14"/>
        <v>27</v>
      </c>
      <c r="BP100" s="75">
        <f t="shared" si="15"/>
        <v>27</v>
      </c>
      <c r="BR100" s="138">
        <v>948</v>
      </c>
      <c r="BT100" s="110">
        <v>0</v>
      </c>
      <c r="BV100" s="75" t="s">
        <v>360</v>
      </c>
    </row>
    <row r="101" spans="1:74" x14ac:dyDescent="0.75">
      <c r="C101" s="270">
        <v>717</v>
      </c>
      <c r="D101" s="75" t="s">
        <v>357</v>
      </c>
      <c r="E101" s="75" t="s">
        <v>358</v>
      </c>
      <c r="F101" s="75" t="s">
        <v>359</v>
      </c>
      <c r="G101" s="75" t="s">
        <v>69</v>
      </c>
      <c r="H101" s="75">
        <v>18.343233000000001</v>
      </c>
      <c r="I101" s="75">
        <v>-64.687667000000005</v>
      </c>
      <c r="J101" s="81">
        <v>44748</v>
      </c>
      <c r="K101" s="75" t="s">
        <v>367</v>
      </c>
      <c r="L101" s="75" t="s">
        <v>360</v>
      </c>
      <c r="M101" s="75">
        <v>0</v>
      </c>
      <c r="N101" s="75">
        <v>4</v>
      </c>
      <c r="O101" s="75" t="s">
        <v>362</v>
      </c>
      <c r="P101" s="75">
        <f>SUM(TreatmentUsed!E1126:E1194)</f>
        <v>381</v>
      </c>
      <c r="Q101" s="75">
        <f>40/3</f>
        <v>13.333333333333334</v>
      </c>
      <c r="R101" s="75">
        <v>0</v>
      </c>
      <c r="S101" s="75">
        <v>0</v>
      </c>
      <c r="T101" s="75">
        <v>0</v>
      </c>
      <c r="U101" s="75">
        <v>0</v>
      </c>
      <c r="V101" s="75">
        <v>0</v>
      </c>
      <c r="W101" s="75">
        <v>0</v>
      </c>
      <c r="X101" s="75">
        <v>0</v>
      </c>
      <c r="Y101" s="75">
        <v>0</v>
      </c>
      <c r="Z101" s="75">
        <v>0</v>
      </c>
      <c r="AA101" s="75">
        <v>0</v>
      </c>
      <c r="AB101" s="75">
        <v>0</v>
      </c>
      <c r="AC101" s="75">
        <v>0</v>
      </c>
      <c r="AD101" s="75">
        <v>0</v>
      </c>
      <c r="AE101" s="75">
        <v>0</v>
      </c>
      <c r="AF101" s="75">
        <v>0</v>
      </c>
      <c r="AG101" s="75">
        <v>0</v>
      </c>
      <c r="AH101" s="75">
        <v>0</v>
      </c>
      <c r="AI101" s="75">
        <v>0</v>
      </c>
      <c r="AJ101" s="75">
        <v>0</v>
      </c>
      <c r="AK101" s="75">
        <v>0</v>
      </c>
      <c r="AL101" s="75">
        <v>0</v>
      </c>
      <c r="AM101" s="75">
        <v>0</v>
      </c>
      <c r="AN101" s="75">
        <v>0</v>
      </c>
      <c r="AO101" s="84">
        <v>1</v>
      </c>
      <c r="AP101" s="75">
        <v>0</v>
      </c>
      <c r="AQ101" s="84">
        <v>2</v>
      </c>
      <c r="AR101" s="75">
        <v>0</v>
      </c>
      <c r="AS101" s="84">
        <v>15</v>
      </c>
      <c r="AT101" s="84">
        <v>6</v>
      </c>
      <c r="AU101" s="75">
        <v>1</v>
      </c>
      <c r="AV101" s="75">
        <v>0</v>
      </c>
      <c r="AW101" s="75">
        <v>0</v>
      </c>
      <c r="AX101" s="75">
        <v>0</v>
      </c>
      <c r="AY101" s="84">
        <v>8</v>
      </c>
      <c r="AZ101" s="75">
        <v>3</v>
      </c>
      <c r="BA101" s="84">
        <v>5</v>
      </c>
      <c r="BB101" s="84">
        <v>0</v>
      </c>
      <c r="BC101" s="75">
        <v>9</v>
      </c>
      <c r="BD101" s="75">
        <v>0</v>
      </c>
      <c r="BE101" s="75">
        <v>0</v>
      </c>
      <c r="BF101" s="75">
        <v>9</v>
      </c>
      <c r="BG101" s="75">
        <v>0</v>
      </c>
      <c r="BH101" s="75">
        <v>0</v>
      </c>
      <c r="BM101" s="75">
        <f t="shared" si="13"/>
        <v>0</v>
      </c>
      <c r="BN101" s="75">
        <v>0</v>
      </c>
      <c r="BO101" s="75">
        <f t="shared" si="14"/>
        <v>59</v>
      </c>
      <c r="BP101" s="75">
        <f t="shared" si="15"/>
        <v>59</v>
      </c>
      <c r="BR101" s="138" t="s">
        <v>444</v>
      </c>
      <c r="BT101" s="110">
        <v>0</v>
      </c>
      <c r="BV101" s="75" t="s">
        <v>360</v>
      </c>
    </row>
    <row r="102" spans="1:74" x14ac:dyDescent="0.75">
      <c r="C102" s="270">
        <v>718</v>
      </c>
      <c r="D102" s="75" t="s">
        <v>357</v>
      </c>
      <c r="E102" s="75" t="s">
        <v>358</v>
      </c>
      <c r="F102" s="75" t="s">
        <v>359</v>
      </c>
      <c r="G102" s="75" t="s">
        <v>69</v>
      </c>
      <c r="H102" s="75">
        <v>18.343233000000001</v>
      </c>
      <c r="I102" s="75">
        <v>-64.687667000000005</v>
      </c>
      <c r="J102" s="81">
        <v>44748</v>
      </c>
      <c r="K102" s="75" t="s">
        <v>361</v>
      </c>
      <c r="L102" s="75" t="s">
        <v>360</v>
      </c>
      <c r="M102" s="75">
        <v>3</v>
      </c>
      <c r="N102" s="75">
        <v>4</v>
      </c>
      <c r="O102" s="75" t="s">
        <v>362</v>
      </c>
      <c r="P102" s="75">
        <f>SUM(TreatmentUsed!E1208:E1261)</f>
        <v>581</v>
      </c>
      <c r="Q102" s="75">
        <f>40/3</f>
        <v>13.333333333333334</v>
      </c>
      <c r="R102" s="75">
        <v>0</v>
      </c>
      <c r="S102" s="75">
        <v>0</v>
      </c>
      <c r="T102" s="75">
        <v>0</v>
      </c>
      <c r="U102" s="75">
        <v>0</v>
      </c>
      <c r="V102" s="75">
        <v>0</v>
      </c>
      <c r="W102" s="75">
        <v>0</v>
      </c>
      <c r="X102" s="75">
        <v>0</v>
      </c>
      <c r="Y102" s="75">
        <v>0</v>
      </c>
      <c r="Z102" s="75">
        <v>0</v>
      </c>
      <c r="AA102" s="75">
        <v>0</v>
      </c>
      <c r="AB102" s="75">
        <v>0</v>
      </c>
      <c r="AC102" s="75">
        <v>0</v>
      </c>
      <c r="AD102" s="75">
        <v>0</v>
      </c>
      <c r="AE102" s="75">
        <v>0</v>
      </c>
      <c r="AF102" s="75">
        <v>0</v>
      </c>
      <c r="AG102" s="75">
        <v>0</v>
      </c>
      <c r="AH102" s="75">
        <v>0</v>
      </c>
      <c r="AI102" s="75">
        <v>0</v>
      </c>
      <c r="AJ102" s="75">
        <v>0</v>
      </c>
      <c r="AK102" s="75">
        <v>0</v>
      </c>
      <c r="AL102" s="75">
        <v>0</v>
      </c>
      <c r="AM102" s="75">
        <v>0</v>
      </c>
      <c r="AN102" s="75">
        <v>0</v>
      </c>
      <c r="AO102" s="75">
        <v>1</v>
      </c>
      <c r="AP102" s="75">
        <v>0</v>
      </c>
      <c r="AQ102" s="75">
        <v>0</v>
      </c>
      <c r="AR102" s="75">
        <v>4</v>
      </c>
      <c r="AS102" s="75">
        <v>1</v>
      </c>
      <c r="AT102" s="75">
        <v>0</v>
      </c>
      <c r="AU102" s="75">
        <v>0</v>
      </c>
      <c r="AV102" s="75">
        <v>0</v>
      </c>
      <c r="AW102" s="75">
        <v>0</v>
      </c>
      <c r="AX102" s="75">
        <v>0</v>
      </c>
      <c r="AY102" s="84">
        <v>23</v>
      </c>
      <c r="AZ102" s="84">
        <v>3</v>
      </c>
      <c r="BA102" s="84">
        <v>17</v>
      </c>
      <c r="BB102" s="84">
        <v>0</v>
      </c>
      <c r="BC102" s="75">
        <v>4</v>
      </c>
      <c r="BD102" s="75">
        <v>0</v>
      </c>
      <c r="BE102" s="75">
        <v>0</v>
      </c>
      <c r="BF102" s="75">
        <v>0</v>
      </c>
      <c r="BG102" s="75">
        <v>0</v>
      </c>
      <c r="BH102" s="75">
        <v>1</v>
      </c>
      <c r="BM102" s="75">
        <f t="shared" si="13"/>
        <v>0</v>
      </c>
      <c r="BN102" s="75">
        <v>0</v>
      </c>
      <c r="BO102" s="75">
        <f t="shared" si="14"/>
        <v>54</v>
      </c>
      <c r="BP102" s="75">
        <f t="shared" si="15"/>
        <v>54</v>
      </c>
      <c r="BQ102" s="80" t="s">
        <v>445</v>
      </c>
      <c r="BR102" s="252" t="s">
        <v>446</v>
      </c>
      <c r="BT102" s="110">
        <v>0</v>
      </c>
      <c r="BV102" s="75" t="s">
        <v>360</v>
      </c>
    </row>
    <row r="103" spans="1:74" x14ac:dyDescent="0.75">
      <c r="C103" s="270">
        <v>719</v>
      </c>
      <c r="D103" s="75" t="s">
        <v>357</v>
      </c>
      <c r="E103" s="75" t="s">
        <v>358</v>
      </c>
      <c r="F103" s="75" t="s">
        <v>359</v>
      </c>
      <c r="G103" s="75" t="s">
        <v>69</v>
      </c>
      <c r="H103" s="75">
        <v>18.343233000000001</v>
      </c>
      <c r="I103" s="75">
        <v>-64.687667000000005</v>
      </c>
      <c r="J103" s="81">
        <v>44748</v>
      </c>
      <c r="K103" s="75" t="s">
        <v>361</v>
      </c>
      <c r="L103" s="75" t="s">
        <v>360</v>
      </c>
      <c r="M103" s="75">
        <v>0</v>
      </c>
      <c r="N103" s="75">
        <v>2</v>
      </c>
      <c r="O103" s="75" t="s">
        <v>362</v>
      </c>
      <c r="P103" s="75">
        <f>SUM(TreatmentUsed!E1262:E1279)</f>
        <v>107</v>
      </c>
      <c r="Q103" s="75">
        <f>40/3</f>
        <v>13.333333333333334</v>
      </c>
      <c r="R103" s="75">
        <v>0</v>
      </c>
      <c r="S103" s="75">
        <v>0</v>
      </c>
      <c r="T103" s="75">
        <v>0</v>
      </c>
      <c r="U103" s="75">
        <v>0</v>
      </c>
      <c r="V103" s="75">
        <v>0</v>
      </c>
      <c r="W103" s="75">
        <v>0</v>
      </c>
      <c r="X103" s="75">
        <v>0</v>
      </c>
      <c r="Y103" s="75">
        <v>0</v>
      </c>
      <c r="Z103" s="75">
        <v>0</v>
      </c>
      <c r="AA103" s="75">
        <v>0</v>
      </c>
      <c r="AB103" s="75">
        <v>0</v>
      </c>
      <c r="AC103" s="75">
        <v>0</v>
      </c>
      <c r="AD103" s="75">
        <v>0</v>
      </c>
      <c r="AE103" s="75">
        <v>0</v>
      </c>
      <c r="AF103" s="75">
        <v>0</v>
      </c>
      <c r="AG103" s="75">
        <v>0</v>
      </c>
      <c r="AH103" s="75">
        <v>0</v>
      </c>
      <c r="AI103" s="75">
        <v>0</v>
      </c>
      <c r="AJ103" s="75">
        <v>0</v>
      </c>
      <c r="AK103" s="75">
        <v>0</v>
      </c>
      <c r="AL103" s="75">
        <v>0</v>
      </c>
      <c r="AM103" s="75">
        <v>0</v>
      </c>
      <c r="AN103" s="75">
        <v>0</v>
      </c>
      <c r="AO103" s="75">
        <v>0</v>
      </c>
      <c r="AP103" s="75">
        <v>0</v>
      </c>
      <c r="AQ103" s="75">
        <v>0</v>
      </c>
      <c r="AR103" s="75">
        <v>1</v>
      </c>
      <c r="AS103" s="75">
        <v>0</v>
      </c>
      <c r="AT103" s="75">
        <v>0</v>
      </c>
      <c r="AU103" s="75">
        <v>0</v>
      </c>
      <c r="AV103" s="75">
        <v>0</v>
      </c>
      <c r="AW103" s="75">
        <v>0</v>
      </c>
      <c r="AX103" s="75">
        <v>0</v>
      </c>
      <c r="AY103" s="84">
        <v>11</v>
      </c>
      <c r="AZ103" s="75">
        <v>1</v>
      </c>
      <c r="BA103" s="84">
        <v>5</v>
      </c>
      <c r="BB103" s="75">
        <v>0</v>
      </c>
      <c r="BC103" s="75">
        <v>0</v>
      </c>
      <c r="BD103" s="75">
        <v>0</v>
      </c>
      <c r="BE103" s="75">
        <v>0</v>
      </c>
      <c r="BF103" s="75">
        <v>0</v>
      </c>
      <c r="BG103" s="75">
        <v>0</v>
      </c>
      <c r="BH103" s="75">
        <v>0</v>
      </c>
      <c r="BM103" s="75">
        <f t="shared" si="13"/>
        <v>0</v>
      </c>
      <c r="BN103" s="75">
        <v>0</v>
      </c>
      <c r="BO103" s="75">
        <f t="shared" si="14"/>
        <v>18</v>
      </c>
      <c r="BP103" s="75">
        <f t="shared" si="15"/>
        <v>18</v>
      </c>
      <c r="BT103" s="110">
        <v>0</v>
      </c>
      <c r="BV103" s="75" t="s">
        <v>360</v>
      </c>
    </row>
    <row r="104" spans="1:74" x14ac:dyDescent="0.75">
      <c r="C104" s="270">
        <v>720</v>
      </c>
      <c r="D104" s="75" t="s">
        <v>357</v>
      </c>
      <c r="E104" s="75" t="s">
        <v>358</v>
      </c>
      <c r="F104" s="75" t="s">
        <v>359</v>
      </c>
      <c r="G104" s="75" t="s">
        <v>23</v>
      </c>
      <c r="H104" s="75">
        <v>18.365749999999998</v>
      </c>
      <c r="I104" s="75">
        <v>-64.773619999999994</v>
      </c>
      <c r="J104" s="81">
        <v>44750</v>
      </c>
      <c r="K104" s="75" t="s">
        <v>361</v>
      </c>
      <c r="L104" s="75" t="s">
        <v>360</v>
      </c>
      <c r="M104" s="75">
        <v>0</v>
      </c>
      <c r="N104" s="75">
        <v>2</v>
      </c>
      <c r="O104" s="75" t="s">
        <v>362</v>
      </c>
      <c r="P104" s="75">
        <f>SUM(TreatmentUsed!E1195:E1207)</f>
        <v>78</v>
      </c>
      <c r="Q104" s="75">
        <v>0</v>
      </c>
      <c r="R104" s="75">
        <v>0</v>
      </c>
      <c r="S104" s="75">
        <v>0</v>
      </c>
      <c r="T104" s="75">
        <v>0</v>
      </c>
      <c r="U104" s="75">
        <v>0</v>
      </c>
      <c r="V104" s="75">
        <v>0</v>
      </c>
      <c r="W104" s="75">
        <v>0</v>
      </c>
      <c r="X104" s="75">
        <v>0</v>
      </c>
      <c r="Y104" s="75">
        <v>0</v>
      </c>
      <c r="Z104" s="75">
        <v>0</v>
      </c>
      <c r="AA104" s="75">
        <v>0</v>
      </c>
      <c r="AB104" s="75">
        <v>0</v>
      </c>
      <c r="AC104" s="75">
        <v>0</v>
      </c>
      <c r="AD104" s="75">
        <v>0</v>
      </c>
      <c r="AE104" s="75">
        <v>0</v>
      </c>
      <c r="AF104" s="75">
        <v>0</v>
      </c>
      <c r="AG104" s="75">
        <v>0</v>
      </c>
      <c r="AH104" s="75">
        <v>0</v>
      </c>
      <c r="AI104" s="75">
        <v>0</v>
      </c>
      <c r="AJ104" s="75">
        <v>0</v>
      </c>
      <c r="AK104" s="75">
        <v>0</v>
      </c>
      <c r="AL104" s="75">
        <v>0</v>
      </c>
      <c r="AM104" s="75">
        <v>0</v>
      </c>
      <c r="AN104" s="75">
        <v>0</v>
      </c>
      <c r="AO104" s="75">
        <v>0</v>
      </c>
      <c r="AP104" s="75">
        <v>0</v>
      </c>
      <c r="AQ104" s="75">
        <v>0</v>
      </c>
      <c r="AR104" s="75">
        <v>1</v>
      </c>
      <c r="AS104" s="75">
        <v>0</v>
      </c>
      <c r="AT104" s="75">
        <v>0</v>
      </c>
      <c r="AU104" s="75">
        <v>0</v>
      </c>
      <c r="AV104" s="75">
        <v>0</v>
      </c>
      <c r="AW104" s="75">
        <v>0</v>
      </c>
      <c r="AX104" s="75">
        <v>0</v>
      </c>
      <c r="AY104" s="75">
        <v>0</v>
      </c>
      <c r="AZ104" s="84">
        <v>8</v>
      </c>
      <c r="BA104" s="84">
        <v>2</v>
      </c>
      <c r="BB104" s="84">
        <v>1</v>
      </c>
      <c r="BC104" s="75">
        <v>0</v>
      </c>
      <c r="BD104" s="75">
        <v>0</v>
      </c>
      <c r="BE104" s="75">
        <v>0</v>
      </c>
      <c r="BF104" s="75">
        <v>0</v>
      </c>
      <c r="BG104" s="75">
        <v>0</v>
      </c>
      <c r="BH104" s="75">
        <v>1</v>
      </c>
      <c r="BM104" s="75">
        <f t="shared" si="13"/>
        <v>0</v>
      </c>
      <c r="BN104" s="75">
        <f t="shared" ref="BN104:BN126" si="16">SUM(AE104:AN104)</f>
        <v>0</v>
      </c>
      <c r="BO104" s="75">
        <f t="shared" si="14"/>
        <v>13</v>
      </c>
      <c r="BP104" s="75">
        <f t="shared" si="15"/>
        <v>13</v>
      </c>
      <c r="BQ104" s="80" t="s">
        <v>447</v>
      </c>
      <c r="BT104" s="110">
        <v>0</v>
      </c>
      <c r="BV104" s="75" t="s">
        <v>360</v>
      </c>
    </row>
    <row r="105" spans="1:74" x14ac:dyDescent="0.75">
      <c r="C105" s="270">
        <v>721</v>
      </c>
      <c r="D105" s="75" t="s">
        <v>357</v>
      </c>
      <c r="E105" s="75" t="s">
        <v>358</v>
      </c>
      <c r="F105" s="75" t="s">
        <v>359</v>
      </c>
      <c r="G105" s="75" t="s">
        <v>64</v>
      </c>
      <c r="H105" s="75">
        <v>18.368383000000001</v>
      </c>
      <c r="I105" s="75">
        <v>-64.751450000000006</v>
      </c>
      <c r="J105" s="81">
        <v>44750</v>
      </c>
      <c r="K105" s="75" t="s">
        <v>361</v>
      </c>
      <c r="L105" s="75" t="s">
        <v>360</v>
      </c>
      <c r="M105" s="75">
        <v>0</v>
      </c>
      <c r="N105" s="75">
        <v>2</v>
      </c>
      <c r="O105" s="75" t="s">
        <v>362</v>
      </c>
      <c r="P105" s="75">
        <f>SUM(TreatmentUsed!E1280:E1283)</f>
        <v>17</v>
      </c>
      <c r="Q105" s="75">
        <v>0</v>
      </c>
      <c r="R105" s="75">
        <v>0</v>
      </c>
      <c r="S105" s="75">
        <v>0</v>
      </c>
      <c r="T105" s="75">
        <v>0</v>
      </c>
      <c r="U105" s="75">
        <v>0</v>
      </c>
      <c r="V105" s="75">
        <v>0</v>
      </c>
      <c r="W105" s="75">
        <v>0</v>
      </c>
      <c r="X105" s="75">
        <v>0</v>
      </c>
      <c r="Y105" s="75">
        <v>0</v>
      </c>
      <c r="Z105" s="75">
        <v>0</v>
      </c>
      <c r="AA105" s="75">
        <v>0</v>
      </c>
      <c r="AB105" s="75">
        <v>0</v>
      </c>
      <c r="AC105" s="75">
        <v>0</v>
      </c>
      <c r="AD105" s="75">
        <v>0</v>
      </c>
      <c r="AE105" s="75">
        <v>0</v>
      </c>
      <c r="AF105" s="75">
        <v>0</v>
      </c>
      <c r="AG105" s="75">
        <v>0</v>
      </c>
      <c r="AH105" s="75">
        <v>0</v>
      </c>
      <c r="AI105" s="75">
        <v>0</v>
      </c>
      <c r="AJ105" s="75">
        <v>0</v>
      </c>
      <c r="AK105" s="75">
        <v>0</v>
      </c>
      <c r="AL105" s="75">
        <v>0</v>
      </c>
      <c r="AM105" s="75">
        <v>0</v>
      </c>
      <c r="AN105" s="75">
        <v>0</v>
      </c>
      <c r="AO105" s="75">
        <v>0</v>
      </c>
      <c r="AP105" s="75">
        <v>0</v>
      </c>
      <c r="AQ105" s="75">
        <v>3</v>
      </c>
      <c r="AR105" s="75">
        <v>0</v>
      </c>
      <c r="AS105" s="75">
        <v>0</v>
      </c>
      <c r="AT105" s="75">
        <v>0</v>
      </c>
      <c r="AU105" s="75">
        <v>0</v>
      </c>
      <c r="AV105" s="75">
        <v>0</v>
      </c>
      <c r="AW105" s="75">
        <v>0</v>
      </c>
      <c r="AX105" s="75">
        <v>0</v>
      </c>
      <c r="AY105" s="75">
        <v>0</v>
      </c>
      <c r="AZ105" s="75">
        <v>0</v>
      </c>
      <c r="BA105" s="75">
        <v>0</v>
      </c>
      <c r="BB105" s="75">
        <v>0</v>
      </c>
      <c r="BC105" s="75">
        <v>0</v>
      </c>
      <c r="BD105" s="75">
        <v>0</v>
      </c>
      <c r="BE105" s="75">
        <v>0</v>
      </c>
      <c r="BF105" s="75">
        <v>1</v>
      </c>
      <c r="BG105" s="75">
        <v>0</v>
      </c>
      <c r="BH105" s="75">
        <v>0</v>
      </c>
      <c r="BM105" s="75">
        <f t="shared" si="13"/>
        <v>0</v>
      </c>
      <c r="BN105" s="75">
        <f t="shared" si="16"/>
        <v>0</v>
      </c>
      <c r="BO105" s="75">
        <f t="shared" si="14"/>
        <v>4</v>
      </c>
      <c r="BP105" s="75">
        <f t="shared" si="15"/>
        <v>4</v>
      </c>
      <c r="BQ105" s="80" t="s">
        <v>448</v>
      </c>
      <c r="BT105" s="110">
        <v>0</v>
      </c>
    </row>
    <row r="106" spans="1:74" x14ac:dyDescent="0.75">
      <c r="C106" s="270">
        <v>722</v>
      </c>
      <c r="D106" s="75" t="s">
        <v>357</v>
      </c>
      <c r="E106" s="75" t="s">
        <v>358</v>
      </c>
      <c r="F106" s="75" t="s">
        <v>359</v>
      </c>
      <c r="G106" s="75" t="s">
        <v>28</v>
      </c>
      <c r="H106" s="75">
        <v>18.315639999999998</v>
      </c>
      <c r="I106" s="75">
        <v>-64.725899999999996</v>
      </c>
      <c r="J106" s="81">
        <v>44754</v>
      </c>
      <c r="K106" s="75" t="s">
        <v>361</v>
      </c>
      <c r="L106" s="75" t="s">
        <v>360</v>
      </c>
      <c r="M106" s="75">
        <v>0</v>
      </c>
      <c r="N106" s="75">
        <v>2</v>
      </c>
      <c r="O106" s="75" t="s">
        <v>362</v>
      </c>
      <c r="P106" s="75">
        <f>SUM(TreatmentUsed!E1284:E1293)</f>
        <v>91</v>
      </c>
      <c r="Q106" s="75">
        <v>0</v>
      </c>
      <c r="R106" s="75">
        <v>0</v>
      </c>
      <c r="S106" s="75">
        <v>0</v>
      </c>
      <c r="T106" s="75">
        <v>0</v>
      </c>
      <c r="U106" s="75">
        <v>0</v>
      </c>
      <c r="V106" s="75">
        <v>0</v>
      </c>
      <c r="W106" s="75">
        <v>0</v>
      </c>
      <c r="X106" s="75">
        <v>0</v>
      </c>
      <c r="Y106" s="75">
        <v>0</v>
      </c>
      <c r="Z106" s="75">
        <v>0</v>
      </c>
      <c r="AA106" s="75">
        <v>0</v>
      </c>
      <c r="AB106" s="75">
        <v>0</v>
      </c>
      <c r="AC106" s="75">
        <v>0</v>
      </c>
      <c r="AD106" s="75">
        <v>0</v>
      </c>
      <c r="AE106" s="75">
        <v>0</v>
      </c>
      <c r="AF106" s="75">
        <v>0</v>
      </c>
      <c r="AG106" s="75">
        <v>0</v>
      </c>
      <c r="AH106" s="75">
        <v>0</v>
      </c>
      <c r="AI106" s="75">
        <v>0</v>
      </c>
      <c r="AJ106" s="75">
        <v>0</v>
      </c>
      <c r="AK106" s="75">
        <v>0</v>
      </c>
      <c r="AL106" s="75">
        <v>0</v>
      </c>
      <c r="AM106" s="75">
        <v>0</v>
      </c>
      <c r="AN106" s="75">
        <v>0</v>
      </c>
      <c r="AO106" s="75">
        <v>1</v>
      </c>
      <c r="AP106" s="75">
        <v>0</v>
      </c>
      <c r="AQ106" s="75">
        <v>1</v>
      </c>
      <c r="AR106" s="75">
        <v>0</v>
      </c>
      <c r="AS106" s="75">
        <v>0</v>
      </c>
      <c r="AT106" s="75">
        <v>0</v>
      </c>
      <c r="AU106" s="75">
        <v>0</v>
      </c>
      <c r="AV106" s="75">
        <v>0</v>
      </c>
      <c r="AW106" s="75">
        <v>0</v>
      </c>
      <c r="AX106" s="75">
        <v>0</v>
      </c>
      <c r="AY106" s="84">
        <v>2</v>
      </c>
      <c r="AZ106" s="75">
        <v>3</v>
      </c>
      <c r="BA106" s="75">
        <v>2</v>
      </c>
      <c r="BB106" s="84">
        <v>1</v>
      </c>
      <c r="BC106" s="75">
        <v>1</v>
      </c>
      <c r="BD106" s="75">
        <v>0</v>
      </c>
      <c r="BE106" s="75">
        <v>0</v>
      </c>
      <c r="BF106" s="75">
        <v>0</v>
      </c>
      <c r="BG106" s="75">
        <v>0</v>
      </c>
      <c r="BH106" s="75">
        <v>0</v>
      </c>
      <c r="BM106" s="75">
        <f t="shared" si="13"/>
        <v>0</v>
      </c>
      <c r="BN106" s="75">
        <f t="shared" si="16"/>
        <v>0</v>
      </c>
      <c r="BO106" s="75">
        <f t="shared" si="14"/>
        <v>11</v>
      </c>
      <c r="BP106" s="75">
        <f t="shared" si="15"/>
        <v>11</v>
      </c>
      <c r="BR106" s="252">
        <v>4190</v>
      </c>
      <c r="BT106" s="110">
        <v>0</v>
      </c>
    </row>
    <row r="107" spans="1:74" x14ac:dyDescent="0.75">
      <c r="C107" s="270">
        <v>723</v>
      </c>
      <c r="D107" s="75" t="s">
        <v>357</v>
      </c>
      <c r="E107" s="75" t="s">
        <v>358</v>
      </c>
      <c r="F107" s="75" t="s">
        <v>359</v>
      </c>
      <c r="G107" s="75" t="s">
        <v>28</v>
      </c>
      <c r="H107" s="75">
        <v>18.315639999999998</v>
      </c>
      <c r="I107" s="75">
        <v>-64.725899999999996</v>
      </c>
      <c r="J107" s="81">
        <v>44754</v>
      </c>
      <c r="K107" s="75" t="s">
        <v>361</v>
      </c>
      <c r="L107" s="75" t="s">
        <v>360</v>
      </c>
      <c r="M107" s="75">
        <v>0</v>
      </c>
      <c r="N107" s="75">
        <v>2</v>
      </c>
      <c r="O107" s="75" t="s">
        <v>362</v>
      </c>
      <c r="P107" s="75">
        <f>SUM(TreatmentUsed!E1294:E1308)</f>
        <v>111</v>
      </c>
      <c r="Q107" s="75">
        <v>0</v>
      </c>
      <c r="R107" s="75">
        <v>0</v>
      </c>
      <c r="S107" s="75">
        <v>0</v>
      </c>
      <c r="T107" s="75">
        <v>0</v>
      </c>
      <c r="U107" s="75">
        <v>0</v>
      </c>
      <c r="V107" s="75">
        <v>0</v>
      </c>
      <c r="W107" s="75">
        <v>0</v>
      </c>
      <c r="X107" s="75">
        <v>0</v>
      </c>
      <c r="Y107" s="75">
        <v>0</v>
      </c>
      <c r="Z107" s="75">
        <v>0</v>
      </c>
      <c r="AA107" s="75">
        <v>0</v>
      </c>
      <c r="AB107" s="75">
        <v>0</v>
      </c>
      <c r="AC107" s="75">
        <v>0</v>
      </c>
      <c r="AD107" s="75">
        <v>0</v>
      </c>
      <c r="AE107" s="75">
        <v>0</v>
      </c>
      <c r="AF107" s="75">
        <v>0</v>
      </c>
      <c r="AG107" s="75">
        <v>0</v>
      </c>
      <c r="AH107" s="75">
        <v>0</v>
      </c>
      <c r="AI107" s="75">
        <v>0</v>
      </c>
      <c r="AJ107" s="75">
        <v>0</v>
      </c>
      <c r="AK107" s="75">
        <v>0</v>
      </c>
      <c r="AL107" s="75">
        <v>0</v>
      </c>
      <c r="AM107" s="75">
        <v>0</v>
      </c>
      <c r="AN107" s="75">
        <v>0</v>
      </c>
      <c r="AO107" s="75">
        <v>0</v>
      </c>
      <c r="AP107" s="75">
        <v>0</v>
      </c>
      <c r="AQ107" s="75">
        <v>0</v>
      </c>
      <c r="AR107" s="75">
        <v>0</v>
      </c>
      <c r="AS107" s="75">
        <v>1</v>
      </c>
      <c r="AT107" s="75">
        <v>1</v>
      </c>
      <c r="AU107" s="75">
        <v>0</v>
      </c>
      <c r="AV107" s="75">
        <v>0</v>
      </c>
      <c r="AW107" s="75">
        <v>0</v>
      </c>
      <c r="AX107" s="75">
        <v>0</v>
      </c>
      <c r="AY107" s="75">
        <v>2</v>
      </c>
      <c r="AZ107" s="84">
        <v>3</v>
      </c>
      <c r="BA107" s="84">
        <v>4</v>
      </c>
      <c r="BB107" s="75">
        <v>0</v>
      </c>
      <c r="BC107" s="75">
        <v>1</v>
      </c>
      <c r="BD107" s="75">
        <v>0</v>
      </c>
      <c r="BE107" s="75">
        <v>0</v>
      </c>
      <c r="BF107" s="75">
        <v>3</v>
      </c>
      <c r="BG107" s="75">
        <v>0</v>
      </c>
      <c r="BH107" s="75">
        <v>0</v>
      </c>
      <c r="BM107" s="75">
        <f t="shared" si="13"/>
        <v>0</v>
      </c>
      <c r="BN107" s="75">
        <f t="shared" si="16"/>
        <v>0</v>
      </c>
      <c r="BO107" s="75">
        <f t="shared" si="14"/>
        <v>15</v>
      </c>
      <c r="BP107" s="75">
        <f t="shared" si="15"/>
        <v>15</v>
      </c>
      <c r="BT107" s="110">
        <v>0</v>
      </c>
    </row>
    <row r="108" spans="1:74" x14ac:dyDescent="0.75">
      <c r="C108" s="270">
        <v>724</v>
      </c>
      <c r="D108" s="75" t="s">
        <v>357</v>
      </c>
      <c r="E108" s="75" t="s">
        <v>358</v>
      </c>
      <c r="F108" s="75" t="s">
        <v>359</v>
      </c>
      <c r="G108" s="75" t="s">
        <v>28</v>
      </c>
      <c r="H108" s="75">
        <v>18.315639999999998</v>
      </c>
      <c r="I108" s="75">
        <v>-64.725899999999996</v>
      </c>
      <c r="J108" s="81">
        <v>44754</v>
      </c>
      <c r="K108" s="75" t="s">
        <v>361</v>
      </c>
      <c r="L108" s="75" t="s">
        <v>360</v>
      </c>
      <c r="M108" s="75">
        <v>0</v>
      </c>
      <c r="N108" s="75">
        <v>2</v>
      </c>
      <c r="O108" s="75" t="s">
        <v>362</v>
      </c>
      <c r="P108" s="75">
        <f>SUM(TreatmentUsed!E1309:E1320)</f>
        <v>89</v>
      </c>
      <c r="Q108" s="75">
        <v>0</v>
      </c>
      <c r="R108" s="75">
        <v>0</v>
      </c>
      <c r="S108" s="75">
        <v>0</v>
      </c>
      <c r="T108" s="75">
        <v>0</v>
      </c>
      <c r="U108" s="75">
        <v>0</v>
      </c>
      <c r="V108" s="75">
        <v>0</v>
      </c>
      <c r="W108" s="75">
        <v>0</v>
      </c>
      <c r="X108" s="75">
        <v>0</v>
      </c>
      <c r="Y108" s="75">
        <v>0</v>
      </c>
      <c r="Z108" s="75">
        <v>0</v>
      </c>
      <c r="AA108" s="75">
        <v>0</v>
      </c>
      <c r="AB108" s="75">
        <v>0</v>
      </c>
      <c r="AC108" s="75">
        <v>0</v>
      </c>
      <c r="AD108" s="75">
        <v>0</v>
      </c>
      <c r="AE108" s="75">
        <v>0</v>
      </c>
      <c r="AF108" s="75">
        <v>0</v>
      </c>
      <c r="AG108" s="75">
        <v>0</v>
      </c>
      <c r="AH108" s="75">
        <v>0</v>
      </c>
      <c r="AI108" s="75">
        <v>0</v>
      </c>
      <c r="AJ108" s="75">
        <v>0</v>
      </c>
      <c r="AK108" s="75">
        <v>0</v>
      </c>
      <c r="AL108" s="75">
        <v>0</v>
      </c>
      <c r="AM108" s="75">
        <v>0</v>
      </c>
      <c r="AN108" s="75">
        <v>0</v>
      </c>
      <c r="AO108" s="75">
        <v>0</v>
      </c>
      <c r="AP108" s="75">
        <v>0</v>
      </c>
      <c r="AQ108" s="75">
        <v>0</v>
      </c>
      <c r="AR108" s="75">
        <v>0</v>
      </c>
      <c r="AS108" s="75">
        <v>4</v>
      </c>
      <c r="AT108" s="75">
        <v>3</v>
      </c>
      <c r="AU108" s="75">
        <v>0</v>
      </c>
      <c r="AV108" s="75">
        <v>0</v>
      </c>
      <c r="AW108" s="75">
        <v>0</v>
      </c>
      <c r="AX108" s="75">
        <v>0</v>
      </c>
      <c r="AY108" s="84">
        <v>1</v>
      </c>
      <c r="AZ108" s="75">
        <v>0</v>
      </c>
      <c r="BA108" s="84">
        <v>1</v>
      </c>
      <c r="BB108" s="75">
        <v>0</v>
      </c>
      <c r="BC108" s="75">
        <v>0</v>
      </c>
      <c r="BD108" s="75">
        <v>0</v>
      </c>
      <c r="BE108" s="75">
        <v>0</v>
      </c>
      <c r="BF108" s="75">
        <v>3</v>
      </c>
      <c r="BG108" s="75">
        <v>0</v>
      </c>
      <c r="BH108" s="75">
        <v>0</v>
      </c>
      <c r="BM108" s="75">
        <f t="shared" si="13"/>
        <v>0</v>
      </c>
      <c r="BN108" s="75">
        <f t="shared" si="16"/>
        <v>0</v>
      </c>
      <c r="BO108" s="75">
        <f t="shared" si="14"/>
        <v>12</v>
      </c>
      <c r="BP108" s="75">
        <f t="shared" si="15"/>
        <v>12</v>
      </c>
      <c r="BR108" s="252" t="s">
        <v>449</v>
      </c>
      <c r="BT108" s="110">
        <v>0</v>
      </c>
    </row>
    <row r="109" spans="1:74" x14ac:dyDescent="0.75">
      <c r="C109" s="270">
        <v>725</v>
      </c>
      <c r="D109" s="75" t="s">
        <v>357</v>
      </c>
      <c r="E109" s="75" t="s">
        <v>358</v>
      </c>
      <c r="F109" s="75" t="s">
        <v>359</v>
      </c>
      <c r="G109" s="75" t="s">
        <v>48</v>
      </c>
      <c r="H109" s="75">
        <v>18.363399999999999</v>
      </c>
      <c r="I109" s="75">
        <v>-64.706067000000004</v>
      </c>
      <c r="J109" s="81">
        <v>44756</v>
      </c>
      <c r="K109" s="75" t="s">
        <v>361</v>
      </c>
      <c r="L109" s="75" t="s">
        <v>360</v>
      </c>
      <c r="M109" s="75">
        <v>0</v>
      </c>
      <c r="N109" s="75">
        <v>2</v>
      </c>
      <c r="O109" s="75" t="s">
        <v>362</v>
      </c>
      <c r="P109" s="75">
        <f>SUM(TreatmentUsed!E1321:E1333)</f>
        <v>121</v>
      </c>
      <c r="Q109" s="86" t="s">
        <v>364</v>
      </c>
      <c r="R109" s="75">
        <v>0</v>
      </c>
      <c r="S109" s="75">
        <v>0</v>
      </c>
      <c r="T109" s="75">
        <v>0</v>
      </c>
      <c r="U109" s="75">
        <v>0</v>
      </c>
      <c r="V109" s="75">
        <v>0</v>
      </c>
      <c r="W109" s="75">
        <v>0</v>
      </c>
      <c r="X109" s="75">
        <v>0</v>
      </c>
      <c r="Y109" s="75">
        <v>0</v>
      </c>
      <c r="Z109" s="75">
        <v>0</v>
      </c>
      <c r="AA109" s="75">
        <v>0</v>
      </c>
      <c r="AB109" s="75">
        <v>0</v>
      </c>
      <c r="AC109" s="75">
        <v>0</v>
      </c>
      <c r="AD109" s="75">
        <v>0</v>
      </c>
      <c r="AE109" s="75">
        <v>0</v>
      </c>
      <c r="AF109" s="75">
        <v>0</v>
      </c>
      <c r="AG109" s="75">
        <v>0</v>
      </c>
      <c r="AH109" s="75">
        <v>0</v>
      </c>
      <c r="AI109" s="75">
        <v>0</v>
      </c>
      <c r="AJ109" s="75">
        <v>0</v>
      </c>
      <c r="AK109" s="75">
        <v>0</v>
      </c>
      <c r="AL109" s="75">
        <v>0</v>
      </c>
      <c r="AM109" s="75">
        <v>0</v>
      </c>
      <c r="AN109" s="75">
        <v>0</v>
      </c>
      <c r="AO109" s="75">
        <v>0</v>
      </c>
      <c r="AP109" s="75">
        <v>0</v>
      </c>
      <c r="AQ109" s="75">
        <v>1</v>
      </c>
      <c r="AR109" s="75">
        <v>0</v>
      </c>
      <c r="AS109" s="75">
        <v>0</v>
      </c>
      <c r="AT109" s="75">
        <v>0</v>
      </c>
      <c r="AU109" s="75">
        <v>0</v>
      </c>
      <c r="AV109" s="75">
        <v>0</v>
      </c>
      <c r="AW109" s="75">
        <v>0</v>
      </c>
      <c r="AX109" s="75">
        <v>0</v>
      </c>
      <c r="AY109" s="84">
        <v>5</v>
      </c>
      <c r="AZ109" s="84">
        <v>1</v>
      </c>
      <c r="BA109" s="84">
        <v>3</v>
      </c>
      <c r="BB109" s="84">
        <v>2</v>
      </c>
      <c r="BC109" s="75">
        <v>0</v>
      </c>
      <c r="BD109" s="75">
        <v>0</v>
      </c>
      <c r="BE109" s="75">
        <v>0</v>
      </c>
      <c r="BF109" s="75">
        <v>1</v>
      </c>
      <c r="BG109" s="75">
        <v>0</v>
      </c>
      <c r="BH109" s="75">
        <v>0</v>
      </c>
      <c r="BM109" s="75">
        <f t="shared" si="13"/>
        <v>0</v>
      </c>
      <c r="BN109" s="75">
        <f t="shared" si="16"/>
        <v>0</v>
      </c>
      <c r="BO109" s="75">
        <f t="shared" si="14"/>
        <v>13</v>
      </c>
      <c r="BP109" s="75">
        <f t="shared" si="15"/>
        <v>13</v>
      </c>
      <c r="BR109" s="252" t="s">
        <v>450</v>
      </c>
      <c r="BT109" s="110">
        <v>0</v>
      </c>
    </row>
    <row r="110" spans="1:74" x14ac:dyDescent="0.75">
      <c r="C110" s="270">
        <v>726</v>
      </c>
      <c r="D110" s="75" t="s">
        <v>357</v>
      </c>
      <c r="E110" s="75" t="s">
        <v>358</v>
      </c>
      <c r="F110" s="75" t="s">
        <v>359</v>
      </c>
      <c r="G110" s="75" t="s">
        <v>44</v>
      </c>
      <c r="H110" s="75">
        <v>18.364650000000001</v>
      </c>
      <c r="I110" s="75">
        <v>-64.726183000000006</v>
      </c>
      <c r="J110" s="81">
        <v>44756</v>
      </c>
      <c r="K110" s="75" t="s">
        <v>361</v>
      </c>
      <c r="L110" s="75" t="s">
        <v>360</v>
      </c>
      <c r="M110" s="75">
        <v>0</v>
      </c>
      <c r="N110" s="75">
        <v>2</v>
      </c>
      <c r="O110" s="75" t="s">
        <v>362</v>
      </c>
      <c r="P110" s="75">
        <f>SUM(TreatmentUsed!E1346:E1355)</f>
        <v>31</v>
      </c>
      <c r="Q110" s="86" t="s">
        <v>364</v>
      </c>
      <c r="R110" s="75">
        <v>0</v>
      </c>
      <c r="S110" s="75">
        <v>0</v>
      </c>
      <c r="T110" s="75">
        <v>0</v>
      </c>
      <c r="U110" s="75">
        <v>0</v>
      </c>
      <c r="V110" s="75">
        <v>0</v>
      </c>
      <c r="W110" s="75">
        <v>0</v>
      </c>
      <c r="X110" s="75">
        <v>0</v>
      </c>
      <c r="Y110" s="75">
        <v>0</v>
      </c>
      <c r="Z110" s="75">
        <v>0</v>
      </c>
      <c r="AA110" s="75">
        <v>0</v>
      </c>
      <c r="AB110" s="75">
        <v>0</v>
      </c>
      <c r="AC110" s="75">
        <v>0</v>
      </c>
      <c r="AD110" s="75">
        <v>0</v>
      </c>
      <c r="AE110" s="75">
        <v>0</v>
      </c>
      <c r="AF110" s="75">
        <v>0</v>
      </c>
      <c r="AG110" s="75">
        <v>0</v>
      </c>
      <c r="AH110" s="75">
        <v>0</v>
      </c>
      <c r="AI110" s="75">
        <v>0</v>
      </c>
      <c r="AJ110" s="75">
        <v>0</v>
      </c>
      <c r="AK110" s="75">
        <v>0</v>
      </c>
      <c r="AL110" s="75">
        <v>0</v>
      </c>
      <c r="AM110" s="75">
        <v>0</v>
      </c>
      <c r="AN110" s="75">
        <v>0</v>
      </c>
      <c r="AO110" s="75">
        <v>0</v>
      </c>
      <c r="AP110" s="75">
        <v>0</v>
      </c>
      <c r="AQ110" s="75">
        <v>0</v>
      </c>
      <c r="AR110" s="75">
        <v>0</v>
      </c>
      <c r="AS110" s="75">
        <v>0</v>
      </c>
      <c r="AT110" s="75">
        <v>0</v>
      </c>
      <c r="AU110" s="75">
        <v>0</v>
      </c>
      <c r="AV110" s="75">
        <v>0</v>
      </c>
      <c r="AW110" s="75">
        <v>1</v>
      </c>
      <c r="AX110" s="75">
        <v>0</v>
      </c>
      <c r="AY110" s="75">
        <v>2</v>
      </c>
      <c r="AZ110" s="75">
        <v>4</v>
      </c>
      <c r="BA110" s="75">
        <v>0</v>
      </c>
      <c r="BB110" s="75">
        <v>0</v>
      </c>
      <c r="BC110" s="75">
        <v>1</v>
      </c>
      <c r="BD110" s="75">
        <v>0</v>
      </c>
      <c r="BE110" s="75">
        <v>0</v>
      </c>
      <c r="BF110" s="75">
        <v>1</v>
      </c>
      <c r="BG110" s="75">
        <v>1</v>
      </c>
      <c r="BH110" s="75">
        <v>0</v>
      </c>
      <c r="BM110" s="75">
        <f t="shared" si="13"/>
        <v>0</v>
      </c>
      <c r="BN110" s="75">
        <f t="shared" si="16"/>
        <v>0</v>
      </c>
      <c r="BO110" s="75">
        <f t="shared" si="14"/>
        <v>10</v>
      </c>
      <c r="BP110" s="75">
        <f t="shared" si="15"/>
        <v>10</v>
      </c>
      <c r="BR110" s="252" t="s">
        <v>451</v>
      </c>
      <c r="BT110" s="110">
        <v>0</v>
      </c>
    </row>
    <row r="111" spans="1:74" x14ac:dyDescent="0.75">
      <c r="C111" s="270">
        <v>727</v>
      </c>
      <c r="D111" s="75" t="s">
        <v>357</v>
      </c>
      <c r="E111" s="75" t="s">
        <v>358</v>
      </c>
      <c r="F111" s="75" t="s">
        <v>359</v>
      </c>
      <c r="G111" s="75" t="s">
        <v>60</v>
      </c>
      <c r="H111" s="75">
        <v>18.367850000000001</v>
      </c>
      <c r="I111" s="75">
        <v>-64.732933000000003</v>
      </c>
      <c r="J111" s="81">
        <v>44756</v>
      </c>
      <c r="K111" s="75" t="s">
        <v>361</v>
      </c>
      <c r="L111" s="75" t="s">
        <v>360</v>
      </c>
      <c r="M111" s="75">
        <v>0</v>
      </c>
      <c r="N111" s="75">
        <v>2</v>
      </c>
      <c r="O111" s="75" t="s">
        <v>362</v>
      </c>
      <c r="P111" s="75">
        <f>SUM(TreatmentUsed!E1334:E1339)</f>
        <v>50</v>
      </c>
      <c r="Q111" s="86" t="s">
        <v>364</v>
      </c>
      <c r="R111" s="75">
        <v>0</v>
      </c>
      <c r="S111" s="75">
        <v>0</v>
      </c>
      <c r="T111" s="75">
        <v>0</v>
      </c>
      <c r="U111" s="75">
        <v>0</v>
      </c>
      <c r="V111" s="75">
        <v>0</v>
      </c>
      <c r="W111" s="75">
        <v>0</v>
      </c>
      <c r="X111" s="75">
        <v>0</v>
      </c>
      <c r="Y111" s="75">
        <v>0</v>
      </c>
      <c r="Z111" s="75">
        <v>0</v>
      </c>
      <c r="AA111" s="75">
        <v>0</v>
      </c>
      <c r="AB111" s="75">
        <v>0</v>
      </c>
      <c r="AC111" s="75">
        <v>0</v>
      </c>
      <c r="AD111" s="75">
        <v>0</v>
      </c>
      <c r="AE111" s="75">
        <v>0</v>
      </c>
      <c r="AF111" s="75">
        <v>0</v>
      </c>
      <c r="AG111" s="75">
        <v>0</v>
      </c>
      <c r="AH111" s="75">
        <v>0</v>
      </c>
      <c r="AI111" s="75">
        <v>0</v>
      </c>
      <c r="AJ111" s="75">
        <v>0</v>
      </c>
      <c r="AK111" s="75">
        <v>0</v>
      </c>
      <c r="AL111" s="75">
        <v>0</v>
      </c>
      <c r="AM111" s="75">
        <v>0</v>
      </c>
      <c r="AN111" s="75">
        <v>0</v>
      </c>
      <c r="AO111" s="75">
        <v>0</v>
      </c>
      <c r="AP111" s="75">
        <v>0</v>
      </c>
      <c r="AQ111" s="75">
        <v>0</v>
      </c>
      <c r="AR111" s="75">
        <v>0</v>
      </c>
      <c r="AS111" s="75">
        <v>0</v>
      </c>
      <c r="AT111" s="75">
        <v>0</v>
      </c>
      <c r="AU111" s="75">
        <v>0</v>
      </c>
      <c r="AV111" s="75">
        <v>0</v>
      </c>
      <c r="AW111" s="75">
        <v>0</v>
      </c>
      <c r="AX111" s="75">
        <v>0</v>
      </c>
      <c r="AY111" s="75">
        <v>1</v>
      </c>
      <c r="AZ111" s="84">
        <v>3</v>
      </c>
      <c r="BA111" s="75">
        <v>0</v>
      </c>
      <c r="BB111" s="84">
        <v>1</v>
      </c>
      <c r="BC111" s="75">
        <v>1</v>
      </c>
      <c r="BD111" s="75">
        <v>0</v>
      </c>
      <c r="BE111" s="75">
        <v>0</v>
      </c>
      <c r="BF111" s="75">
        <v>0</v>
      </c>
      <c r="BG111" s="75">
        <v>0</v>
      </c>
      <c r="BH111" s="75">
        <v>0</v>
      </c>
      <c r="BM111" s="75">
        <f t="shared" si="13"/>
        <v>0</v>
      </c>
      <c r="BN111" s="75">
        <f t="shared" si="16"/>
        <v>0</v>
      </c>
      <c r="BO111" s="75">
        <f t="shared" si="14"/>
        <v>6</v>
      </c>
      <c r="BP111" s="75">
        <f t="shared" si="15"/>
        <v>6</v>
      </c>
      <c r="BT111" s="110">
        <v>0</v>
      </c>
    </row>
    <row r="112" spans="1:74" x14ac:dyDescent="0.75">
      <c r="C112" s="270">
        <v>728</v>
      </c>
      <c r="D112" s="75" t="s">
        <v>357</v>
      </c>
      <c r="E112" s="75" t="s">
        <v>358</v>
      </c>
      <c r="F112" s="75" t="s">
        <v>359</v>
      </c>
      <c r="G112" s="75" t="s">
        <v>64</v>
      </c>
      <c r="H112" s="75">
        <v>18.368383000000001</v>
      </c>
      <c r="I112" s="75">
        <v>-64.751450000000006</v>
      </c>
      <c r="J112" s="81">
        <v>44756</v>
      </c>
      <c r="K112" s="75" t="s">
        <v>361</v>
      </c>
      <c r="L112" s="75" t="s">
        <v>360</v>
      </c>
      <c r="M112" s="75">
        <v>0</v>
      </c>
      <c r="N112" s="75">
        <v>2</v>
      </c>
      <c r="O112" s="75" t="s">
        <v>362</v>
      </c>
      <c r="P112" s="75">
        <f>SUM(TreatmentUsed!E1340:E1345)</f>
        <v>23</v>
      </c>
      <c r="Q112" s="86" t="s">
        <v>364</v>
      </c>
      <c r="R112" s="75">
        <v>0</v>
      </c>
      <c r="S112" s="75">
        <v>0</v>
      </c>
      <c r="T112" s="75">
        <v>0</v>
      </c>
      <c r="U112" s="75">
        <v>0</v>
      </c>
      <c r="V112" s="75">
        <v>0</v>
      </c>
      <c r="W112" s="75">
        <v>0</v>
      </c>
      <c r="X112" s="75">
        <v>0</v>
      </c>
      <c r="Y112" s="75">
        <v>0</v>
      </c>
      <c r="Z112" s="75">
        <v>0</v>
      </c>
      <c r="AA112" s="75">
        <v>0</v>
      </c>
      <c r="AB112" s="75">
        <v>0</v>
      </c>
      <c r="AC112" s="75">
        <v>0</v>
      </c>
      <c r="AD112" s="75">
        <v>0</v>
      </c>
      <c r="AE112" s="75">
        <v>0</v>
      </c>
      <c r="AF112" s="75">
        <v>0</v>
      </c>
      <c r="AG112" s="75">
        <v>0</v>
      </c>
      <c r="AH112" s="75">
        <v>0</v>
      </c>
      <c r="AI112" s="75">
        <v>0</v>
      </c>
      <c r="AJ112" s="75">
        <v>0</v>
      </c>
      <c r="AK112" s="75">
        <v>0</v>
      </c>
      <c r="AL112" s="75">
        <v>0</v>
      </c>
      <c r="AM112" s="75">
        <v>0</v>
      </c>
      <c r="AN112" s="75">
        <v>0</v>
      </c>
      <c r="AO112" s="75">
        <v>1</v>
      </c>
      <c r="AP112" s="75">
        <v>0</v>
      </c>
      <c r="AQ112" s="75">
        <v>0</v>
      </c>
      <c r="AR112" s="75">
        <v>0</v>
      </c>
      <c r="AS112" s="75">
        <v>0</v>
      </c>
      <c r="AT112" s="75">
        <v>0</v>
      </c>
      <c r="AU112" s="75">
        <v>0</v>
      </c>
      <c r="AV112" s="75">
        <v>0</v>
      </c>
      <c r="AW112" s="75">
        <v>0</v>
      </c>
      <c r="AX112" s="75">
        <v>0</v>
      </c>
      <c r="AY112" s="75">
        <v>0</v>
      </c>
      <c r="AZ112" s="84">
        <v>1</v>
      </c>
      <c r="BA112" s="84">
        <v>1</v>
      </c>
      <c r="BB112" s="75">
        <v>0</v>
      </c>
      <c r="BC112" s="75">
        <v>0</v>
      </c>
      <c r="BD112" s="75">
        <v>0</v>
      </c>
      <c r="BE112" s="75">
        <v>0</v>
      </c>
      <c r="BF112" s="84">
        <v>3</v>
      </c>
      <c r="BG112" s="75">
        <v>0</v>
      </c>
      <c r="BH112" s="75">
        <v>0</v>
      </c>
      <c r="BM112" s="75">
        <f t="shared" si="13"/>
        <v>0</v>
      </c>
      <c r="BN112" s="75">
        <f t="shared" si="16"/>
        <v>0</v>
      </c>
      <c r="BO112" s="75">
        <f t="shared" si="14"/>
        <v>6</v>
      </c>
      <c r="BP112" s="75">
        <f t="shared" si="15"/>
        <v>6</v>
      </c>
      <c r="BT112" s="110">
        <v>0</v>
      </c>
    </row>
    <row r="113" spans="1:73" x14ac:dyDescent="0.75">
      <c r="C113" s="270">
        <v>729</v>
      </c>
      <c r="D113" s="75" t="s">
        <v>357</v>
      </c>
      <c r="E113" s="75" t="s">
        <v>358</v>
      </c>
      <c r="F113" s="75" t="s">
        <v>359</v>
      </c>
      <c r="G113" s="75" t="s">
        <v>23</v>
      </c>
      <c r="H113" s="75">
        <v>18.365749999999998</v>
      </c>
      <c r="I113" s="75">
        <v>-64.773619999999994</v>
      </c>
      <c r="J113" s="81">
        <v>44757</v>
      </c>
      <c r="K113" s="75" t="s">
        <v>361</v>
      </c>
      <c r="L113" s="75" t="s">
        <v>360</v>
      </c>
      <c r="M113" s="75">
        <v>0</v>
      </c>
      <c r="N113" s="75">
        <v>2</v>
      </c>
      <c r="O113" s="75" t="s">
        <v>362</v>
      </c>
      <c r="P113" s="75">
        <f>SUM(TreatmentUsed!E1356:E1384)</f>
        <v>233</v>
      </c>
      <c r="Q113" s="75">
        <f>87.5/3</f>
        <v>29.166666666666668</v>
      </c>
      <c r="R113" s="75">
        <v>0</v>
      </c>
      <c r="S113" s="75">
        <v>0</v>
      </c>
      <c r="T113" s="75">
        <v>0</v>
      </c>
      <c r="U113" s="75">
        <v>0</v>
      </c>
      <c r="V113" s="75">
        <v>0</v>
      </c>
      <c r="W113" s="75">
        <v>0</v>
      </c>
      <c r="X113" s="75">
        <v>0</v>
      </c>
      <c r="Y113" s="75">
        <v>0</v>
      </c>
      <c r="Z113" s="75">
        <v>0</v>
      </c>
      <c r="AA113" s="75">
        <v>0</v>
      </c>
      <c r="AB113" s="75">
        <v>0</v>
      </c>
      <c r="AC113" s="75">
        <v>0</v>
      </c>
      <c r="AD113" s="75">
        <v>0</v>
      </c>
      <c r="AE113" s="75">
        <v>0</v>
      </c>
      <c r="AF113" s="75">
        <v>0</v>
      </c>
      <c r="AG113" s="75">
        <v>0</v>
      </c>
      <c r="AH113" s="75">
        <v>0</v>
      </c>
      <c r="AI113" s="75">
        <v>0</v>
      </c>
      <c r="AJ113" s="75">
        <v>0</v>
      </c>
      <c r="AK113" s="75">
        <v>0</v>
      </c>
      <c r="AL113" s="75">
        <v>0</v>
      </c>
      <c r="AM113" s="75">
        <v>0</v>
      </c>
      <c r="AN113" s="75">
        <v>0</v>
      </c>
      <c r="AO113" s="75">
        <v>0</v>
      </c>
      <c r="AP113" s="75">
        <v>0</v>
      </c>
      <c r="AQ113" s="75">
        <v>0</v>
      </c>
      <c r="AR113" s="75">
        <v>0</v>
      </c>
      <c r="AS113" s="75">
        <v>0</v>
      </c>
      <c r="AT113" s="75">
        <v>0</v>
      </c>
      <c r="AU113" s="75">
        <v>0</v>
      </c>
      <c r="AV113" s="75">
        <v>0</v>
      </c>
      <c r="AW113" s="75">
        <v>0</v>
      </c>
      <c r="AX113" s="75">
        <v>1</v>
      </c>
      <c r="AY113" s="75">
        <v>2</v>
      </c>
      <c r="AZ113" s="84">
        <v>5</v>
      </c>
      <c r="BA113" s="84">
        <v>12</v>
      </c>
      <c r="BB113" s="84">
        <v>3</v>
      </c>
      <c r="BC113" s="75">
        <v>2</v>
      </c>
      <c r="BD113" s="75">
        <v>0</v>
      </c>
      <c r="BE113" s="75">
        <v>0</v>
      </c>
      <c r="BF113" s="75">
        <v>2</v>
      </c>
      <c r="BG113" s="75">
        <v>0</v>
      </c>
      <c r="BH113" s="75">
        <v>2</v>
      </c>
      <c r="BM113" s="75">
        <f t="shared" si="13"/>
        <v>0</v>
      </c>
      <c r="BN113" s="75">
        <f t="shared" si="16"/>
        <v>0</v>
      </c>
      <c r="BO113" s="75">
        <f t="shared" si="14"/>
        <v>29</v>
      </c>
      <c r="BP113" s="75">
        <f t="shared" si="15"/>
        <v>29</v>
      </c>
      <c r="BQ113" s="85" t="s">
        <v>452</v>
      </c>
      <c r="BT113" s="110">
        <v>0</v>
      </c>
    </row>
    <row r="114" spans="1:73" x14ac:dyDescent="0.75">
      <c r="C114" s="270">
        <v>730</v>
      </c>
      <c r="D114" s="75" t="s">
        <v>357</v>
      </c>
      <c r="E114" s="75" t="s">
        <v>358</v>
      </c>
      <c r="F114" s="75" t="s">
        <v>359</v>
      </c>
      <c r="G114" s="75" t="s">
        <v>23</v>
      </c>
      <c r="H114" s="75">
        <v>18.365749999999998</v>
      </c>
      <c r="I114" s="75">
        <v>-64.773619999999994</v>
      </c>
      <c r="J114" s="81">
        <v>44757</v>
      </c>
      <c r="K114" s="75" t="s">
        <v>361</v>
      </c>
      <c r="L114" s="75" t="s">
        <v>360</v>
      </c>
      <c r="M114" s="75">
        <v>0</v>
      </c>
      <c r="N114" s="75">
        <v>2</v>
      </c>
      <c r="O114" s="75" t="s">
        <v>362</v>
      </c>
      <c r="P114" s="75">
        <f>SUM(TreatmentUsed!E1386:E1408)</f>
        <v>100</v>
      </c>
      <c r="Q114" s="75">
        <f>87.5/3</f>
        <v>29.166666666666668</v>
      </c>
      <c r="R114" s="75">
        <v>0</v>
      </c>
      <c r="S114" s="75">
        <v>0</v>
      </c>
      <c r="T114" s="75">
        <v>0</v>
      </c>
      <c r="U114" s="75">
        <v>0</v>
      </c>
      <c r="V114" s="75">
        <v>0</v>
      </c>
      <c r="W114" s="75">
        <v>0</v>
      </c>
      <c r="X114" s="75">
        <v>0</v>
      </c>
      <c r="Y114" s="75">
        <v>0</v>
      </c>
      <c r="Z114" s="75">
        <v>0</v>
      </c>
      <c r="AA114" s="75">
        <v>0</v>
      </c>
      <c r="AB114" s="75">
        <v>0</v>
      </c>
      <c r="AC114" s="75">
        <v>0</v>
      </c>
      <c r="AD114" s="75">
        <v>0</v>
      </c>
      <c r="AE114" s="75">
        <v>0</v>
      </c>
      <c r="AF114" s="75">
        <v>0</v>
      </c>
      <c r="AG114" s="75">
        <v>0</v>
      </c>
      <c r="AH114" s="75">
        <v>0</v>
      </c>
      <c r="AI114" s="75">
        <v>0</v>
      </c>
      <c r="AJ114" s="75">
        <v>0</v>
      </c>
      <c r="AK114" s="75">
        <v>0</v>
      </c>
      <c r="AL114" s="75">
        <v>0</v>
      </c>
      <c r="AM114" s="75">
        <v>0</v>
      </c>
      <c r="AN114" s="75">
        <v>0</v>
      </c>
      <c r="AO114" s="75">
        <v>2</v>
      </c>
      <c r="AP114" s="75">
        <v>0</v>
      </c>
      <c r="AQ114" s="75">
        <v>0</v>
      </c>
      <c r="AR114" s="75">
        <v>0</v>
      </c>
      <c r="AS114" s="75">
        <v>0</v>
      </c>
      <c r="AT114" s="75">
        <v>0</v>
      </c>
      <c r="AU114" s="75">
        <v>0</v>
      </c>
      <c r="AV114" s="75">
        <v>0</v>
      </c>
      <c r="AW114" s="75">
        <v>0</v>
      </c>
      <c r="AX114" s="75">
        <v>0</v>
      </c>
      <c r="AY114" s="84">
        <v>0</v>
      </c>
      <c r="AZ114" s="84">
        <v>6</v>
      </c>
      <c r="BA114" s="84">
        <v>13</v>
      </c>
      <c r="BB114" s="84">
        <v>3</v>
      </c>
      <c r="BC114" s="75">
        <v>0</v>
      </c>
      <c r="BD114" s="75">
        <v>0</v>
      </c>
      <c r="BE114" s="75">
        <v>0</v>
      </c>
      <c r="BF114" s="75">
        <v>0</v>
      </c>
      <c r="BG114" s="75">
        <v>0</v>
      </c>
      <c r="BH114" s="75">
        <v>0</v>
      </c>
      <c r="BM114" s="75">
        <f t="shared" si="13"/>
        <v>0</v>
      </c>
      <c r="BN114" s="75">
        <f t="shared" si="16"/>
        <v>0</v>
      </c>
      <c r="BO114" s="75">
        <f t="shared" si="14"/>
        <v>24</v>
      </c>
      <c r="BP114" s="75">
        <f t="shared" si="15"/>
        <v>24</v>
      </c>
      <c r="BT114" s="110">
        <v>0</v>
      </c>
    </row>
    <row r="115" spans="1:73" x14ac:dyDescent="0.75">
      <c r="C115" s="270">
        <v>731</v>
      </c>
      <c r="D115" s="75" t="s">
        <v>357</v>
      </c>
      <c r="E115" s="75" t="s">
        <v>358</v>
      </c>
      <c r="F115" s="75" t="s">
        <v>359</v>
      </c>
      <c r="G115" s="75" t="s">
        <v>23</v>
      </c>
      <c r="H115" s="75">
        <v>18.365749999999998</v>
      </c>
      <c r="I115" s="75">
        <v>-64.773619999999994</v>
      </c>
      <c r="J115" s="81">
        <v>44757</v>
      </c>
      <c r="K115" s="75" t="s">
        <v>361</v>
      </c>
      <c r="L115" s="75" t="s">
        <v>360</v>
      </c>
      <c r="M115" s="75">
        <v>0</v>
      </c>
      <c r="N115" s="75">
        <v>2</v>
      </c>
      <c r="O115" s="75" t="s">
        <v>362</v>
      </c>
      <c r="P115" s="75">
        <f>SUM(TreatmentUsed!E1409:E1422)</f>
        <v>93</v>
      </c>
      <c r="Q115" s="75">
        <f>87.5/3</f>
        <v>29.166666666666668</v>
      </c>
      <c r="R115" s="75">
        <v>0</v>
      </c>
      <c r="S115" s="75">
        <v>0</v>
      </c>
      <c r="T115" s="75">
        <v>0</v>
      </c>
      <c r="U115" s="75">
        <v>0</v>
      </c>
      <c r="V115" s="75">
        <v>0</v>
      </c>
      <c r="W115" s="75">
        <v>0</v>
      </c>
      <c r="X115" s="75">
        <v>0</v>
      </c>
      <c r="Y115" s="75">
        <v>0</v>
      </c>
      <c r="Z115" s="75">
        <v>0</v>
      </c>
      <c r="AA115" s="75">
        <v>0</v>
      </c>
      <c r="AB115" s="75">
        <v>0</v>
      </c>
      <c r="AC115" s="75">
        <v>0</v>
      </c>
      <c r="AD115" s="75">
        <v>0</v>
      </c>
      <c r="AE115" s="75">
        <v>0</v>
      </c>
      <c r="AF115" s="75">
        <v>0</v>
      </c>
      <c r="AG115" s="75">
        <v>0</v>
      </c>
      <c r="AH115" s="75">
        <v>0</v>
      </c>
      <c r="AI115" s="75">
        <v>0</v>
      </c>
      <c r="AJ115" s="75">
        <v>0</v>
      </c>
      <c r="AK115" s="75">
        <v>0</v>
      </c>
      <c r="AL115" s="75">
        <v>0</v>
      </c>
      <c r="AM115" s="75">
        <v>0</v>
      </c>
      <c r="AN115" s="75">
        <v>0</v>
      </c>
      <c r="AO115" s="75">
        <v>0</v>
      </c>
      <c r="AP115" s="75">
        <v>0</v>
      </c>
      <c r="AQ115" s="75">
        <v>0</v>
      </c>
      <c r="AR115" s="75">
        <v>0</v>
      </c>
      <c r="AS115" s="75">
        <v>0</v>
      </c>
      <c r="AT115" s="75">
        <v>0</v>
      </c>
      <c r="AU115" s="75">
        <v>0</v>
      </c>
      <c r="AV115" s="75">
        <v>0</v>
      </c>
      <c r="AW115" s="75">
        <v>0</v>
      </c>
      <c r="AX115" s="75">
        <v>0</v>
      </c>
      <c r="AY115" s="84">
        <v>3</v>
      </c>
      <c r="AZ115" s="75">
        <v>5</v>
      </c>
      <c r="BA115" s="75">
        <v>6</v>
      </c>
      <c r="BB115" s="75">
        <v>0</v>
      </c>
      <c r="BC115" s="75">
        <v>0</v>
      </c>
      <c r="BD115" s="75">
        <v>0</v>
      </c>
      <c r="BE115" s="75">
        <v>0</v>
      </c>
      <c r="BF115" s="75">
        <v>0</v>
      </c>
      <c r="BG115" s="75">
        <v>0</v>
      </c>
      <c r="BH115" s="75">
        <v>0</v>
      </c>
      <c r="BM115" s="75">
        <f t="shared" si="13"/>
        <v>0</v>
      </c>
      <c r="BN115" s="75">
        <f t="shared" si="16"/>
        <v>0</v>
      </c>
      <c r="BO115" s="75">
        <f t="shared" si="14"/>
        <v>14</v>
      </c>
      <c r="BP115" s="75">
        <f t="shared" si="15"/>
        <v>14</v>
      </c>
      <c r="BR115" s="252" t="s">
        <v>453</v>
      </c>
      <c r="BT115" s="110">
        <v>0</v>
      </c>
    </row>
    <row r="116" spans="1:73" x14ac:dyDescent="0.75">
      <c r="C116" s="270">
        <v>732</v>
      </c>
      <c r="D116" s="75" t="s">
        <v>357</v>
      </c>
      <c r="E116" s="75" t="s">
        <v>358</v>
      </c>
      <c r="F116" s="75" t="s">
        <v>359</v>
      </c>
      <c r="G116" s="75" t="s">
        <v>23</v>
      </c>
      <c r="H116" s="75">
        <v>18.365749999999998</v>
      </c>
      <c r="I116" s="75">
        <v>-64.773619999999994</v>
      </c>
      <c r="J116" s="81">
        <v>44761</v>
      </c>
      <c r="K116" s="75" t="s">
        <v>361</v>
      </c>
      <c r="L116" s="75" t="s">
        <v>360</v>
      </c>
      <c r="M116" s="75">
        <v>0</v>
      </c>
      <c r="N116" s="75">
        <v>2</v>
      </c>
      <c r="O116" s="75" t="s">
        <v>362</v>
      </c>
      <c r="P116" s="75">
        <v>0</v>
      </c>
      <c r="Q116" s="75">
        <f>87.5/2</f>
        <v>43.75</v>
      </c>
      <c r="R116" s="75">
        <v>0</v>
      </c>
      <c r="S116" s="75">
        <v>0</v>
      </c>
      <c r="T116" s="75">
        <v>0</v>
      </c>
      <c r="U116" s="75">
        <v>0</v>
      </c>
      <c r="V116" s="75">
        <v>0</v>
      </c>
      <c r="W116" s="75">
        <v>0</v>
      </c>
      <c r="X116" s="75">
        <v>0</v>
      </c>
      <c r="Y116" s="75">
        <v>0</v>
      </c>
      <c r="Z116" s="75">
        <v>0</v>
      </c>
      <c r="AA116" s="75">
        <v>0</v>
      </c>
      <c r="AB116" s="75">
        <v>0</v>
      </c>
      <c r="AC116" s="75">
        <v>0</v>
      </c>
      <c r="AD116" s="75">
        <v>0</v>
      </c>
      <c r="AE116" s="75">
        <v>0</v>
      </c>
      <c r="AF116" s="75">
        <v>0</v>
      </c>
      <c r="AG116" s="75">
        <v>0</v>
      </c>
      <c r="AH116" s="75">
        <v>0</v>
      </c>
      <c r="AI116" s="75">
        <v>0</v>
      </c>
      <c r="AJ116" s="75">
        <v>0</v>
      </c>
      <c r="AK116" s="75">
        <v>0</v>
      </c>
      <c r="AL116" s="75">
        <v>0</v>
      </c>
      <c r="AM116" s="75">
        <v>0</v>
      </c>
      <c r="AN116" s="75">
        <v>0</v>
      </c>
      <c r="AO116" s="75">
        <v>0</v>
      </c>
      <c r="AP116" s="75">
        <v>0</v>
      </c>
      <c r="AQ116" s="75">
        <v>0</v>
      </c>
      <c r="AR116" s="75">
        <v>0</v>
      </c>
      <c r="AS116" s="75">
        <v>0</v>
      </c>
      <c r="AT116" s="75">
        <v>0</v>
      </c>
      <c r="AU116" s="75">
        <v>0</v>
      </c>
      <c r="AV116" s="75">
        <v>0</v>
      </c>
      <c r="AW116" s="75">
        <v>0</v>
      </c>
      <c r="AX116" s="75">
        <v>0</v>
      </c>
      <c r="AY116" s="75">
        <v>0</v>
      </c>
      <c r="AZ116" s="75">
        <v>0</v>
      </c>
      <c r="BA116" s="75">
        <v>0</v>
      </c>
      <c r="BB116" s="75">
        <v>0</v>
      </c>
      <c r="BC116" s="75">
        <v>0</v>
      </c>
      <c r="BD116" s="75">
        <v>0</v>
      </c>
      <c r="BE116" s="75">
        <v>0</v>
      </c>
      <c r="BF116" s="75">
        <v>0</v>
      </c>
      <c r="BG116" s="75">
        <v>0</v>
      </c>
      <c r="BH116" s="75">
        <v>0</v>
      </c>
      <c r="BM116" s="75">
        <f t="shared" si="13"/>
        <v>0</v>
      </c>
      <c r="BN116" s="75">
        <f t="shared" si="16"/>
        <v>0</v>
      </c>
      <c r="BO116" s="75">
        <f t="shared" si="14"/>
        <v>0</v>
      </c>
      <c r="BP116" s="75">
        <f t="shared" si="15"/>
        <v>0</v>
      </c>
      <c r="BQ116" s="80" t="s">
        <v>454</v>
      </c>
      <c r="BR116" s="252" t="s">
        <v>437</v>
      </c>
      <c r="BT116" s="110">
        <v>0</v>
      </c>
    </row>
    <row r="117" spans="1:73" x14ac:dyDescent="0.75">
      <c r="C117" s="270">
        <v>733</v>
      </c>
      <c r="D117" s="75" t="s">
        <v>357</v>
      </c>
      <c r="E117" s="75" t="s">
        <v>358</v>
      </c>
      <c r="F117" s="75" t="s">
        <v>359</v>
      </c>
      <c r="G117" s="75" t="s">
        <v>64</v>
      </c>
      <c r="H117" s="75">
        <v>18.368383000000001</v>
      </c>
      <c r="I117" s="75">
        <v>-64.751450000000006</v>
      </c>
      <c r="J117" s="81">
        <v>44761</v>
      </c>
      <c r="K117" s="75" t="s">
        <v>361</v>
      </c>
      <c r="L117" s="75" t="s">
        <v>360</v>
      </c>
      <c r="M117" s="75">
        <v>0</v>
      </c>
      <c r="N117" s="75">
        <v>2</v>
      </c>
      <c r="O117" s="75" t="s">
        <v>362</v>
      </c>
      <c r="P117" s="75">
        <f>SUM(TreatmentUsed!E1423:E1428)</f>
        <v>47</v>
      </c>
      <c r="Q117" s="75">
        <f>87.5/2</f>
        <v>43.75</v>
      </c>
      <c r="R117" s="75">
        <v>0</v>
      </c>
      <c r="S117" s="75">
        <v>0</v>
      </c>
      <c r="T117" s="75">
        <v>0</v>
      </c>
      <c r="U117" s="75">
        <v>0</v>
      </c>
      <c r="V117" s="75">
        <v>0</v>
      </c>
      <c r="W117" s="75">
        <v>0</v>
      </c>
      <c r="X117" s="75">
        <v>0</v>
      </c>
      <c r="Y117" s="75">
        <v>0</v>
      </c>
      <c r="Z117" s="75">
        <v>0</v>
      </c>
      <c r="AA117" s="75">
        <v>0</v>
      </c>
      <c r="AB117" s="75">
        <v>0</v>
      </c>
      <c r="AC117" s="75">
        <v>0</v>
      </c>
      <c r="AD117" s="75">
        <v>0</v>
      </c>
      <c r="AE117" s="75">
        <v>0</v>
      </c>
      <c r="AF117" s="75">
        <v>0</v>
      </c>
      <c r="AG117" s="75">
        <v>0</v>
      </c>
      <c r="AH117" s="75">
        <v>0</v>
      </c>
      <c r="AI117" s="75">
        <v>0</v>
      </c>
      <c r="AJ117" s="75">
        <v>0</v>
      </c>
      <c r="AK117" s="75">
        <v>0</v>
      </c>
      <c r="AL117" s="75">
        <v>0</v>
      </c>
      <c r="AM117" s="75">
        <v>0</v>
      </c>
      <c r="AN117" s="75">
        <v>0</v>
      </c>
      <c r="AO117" s="75">
        <v>0</v>
      </c>
      <c r="AP117" s="75">
        <v>0</v>
      </c>
      <c r="AQ117" s="75">
        <v>0</v>
      </c>
      <c r="AR117" s="75">
        <v>0</v>
      </c>
      <c r="AS117" s="75">
        <v>0</v>
      </c>
      <c r="AT117" s="75">
        <v>0</v>
      </c>
      <c r="AU117" s="75">
        <v>0</v>
      </c>
      <c r="AV117" s="75">
        <v>0</v>
      </c>
      <c r="AW117" s="75">
        <v>0</v>
      </c>
      <c r="AX117" s="75">
        <v>0</v>
      </c>
      <c r="AY117" s="75">
        <v>0</v>
      </c>
      <c r="AZ117" s="75">
        <v>0</v>
      </c>
      <c r="BA117" s="75">
        <v>0</v>
      </c>
      <c r="BB117" s="75">
        <v>0</v>
      </c>
      <c r="BC117" s="75">
        <v>3</v>
      </c>
      <c r="BD117" s="75">
        <v>0</v>
      </c>
      <c r="BE117" s="75">
        <v>0</v>
      </c>
      <c r="BF117" s="75">
        <v>3</v>
      </c>
      <c r="BG117" s="75">
        <v>0</v>
      </c>
      <c r="BH117" s="75">
        <v>0</v>
      </c>
      <c r="BM117" s="75">
        <f t="shared" si="13"/>
        <v>0</v>
      </c>
      <c r="BN117" s="75">
        <f t="shared" si="16"/>
        <v>0</v>
      </c>
      <c r="BO117" s="75">
        <f t="shared" si="14"/>
        <v>6</v>
      </c>
      <c r="BP117" s="75">
        <f t="shared" si="15"/>
        <v>6</v>
      </c>
      <c r="BR117" s="252">
        <v>3338</v>
      </c>
      <c r="BT117" s="110">
        <v>0</v>
      </c>
    </row>
    <row r="118" spans="1:73" x14ac:dyDescent="0.75">
      <c r="C118" s="270">
        <v>734</v>
      </c>
      <c r="D118" s="75" t="s">
        <v>357</v>
      </c>
      <c r="E118" s="75" t="s">
        <v>358</v>
      </c>
      <c r="F118" s="75" t="s">
        <v>359</v>
      </c>
      <c r="G118" s="75" t="s">
        <v>39</v>
      </c>
      <c r="H118" s="75">
        <v>18.357482999999998</v>
      </c>
      <c r="I118" s="75">
        <v>-64.751949999999994</v>
      </c>
      <c r="J118" s="81">
        <v>44762</v>
      </c>
      <c r="K118" s="75" t="s">
        <v>361</v>
      </c>
      <c r="L118" s="75" t="s">
        <v>360</v>
      </c>
      <c r="M118" s="75">
        <v>1</v>
      </c>
      <c r="N118" s="75">
        <v>3</v>
      </c>
      <c r="O118" s="75" t="s">
        <v>362</v>
      </c>
      <c r="P118" s="75">
        <f>SUM(TreatmentUsed!E1429:E1445)</f>
        <v>97</v>
      </c>
      <c r="Q118" s="75">
        <v>0</v>
      </c>
      <c r="R118" s="75">
        <v>0</v>
      </c>
      <c r="S118" s="75">
        <v>0</v>
      </c>
      <c r="T118" s="75">
        <v>0</v>
      </c>
      <c r="U118" s="75">
        <v>0</v>
      </c>
      <c r="V118" s="75">
        <v>0</v>
      </c>
      <c r="W118" s="75">
        <v>0</v>
      </c>
      <c r="X118" s="75">
        <v>0</v>
      </c>
      <c r="Y118" s="75">
        <v>0</v>
      </c>
      <c r="Z118" s="75">
        <v>0</v>
      </c>
      <c r="AA118" s="75">
        <v>0</v>
      </c>
      <c r="AB118" s="75">
        <v>0</v>
      </c>
      <c r="AC118" s="75">
        <v>0</v>
      </c>
      <c r="AD118" s="75">
        <v>0</v>
      </c>
      <c r="AE118" s="75">
        <v>0</v>
      </c>
      <c r="AF118" s="75">
        <v>0</v>
      </c>
      <c r="AG118" s="75">
        <v>0</v>
      </c>
      <c r="AH118" s="75">
        <v>0</v>
      </c>
      <c r="AI118" s="75">
        <v>0</v>
      </c>
      <c r="AJ118" s="75">
        <v>0</v>
      </c>
      <c r="AK118" s="75">
        <v>0</v>
      </c>
      <c r="AL118" s="75">
        <v>0</v>
      </c>
      <c r="AM118" s="75">
        <v>0</v>
      </c>
      <c r="AN118" s="75">
        <v>0</v>
      </c>
      <c r="AO118" s="84">
        <v>0</v>
      </c>
      <c r="AP118" s="75">
        <v>0</v>
      </c>
      <c r="AQ118" s="75">
        <v>0</v>
      </c>
      <c r="AR118" s="75">
        <v>2</v>
      </c>
      <c r="AS118" s="75">
        <v>0</v>
      </c>
      <c r="AT118" s="75">
        <v>0</v>
      </c>
      <c r="AU118" s="75">
        <v>0</v>
      </c>
      <c r="AV118" s="75">
        <v>0</v>
      </c>
      <c r="AW118" s="75">
        <v>0</v>
      </c>
      <c r="AX118" s="75">
        <v>0</v>
      </c>
      <c r="AY118" s="84">
        <v>2</v>
      </c>
      <c r="AZ118" s="84">
        <v>8</v>
      </c>
      <c r="BA118" s="75">
        <v>0</v>
      </c>
      <c r="BB118" s="84">
        <v>4</v>
      </c>
      <c r="BC118" s="75">
        <v>0</v>
      </c>
      <c r="BD118" s="75">
        <v>0</v>
      </c>
      <c r="BE118" s="84">
        <v>1</v>
      </c>
      <c r="BF118" s="75">
        <v>1</v>
      </c>
      <c r="BG118" s="75">
        <v>0</v>
      </c>
      <c r="BH118" s="75">
        <v>0</v>
      </c>
      <c r="BM118" s="75">
        <f t="shared" si="13"/>
        <v>0</v>
      </c>
      <c r="BN118" s="75">
        <f t="shared" si="16"/>
        <v>0</v>
      </c>
      <c r="BO118" s="75">
        <f t="shared" si="14"/>
        <v>18</v>
      </c>
      <c r="BP118" s="75">
        <f t="shared" si="15"/>
        <v>18</v>
      </c>
      <c r="BQ118" s="80" t="s">
        <v>455</v>
      </c>
      <c r="BR118" s="252" t="s">
        <v>456</v>
      </c>
      <c r="BT118" s="110">
        <v>0</v>
      </c>
    </row>
    <row r="119" spans="1:73" x14ac:dyDescent="0.75">
      <c r="C119" s="270">
        <v>735</v>
      </c>
      <c r="D119" s="75" t="s">
        <v>357</v>
      </c>
      <c r="E119" s="75" t="s">
        <v>358</v>
      </c>
      <c r="F119" s="75" t="s">
        <v>359</v>
      </c>
      <c r="G119" s="75" t="s">
        <v>39</v>
      </c>
      <c r="H119" s="75">
        <v>18.357482999999998</v>
      </c>
      <c r="I119" s="75">
        <v>-64.751949999999994</v>
      </c>
      <c r="J119" s="81">
        <v>44762</v>
      </c>
      <c r="K119" s="75" t="s">
        <v>361</v>
      </c>
      <c r="L119" s="75" t="s">
        <v>360</v>
      </c>
      <c r="M119" s="75">
        <v>0</v>
      </c>
      <c r="N119" s="75">
        <v>3</v>
      </c>
      <c r="O119" s="75" t="s">
        <v>362</v>
      </c>
      <c r="P119" s="75">
        <f>SUM(TreatmentUsed!E1446:E1456)</f>
        <v>47</v>
      </c>
      <c r="Q119" s="75">
        <v>0</v>
      </c>
      <c r="R119" s="75">
        <v>0</v>
      </c>
      <c r="S119" s="75">
        <v>0</v>
      </c>
      <c r="T119" s="75">
        <v>0</v>
      </c>
      <c r="U119" s="75">
        <v>0</v>
      </c>
      <c r="V119" s="75">
        <v>0</v>
      </c>
      <c r="W119" s="75">
        <v>0</v>
      </c>
      <c r="X119" s="75">
        <v>0</v>
      </c>
      <c r="Y119" s="75">
        <v>0</v>
      </c>
      <c r="Z119" s="75">
        <v>0</v>
      </c>
      <c r="AA119" s="75">
        <v>0</v>
      </c>
      <c r="AB119" s="75">
        <v>0</v>
      </c>
      <c r="AC119" s="75">
        <v>0</v>
      </c>
      <c r="AD119" s="75">
        <v>0</v>
      </c>
      <c r="AE119" s="75">
        <v>0</v>
      </c>
      <c r="AF119" s="75">
        <v>0</v>
      </c>
      <c r="AG119" s="75">
        <v>0</v>
      </c>
      <c r="AH119" s="75">
        <v>0</v>
      </c>
      <c r="AI119" s="75">
        <v>0</v>
      </c>
      <c r="AJ119" s="75">
        <v>0</v>
      </c>
      <c r="AK119" s="75">
        <v>0</v>
      </c>
      <c r="AL119" s="75">
        <v>0</v>
      </c>
      <c r="AM119" s="75">
        <v>0</v>
      </c>
      <c r="AN119" s="75">
        <v>0</v>
      </c>
      <c r="AO119" s="75">
        <v>2</v>
      </c>
      <c r="AP119" s="75">
        <v>0</v>
      </c>
      <c r="AQ119" s="75">
        <v>0</v>
      </c>
      <c r="AR119" s="75">
        <v>0</v>
      </c>
      <c r="AS119" s="75">
        <v>0</v>
      </c>
      <c r="AT119" s="75">
        <v>0</v>
      </c>
      <c r="AU119" s="75">
        <v>0</v>
      </c>
      <c r="AV119" s="75">
        <v>0</v>
      </c>
      <c r="AW119" s="75">
        <v>0</v>
      </c>
      <c r="AX119" s="75">
        <v>0</v>
      </c>
      <c r="AY119" s="75">
        <v>1</v>
      </c>
      <c r="AZ119" s="84">
        <v>2</v>
      </c>
      <c r="BA119" s="84">
        <v>5</v>
      </c>
      <c r="BB119" s="75">
        <v>0</v>
      </c>
      <c r="BC119" s="75">
        <v>1</v>
      </c>
      <c r="BD119" s="75">
        <v>0</v>
      </c>
      <c r="BE119" s="75">
        <v>0</v>
      </c>
      <c r="BF119" s="75">
        <v>2</v>
      </c>
      <c r="BG119" s="75">
        <v>0</v>
      </c>
      <c r="BH119" s="75">
        <v>0</v>
      </c>
      <c r="BL119" s="87"/>
      <c r="BM119" s="75">
        <f t="shared" si="13"/>
        <v>0</v>
      </c>
      <c r="BN119" s="75">
        <f t="shared" si="16"/>
        <v>0</v>
      </c>
      <c r="BO119" s="75">
        <f t="shared" si="14"/>
        <v>13</v>
      </c>
      <c r="BP119" s="75">
        <f t="shared" si="15"/>
        <v>13</v>
      </c>
      <c r="BR119" s="254" t="s">
        <v>457</v>
      </c>
      <c r="BS119" s="111"/>
      <c r="BT119" s="110">
        <v>0</v>
      </c>
      <c r="BU119" s="87"/>
    </row>
    <row r="120" spans="1:73" x14ac:dyDescent="0.75">
      <c r="C120" s="270">
        <v>736</v>
      </c>
      <c r="D120" s="75" t="s">
        <v>357</v>
      </c>
      <c r="E120" s="75" t="s">
        <v>358</v>
      </c>
      <c r="F120" s="75" t="s">
        <v>359</v>
      </c>
      <c r="G120" s="75" t="s">
        <v>39</v>
      </c>
      <c r="H120" s="75">
        <v>18.357482999999998</v>
      </c>
      <c r="I120" s="75">
        <v>-64.751949999999994</v>
      </c>
      <c r="J120" s="81">
        <v>44762</v>
      </c>
      <c r="K120" s="75" t="s">
        <v>361</v>
      </c>
      <c r="L120" s="75" t="s">
        <v>360</v>
      </c>
      <c r="M120" s="75">
        <v>1</v>
      </c>
      <c r="N120" s="75">
        <v>3</v>
      </c>
      <c r="O120" s="75" t="s">
        <v>362</v>
      </c>
      <c r="P120" s="75">
        <f>SUM(TreatmentUsed!E1457:E1463)</f>
        <v>45</v>
      </c>
      <c r="Q120" s="75">
        <v>0</v>
      </c>
      <c r="R120" s="75">
        <v>0</v>
      </c>
      <c r="S120" s="75">
        <v>0</v>
      </c>
      <c r="T120" s="75">
        <v>0</v>
      </c>
      <c r="U120" s="75">
        <v>0</v>
      </c>
      <c r="V120" s="75">
        <v>0</v>
      </c>
      <c r="W120" s="75">
        <v>0</v>
      </c>
      <c r="X120" s="75">
        <v>0</v>
      </c>
      <c r="Y120" s="75">
        <v>0</v>
      </c>
      <c r="Z120" s="75">
        <v>0</v>
      </c>
      <c r="AA120" s="75">
        <v>0</v>
      </c>
      <c r="AB120" s="75">
        <v>0</v>
      </c>
      <c r="AC120" s="75">
        <v>0</v>
      </c>
      <c r="AD120" s="75">
        <v>0</v>
      </c>
      <c r="AE120" s="75">
        <v>0</v>
      </c>
      <c r="AF120" s="75">
        <v>0</v>
      </c>
      <c r="AG120" s="75">
        <v>0</v>
      </c>
      <c r="AH120" s="75">
        <v>0</v>
      </c>
      <c r="AI120" s="75">
        <v>0</v>
      </c>
      <c r="AJ120" s="75">
        <v>0</v>
      </c>
      <c r="AK120" s="75">
        <v>0</v>
      </c>
      <c r="AL120" s="75">
        <v>0</v>
      </c>
      <c r="AM120" s="75">
        <v>0</v>
      </c>
      <c r="AN120" s="75">
        <v>0</v>
      </c>
      <c r="AO120" s="75">
        <v>0</v>
      </c>
      <c r="AP120" s="75">
        <v>0</v>
      </c>
      <c r="AQ120" s="75">
        <v>0</v>
      </c>
      <c r="AR120" s="75">
        <v>0</v>
      </c>
      <c r="AS120" s="75">
        <v>5</v>
      </c>
      <c r="AT120" s="75">
        <v>0</v>
      </c>
      <c r="AU120" s="75">
        <v>0</v>
      </c>
      <c r="AV120" s="75">
        <v>0</v>
      </c>
      <c r="AW120" s="75">
        <v>0</v>
      </c>
      <c r="AX120" s="75">
        <v>0</v>
      </c>
      <c r="AY120" s="75">
        <v>0</v>
      </c>
      <c r="AZ120" s="75">
        <v>0</v>
      </c>
      <c r="BA120" s="75">
        <v>0</v>
      </c>
      <c r="BB120" s="75">
        <v>0</v>
      </c>
      <c r="BC120" s="75">
        <v>2</v>
      </c>
      <c r="BD120" s="75">
        <v>0</v>
      </c>
      <c r="BE120" s="75">
        <v>0</v>
      </c>
      <c r="BF120" s="75">
        <v>0</v>
      </c>
      <c r="BG120" s="75">
        <v>0</v>
      </c>
      <c r="BH120" s="75">
        <v>0</v>
      </c>
      <c r="BL120" s="87"/>
      <c r="BM120" s="75">
        <f t="shared" si="13"/>
        <v>0</v>
      </c>
      <c r="BN120" s="75">
        <f t="shared" si="16"/>
        <v>0</v>
      </c>
      <c r="BO120" s="75">
        <f t="shared" si="14"/>
        <v>7</v>
      </c>
      <c r="BP120" s="75">
        <f t="shared" si="15"/>
        <v>7</v>
      </c>
      <c r="BQ120" s="80" t="s">
        <v>458</v>
      </c>
      <c r="BR120" s="255" t="s">
        <v>459</v>
      </c>
      <c r="BS120" s="111"/>
      <c r="BT120" s="110">
        <v>0</v>
      </c>
      <c r="BU120" s="87"/>
    </row>
    <row r="121" spans="1:73" x14ac:dyDescent="0.75">
      <c r="C121" s="270">
        <v>737</v>
      </c>
      <c r="D121" s="75" t="s">
        <v>357</v>
      </c>
      <c r="E121" s="75" t="s">
        <v>358</v>
      </c>
      <c r="F121" s="75" t="s">
        <v>359</v>
      </c>
      <c r="G121" s="75" t="s">
        <v>69</v>
      </c>
      <c r="H121" s="75">
        <v>18.343233000000001</v>
      </c>
      <c r="I121" s="75">
        <v>-64.687667000000005</v>
      </c>
      <c r="J121" s="81">
        <v>44768</v>
      </c>
      <c r="K121" s="75" t="s">
        <v>361</v>
      </c>
      <c r="L121" s="75" t="s">
        <v>360</v>
      </c>
      <c r="M121" s="75">
        <v>0</v>
      </c>
      <c r="N121" s="75">
        <v>3</v>
      </c>
      <c r="O121" s="75" t="s">
        <v>362</v>
      </c>
      <c r="P121" s="75">
        <f>SUM(TreatmentUsed!E1464:E1505)</f>
        <v>218</v>
      </c>
      <c r="Q121" s="75">
        <v>0</v>
      </c>
      <c r="R121" s="75">
        <v>0</v>
      </c>
      <c r="S121" s="75">
        <v>0</v>
      </c>
      <c r="T121" s="75">
        <v>0</v>
      </c>
      <c r="U121" s="75">
        <v>0</v>
      </c>
      <c r="V121" s="75">
        <v>0</v>
      </c>
      <c r="W121" s="75">
        <v>0</v>
      </c>
      <c r="X121" s="75">
        <v>0</v>
      </c>
      <c r="Y121" s="75">
        <v>0</v>
      </c>
      <c r="Z121" s="75">
        <v>0</v>
      </c>
      <c r="AA121" s="75">
        <v>0</v>
      </c>
      <c r="AB121" s="75">
        <v>0</v>
      </c>
      <c r="AC121" s="75">
        <v>0</v>
      </c>
      <c r="AD121" s="75">
        <v>0</v>
      </c>
      <c r="AE121" s="75">
        <v>0</v>
      </c>
      <c r="AF121" s="75">
        <v>0</v>
      </c>
      <c r="AG121" s="75">
        <v>0</v>
      </c>
      <c r="AH121" s="75">
        <v>0</v>
      </c>
      <c r="AI121" s="75">
        <v>0</v>
      </c>
      <c r="AJ121" s="75">
        <v>0</v>
      </c>
      <c r="AK121" s="75">
        <v>0</v>
      </c>
      <c r="AL121" s="75">
        <v>0</v>
      </c>
      <c r="AM121" s="75">
        <v>0</v>
      </c>
      <c r="AN121" s="75">
        <v>0</v>
      </c>
      <c r="AO121" s="75">
        <v>0</v>
      </c>
      <c r="AP121" s="75">
        <v>0</v>
      </c>
      <c r="AQ121" s="75">
        <v>0</v>
      </c>
      <c r="AR121" s="75">
        <v>1</v>
      </c>
      <c r="AS121" s="84">
        <v>9</v>
      </c>
      <c r="AT121" s="84">
        <v>5</v>
      </c>
      <c r="AU121" s="75">
        <v>0</v>
      </c>
      <c r="AV121" s="75">
        <v>0</v>
      </c>
      <c r="AW121" s="75">
        <v>0</v>
      </c>
      <c r="AX121" s="75">
        <v>0</v>
      </c>
      <c r="AY121" s="84">
        <v>6</v>
      </c>
      <c r="AZ121" s="84">
        <v>2</v>
      </c>
      <c r="BA121" s="84">
        <v>4</v>
      </c>
      <c r="BB121" s="75">
        <v>0</v>
      </c>
      <c r="BC121" s="84">
        <v>5</v>
      </c>
      <c r="BD121" s="75">
        <v>0</v>
      </c>
      <c r="BE121" s="75">
        <v>0</v>
      </c>
      <c r="BF121" s="75">
        <v>8</v>
      </c>
      <c r="BG121" s="75">
        <v>0</v>
      </c>
      <c r="BH121" s="75">
        <v>0</v>
      </c>
      <c r="BL121" s="87"/>
      <c r="BM121" s="75">
        <f t="shared" si="13"/>
        <v>0</v>
      </c>
      <c r="BN121" s="75">
        <f t="shared" si="16"/>
        <v>0</v>
      </c>
      <c r="BO121" s="75">
        <f t="shared" si="14"/>
        <v>40</v>
      </c>
      <c r="BP121" s="84">
        <f t="shared" si="15"/>
        <v>40</v>
      </c>
      <c r="BR121" s="254" t="s">
        <v>460</v>
      </c>
      <c r="BS121" s="111"/>
      <c r="BT121" s="110">
        <v>0</v>
      </c>
      <c r="BU121" s="87"/>
    </row>
    <row r="122" spans="1:73" x14ac:dyDescent="0.75">
      <c r="C122" s="270">
        <v>738</v>
      </c>
      <c r="D122" s="75" t="s">
        <v>357</v>
      </c>
      <c r="E122" s="75" t="s">
        <v>358</v>
      </c>
      <c r="F122" s="75" t="s">
        <v>359</v>
      </c>
      <c r="G122" s="75" t="s">
        <v>69</v>
      </c>
      <c r="H122" s="75">
        <v>18.343233000000001</v>
      </c>
      <c r="I122" s="75">
        <v>-64.687667000000005</v>
      </c>
      <c r="J122" s="81">
        <v>44768</v>
      </c>
      <c r="K122" s="75" t="s">
        <v>361</v>
      </c>
      <c r="L122" s="75" t="s">
        <v>360</v>
      </c>
      <c r="M122" s="75">
        <v>0</v>
      </c>
      <c r="N122" s="75">
        <v>3</v>
      </c>
      <c r="O122" s="75" t="s">
        <v>362</v>
      </c>
      <c r="P122" s="75">
        <f>SUM(TreatmentUsed!E1506:E1543)</f>
        <v>282</v>
      </c>
      <c r="Q122" s="75">
        <v>0</v>
      </c>
      <c r="R122" s="75">
        <v>0</v>
      </c>
      <c r="S122" s="75">
        <v>0</v>
      </c>
      <c r="T122" s="75">
        <v>0</v>
      </c>
      <c r="U122" s="75">
        <v>0</v>
      </c>
      <c r="V122" s="75">
        <v>0</v>
      </c>
      <c r="W122" s="75">
        <v>0</v>
      </c>
      <c r="X122" s="75">
        <v>0</v>
      </c>
      <c r="Y122" s="75">
        <v>0</v>
      </c>
      <c r="Z122" s="75">
        <v>0</v>
      </c>
      <c r="AA122" s="75">
        <v>0</v>
      </c>
      <c r="AB122" s="75">
        <v>0</v>
      </c>
      <c r="AC122" s="75">
        <v>0</v>
      </c>
      <c r="AD122" s="75">
        <v>0</v>
      </c>
      <c r="AE122" s="75">
        <v>0</v>
      </c>
      <c r="AF122" s="75">
        <v>0</v>
      </c>
      <c r="AG122" s="75">
        <v>0</v>
      </c>
      <c r="AH122" s="75">
        <v>0</v>
      </c>
      <c r="AI122" s="75">
        <v>0</v>
      </c>
      <c r="AJ122" s="75">
        <v>0</v>
      </c>
      <c r="AK122" s="75">
        <v>0</v>
      </c>
      <c r="AL122" s="75">
        <v>0</v>
      </c>
      <c r="AM122" s="75">
        <v>0</v>
      </c>
      <c r="AN122" s="75">
        <v>0</v>
      </c>
      <c r="AO122" s="75">
        <v>0</v>
      </c>
      <c r="AP122" s="75">
        <v>0</v>
      </c>
      <c r="AQ122" s="75">
        <v>0</v>
      </c>
      <c r="AR122" s="75">
        <v>0</v>
      </c>
      <c r="AS122" s="84">
        <v>1</v>
      </c>
      <c r="AT122" s="84">
        <v>2</v>
      </c>
      <c r="AU122" s="75">
        <v>1</v>
      </c>
      <c r="AV122" s="75">
        <v>0</v>
      </c>
      <c r="AW122" s="75">
        <v>0</v>
      </c>
      <c r="AX122" s="75">
        <v>0</v>
      </c>
      <c r="AY122" s="84">
        <v>11</v>
      </c>
      <c r="AZ122" s="75">
        <v>1</v>
      </c>
      <c r="BA122" s="84">
        <v>6</v>
      </c>
      <c r="BB122" s="84">
        <v>2</v>
      </c>
      <c r="BC122" s="84">
        <v>1</v>
      </c>
      <c r="BD122" s="75">
        <v>0</v>
      </c>
      <c r="BE122" s="75">
        <v>0</v>
      </c>
      <c r="BF122" s="84">
        <v>12</v>
      </c>
      <c r="BG122" s="75">
        <v>0</v>
      </c>
      <c r="BH122" s="75">
        <v>0</v>
      </c>
      <c r="BM122" s="75">
        <f t="shared" si="13"/>
        <v>0</v>
      </c>
      <c r="BN122" s="75">
        <f t="shared" si="16"/>
        <v>0</v>
      </c>
      <c r="BO122" s="75">
        <f t="shared" si="14"/>
        <v>37</v>
      </c>
      <c r="BP122" s="84">
        <f t="shared" si="15"/>
        <v>37</v>
      </c>
      <c r="BR122" s="138" t="s">
        <v>461</v>
      </c>
      <c r="BT122" s="110">
        <v>0</v>
      </c>
    </row>
    <row r="123" spans="1:73" x14ac:dyDescent="0.75">
      <c r="C123" s="270">
        <v>739</v>
      </c>
      <c r="D123" s="75" t="s">
        <v>357</v>
      </c>
      <c r="E123" s="75" t="s">
        <v>358</v>
      </c>
      <c r="F123" s="75" t="s">
        <v>359</v>
      </c>
      <c r="G123" s="75" t="s">
        <v>69</v>
      </c>
      <c r="H123" s="75">
        <v>18.343233000000001</v>
      </c>
      <c r="I123" s="75">
        <v>-64.687667000000005</v>
      </c>
      <c r="J123" s="81">
        <v>44768</v>
      </c>
      <c r="K123" s="75" t="s">
        <v>361</v>
      </c>
      <c r="L123" s="75" t="s">
        <v>360</v>
      </c>
      <c r="M123" s="75">
        <v>1</v>
      </c>
      <c r="N123" s="75">
        <v>3</v>
      </c>
      <c r="O123" s="75" t="s">
        <v>362</v>
      </c>
      <c r="P123" s="75">
        <f>SUM(TreatmentUsed!E1544)</f>
        <v>283</v>
      </c>
      <c r="Q123" s="75">
        <v>0</v>
      </c>
      <c r="R123" s="75">
        <v>0</v>
      </c>
      <c r="S123" s="75">
        <v>0</v>
      </c>
      <c r="T123" s="75">
        <v>0</v>
      </c>
      <c r="U123" s="75">
        <v>0</v>
      </c>
      <c r="V123" s="75">
        <v>0</v>
      </c>
      <c r="W123" s="75">
        <v>0</v>
      </c>
      <c r="X123" s="75">
        <v>0</v>
      </c>
      <c r="Y123" s="75">
        <v>0</v>
      </c>
      <c r="Z123" s="75">
        <v>0</v>
      </c>
      <c r="AA123" s="75">
        <v>0</v>
      </c>
      <c r="AB123" s="75">
        <v>0</v>
      </c>
      <c r="AC123" s="75">
        <v>0</v>
      </c>
      <c r="AD123" s="75">
        <v>0</v>
      </c>
      <c r="AE123" s="75">
        <v>0</v>
      </c>
      <c r="AF123" s="75">
        <v>0</v>
      </c>
      <c r="AG123" s="75">
        <v>0</v>
      </c>
      <c r="AH123" s="75">
        <v>0</v>
      </c>
      <c r="AI123" s="75">
        <v>0</v>
      </c>
      <c r="AJ123" s="75">
        <v>0</v>
      </c>
      <c r="AK123" s="75">
        <v>0</v>
      </c>
      <c r="AL123" s="75">
        <v>0</v>
      </c>
      <c r="AM123" s="75">
        <v>0</v>
      </c>
      <c r="AN123" s="75">
        <v>0</v>
      </c>
      <c r="AO123" s="75">
        <v>0</v>
      </c>
      <c r="AP123" s="75">
        <v>0</v>
      </c>
      <c r="AQ123" s="75">
        <v>0</v>
      </c>
      <c r="AR123" s="75">
        <v>0</v>
      </c>
      <c r="AS123" s="75">
        <v>0</v>
      </c>
      <c r="AT123" s="75">
        <v>0</v>
      </c>
      <c r="AU123" s="75">
        <v>0</v>
      </c>
      <c r="AV123" s="75">
        <v>0</v>
      </c>
      <c r="AW123" s="75">
        <v>0</v>
      </c>
      <c r="AX123" s="75">
        <v>0</v>
      </c>
      <c r="AY123" s="75">
        <v>1</v>
      </c>
      <c r="AZ123" s="75">
        <v>0</v>
      </c>
      <c r="BA123" s="75">
        <v>0</v>
      </c>
      <c r="BB123" s="75">
        <v>0</v>
      </c>
      <c r="BC123" s="75">
        <v>0</v>
      </c>
      <c r="BD123" s="75">
        <v>0</v>
      </c>
      <c r="BE123" s="75">
        <v>0</v>
      </c>
      <c r="BF123" s="75">
        <v>0</v>
      </c>
      <c r="BG123" s="75">
        <v>0</v>
      </c>
      <c r="BH123" s="75">
        <v>0</v>
      </c>
      <c r="BM123" s="75">
        <f t="shared" si="13"/>
        <v>0</v>
      </c>
      <c r="BN123" s="75">
        <f t="shared" si="16"/>
        <v>0</v>
      </c>
      <c r="BO123" s="75">
        <f t="shared" si="14"/>
        <v>1</v>
      </c>
      <c r="BP123" s="75">
        <f t="shared" si="15"/>
        <v>1</v>
      </c>
      <c r="BQ123" s="80" t="s">
        <v>462</v>
      </c>
      <c r="BT123" s="110">
        <v>0</v>
      </c>
    </row>
    <row r="124" spans="1:73" x14ac:dyDescent="0.75">
      <c r="C124" s="270">
        <v>741</v>
      </c>
      <c r="D124" s="75" t="s">
        <v>357</v>
      </c>
      <c r="E124" s="75" t="s">
        <v>358</v>
      </c>
      <c r="F124" s="75" t="s">
        <v>359</v>
      </c>
      <c r="G124" s="75" t="s">
        <v>69</v>
      </c>
      <c r="H124" s="75">
        <v>18.343233000000001</v>
      </c>
      <c r="I124" s="75">
        <v>-64.687667000000005</v>
      </c>
      <c r="J124" s="81">
        <v>44769</v>
      </c>
      <c r="K124" s="75" t="s">
        <v>361</v>
      </c>
      <c r="L124" s="75" t="s">
        <v>360</v>
      </c>
      <c r="M124" s="84">
        <v>4</v>
      </c>
      <c r="N124" s="75">
        <v>3</v>
      </c>
      <c r="O124" s="75" t="s">
        <v>362</v>
      </c>
      <c r="P124" s="75">
        <f>SUM(TreatmentUsed!E1545:E1583)</f>
        <v>253</v>
      </c>
      <c r="Q124" s="84">
        <v>0</v>
      </c>
      <c r="R124" s="75">
        <v>0</v>
      </c>
      <c r="S124" s="75">
        <v>0</v>
      </c>
      <c r="T124" s="75">
        <v>0</v>
      </c>
      <c r="U124" s="75">
        <v>0</v>
      </c>
      <c r="V124" s="75">
        <v>0</v>
      </c>
      <c r="W124" s="75">
        <v>0</v>
      </c>
      <c r="X124" s="75">
        <v>0</v>
      </c>
      <c r="Y124" s="75">
        <v>0</v>
      </c>
      <c r="Z124" s="75">
        <v>0</v>
      </c>
      <c r="AA124" s="75">
        <v>0</v>
      </c>
      <c r="AB124" s="75">
        <v>0</v>
      </c>
      <c r="AC124" s="75">
        <v>0</v>
      </c>
      <c r="AD124" s="75">
        <v>0</v>
      </c>
      <c r="AE124" s="75">
        <v>0</v>
      </c>
      <c r="AF124" s="75">
        <v>0</v>
      </c>
      <c r="AG124" s="75">
        <v>0</v>
      </c>
      <c r="AH124" s="75">
        <v>0</v>
      </c>
      <c r="AI124" s="75">
        <v>0</v>
      </c>
      <c r="AJ124" s="75">
        <v>0</v>
      </c>
      <c r="AK124" s="75">
        <v>0</v>
      </c>
      <c r="AL124" s="75">
        <v>0</v>
      </c>
      <c r="AM124" s="75">
        <v>0</v>
      </c>
      <c r="AN124" s="75">
        <v>0</v>
      </c>
      <c r="AO124" s="75">
        <v>0</v>
      </c>
      <c r="AP124" s="75">
        <v>0</v>
      </c>
      <c r="AQ124" s="75">
        <v>0</v>
      </c>
      <c r="AR124" s="75">
        <v>2</v>
      </c>
      <c r="AS124" s="75">
        <v>0</v>
      </c>
      <c r="AT124" s="75">
        <v>0</v>
      </c>
      <c r="AU124" s="75">
        <v>0</v>
      </c>
      <c r="AV124" s="75">
        <v>0</v>
      </c>
      <c r="AW124" s="75">
        <v>0</v>
      </c>
      <c r="AX124" s="75">
        <v>0</v>
      </c>
      <c r="AY124" s="75">
        <v>15</v>
      </c>
      <c r="AZ124" s="84">
        <v>12</v>
      </c>
      <c r="BA124" s="84">
        <v>6</v>
      </c>
      <c r="BB124" s="84">
        <v>3</v>
      </c>
      <c r="BC124" s="75">
        <v>1</v>
      </c>
      <c r="BD124" s="75">
        <v>0</v>
      </c>
      <c r="BE124" s="75">
        <v>0</v>
      </c>
      <c r="BF124" s="75">
        <v>0</v>
      </c>
      <c r="BG124" s="75">
        <v>0</v>
      </c>
      <c r="BH124" s="75">
        <v>0</v>
      </c>
      <c r="BM124" s="75">
        <f t="shared" si="13"/>
        <v>0</v>
      </c>
      <c r="BN124" s="75">
        <f t="shared" si="16"/>
        <v>0</v>
      </c>
      <c r="BO124" s="75">
        <f t="shared" si="14"/>
        <v>39</v>
      </c>
      <c r="BP124" s="84">
        <f t="shared" si="15"/>
        <v>39</v>
      </c>
      <c r="BQ124" s="85" t="s">
        <v>463</v>
      </c>
      <c r="BR124" s="252" t="s">
        <v>464</v>
      </c>
      <c r="BT124" s="110">
        <v>0</v>
      </c>
    </row>
    <row r="125" spans="1:73" x14ac:dyDescent="0.75">
      <c r="C125" s="270">
        <v>742</v>
      </c>
      <c r="D125" s="75" t="s">
        <v>357</v>
      </c>
      <c r="E125" s="75" t="s">
        <v>358</v>
      </c>
      <c r="F125" s="75" t="s">
        <v>359</v>
      </c>
      <c r="G125" s="75" t="s">
        <v>69</v>
      </c>
      <c r="H125" s="75">
        <v>18.343233000000001</v>
      </c>
      <c r="I125" s="75">
        <v>-64.687667000000005</v>
      </c>
      <c r="J125" s="81">
        <v>44769</v>
      </c>
      <c r="K125" s="75" t="s">
        <v>361</v>
      </c>
      <c r="L125" s="75" t="s">
        <v>360</v>
      </c>
      <c r="M125" s="75">
        <v>0</v>
      </c>
      <c r="N125" s="75">
        <v>3</v>
      </c>
      <c r="O125" s="75" t="s">
        <v>362</v>
      </c>
      <c r="P125" s="75">
        <f>SUM(TreatmentUsed!E1584:E1605)</f>
        <v>554</v>
      </c>
      <c r="Q125" s="84">
        <v>0</v>
      </c>
      <c r="R125" s="75">
        <v>0</v>
      </c>
      <c r="S125" s="75">
        <v>0</v>
      </c>
      <c r="T125" s="75">
        <v>0</v>
      </c>
      <c r="U125" s="75">
        <v>0</v>
      </c>
      <c r="V125" s="75">
        <v>0</v>
      </c>
      <c r="W125" s="75">
        <v>0</v>
      </c>
      <c r="X125" s="75">
        <v>0</v>
      </c>
      <c r="Y125" s="75">
        <v>0</v>
      </c>
      <c r="Z125" s="75">
        <v>0</v>
      </c>
      <c r="AA125" s="75">
        <v>0</v>
      </c>
      <c r="AB125" s="75">
        <v>0</v>
      </c>
      <c r="AC125" s="75">
        <v>0</v>
      </c>
      <c r="AD125" s="75">
        <v>0</v>
      </c>
      <c r="AE125" s="75">
        <v>0</v>
      </c>
      <c r="AF125" s="75">
        <v>0</v>
      </c>
      <c r="AG125" s="75">
        <v>0</v>
      </c>
      <c r="AH125" s="75">
        <v>0</v>
      </c>
      <c r="AI125" s="75">
        <v>0</v>
      </c>
      <c r="AJ125" s="75">
        <v>0</v>
      </c>
      <c r="AK125" s="75">
        <v>0</v>
      </c>
      <c r="AL125" s="75">
        <v>0</v>
      </c>
      <c r="AM125" s="75">
        <v>0</v>
      </c>
      <c r="AN125" s="75">
        <v>0</v>
      </c>
      <c r="AO125" s="75">
        <v>0</v>
      </c>
      <c r="AP125" s="75">
        <v>0</v>
      </c>
      <c r="AQ125" s="75">
        <v>0</v>
      </c>
      <c r="AR125" s="75">
        <v>0</v>
      </c>
      <c r="AS125" s="75">
        <v>2</v>
      </c>
      <c r="AT125" s="75">
        <v>0</v>
      </c>
      <c r="AU125" s="75">
        <v>0</v>
      </c>
      <c r="AV125" s="75">
        <v>0</v>
      </c>
      <c r="AW125" s="75">
        <v>0</v>
      </c>
      <c r="AX125" s="75">
        <v>0</v>
      </c>
      <c r="AY125" s="84">
        <v>4</v>
      </c>
      <c r="AZ125" s="84">
        <v>9</v>
      </c>
      <c r="BA125" s="84">
        <v>5</v>
      </c>
      <c r="BB125" s="84">
        <v>0</v>
      </c>
      <c r="BC125" s="75">
        <v>3</v>
      </c>
      <c r="BD125" s="75">
        <v>0</v>
      </c>
      <c r="BE125" s="75">
        <v>0</v>
      </c>
      <c r="BF125" s="75">
        <v>1</v>
      </c>
      <c r="BG125" s="75">
        <v>0</v>
      </c>
      <c r="BH125" s="75">
        <v>0</v>
      </c>
      <c r="BM125" s="75">
        <f t="shared" si="13"/>
        <v>0</v>
      </c>
      <c r="BN125" s="75">
        <f t="shared" si="16"/>
        <v>0</v>
      </c>
      <c r="BO125" s="75">
        <f t="shared" si="14"/>
        <v>24</v>
      </c>
      <c r="BP125" s="84">
        <f t="shared" si="15"/>
        <v>24</v>
      </c>
      <c r="BQ125" s="85" t="s">
        <v>465</v>
      </c>
      <c r="BR125" s="252"/>
      <c r="BT125" s="110">
        <v>0</v>
      </c>
    </row>
    <row r="126" spans="1:73" x14ac:dyDescent="0.75">
      <c r="A126"/>
      <c r="B126"/>
      <c r="C126" s="270">
        <v>743</v>
      </c>
      <c r="D126" s="75" t="s">
        <v>357</v>
      </c>
      <c r="E126" s="75" t="s">
        <v>358</v>
      </c>
      <c r="F126" s="75" t="s">
        <v>359</v>
      </c>
      <c r="G126" s="75" t="s">
        <v>74</v>
      </c>
      <c r="H126" s="75">
        <v>18.342904000000001</v>
      </c>
      <c r="I126" s="75">
        <v>-64.676987999999994</v>
      </c>
      <c r="J126" s="81">
        <v>44769</v>
      </c>
      <c r="K126" s="75" t="s">
        <v>374</v>
      </c>
      <c r="L126" s="75" t="s">
        <v>360</v>
      </c>
      <c r="M126" s="75">
        <v>0</v>
      </c>
      <c r="N126" s="75">
        <v>3</v>
      </c>
      <c r="O126" s="75" t="s">
        <v>362</v>
      </c>
      <c r="P126" s="75">
        <f>SUM(TreatmentUsed!E1606:E1620)</f>
        <v>182</v>
      </c>
      <c r="Q126" s="84">
        <v>0</v>
      </c>
      <c r="R126" s="75">
        <v>0</v>
      </c>
      <c r="S126" s="75">
        <v>0</v>
      </c>
      <c r="T126" s="75">
        <v>0</v>
      </c>
      <c r="U126" s="75">
        <v>0</v>
      </c>
      <c r="V126" s="75">
        <v>0</v>
      </c>
      <c r="W126" s="75">
        <v>0</v>
      </c>
      <c r="X126" s="75">
        <v>0</v>
      </c>
      <c r="Y126" s="75">
        <v>0</v>
      </c>
      <c r="Z126" s="75">
        <v>0</v>
      </c>
      <c r="AA126" s="75">
        <v>0</v>
      </c>
      <c r="AB126" s="75">
        <v>0</v>
      </c>
      <c r="AC126" s="75">
        <v>0</v>
      </c>
      <c r="AD126" s="75">
        <v>0</v>
      </c>
      <c r="AE126" s="75">
        <v>0</v>
      </c>
      <c r="AF126" s="75">
        <v>0</v>
      </c>
      <c r="AG126" s="75">
        <v>0</v>
      </c>
      <c r="AH126" s="75">
        <v>0</v>
      </c>
      <c r="AI126" s="75">
        <v>0</v>
      </c>
      <c r="AJ126" s="75">
        <v>0</v>
      </c>
      <c r="AK126" s="75">
        <v>0</v>
      </c>
      <c r="AL126" s="75">
        <v>0</v>
      </c>
      <c r="AM126" s="75">
        <v>0</v>
      </c>
      <c r="AN126" s="75">
        <v>0</v>
      </c>
      <c r="AO126" s="75">
        <v>0</v>
      </c>
      <c r="AP126" s="75">
        <v>0</v>
      </c>
      <c r="AQ126" s="75">
        <v>2</v>
      </c>
      <c r="AR126" s="75">
        <v>1</v>
      </c>
      <c r="AS126" s="75">
        <v>1</v>
      </c>
      <c r="AT126" s="75">
        <v>0</v>
      </c>
      <c r="AU126" s="75">
        <v>4</v>
      </c>
      <c r="AV126" s="75">
        <v>0</v>
      </c>
      <c r="AW126" s="75">
        <v>0</v>
      </c>
      <c r="AX126" s="75">
        <v>0</v>
      </c>
      <c r="AY126" s="75">
        <v>2</v>
      </c>
      <c r="AZ126" s="75">
        <v>0</v>
      </c>
      <c r="BA126" s="75">
        <v>1</v>
      </c>
      <c r="BB126" s="75">
        <v>0</v>
      </c>
      <c r="BC126" s="75">
        <v>2</v>
      </c>
      <c r="BD126" s="75">
        <v>0</v>
      </c>
      <c r="BE126" s="75">
        <v>0</v>
      </c>
      <c r="BF126" s="75">
        <v>2</v>
      </c>
      <c r="BG126" s="75">
        <v>0</v>
      </c>
      <c r="BH126" s="75">
        <v>0</v>
      </c>
      <c r="BM126" s="75">
        <f t="shared" si="13"/>
        <v>0</v>
      </c>
      <c r="BN126" s="75">
        <f t="shared" si="16"/>
        <v>0</v>
      </c>
      <c r="BO126" s="75">
        <f t="shared" si="14"/>
        <v>15</v>
      </c>
      <c r="BP126" s="75">
        <f t="shared" si="15"/>
        <v>15</v>
      </c>
      <c r="BR126" s="138" t="s">
        <v>363</v>
      </c>
      <c r="BT126" s="110">
        <v>0</v>
      </c>
    </row>
    <row r="127" spans="1:73" x14ac:dyDescent="0.75">
      <c r="C127" s="270">
        <v>744</v>
      </c>
      <c r="D127" s="75" t="s">
        <v>357</v>
      </c>
      <c r="E127" s="75" t="s">
        <v>358</v>
      </c>
      <c r="F127" s="75" t="s">
        <v>359</v>
      </c>
      <c r="G127" s="75" t="s">
        <v>28</v>
      </c>
      <c r="H127" s="75">
        <v>18.315639999999998</v>
      </c>
      <c r="I127" s="75">
        <v>-64.725899999999996</v>
      </c>
      <c r="J127" s="81">
        <v>44770</v>
      </c>
      <c r="K127" s="75" t="s">
        <v>367</v>
      </c>
      <c r="L127" s="75" t="s">
        <v>360</v>
      </c>
      <c r="M127" s="75">
        <v>0</v>
      </c>
      <c r="N127" s="75">
        <v>3</v>
      </c>
      <c r="O127" s="75" t="s">
        <v>362</v>
      </c>
      <c r="P127" s="75">
        <f>SUM(TreatmentUsed!E1621:E1642)</f>
        <v>140</v>
      </c>
      <c r="Q127" s="84">
        <f>111/3</f>
        <v>37</v>
      </c>
      <c r="R127" s="75">
        <v>0</v>
      </c>
      <c r="S127" s="75">
        <v>0</v>
      </c>
      <c r="T127" s="75">
        <v>0</v>
      </c>
      <c r="U127" s="75">
        <v>0</v>
      </c>
      <c r="V127" s="75">
        <v>0</v>
      </c>
      <c r="W127" s="75">
        <v>0</v>
      </c>
      <c r="X127" s="75">
        <v>0</v>
      </c>
      <c r="Y127" s="75">
        <v>0</v>
      </c>
      <c r="Z127" s="75">
        <v>0</v>
      </c>
      <c r="AA127" s="75">
        <v>0</v>
      </c>
      <c r="AB127" s="75">
        <v>0</v>
      </c>
      <c r="AC127" s="75">
        <v>0</v>
      </c>
      <c r="AD127" s="75">
        <v>0</v>
      </c>
      <c r="AE127" s="75">
        <v>0</v>
      </c>
      <c r="AF127" s="75">
        <v>0</v>
      </c>
      <c r="AG127" s="75">
        <v>0</v>
      </c>
      <c r="AH127" s="75">
        <v>0</v>
      </c>
      <c r="AI127" s="75">
        <v>0</v>
      </c>
      <c r="AJ127" s="75">
        <v>0</v>
      </c>
      <c r="AK127" s="75">
        <v>0</v>
      </c>
      <c r="AL127" s="75">
        <v>0</v>
      </c>
      <c r="AM127" s="75">
        <v>0</v>
      </c>
      <c r="AN127" s="75">
        <v>0</v>
      </c>
      <c r="AO127" s="75">
        <v>1</v>
      </c>
      <c r="AP127" s="75">
        <v>0</v>
      </c>
      <c r="AQ127" s="75">
        <v>0</v>
      </c>
      <c r="AR127" s="75">
        <v>0</v>
      </c>
      <c r="AS127" s="75">
        <v>0</v>
      </c>
      <c r="AT127" s="75">
        <v>0</v>
      </c>
      <c r="AU127" s="75">
        <v>0</v>
      </c>
      <c r="AV127" s="75">
        <v>0</v>
      </c>
      <c r="AW127" s="75">
        <v>0</v>
      </c>
      <c r="AX127" s="75">
        <v>0</v>
      </c>
      <c r="AY127" s="75">
        <v>7</v>
      </c>
      <c r="AZ127" s="84">
        <v>6</v>
      </c>
      <c r="BA127" s="84">
        <v>1</v>
      </c>
      <c r="BB127" s="75">
        <v>0</v>
      </c>
      <c r="BC127" s="75">
        <v>0</v>
      </c>
      <c r="BD127" s="75">
        <v>0</v>
      </c>
      <c r="BE127" s="75">
        <v>0</v>
      </c>
      <c r="BF127" s="84">
        <v>5</v>
      </c>
      <c r="BG127" s="75">
        <v>0</v>
      </c>
      <c r="BH127" s="84">
        <v>2</v>
      </c>
      <c r="BI127" s="84"/>
      <c r="BJ127" s="84"/>
      <c r="BK127" s="84"/>
      <c r="BM127" s="75">
        <f t="shared" ref="BM127:BM190" si="17">SUM(R127:AD127)</f>
        <v>0</v>
      </c>
      <c r="BN127" s="75">
        <f t="shared" ref="BN127:BN190" si="18">SUM(AE127:AN127)</f>
        <v>0</v>
      </c>
      <c r="BO127" s="75">
        <f t="shared" si="14"/>
        <v>22</v>
      </c>
      <c r="BP127" s="84">
        <f t="shared" si="15"/>
        <v>22</v>
      </c>
      <c r="BQ127" s="80" t="s">
        <v>466</v>
      </c>
      <c r="BR127" s="252">
        <v>4190</v>
      </c>
      <c r="BT127" s="110">
        <v>0</v>
      </c>
    </row>
    <row r="128" spans="1:73" x14ac:dyDescent="0.75">
      <c r="C128" s="270">
        <v>745</v>
      </c>
      <c r="D128" s="75" t="s">
        <v>357</v>
      </c>
      <c r="E128" s="75" t="s">
        <v>358</v>
      </c>
      <c r="F128" s="75" t="s">
        <v>359</v>
      </c>
      <c r="G128" s="75" t="s">
        <v>28</v>
      </c>
      <c r="H128" s="75">
        <v>18.315639999999998</v>
      </c>
      <c r="I128" s="75">
        <v>-64.725899999999996</v>
      </c>
      <c r="J128" s="81">
        <v>44770</v>
      </c>
      <c r="K128" s="75" t="s">
        <v>367</v>
      </c>
      <c r="L128" s="75" t="s">
        <v>360</v>
      </c>
      <c r="M128" s="75">
        <v>0</v>
      </c>
      <c r="N128" s="75">
        <v>3</v>
      </c>
      <c r="O128" s="75" t="s">
        <v>362</v>
      </c>
      <c r="P128" s="75">
        <f>SUM(TreatmentUsed!E1643:E1675)</f>
        <v>167</v>
      </c>
      <c r="Q128" s="84">
        <f>111/3</f>
        <v>37</v>
      </c>
      <c r="R128" s="75">
        <v>0</v>
      </c>
      <c r="S128" s="75">
        <v>0</v>
      </c>
      <c r="T128" s="75">
        <v>0</v>
      </c>
      <c r="U128" s="75">
        <v>0</v>
      </c>
      <c r="V128" s="75">
        <v>0</v>
      </c>
      <c r="W128" s="75">
        <v>0</v>
      </c>
      <c r="X128" s="75">
        <v>0</v>
      </c>
      <c r="Y128" s="75">
        <v>0</v>
      </c>
      <c r="Z128" s="75">
        <v>0</v>
      </c>
      <c r="AA128" s="75">
        <v>0</v>
      </c>
      <c r="AB128" s="75">
        <v>0</v>
      </c>
      <c r="AC128" s="75">
        <v>0</v>
      </c>
      <c r="AD128" s="75">
        <v>0</v>
      </c>
      <c r="AE128" s="75">
        <v>0</v>
      </c>
      <c r="AF128" s="75">
        <v>0</v>
      </c>
      <c r="AG128" s="75">
        <v>0</v>
      </c>
      <c r="AH128" s="75">
        <v>0</v>
      </c>
      <c r="AI128" s="75">
        <v>0</v>
      </c>
      <c r="AJ128" s="75">
        <v>0</v>
      </c>
      <c r="AK128" s="75">
        <v>0</v>
      </c>
      <c r="AL128" s="75">
        <v>0</v>
      </c>
      <c r="AM128" s="75">
        <v>0</v>
      </c>
      <c r="AN128" s="75">
        <v>0</v>
      </c>
      <c r="AO128" s="75">
        <v>1</v>
      </c>
      <c r="AP128" s="75">
        <v>0</v>
      </c>
      <c r="AQ128" s="75">
        <v>0</v>
      </c>
      <c r="AR128" s="75">
        <v>0</v>
      </c>
      <c r="AS128" s="84">
        <v>5</v>
      </c>
      <c r="AT128" s="75">
        <v>0</v>
      </c>
      <c r="AU128" s="75">
        <v>1</v>
      </c>
      <c r="AV128" s="75">
        <v>0</v>
      </c>
      <c r="AW128" s="75">
        <v>0</v>
      </c>
      <c r="AX128" s="75">
        <v>0</v>
      </c>
      <c r="AY128" s="84">
        <v>16</v>
      </c>
      <c r="AZ128" s="84">
        <v>6</v>
      </c>
      <c r="BA128" s="84">
        <v>1</v>
      </c>
      <c r="BB128" s="75">
        <v>1</v>
      </c>
      <c r="BC128" s="75">
        <v>0</v>
      </c>
      <c r="BD128" s="75">
        <v>0</v>
      </c>
      <c r="BE128" s="75">
        <v>0</v>
      </c>
      <c r="BF128" s="75">
        <v>2</v>
      </c>
      <c r="BG128" s="75">
        <v>0</v>
      </c>
      <c r="BH128" s="75">
        <v>0</v>
      </c>
      <c r="BM128" s="75">
        <f t="shared" si="17"/>
        <v>0</v>
      </c>
      <c r="BN128" s="75">
        <f t="shared" si="18"/>
        <v>0</v>
      </c>
      <c r="BO128" s="75">
        <f t="shared" si="14"/>
        <v>33</v>
      </c>
      <c r="BP128" s="84">
        <f t="shared" si="15"/>
        <v>33</v>
      </c>
      <c r="BR128" s="252" t="s">
        <v>467</v>
      </c>
      <c r="BT128" s="110">
        <v>0</v>
      </c>
    </row>
    <row r="129" spans="1:74" x14ac:dyDescent="0.75">
      <c r="C129" s="270">
        <v>746</v>
      </c>
      <c r="D129" s="75" t="s">
        <v>357</v>
      </c>
      <c r="E129" s="75" t="s">
        <v>358</v>
      </c>
      <c r="F129" s="75" t="s">
        <v>359</v>
      </c>
      <c r="G129" s="75" t="s">
        <v>28</v>
      </c>
      <c r="H129" s="75">
        <v>18.315639999999998</v>
      </c>
      <c r="I129" s="75">
        <v>-64.725899999999996</v>
      </c>
      <c r="J129" s="81">
        <v>44770</v>
      </c>
      <c r="K129" s="75" t="s">
        <v>367</v>
      </c>
      <c r="L129" s="75" t="s">
        <v>360</v>
      </c>
      <c r="M129" s="75">
        <v>0</v>
      </c>
      <c r="N129" s="75">
        <v>3</v>
      </c>
      <c r="O129" s="75" t="s">
        <v>362</v>
      </c>
      <c r="P129" s="75">
        <f>SUM(TreatmentUsed!E1676:E1679)</f>
        <v>37</v>
      </c>
      <c r="Q129" s="84">
        <f>111/3</f>
        <v>37</v>
      </c>
      <c r="R129" s="75">
        <v>0</v>
      </c>
      <c r="S129" s="75">
        <v>0</v>
      </c>
      <c r="T129" s="75">
        <v>0</v>
      </c>
      <c r="U129" s="75">
        <v>0</v>
      </c>
      <c r="V129" s="75">
        <v>0</v>
      </c>
      <c r="W129" s="75">
        <v>0</v>
      </c>
      <c r="X129" s="75">
        <v>0</v>
      </c>
      <c r="Y129" s="75">
        <v>0</v>
      </c>
      <c r="Z129" s="75">
        <v>0</v>
      </c>
      <c r="AA129" s="75">
        <v>0</v>
      </c>
      <c r="AB129" s="75">
        <v>0</v>
      </c>
      <c r="AC129" s="75">
        <v>0</v>
      </c>
      <c r="AD129" s="75">
        <v>0</v>
      </c>
      <c r="AE129" s="75">
        <v>0</v>
      </c>
      <c r="AF129" s="75">
        <v>0</v>
      </c>
      <c r="AG129" s="75">
        <v>0</v>
      </c>
      <c r="AH129" s="75">
        <v>0</v>
      </c>
      <c r="AI129" s="75">
        <v>0</v>
      </c>
      <c r="AJ129" s="75">
        <v>0</v>
      </c>
      <c r="AK129" s="75">
        <v>0</v>
      </c>
      <c r="AL129" s="75">
        <v>0</v>
      </c>
      <c r="AM129" s="75">
        <v>0</v>
      </c>
      <c r="AN129" s="75">
        <v>0</v>
      </c>
      <c r="AO129" s="75">
        <v>0</v>
      </c>
      <c r="AP129" s="75">
        <v>0</v>
      </c>
      <c r="AQ129" s="75">
        <v>0</v>
      </c>
      <c r="AR129" s="84">
        <v>0</v>
      </c>
      <c r="AS129" s="84">
        <v>1</v>
      </c>
      <c r="AT129" s="84">
        <v>3</v>
      </c>
      <c r="AU129" s="75">
        <v>0</v>
      </c>
      <c r="AV129" s="75">
        <v>0</v>
      </c>
      <c r="AW129" s="75">
        <v>0</v>
      </c>
      <c r="AX129" s="75">
        <v>0</v>
      </c>
      <c r="AY129" s="84">
        <v>0</v>
      </c>
      <c r="AZ129" s="84">
        <v>0</v>
      </c>
      <c r="BA129" s="84">
        <v>0</v>
      </c>
      <c r="BB129" s="75">
        <v>0</v>
      </c>
      <c r="BC129" s="75">
        <v>0</v>
      </c>
      <c r="BD129" s="75">
        <v>0</v>
      </c>
      <c r="BE129" s="75">
        <v>0</v>
      </c>
      <c r="BF129" s="75">
        <v>0</v>
      </c>
      <c r="BG129" s="75">
        <v>0</v>
      </c>
      <c r="BH129" s="75">
        <v>0</v>
      </c>
      <c r="BM129" s="75">
        <f t="shared" si="17"/>
        <v>0</v>
      </c>
      <c r="BN129" s="75">
        <f t="shared" si="18"/>
        <v>0</v>
      </c>
      <c r="BO129" s="75">
        <f t="shared" si="14"/>
        <v>4</v>
      </c>
      <c r="BP129" s="84">
        <f t="shared" si="15"/>
        <v>4</v>
      </c>
      <c r="BR129" s="138" t="s">
        <v>363</v>
      </c>
      <c r="BT129" s="110">
        <v>0</v>
      </c>
    </row>
    <row r="130" spans="1:74" s="205" customFormat="1" x14ac:dyDescent="0.75">
      <c r="A130" s="232"/>
      <c r="B130" s="235"/>
      <c r="C130" s="272">
        <v>759</v>
      </c>
      <c r="D130" s="225" t="s">
        <v>357</v>
      </c>
      <c r="E130" s="225" t="s">
        <v>358</v>
      </c>
      <c r="F130" s="225" t="s">
        <v>359</v>
      </c>
      <c r="G130" s="225" t="s">
        <v>48</v>
      </c>
      <c r="H130" s="225">
        <v>18.363399999999999</v>
      </c>
      <c r="I130" s="225">
        <v>-64.706067000000004</v>
      </c>
      <c r="J130" s="234">
        <v>44778</v>
      </c>
      <c r="K130" s="225" t="s">
        <v>367</v>
      </c>
      <c r="L130" s="225" t="s">
        <v>360</v>
      </c>
      <c r="M130" s="225">
        <v>0</v>
      </c>
      <c r="N130" s="225">
        <v>2</v>
      </c>
      <c r="O130" s="225" t="s">
        <v>362</v>
      </c>
      <c r="P130" s="236">
        <f>SUM(TreatmentUsed!E1680:E1701)</f>
        <v>213</v>
      </c>
      <c r="Q130" s="225">
        <f>60/3</f>
        <v>20</v>
      </c>
      <c r="R130" s="225">
        <v>0</v>
      </c>
      <c r="S130" s="225">
        <v>0</v>
      </c>
      <c r="T130" s="225">
        <v>0</v>
      </c>
      <c r="U130" s="225">
        <v>0</v>
      </c>
      <c r="V130" s="225">
        <v>0</v>
      </c>
      <c r="W130" s="225">
        <v>0</v>
      </c>
      <c r="X130" s="225">
        <v>0</v>
      </c>
      <c r="Y130" s="225">
        <v>0</v>
      </c>
      <c r="Z130" s="225">
        <v>0</v>
      </c>
      <c r="AA130" s="225">
        <v>0</v>
      </c>
      <c r="AB130" s="225">
        <v>0</v>
      </c>
      <c r="AC130" s="225">
        <v>0</v>
      </c>
      <c r="AD130" s="225">
        <v>0</v>
      </c>
      <c r="AE130" s="225">
        <v>0</v>
      </c>
      <c r="AF130" s="225">
        <v>0</v>
      </c>
      <c r="AG130" s="225">
        <v>0</v>
      </c>
      <c r="AH130" s="225">
        <v>0</v>
      </c>
      <c r="AI130" s="225">
        <v>0</v>
      </c>
      <c r="AJ130" s="225">
        <v>0</v>
      </c>
      <c r="AK130" s="225">
        <v>0</v>
      </c>
      <c r="AL130" s="225">
        <v>0</v>
      </c>
      <c r="AM130" s="225">
        <v>0</v>
      </c>
      <c r="AN130" s="225">
        <v>0</v>
      </c>
      <c r="AO130" s="225">
        <v>0</v>
      </c>
      <c r="AP130" s="225">
        <v>0</v>
      </c>
      <c r="AQ130" s="225">
        <v>0</v>
      </c>
      <c r="AR130" s="225">
        <v>0</v>
      </c>
      <c r="AS130" s="225">
        <v>1</v>
      </c>
      <c r="AT130" s="225">
        <v>0</v>
      </c>
      <c r="AU130" s="225">
        <v>0</v>
      </c>
      <c r="AV130" s="225">
        <v>0</v>
      </c>
      <c r="AW130" s="225">
        <v>0</v>
      </c>
      <c r="AX130" s="225">
        <v>0</v>
      </c>
      <c r="AY130" s="233">
        <v>10</v>
      </c>
      <c r="AZ130" s="225">
        <v>1</v>
      </c>
      <c r="BA130" s="233">
        <v>6</v>
      </c>
      <c r="BB130" s="233">
        <v>2</v>
      </c>
      <c r="BC130" s="225">
        <v>0</v>
      </c>
      <c r="BD130" s="225">
        <v>0</v>
      </c>
      <c r="BE130" s="225">
        <v>0</v>
      </c>
      <c r="BF130" s="225">
        <v>1</v>
      </c>
      <c r="BG130" s="225">
        <v>0</v>
      </c>
      <c r="BH130" s="225">
        <v>1</v>
      </c>
      <c r="BI130" s="225"/>
      <c r="BJ130" s="225"/>
      <c r="BK130" s="225"/>
      <c r="BL130" s="225"/>
      <c r="BM130" s="225">
        <f t="shared" si="17"/>
        <v>0</v>
      </c>
      <c r="BN130" s="225">
        <f t="shared" si="18"/>
        <v>0</v>
      </c>
      <c r="BO130" s="225">
        <f t="shared" si="14"/>
        <v>22</v>
      </c>
      <c r="BP130" s="233">
        <f t="shared" si="15"/>
        <v>22</v>
      </c>
      <c r="BQ130" s="229" t="s">
        <v>468</v>
      </c>
      <c r="BR130" s="249" t="s">
        <v>363</v>
      </c>
      <c r="BS130" s="230"/>
      <c r="BT130" s="110">
        <v>0</v>
      </c>
      <c r="BU130" s="225"/>
      <c r="BV130" s="225"/>
    </row>
    <row r="131" spans="1:74" x14ac:dyDescent="0.75">
      <c r="C131" s="270">
        <v>760</v>
      </c>
      <c r="D131" s="75" t="s">
        <v>357</v>
      </c>
      <c r="E131" s="75" t="s">
        <v>358</v>
      </c>
      <c r="F131" s="75" t="s">
        <v>359</v>
      </c>
      <c r="G131" s="75" t="s">
        <v>44</v>
      </c>
      <c r="H131" s="75">
        <v>18.364650000000001</v>
      </c>
      <c r="I131" s="75">
        <v>-64.726183000000006</v>
      </c>
      <c r="J131" s="81">
        <v>44778</v>
      </c>
      <c r="K131" s="75" t="s">
        <v>367</v>
      </c>
      <c r="L131" s="75" t="s">
        <v>360</v>
      </c>
      <c r="M131" s="75">
        <v>0</v>
      </c>
      <c r="N131" s="75">
        <v>2</v>
      </c>
      <c r="O131" s="75" t="s">
        <v>362</v>
      </c>
      <c r="P131" s="88">
        <f>SUM(TreatmentUsed!E1702:E1717)</f>
        <v>53</v>
      </c>
      <c r="Q131" s="75">
        <f>60/3</f>
        <v>20</v>
      </c>
      <c r="R131" s="75">
        <v>0</v>
      </c>
      <c r="S131" s="75">
        <v>0</v>
      </c>
      <c r="T131" s="75">
        <v>0</v>
      </c>
      <c r="U131" s="75">
        <v>0</v>
      </c>
      <c r="V131" s="75">
        <v>0</v>
      </c>
      <c r="W131" s="75">
        <v>0</v>
      </c>
      <c r="X131" s="75">
        <v>0</v>
      </c>
      <c r="Y131" s="75">
        <v>0</v>
      </c>
      <c r="Z131" s="75">
        <v>0</v>
      </c>
      <c r="AA131" s="75">
        <v>0</v>
      </c>
      <c r="AB131" s="75">
        <v>0</v>
      </c>
      <c r="AC131" s="75">
        <v>0</v>
      </c>
      <c r="AD131" s="75">
        <v>0</v>
      </c>
      <c r="AE131" s="75">
        <v>0</v>
      </c>
      <c r="AF131" s="75">
        <v>0</v>
      </c>
      <c r="AG131" s="75">
        <v>0</v>
      </c>
      <c r="AH131" s="75">
        <v>0</v>
      </c>
      <c r="AI131" s="75">
        <v>0</v>
      </c>
      <c r="AJ131" s="75">
        <v>0</v>
      </c>
      <c r="AK131" s="75">
        <v>0</v>
      </c>
      <c r="AL131" s="75">
        <v>0</v>
      </c>
      <c r="AM131" s="75">
        <v>0</v>
      </c>
      <c r="AN131" s="75">
        <v>0</v>
      </c>
      <c r="AO131" s="75">
        <v>0</v>
      </c>
      <c r="AP131" s="75">
        <v>0</v>
      </c>
      <c r="AQ131" s="75">
        <v>0</v>
      </c>
      <c r="AR131" s="75">
        <v>0</v>
      </c>
      <c r="AS131" s="75">
        <v>0</v>
      </c>
      <c r="AT131" s="75">
        <v>0</v>
      </c>
      <c r="AU131" s="75">
        <v>1</v>
      </c>
      <c r="AV131" s="75">
        <v>0</v>
      </c>
      <c r="AW131" s="75">
        <v>0</v>
      </c>
      <c r="AX131" s="75">
        <v>0</v>
      </c>
      <c r="AY131" s="75">
        <v>1</v>
      </c>
      <c r="AZ131" s="84">
        <v>3</v>
      </c>
      <c r="BA131" s="84">
        <v>0</v>
      </c>
      <c r="BB131" s="75">
        <v>0</v>
      </c>
      <c r="BC131" s="84">
        <v>6</v>
      </c>
      <c r="BD131" s="84">
        <v>2</v>
      </c>
      <c r="BE131" s="84">
        <v>0</v>
      </c>
      <c r="BF131" s="75">
        <v>1</v>
      </c>
      <c r="BG131" s="75">
        <v>0</v>
      </c>
      <c r="BH131" s="75">
        <v>1</v>
      </c>
      <c r="BM131" s="75">
        <f t="shared" si="17"/>
        <v>0</v>
      </c>
      <c r="BN131" s="75">
        <f t="shared" si="18"/>
        <v>0</v>
      </c>
      <c r="BO131" s="75">
        <f t="shared" ref="BO131:BO162" si="19">SUM(AO131:BH131)</f>
        <v>15</v>
      </c>
      <c r="BP131" s="84">
        <f t="shared" ref="BP131:BP162" si="20">SUM(R131:BH131)</f>
        <v>15</v>
      </c>
      <c r="BQ131" s="80" t="s">
        <v>469</v>
      </c>
      <c r="BR131" s="252" t="s">
        <v>470</v>
      </c>
      <c r="BT131" s="110">
        <v>0</v>
      </c>
    </row>
    <row r="132" spans="1:74" x14ac:dyDescent="0.75">
      <c r="C132" s="270">
        <v>761</v>
      </c>
      <c r="D132" s="75" t="s">
        <v>357</v>
      </c>
      <c r="E132" s="75" t="s">
        <v>358</v>
      </c>
      <c r="F132" s="75" t="s">
        <v>359</v>
      </c>
      <c r="G132" s="75" t="s">
        <v>60</v>
      </c>
      <c r="H132" s="75">
        <v>18.367850000000001</v>
      </c>
      <c r="I132" s="75">
        <v>-64.732933000000003</v>
      </c>
      <c r="J132" s="81">
        <v>44778</v>
      </c>
      <c r="K132" s="75" t="s">
        <v>367</v>
      </c>
      <c r="L132" s="75" t="s">
        <v>360</v>
      </c>
      <c r="M132" s="75">
        <v>0</v>
      </c>
      <c r="N132" s="75">
        <v>2</v>
      </c>
      <c r="O132" s="75" t="s">
        <v>362</v>
      </c>
      <c r="P132" s="88">
        <f>SUM(TreatmentUsed!E1718:E1735)</f>
        <v>125</v>
      </c>
      <c r="Q132" s="75">
        <f>60/3</f>
        <v>20</v>
      </c>
      <c r="R132" s="75">
        <v>0</v>
      </c>
      <c r="S132" s="75">
        <v>0</v>
      </c>
      <c r="T132" s="75">
        <v>0</v>
      </c>
      <c r="U132" s="75">
        <v>0</v>
      </c>
      <c r="V132" s="75">
        <v>0</v>
      </c>
      <c r="W132" s="75">
        <v>0</v>
      </c>
      <c r="X132" s="75">
        <v>0</v>
      </c>
      <c r="Y132" s="75">
        <v>0</v>
      </c>
      <c r="Z132" s="75">
        <v>0</v>
      </c>
      <c r="AA132" s="75">
        <v>0</v>
      </c>
      <c r="AB132" s="75">
        <v>0</v>
      </c>
      <c r="AC132" s="75">
        <v>0</v>
      </c>
      <c r="AD132" s="75">
        <v>0</v>
      </c>
      <c r="AE132" s="75">
        <v>0</v>
      </c>
      <c r="AF132" s="75">
        <v>0</v>
      </c>
      <c r="AG132" s="75">
        <v>0</v>
      </c>
      <c r="AH132" s="75">
        <v>0</v>
      </c>
      <c r="AI132" s="75">
        <v>0</v>
      </c>
      <c r="AJ132" s="75">
        <v>0</v>
      </c>
      <c r="AK132" s="75">
        <v>0</v>
      </c>
      <c r="AL132" s="75">
        <v>0</v>
      </c>
      <c r="AM132" s="75">
        <v>0</v>
      </c>
      <c r="AN132" s="75">
        <v>0</v>
      </c>
      <c r="AO132" s="75">
        <v>0</v>
      </c>
      <c r="AP132" s="75">
        <v>0</v>
      </c>
      <c r="AQ132" s="75">
        <v>0</v>
      </c>
      <c r="AR132" s="75">
        <v>0</v>
      </c>
      <c r="AS132" s="75">
        <v>0</v>
      </c>
      <c r="AT132" s="75">
        <v>0</v>
      </c>
      <c r="AU132" s="75">
        <v>0</v>
      </c>
      <c r="AV132" s="75">
        <v>0</v>
      </c>
      <c r="AW132" s="75">
        <v>0</v>
      </c>
      <c r="AX132" s="75">
        <v>0</v>
      </c>
      <c r="AY132" s="84">
        <v>12</v>
      </c>
      <c r="AZ132" s="84">
        <v>3</v>
      </c>
      <c r="BA132" s="84">
        <v>1</v>
      </c>
      <c r="BB132" s="75">
        <v>0</v>
      </c>
      <c r="BC132" s="75">
        <v>0</v>
      </c>
      <c r="BD132" s="75">
        <v>0</v>
      </c>
      <c r="BE132" s="75">
        <v>0</v>
      </c>
      <c r="BF132" s="75">
        <v>2</v>
      </c>
      <c r="BG132" s="75">
        <v>0</v>
      </c>
      <c r="BH132" s="75">
        <v>0</v>
      </c>
      <c r="BM132" s="75">
        <f t="shared" si="17"/>
        <v>0</v>
      </c>
      <c r="BN132" s="75">
        <f t="shared" si="18"/>
        <v>0</v>
      </c>
      <c r="BO132" s="75">
        <f t="shared" si="19"/>
        <v>18</v>
      </c>
      <c r="BP132" s="84">
        <f t="shared" si="20"/>
        <v>18</v>
      </c>
      <c r="BR132" s="138" t="s">
        <v>363</v>
      </c>
      <c r="BT132" s="110">
        <v>0</v>
      </c>
    </row>
    <row r="133" spans="1:74" x14ac:dyDescent="0.75">
      <c r="C133" s="270">
        <v>762</v>
      </c>
      <c r="D133" s="75" t="s">
        <v>357</v>
      </c>
      <c r="E133" s="75" t="s">
        <v>358</v>
      </c>
      <c r="F133" s="75" t="s">
        <v>359</v>
      </c>
      <c r="G133" s="75" t="s">
        <v>23</v>
      </c>
      <c r="H133" s="75">
        <v>18.365749999999998</v>
      </c>
      <c r="I133" s="75">
        <v>-64.773619999999994</v>
      </c>
      <c r="J133" s="81">
        <v>44782</v>
      </c>
      <c r="K133" s="75" t="s">
        <v>367</v>
      </c>
      <c r="L133" s="75" t="s">
        <v>360</v>
      </c>
      <c r="M133" s="75">
        <v>0</v>
      </c>
      <c r="N133" s="75">
        <v>3</v>
      </c>
      <c r="O133" s="75" t="s">
        <v>362</v>
      </c>
      <c r="P133" s="88">
        <f>SUM(TreatmentUsed!E1736:E1768)</f>
        <v>260</v>
      </c>
      <c r="Q133" s="84">
        <v>0</v>
      </c>
      <c r="R133" s="75">
        <v>0</v>
      </c>
      <c r="S133" s="75">
        <v>0</v>
      </c>
      <c r="T133" s="75">
        <v>0</v>
      </c>
      <c r="U133" s="75">
        <v>0</v>
      </c>
      <c r="V133" s="75">
        <v>0</v>
      </c>
      <c r="W133" s="75">
        <v>0</v>
      </c>
      <c r="X133" s="75">
        <v>0</v>
      </c>
      <c r="Y133" s="75">
        <v>0</v>
      </c>
      <c r="Z133" s="75">
        <v>0</v>
      </c>
      <c r="AA133" s="75">
        <v>0</v>
      </c>
      <c r="AB133" s="75">
        <v>0</v>
      </c>
      <c r="AC133" s="75">
        <v>0</v>
      </c>
      <c r="AD133" s="75">
        <v>0</v>
      </c>
      <c r="AE133" s="75">
        <v>0</v>
      </c>
      <c r="AF133" s="75">
        <v>0</v>
      </c>
      <c r="AG133" s="75">
        <v>0</v>
      </c>
      <c r="AH133" s="75">
        <v>0</v>
      </c>
      <c r="AI133" s="75">
        <v>0</v>
      </c>
      <c r="AJ133" s="75">
        <v>0</v>
      </c>
      <c r="AK133" s="75">
        <v>0</v>
      </c>
      <c r="AL133" s="75">
        <v>0</v>
      </c>
      <c r="AM133" s="75">
        <v>0</v>
      </c>
      <c r="AN133" s="75">
        <v>0</v>
      </c>
      <c r="AO133" s="75">
        <v>1</v>
      </c>
      <c r="AP133" s="75">
        <v>0</v>
      </c>
      <c r="AQ133" s="75">
        <v>0</v>
      </c>
      <c r="AR133" s="75">
        <v>1</v>
      </c>
      <c r="AS133" s="75">
        <v>0</v>
      </c>
      <c r="AT133" s="75">
        <v>0</v>
      </c>
      <c r="AU133" s="75">
        <v>1</v>
      </c>
      <c r="AV133" s="75">
        <v>0</v>
      </c>
      <c r="AW133" s="75">
        <v>0</v>
      </c>
      <c r="AX133" s="75">
        <v>0</v>
      </c>
      <c r="AY133" s="75">
        <v>1</v>
      </c>
      <c r="AZ133" s="84">
        <v>22</v>
      </c>
      <c r="BA133" s="84">
        <v>5</v>
      </c>
      <c r="BB133" s="75">
        <v>1</v>
      </c>
      <c r="BC133" s="75">
        <v>0</v>
      </c>
      <c r="BD133" s="75">
        <v>0</v>
      </c>
      <c r="BE133" s="75">
        <v>1</v>
      </c>
      <c r="BF133" s="75">
        <v>0</v>
      </c>
      <c r="BG133" s="75">
        <v>0</v>
      </c>
      <c r="BH133" s="75">
        <v>0</v>
      </c>
      <c r="BM133" s="75">
        <f t="shared" si="17"/>
        <v>0</v>
      </c>
      <c r="BN133" s="75">
        <f t="shared" si="18"/>
        <v>0</v>
      </c>
      <c r="BO133" s="75">
        <f t="shared" si="19"/>
        <v>33</v>
      </c>
      <c r="BP133" s="75">
        <f t="shared" si="20"/>
        <v>33</v>
      </c>
      <c r="BR133" s="138" t="s">
        <v>363</v>
      </c>
      <c r="BT133" s="110">
        <v>0</v>
      </c>
    </row>
    <row r="134" spans="1:74" x14ac:dyDescent="0.75">
      <c r="C134" s="270">
        <v>763</v>
      </c>
      <c r="D134" s="75" t="s">
        <v>357</v>
      </c>
      <c r="E134" s="75" t="s">
        <v>358</v>
      </c>
      <c r="F134" s="75" t="s">
        <v>359</v>
      </c>
      <c r="G134" s="75" t="s">
        <v>23</v>
      </c>
      <c r="H134" s="75">
        <v>18.365749999999998</v>
      </c>
      <c r="I134" s="75">
        <v>-64.773619999999994</v>
      </c>
      <c r="J134" s="81">
        <v>44782</v>
      </c>
      <c r="K134" s="75" t="s">
        <v>367</v>
      </c>
      <c r="L134" s="75" t="s">
        <v>360</v>
      </c>
      <c r="M134" s="75">
        <v>0</v>
      </c>
      <c r="N134" s="75">
        <v>3</v>
      </c>
      <c r="O134" s="75" t="s">
        <v>362</v>
      </c>
      <c r="P134" s="88">
        <f>SUM(TreatmentUsed!E1769:E1794)</f>
        <v>163</v>
      </c>
      <c r="Q134" s="84">
        <v>0</v>
      </c>
      <c r="R134" s="75">
        <v>0</v>
      </c>
      <c r="S134" s="75">
        <v>0</v>
      </c>
      <c r="T134" s="75">
        <v>0</v>
      </c>
      <c r="U134" s="75">
        <v>0</v>
      </c>
      <c r="V134" s="75">
        <v>0</v>
      </c>
      <c r="W134" s="75">
        <v>0</v>
      </c>
      <c r="X134" s="75">
        <v>0</v>
      </c>
      <c r="Y134" s="75">
        <v>0</v>
      </c>
      <c r="Z134" s="75">
        <v>0</v>
      </c>
      <c r="AA134" s="75">
        <v>0</v>
      </c>
      <c r="AB134" s="75">
        <v>0</v>
      </c>
      <c r="AC134" s="75">
        <v>0</v>
      </c>
      <c r="AD134" s="75">
        <v>0</v>
      </c>
      <c r="AE134" s="75">
        <v>0</v>
      </c>
      <c r="AF134" s="75">
        <v>0</v>
      </c>
      <c r="AG134" s="75">
        <v>0</v>
      </c>
      <c r="AH134" s="75">
        <v>0</v>
      </c>
      <c r="AI134" s="75">
        <v>0</v>
      </c>
      <c r="AJ134" s="75">
        <v>0</v>
      </c>
      <c r="AK134" s="75">
        <v>0</v>
      </c>
      <c r="AL134" s="75">
        <v>0</v>
      </c>
      <c r="AM134" s="75">
        <v>0</v>
      </c>
      <c r="AN134" s="75">
        <v>0</v>
      </c>
      <c r="AO134" s="75">
        <v>2</v>
      </c>
      <c r="AP134" s="75">
        <v>0</v>
      </c>
      <c r="AQ134" s="75">
        <v>0</v>
      </c>
      <c r="AR134" s="75">
        <v>0</v>
      </c>
      <c r="AS134" s="75">
        <v>0</v>
      </c>
      <c r="AT134" s="75">
        <v>0</v>
      </c>
      <c r="AU134" s="75">
        <v>1</v>
      </c>
      <c r="AV134" s="75">
        <v>0</v>
      </c>
      <c r="AW134" s="75">
        <v>0</v>
      </c>
      <c r="AX134" s="75">
        <v>0</v>
      </c>
      <c r="AY134" s="84">
        <v>3</v>
      </c>
      <c r="AZ134" s="84">
        <v>13</v>
      </c>
      <c r="BA134" s="84">
        <v>3</v>
      </c>
      <c r="BB134" s="84">
        <v>1</v>
      </c>
      <c r="BC134" s="75">
        <v>0</v>
      </c>
      <c r="BD134" s="75">
        <v>0</v>
      </c>
      <c r="BE134" s="75">
        <v>0</v>
      </c>
      <c r="BF134" s="75">
        <v>3</v>
      </c>
      <c r="BG134" s="75">
        <v>0</v>
      </c>
      <c r="BH134" s="75">
        <v>0</v>
      </c>
      <c r="BM134" s="75">
        <f t="shared" si="17"/>
        <v>0</v>
      </c>
      <c r="BN134" s="75">
        <f t="shared" si="18"/>
        <v>0</v>
      </c>
      <c r="BO134" s="75">
        <f t="shared" si="19"/>
        <v>26</v>
      </c>
      <c r="BP134" s="75">
        <f t="shared" si="20"/>
        <v>26</v>
      </c>
      <c r="BQ134" s="80" t="s">
        <v>471</v>
      </c>
      <c r="BR134" s="138" t="s">
        <v>363</v>
      </c>
      <c r="BT134" s="110">
        <v>0</v>
      </c>
    </row>
    <row r="135" spans="1:74" x14ac:dyDescent="0.75">
      <c r="A135"/>
      <c r="B135"/>
      <c r="C135" s="270">
        <v>751</v>
      </c>
      <c r="D135" s="75" t="s">
        <v>357</v>
      </c>
      <c r="E135" s="75" t="s">
        <v>358</v>
      </c>
      <c r="F135" s="75" t="s">
        <v>359</v>
      </c>
      <c r="G135" s="75" t="s">
        <v>23</v>
      </c>
      <c r="H135" s="75">
        <v>18.365749999999998</v>
      </c>
      <c r="I135" s="75">
        <v>-64.773619999999994</v>
      </c>
      <c r="J135" s="81">
        <v>44783</v>
      </c>
      <c r="K135" s="80" t="s">
        <v>361</v>
      </c>
      <c r="L135" s="75" t="s">
        <v>360</v>
      </c>
      <c r="M135" s="75">
        <v>0</v>
      </c>
      <c r="N135" s="75">
        <v>2</v>
      </c>
      <c r="O135" s="75" t="s">
        <v>362</v>
      </c>
      <c r="P135" s="88">
        <f>SUM(TreatmentUsed!E1795:E1798)</f>
        <v>35</v>
      </c>
      <c r="Q135" s="84">
        <f>260/3</f>
        <v>86.666666666666671</v>
      </c>
      <c r="R135" s="75">
        <v>0</v>
      </c>
      <c r="S135" s="75">
        <v>0</v>
      </c>
      <c r="T135" s="75">
        <v>0</v>
      </c>
      <c r="U135" s="75">
        <v>0</v>
      </c>
      <c r="V135" s="75">
        <v>0</v>
      </c>
      <c r="W135" s="75">
        <v>0</v>
      </c>
      <c r="X135" s="75">
        <v>0</v>
      </c>
      <c r="Y135" s="75">
        <v>0</v>
      </c>
      <c r="Z135" s="75">
        <v>0</v>
      </c>
      <c r="AA135" s="75">
        <v>0</v>
      </c>
      <c r="AB135" s="75">
        <v>0</v>
      </c>
      <c r="AC135" s="75">
        <v>0</v>
      </c>
      <c r="AD135" s="75">
        <v>0</v>
      </c>
      <c r="AE135" s="75">
        <v>0</v>
      </c>
      <c r="AF135" s="75">
        <v>0</v>
      </c>
      <c r="AG135" s="75">
        <v>0</v>
      </c>
      <c r="AH135" s="75">
        <v>0</v>
      </c>
      <c r="AI135" s="75">
        <v>0</v>
      </c>
      <c r="AJ135" s="75">
        <v>0</v>
      </c>
      <c r="AK135" s="75">
        <v>0</v>
      </c>
      <c r="AL135" s="75">
        <v>0</v>
      </c>
      <c r="AM135" s="75">
        <v>0</v>
      </c>
      <c r="AN135" s="75">
        <v>0</v>
      </c>
      <c r="AO135" s="75">
        <v>0</v>
      </c>
      <c r="AP135" s="75">
        <v>0</v>
      </c>
      <c r="AQ135" s="75">
        <v>0</v>
      </c>
      <c r="AR135" s="75">
        <v>0</v>
      </c>
      <c r="AS135" s="75">
        <v>0</v>
      </c>
      <c r="AT135" s="75">
        <v>0</v>
      </c>
      <c r="AU135" s="75">
        <v>0</v>
      </c>
      <c r="AV135" s="75">
        <v>0</v>
      </c>
      <c r="AW135" s="75">
        <v>0</v>
      </c>
      <c r="AX135" s="75">
        <v>0</v>
      </c>
      <c r="AY135" s="75">
        <v>0</v>
      </c>
      <c r="AZ135" s="84">
        <v>2</v>
      </c>
      <c r="BA135" s="84">
        <v>2</v>
      </c>
      <c r="BB135" s="75">
        <v>0</v>
      </c>
      <c r="BC135" s="75">
        <v>0</v>
      </c>
      <c r="BD135" s="75">
        <v>0</v>
      </c>
      <c r="BE135" s="75">
        <v>0</v>
      </c>
      <c r="BF135" s="75">
        <v>0</v>
      </c>
      <c r="BG135" s="75">
        <v>0</v>
      </c>
      <c r="BH135" s="75">
        <v>0</v>
      </c>
      <c r="BM135" s="75">
        <f t="shared" si="17"/>
        <v>0</v>
      </c>
      <c r="BN135" s="75">
        <f t="shared" si="18"/>
        <v>0</v>
      </c>
      <c r="BO135" s="75">
        <f t="shared" si="19"/>
        <v>4</v>
      </c>
      <c r="BP135" s="84">
        <f t="shared" si="20"/>
        <v>4</v>
      </c>
      <c r="BR135" s="138" t="s">
        <v>472</v>
      </c>
      <c r="BT135" s="110">
        <v>0</v>
      </c>
    </row>
    <row r="136" spans="1:74" x14ac:dyDescent="0.75">
      <c r="A136"/>
      <c r="B136"/>
      <c r="C136" s="270">
        <v>752</v>
      </c>
      <c r="D136" s="75" t="s">
        <v>357</v>
      </c>
      <c r="E136" s="75" t="s">
        <v>358</v>
      </c>
      <c r="F136" s="75" t="s">
        <v>359</v>
      </c>
      <c r="G136" s="75" t="s">
        <v>23</v>
      </c>
      <c r="H136" s="75">
        <v>18.365749999999998</v>
      </c>
      <c r="I136" s="75">
        <v>-64.773619999999994</v>
      </c>
      <c r="J136" s="81">
        <v>44783</v>
      </c>
      <c r="K136" s="80" t="s">
        <v>361</v>
      </c>
      <c r="L136" s="75" t="s">
        <v>360</v>
      </c>
      <c r="M136" s="75">
        <v>0</v>
      </c>
      <c r="N136" s="75">
        <v>2</v>
      </c>
      <c r="O136" s="75" t="s">
        <v>362</v>
      </c>
      <c r="P136" s="88">
        <f>SUM(TreatmentUsed!E1799:E1813)</f>
        <v>136</v>
      </c>
      <c r="Q136" s="84">
        <f>260/3</f>
        <v>86.666666666666671</v>
      </c>
      <c r="R136" s="75">
        <v>0</v>
      </c>
      <c r="S136" s="75">
        <v>0</v>
      </c>
      <c r="T136" s="75">
        <v>0</v>
      </c>
      <c r="U136" s="75">
        <v>0</v>
      </c>
      <c r="V136" s="75">
        <v>0</v>
      </c>
      <c r="W136" s="75">
        <v>0</v>
      </c>
      <c r="X136" s="75">
        <v>0</v>
      </c>
      <c r="Y136" s="75">
        <v>0</v>
      </c>
      <c r="Z136" s="75">
        <v>0</v>
      </c>
      <c r="AA136" s="75">
        <v>0</v>
      </c>
      <c r="AB136" s="75">
        <v>0</v>
      </c>
      <c r="AC136" s="75">
        <v>0</v>
      </c>
      <c r="AD136" s="75">
        <v>0</v>
      </c>
      <c r="AE136" s="75">
        <v>0</v>
      </c>
      <c r="AF136" s="75">
        <v>0</v>
      </c>
      <c r="AG136" s="75">
        <v>0</v>
      </c>
      <c r="AH136" s="75">
        <v>0</v>
      </c>
      <c r="AI136" s="75">
        <v>0</v>
      </c>
      <c r="AJ136" s="75">
        <v>0</v>
      </c>
      <c r="AK136" s="75">
        <v>0</v>
      </c>
      <c r="AL136" s="75">
        <v>0</v>
      </c>
      <c r="AM136" s="75">
        <v>0</v>
      </c>
      <c r="AN136" s="75">
        <v>0</v>
      </c>
      <c r="AO136" s="75">
        <v>0</v>
      </c>
      <c r="AP136" s="75">
        <v>0</v>
      </c>
      <c r="AQ136" s="75">
        <v>0</v>
      </c>
      <c r="AR136" s="75">
        <v>0</v>
      </c>
      <c r="AS136" s="75">
        <v>0</v>
      </c>
      <c r="AT136" s="75">
        <v>0</v>
      </c>
      <c r="AU136" s="75">
        <v>0</v>
      </c>
      <c r="AV136" s="75">
        <v>0</v>
      </c>
      <c r="AW136" s="75">
        <v>0</v>
      </c>
      <c r="AX136" s="75">
        <v>0</v>
      </c>
      <c r="AY136" s="75">
        <v>0</v>
      </c>
      <c r="AZ136" s="84">
        <v>12</v>
      </c>
      <c r="BA136" s="84">
        <v>2</v>
      </c>
      <c r="BB136" s="84">
        <v>1</v>
      </c>
      <c r="BC136" s="75">
        <v>0</v>
      </c>
      <c r="BD136" s="75">
        <v>0</v>
      </c>
      <c r="BE136" s="75">
        <v>0</v>
      </c>
      <c r="BF136" s="75">
        <v>0</v>
      </c>
      <c r="BG136" s="75">
        <v>0</v>
      </c>
      <c r="BH136" s="75">
        <v>0</v>
      </c>
      <c r="BM136" s="75">
        <f t="shared" si="17"/>
        <v>0</v>
      </c>
      <c r="BN136" s="75">
        <f t="shared" si="18"/>
        <v>0</v>
      </c>
      <c r="BO136" s="75">
        <f t="shared" si="19"/>
        <v>15</v>
      </c>
      <c r="BP136" s="75">
        <f t="shared" si="20"/>
        <v>15</v>
      </c>
      <c r="BR136" s="138">
        <v>902</v>
      </c>
      <c r="BT136" s="110">
        <v>0</v>
      </c>
    </row>
    <row r="137" spans="1:74" x14ac:dyDescent="0.75">
      <c r="A137"/>
      <c r="B137"/>
      <c r="C137" s="270">
        <v>753</v>
      </c>
      <c r="D137" s="75" t="s">
        <v>357</v>
      </c>
      <c r="E137" s="75" t="s">
        <v>358</v>
      </c>
      <c r="F137" s="75" t="s">
        <v>359</v>
      </c>
      <c r="G137" s="75" t="s">
        <v>64</v>
      </c>
      <c r="H137" s="75">
        <v>18.368383000000001</v>
      </c>
      <c r="I137" s="75">
        <v>-64.751450000000006</v>
      </c>
      <c r="J137" s="81">
        <v>44783</v>
      </c>
      <c r="K137" s="80" t="s">
        <v>361</v>
      </c>
      <c r="L137" s="75" t="s">
        <v>360</v>
      </c>
      <c r="M137" s="75">
        <v>0</v>
      </c>
      <c r="N137" s="75">
        <v>2</v>
      </c>
      <c r="O137" s="75" t="s">
        <v>362</v>
      </c>
      <c r="P137" s="88">
        <f>SUM(TreatmentUsed!E1814:E1819)</f>
        <v>23</v>
      </c>
      <c r="Q137" s="84">
        <f>260/3</f>
        <v>86.666666666666671</v>
      </c>
      <c r="R137" s="75">
        <v>0</v>
      </c>
      <c r="S137" s="75">
        <v>0</v>
      </c>
      <c r="T137" s="75">
        <v>0</v>
      </c>
      <c r="U137" s="75">
        <v>0</v>
      </c>
      <c r="V137" s="75">
        <v>0</v>
      </c>
      <c r="W137" s="75">
        <v>0</v>
      </c>
      <c r="X137" s="75">
        <v>0</v>
      </c>
      <c r="Y137" s="75">
        <v>0</v>
      </c>
      <c r="Z137" s="75">
        <v>0</v>
      </c>
      <c r="AA137" s="75">
        <v>0</v>
      </c>
      <c r="AB137" s="75">
        <v>0</v>
      </c>
      <c r="AC137" s="75">
        <v>0</v>
      </c>
      <c r="AD137" s="75">
        <v>0</v>
      </c>
      <c r="AE137" s="75">
        <v>0</v>
      </c>
      <c r="AF137" s="75">
        <v>0</v>
      </c>
      <c r="AG137" s="75">
        <v>0</v>
      </c>
      <c r="AH137" s="75">
        <v>0</v>
      </c>
      <c r="AI137" s="75">
        <v>0</v>
      </c>
      <c r="AJ137" s="75">
        <v>0</v>
      </c>
      <c r="AK137" s="75">
        <v>0</v>
      </c>
      <c r="AL137" s="75">
        <v>0</v>
      </c>
      <c r="AM137" s="75">
        <v>0</v>
      </c>
      <c r="AN137" s="75">
        <v>0</v>
      </c>
      <c r="AO137" s="75">
        <v>0</v>
      </c>
      <c r="AP137" s="75">
        <v>0</v>
      </c>
      <c r="AQ137" s="75">
        <v>0</v>
      </c>
      <c r="AR137" s="75">
        <v>0</v>
      </c>
      <c r="AS137" s="75">
        <v>0</v>
      </c>
      <c r="AT137" s="75">
        <v>0</v>
      </c>
      <c r="AU137" s="75">
        <v>0</v>
      </c>
      <c r="AV137" s="75">
        <v>0</v>
      </c>
      <c r="AW137" s="75">
        <v>0</v>
      </c>
      <c r="AX137" s="75">
        <v>0</v>
      </c>
      <c r="AY137" s="75">
        <v>0</v>
      </c>
      <c r="AZ137" s="75">
        <v>0</v>
      </c>
      <c r="BA137" s="75">
        <v>0</v>
      </c>
      <c r="BB137" s="75">
        <v>0</v>
      </c>
      <c r="BC137" s="75">
        <v>5</v>
      </c>
      <c r="BD137" s="75">
        <v>0</v>
      </c>
      <c r="BE137" s="75">
        <v>0</v>
      </c>
      <c r="BF137" s="75">
        <v>1</v>
      </c>
      <c r="BG137" s="75">
        <v>0</v>
      </c>
      <c r="BH137" s="75">
        <v>0</v>
      </c>
      <c r="BM137" s="75">
        <f t="shared" si="17"/>
        <v>0</v>
      </c>
      <c r="BN137" s="75">
        <f t="shared" si="18"/>
        <v>0</v>
      </c>
      <c r="BO137" s="75">
        <f t="shared" si="19"/>
        <v>6</v>
      </c>
      <c r="BP137" s="75">
        <f t="shared" si="20"/>
        <v>6</v>
      </c>
      <c r="BR137" s="138">
        <v>3338</v>
      </c>
      <c r="BT137" s="110">
        <v>0</v>
      </c>
    </row>
    <row r="138" spans="1:74" x14ac:dyDescent="0.75">
      <c r="C138" s="270">
        <v>764</v>
      </c>
      <c r="D138" s="75" t="s">
        <v>357</v>
      </c>
      <c r="E138" s="75" t="s">
        <v>358</v>
      </c>
      <c r="F138" s="75" t="s">
        <v>359</v>
      </c>
      <c r="G138" s="75" t="s">
        <v>39</v>
      </c>
      <c r="H138" s="75">
        <v>18.357482999999998</v>
      </c>
      <c r="I138" s="75">
        <v>-64.751949999999994</v>
      </c>
      <c r="J138" s="81">
        <v>44784</v>
      </c>
      <c r="K138" s="75" t="s">
        <v>367</v>
      </c>
      <c r="L138" s="75" t="s">
        <v>360</v>
      </c>
      <c r="M138" s="75">
        <v>0</v>
      </c>
      <c r="N138" s="75">
        <v>3</v>
      </c>
      <c r="O138" s="75" t="s">
        <v>362</v>
      </c>
      <c r="P138" s="88">
        <f>SUM(TreatmentUsed!E1820:E1840)</f>
        <v>135</v>
      </c>
      <c r="Q138" s="84">
        <v>0</v>
      </c>
      <c r="R138" s="75">
        <v>0</v>
      </c>
      <c r="S138" s="75">
        <v>0</v>
      </c>
      <c r="T138" s="75">
        <v>0</v>
      </c>
      <c r="U138" s="75">
        <v>0</v>
      </c>
      <c r="V138" s="75">
        <v>0</v>
      </c>
      <c r="W138" s="75">
        <v>0</v>
      </c>
      <c r="X138" s="75">
        <v>0</v>
      </c>
      <c r="Y138" s="75">
        <v>0</v>
      </c>
      <c r="Z138" s="75">
        <v>0</v>
      </c>
      <c r="AA138" s="75">
        <v>0</v>
      </c>
      <c r="AB138" s="75">
        <v>0</v>
      </c>
      <c r="AC138" s="75">
        <v>0</v>
      </c>
      <c r="AD138" s="75">
        <v>0</v>
      </c>
      <c r="AE138" s="75">
        <v>0</v>
      </c>
      <c r="AF138" s="75">
        <v>0</v>
      </c>
      <c r="AG138" s="75">
        <v>0</v>
      </c>
      <c r="AH138" s="75">
        <v>0</v>
      </c>
      <c r="AI138" s="75">
        <v>0</v>
      </c>
      <c r="AJ138" s="75">
        <v>0</v>
      </c>
      <c r="AK138" s="75">
        <v>0</v>
      </c>
      <c r="AL138" s="75">
        <v>0</v>
      </c>
      <c r="AM138" s="75">
        <v>0</v>
      </c>
      <c r="AN138" s="75">
        <v>0</v>
      </c>
      <c r="AO138" s="75">
        <v>0</v>
      </c>
      <c r="AP138" s="75">
        <v>0</v>
      </c>
      <c r="AQ138" s="75">
        <v>1</v>
      </c>
      <c r="AR138" s="75">
        <v>2</v>
      </c>
      <c r="AS138" s="75">
        <v>0</v>
      </c>
      <c r="AT138" s="75">
        <v>0</v>
      </c>
      <c r="AU138" s="75">
        <v>1</v>
      </c>
      <c r="AV138" s="75">
        <v>0</v>
      </c>
      <c r="AW138" s="75">
        <v>0</v>
      </c>
      <c r="AX138" s="75">
        <v>0</v>
      </c>
      <c r="AY138" s="84">
        <v>3</v>
      </c>
      <c r="AZ138" s="84">
        <v>6</v>
      </c>
      <c r="BA138" s="84">
        <v>3</v>
      </c>
      <c r="BB138" s="75">
        <v>1</v>
      </c>
      <c r="BC138" s="75">
        <v>0</v>
      </c>
      <c r="BD138" s="75">
        <v>0</v>
      </c>
      <c r="BE138" s="84">
        <v>1</v>
      </c>
      <c r="BF138" s="75">
        <v>3</v>
      </c>
      <c r="BG138" s="75">
        <v>0</v>
      </c>
      <c r="BH138" s="84">
        <v>0</v>
      </c>
      <c r="BI138" s="84"/>
      <c r="BJ138" s="84"/>
      <c r="BK138" s="84"/>
      <c r="BM138" s="75">
        <f t="shared" si="17"/>
        <v>0</v>
      </c>
      <c r="BN138" s="75">
        <f t="shared" si="18"/>
        <v>0</v>
      </c>
      <c r="BO138" s="75">
        <f t="shared" si="19"/>
        <v>21</v>
      </c>
      <c r="BP138" s="84">
        <f t="shared" si="20"/>
        <v>21</v>
      </c>
      <c r="BQ138" s="85"/>
      <c r="BR138" s="138" t="s">
        <v>473</v>
      </c>
      <c r="BT138" s="110">
        <v>0</v>
      </c>
    </row>
    <row r="139" spans="1:74" x14ac:dyDescent="0.75">
      <c r="C139" s="270">
        <v>765</v>
      </c>
      <c r="D139" s="75" t="s">
        <v>357</v>
      </c>
      <c r="E139" s="75" t="s">
        <v>358</v>
      </c>
      <c r="F139" s="75" t="s">
        <v>359</v>
      </c>
      <c r="G139" s="75" t="s">
        <v>39</v>
      </c>
      <c r="H139" s="75">
        <v>18.357482999999998</v>
      </c>
      <c r="I139" s="75">
        <v>-64.751949999999994</v>
      </c>
      <c r="J139" s="81">
        <v>44784</v>
      </c>
      <c r="K139" s="75" t="s">
        <v>367</v>
      </c>
      <c r="L139" s="75" t="s">
        <v>360</v>
      </c>
      <c r="M139" s="75">
        <v>0</v>
      </c>
      <c r="N139" s="75">
        <v>3</v>
      </c>
      <c r="O139" s="75" t="s">
        <v>362</v>
      </c>
      <c r="P139" s="88">
        <f>SUM(TreatmentUsed!E1841:E1865)</f>
        <v>172</v>
      </c>
      <c r="Q139" s="84">
        <v>0</v>
      </c>
      <c r="R139" s="75">
        <v>0</v>
      </c>
      <c r="S139" s="75">
        <v>0</v>
      </c>
      <c r="T139" s="75">
        <v>0</v>
      </c>
      <c r="U139" s="75">
        <v>0</v>
      </c>
      <c r="V139" s="75">
        <v>0</v>
      </c>
      <c r="W139" s="75">
        <v>0</v>
      </c>
      <c r="X139" s="75">
        <v>0</v>
      </c>
      <c r="Y139" s="75">
        <v>0</v>
      </c>
      <c r="Z139" s="75">
        <v>0</v>
      </c>
      <c r="AA139" s="75">
        <v>0</v>
      </c>
      <c r="AB139" s="75">
        <v>0</v>
      </c>
      <c r="AC139" s="75">
        <v>0</v>
      </c>
      <c r="AD139" s="75">
        <v>0</v>
      </c>
      <c r="AE139" s="75">
        <v>0</v>
      </c>
      <c r="AF139" s="75">
        <v>0</v>
      </c>
      <c r="AG139" s="75">
        <v>0</v>
      </c>
      <c r="AH139" s="75">
        <v>0</v>
      </c>
      <c r="AI139" s="75">
        <v>0</v>
      </c>
      <c r="AJ139" s="75">
        <v>0</v>
      </c>
      <c r="AK139" s="75">
        <v>0</v>
      </c>
      <c r="AL139" s="75">
        <v>0</v>
      </c>
      <c r="AM139" s="75">
        <v>0</v>
      </c>
      <c r="AN139" s="75">
        <v>0</v>
      </c>
      <c r="AO139" s="75">
        <v>1</v>
      </c>
      <c r="AP139" s="75">
        <v>0</v>
      </c>
      <c r="AQ139" s="75">
        <v>0</v>
      </c>
      <c r="AR139" s="75">
        <v>1</v>
      </c>
      <c r="AS139" s="75">
        <v>1</v>
      </c>
      <c r="AT139" s="75">
        <v>0</v>
      </c>
      <c r="AU139" s="75">
        <v>1</v>
      </c>
      <c r="AV139" s="75">
        <v>0</v>
      </c>
      <c r="AW139" s="75">
        <v>0</v>
      </c>
      <c r="AX139" s="75">
        <v>0</v>
      </c>
      <c r="AY139" s="75">
        <v>0</v>
      </c>
      <c r="AZ139" s="84">
        <v>9</v>
      </c>
      <c r="BA139" s="84">
        <v>1</v>
      </c>
      <c r="BB139" s="84">
        <v>1</v>
      </c>
      <c r="BC139" s="75">
        <v>6</v>
      </c>
      <c r="BD139" s="84">
        <v>1</v>
      </c>
      <c r="BE139" s="75">
        <v>0</v>
      </c>
      <c r="BF139" s="84">
        <v>1</v>
      </c>
      <c r="BG139" s="75">
        <v>0</v>
      </c>
      <c r="BH139" s="75">
        <v>2</v>
      </c>
      <c r="BM139" s="75">
        <f t="shared" si="17"/>
        <v>0</v>
      </c>
      <c r="BN139" s="75">
        <f t="shared" si="18"/>
        <v>0</v>
      </c>
      <c r="BO139" s="75">
        <f t="shared" si="19"/>
        <v>25</v>
      </c>
      <c r="BP139" s="84">
        <f t="shared" si="20"/>
        <v>25</v>
      </c>
      <c r="BQ139" s="80" t="s">
        <v>474</v>
      </c>
      <c r="BR139" s="138" t="s">
        <v>363</v>
      </c>
      <c r="BT139" s="110">
        <v>0</v>
      </c>
    </row>
    <row r="140" spans="1:74" x14ac:dyDescent="0.75">
      <c r="C140" s="270">
        <v>766</v>
      </c>
      <c r="D140" s="75" t="s">
        <v>357</v>
      </c>
      <c r="E140" s="75" t="s">
        <v>358</v>
      </c>
      <c r="F140" s="75" t="s">
        <v>359</v>
      </c>
      <c r="G140" s="75" t="s">
        <v>39</v>
      </c>
      <c r="H140" s="75">
        <v>18.357482999999998</v>
      </c>
      <c r="I140" s="75">
        <v>-64.751949999999994</v>
      </c>
      <c r="J140" s="81">
        <v>44784</v>
      </c>
      <c r="K140" s="75" t="s">
        <v>367</v>
      </c>
      <c r="L140" s="75" t="s">
        <v>360</v>
      </c>
      <c r="M140" s="75">
        <v>0</v>
      </c>
      <c r="N140" s="75">
        <v>3</v>
      </c>
      <c r="O140" s="75" t="s">
        <v>362</v>
      </c>
      <c r="P140" s="88">
        <f>SUM(TreatmentUsed!E1866:E1880)</f>
        <v>58</v>
      </c>
      <c r="Q140" s="84">
        <v>0</v>
      </c>
      <c r="R140" s="75">
        <v>0</v>
      </c>
      <c r="S140" s="75">
        <v>0</v>
      </c>
      <c r="T140" s="75">
        <v>0</v>
      </c>
      <c r="U140" s="75">
        <v>0</v>
      </c>
      <c r="V140" s="75">
        <v>0</v>
      </c>
      <c r="W140" s="75">
        <v>0</v>
      </c>
      <c r="X140" s="75">
        <v>0</v>
      </c>
      <c r="Y140" s="75">
        <v>0</v>
      </c>
      <c r="Z140" s="75">
        <v>0</v>
      </c>
      <c r="AA140" s="75">
        <v>0</v>
      </c>
      <c r="AB140" s="75">
        <v>0</v>
      </c>
      <c r="AC140" s="75">
        <v>0</v>
      </c>
      <c r="AD140" s="75">
        <v>0</v>
      </c>
      <c r="AE140" s="75">
        <v>0</v>
      </c>
      <c r="AF140" s="75">
        <v>0</v>
      </c>
      <c r="AG140" s="75">
        <v>0</v>
      </c>
      <c r="AH140" s="75">
        <v>0</v>
      </c>
      <c r="AI140" s="75">
        <v>0</v>
      </c>
      <c r="AJ140" s="75">
        <v>0</v>
      </c>
      <c r="AK140" s="75">
        <v>0</v>
      </c>
      <c r="AL140" s="75">
        <v>0</v>
      </c>
      <c r="AM140" s="75">
        <v>0</v>
      </c>
      <c r="AN140" s="75">
        <v>0</v>
      </c>
      <c r="AO140" s="75">
        <v>0</v>
      </c>
      <c r="AP140" s="75">
        <v>0</v>
      </c>
      <c r="AQ140" s="75">
        <v>0</v>
      </c>
      <c r="AR140" s="75">
        <v>0</v>
      </c>
      <c r="AS140" s="84">
        <v>4</v>
      </c>
      <c r="AT140" s="84">
        <v>3</v>
      </c>
      <c r="AU140" s="75">
        <v>0</v>
      </c>
      <c r="AV140" s="75">
        <v>0</v>
      </c>
      <c r="AW140" s="75">
        <v>0</v>
      </c>
      <c r="AX140" s="75">
        <v>0</v>
      </c>
      <c r="AY140" s="75">
        <v>0</v>
      </c>
      <c r="AZ140" s="84">
        <v>2</v>
      </c>
      <c r="BA140" s="84">
        <v>0</v>
      </c>
      <c r="BB140" s="75">
        <v>0</v>
      </c>
      <c r="BC140" s="75">
        <v>3</v>
      </c>
      <c r="BD140" s="75">
        <v>0</v>
      </c>
      <c r="BE140" s="75">
        <v>0</v>
      </c>
      <c r="BF140" s="84">
        <v>3</v>
      </c>
      <c r="BG140" s="75">
        <v>0</v>
      </c>
      <c r="BH140" s="75">
        <v>0</v>
      </c>
      <c r="BM140" s="75">
        <f t="shared" si="17"/>
        <v>0</v>
      </c>
      <c r="BN140" s="75">
        <f t="shared" si="18"/>
        <v>0</v>
      </c>
      <c r="BO140" s="75">
        <f t="shared" si="19"/>
        <v>15</v>
      </c>
      <c r="BP140" s="84">
        <f t="shared" si="20"/>
        <v>15</v>
      </c>
      <c r="BR140" s="252" t="s">
        <v>475</v>
      </c>
      <c r="BT140" s="110">
        <v>0</v>
      </c>
    </row>
    <row r="141" spans="1:74" x14ac:dyDescent="0.75">
      <c r="C141" s="270">
        <v>754</v>
      </c>
      <c r="D141" s="75" t="s">
        <v>357</v>
      </c>
      <c r="E141" s="75" t="s">
        <v>358</v>
      </c>
      <c r="F141" s="75" t="s">
        <v>359</v>
      </c>
      <c r="G141" s="75" t="s">
        <v>69</v>
      </c>
      <c r="H141" s="75">
        <v>18.343233000000001</v>
      </c>
      <c r="I141" s="75">
        <v>-64.687667000000005</v>
      </c>
      <c r="J141" s="81">
        <v>44789</v>
      </c>
      <c r="K141" s="75" t="s">
        <v>367</v>
      </c>
      <c r="L141" s="75" t="s">
        <v>360</v>
      </c>
      <c r="M141" s="75">
        <v>0</v>
      </c>
      <c r="N141" s="75">
        <v>2</v>
      </c>
      <c r="O141" s="75" t="s">
        <v>362</v>
      </c>
      <c r="P141" s="88">
        <f>SUM(TreatmentUsed!E1881:E1908)</f>
        <v>235</v>
      </c>
      <c r="Q141" s="84">
        <v>0</v>
      </c>
      <c r="R141" s="75">
        <v>0</v>
      </c>
      <c r="S141" s="75">
        <v>0</v>
      </c>
      <c r="T141" s="75">
        <v>0</v>
      </c>
      <c r="U141" s="75">
        <v>0</v>
      </c>
      <c r="V141" s="75">
        <v>0</v>
      </c>
      <c r="W141" s="75">
        <v>0</v>
      </c>
      <c r="X141" s="75">
        <v>0</v>
      </c>
      <c r="Y141" s="75">
        <v>0</v>
      </c>
      <c r="Z141" s="75">
        <v>0</v>
      </c>
      <c r="AA141" s="75">
        <v>0</v>
      </c>
      <c r="AB141" s="75">
        <v>0</v>
      </c>
      <c r="AC141" s="75">
        <v>0</v>
      </c>
      <c r="AD141" s="75">
        <v>0</v>
      </c>
      <c r="AE141" s="75">
        <v>0</v>
      </c>
      <c r="AF141" s="75">
        <v>0</v>
      </c>
      <c r="AG141" s="75">
        <v>0</v>
      </c>
      <c r="AH141" s="75">
        <v>0</v>
      </c>
      <c r="AI141" s="75">
        <v>0</v>
      </c>
      <c r="AJ141" s="75">
        <v>0</v>
      </c>
      <c r="AK141" s="75">
        <v>0</v>
      </c>
      <c r="AL141" s="75">
        <v>0</v>
      </c>
      <c r="AM141" s="75">
        <v>0</v>
      </c>
      <c r="AN141" s="75">
        <v>0</v>
      </c>
      <c r="AO141" s="75">
        <v>1</v>
      </c>
      <c r="AP141" s="75">
        <v>0</v>
      </c>
      <c r="AQ141" s="75">
        <v>0</v>
      </c>
      <c r="AR141" s="75">
        <v>0</v>
      </c>
      <c r="AS141" s="75">
        <v>0</v>
      </c>
      <c r="AT141" s="75">
        <v>0</v>
      </c>
      <c r="AU141" s="75">
        <v>0</v>
      </c>
      <c r="AV141" s="75">
        <v>0</v>
      </c>
      <c r="AW141" s="75">
        <v>0</v>
      </c>
      <c r="AX141" s="75">
        <v>0</v>
      </c>
      <c r="AY141" s="84">
        <v>6</v>
      </c>
      <c r="AZ141" s="84">
        <v>9</v>
      </c>
      <c r="BA141" s="84">
        <v>9</v>
      </c>
      <c r="BB141" s="75">
        <v>0</v>
      </c>
      <c r="BC141" s="75">
        <v>2</v>
      </c>
      <c r="BD141" s="75">
        <v>0</v>
      </c>
      <c r="BE141" s="75">
        <v>0</v>
      </c>
      <c r="BF141" s="75">
        <v>0</v>
      </c>
      <c r="BG141" s="75">
        <v>0</v>
      </c>
      <c r="BH141" s="75">
        <v>0</v>
      </c>
      <c r="BM141" s="75">
        <f t="shared" si="17"/>
        <v>0</v>
      </c>
      <c r="BN141" s="75">
        <f t="shared" si="18"/>
        <v>0</v>
      </c>
      <c r="BO141" s="75">
        <f t="shared" si="19"/>
        <v>27</v>
      </c>
      <c r="BP141" s="84">
        <f t="shared" si="20"/>
        <v>27</v>
      </c>
      <c r="BR141" s="252" t="s">
        <v>476</v>
      </c>
      <c r="BT141" s="110">
        <v>0</v>
      </c>
    </row>
    <row r="142" spans="1:74" x14ac:dyDescent="0.75">
      <c r="C142" s="270">
        <v>755</v>
      </c>
      <c r="D142" s="75" t="s">
        <v>357</v>
      </c>
      <c r="E142" s="75" t="s">
        <v>358</v>
      </c>
      <c r="F142" s="75" t="s">
        <v>359</v>
      </c>
      <c r="G142" s="75" t="s">
        <v>69</v>
      </c>
      <c r="H142" s="75">
        <v>18.343233000000001</v>
      </c>
      <c r="I142" s="75">
        <v>-64.687667000000005</v>
      </c>
      <c r="J142" s="81">
        <v>44789</v>
      </c>
      <c r="K142" s="75" t="s">
        <v>367</v>
      </c>
      <c r="L142" s="75" t="s">
        <v>360</v>
      </c>
      <c r="M142" s="75">
        <v>0</v>
      </c>
      <c r="N142" s="75">
        <v>3</v>
      </c>
      <c r="O142" s="75" t="s">
        <v>362</v>
      </c>
      <c r="P142" s="88">
        <f>SUM(TreatmentUsed!E1909:E1946)</f>
        <v>296</v>
      </c>
      <c r="Q142" s="84">
        <v>0</v>
      </c>
      <c r="R142" s="75">
        <v>0</v>
      </c>
      <c r="S142" s="75">
        <v>0</v>
      </c>
      <c r="T142" s="75">
        <v>0</v>
      </c>
      <c r="U142" s="75">
        <v>0</v>
      </c>
      <c r="V142" s="75">
        <v>0</v>
      </c>
      <c r="W142" s="75">
        <v>0</v>
      </c>
      <c r="X142" s="75">
        <v>0</v>
      </c>
      <c r="Y142" s="75">
        <v>0</v>
      </c>
      <c r="Z142" s="75">
        <v>0</v>
      </c>
      <c r="AA142" s="75">
        <v>0</v>
      </c>
      <c r="AB142" s="75">
        <v>0</v>
      </c>
      <c r="AC142" s="75">
        <v>0</v>
      </c>
      <c r="AD142" s="75">
        <v>0</v>
      </c>
      <c r="AE142" s="75">
        <v>0</v>
      </c>
      <c r="AF142" s="75">
        <v>0</v>
      </c>
      <c r="AG142" s="75">
        <v>0</v>
      </c>
      <c r="AH142" s="75">
        <v>0</v>
      </c>
      <c r="AI142" s="75">
        <v>0</v>
      </c>
      <c r="AJ142" s="75">
        <v>0</v>
      </c>
      <c r="AK142" s="75">
        <v>0</v>
      </c>
      <c r="AL142" s="75">
        <v>0</v>
      </c>
      <c r="AM142" s="75">
        <v>0</v>
      </c>
      <c r="AN142" s="75">
        <v>0</v>
      </c>
      <c r="AO142" s="75">
        <v>0</v>
      </c>
      <c r="AP142" s="75">
        <v>0</v>
      </c>
      <c r="AQ142" s="75">
        <v>0</v>
      </c>
      <c r="AR142" s="75">
        <v>1</v>
      </c>
      <c r="AS142" s="75">
        <v>0</v>
      </c>
      <c r="AT142" s="75">
        <v>0</v>
      </c>
      <c r="AU142" s="75">
        <v>0</v>
      </c>
      <c r="AV142" s="75">
        <v>1</v>
      </c>
      <c r="AW142" s="75">
        <v>0</v>
      </c>
      <c r="AX142" s="75">
        <v>0</v>
      </c>
      <c r="AY142" s="84">
        <v>18</v>
      </c>
      <c r="AZ142" s="84">
        <v>4</v>
      </c>
      <c r="BA142" s="84">
        <v>2</v>
      </c>
      <c r="BB142" s="84">
        <v>2</v>
      </c>
      <c r="BC142" s="75">
        <v>2</v>
      </c>
      <c r="BD142" s="75">
        <v>0</v>
      </c>
      <c r="BE142" s="84">
        <v>0</v>
      </c>
      <c r="BF142" s="84">
        <v>7</v>
      </c>
      <c r="BG142" s="75">
        <v>0</v>
      </c>
      <c r="BH142" s="84">
        <v>1</v>
      </c>
      <c r="BI142" s="84"/>
      <c r="BJ142" s="84"/>
      <c r="BK142" s="84"/>
      <c r="BM142" s="75">
        <f t="shared" si="17"/>
        <v>0</v>
      </c>
      <c r="BN142" s="75">
        <f t="shared" si="18"/>
        <v>0</v>
      </c>
      <c r="BO142" s="75">
        <f t="shared" si="19"/>
        <v>38</v>
      </c>
      <c r="BP142" s="84">
        <f t="shared" si="20"/>
        <v>38</v>
      </c>
      <c r="BQ142" s="80" t="s">
        <v>477</v>
      </c>
      <c r="BR142" s="138" t="s">
        <v>363</v>
      </c>
      <c r="BT142" s="110">
        <v>0</v>
      </c>
    </row>
    <row r="143" spans="1:74" x14ac:dyDescent="0.75">
      <c r="C143" s="270">
        <v>756</v>
      </c>
      <c r="D143" s="75" t="s">
        <v>357</v>
      </c>
      <c r="E143" s="75" t="s">
        <v>358</v>
      </c>
      <c r="F143" s="75" t="s">
        <v>359</v>
      </c>
      <c r="G143" s="75" t="s">
        <v>69</v>
      </c>
      <c r="H143" s="75">
        <v>18.343233000000001</v>
      </c>
      <c r="I143" s="75">
        <v>-64.687667000000005</v>
      </c>
      <c r="J143" s="81">
        <v>44789</v>
      </c>
      <c r="K143" s="75" t="s">
        <v>367</v>
      </c>
      <c r="L143" s="75" t="s">
        <v>360</v>
      </c>
      <c r="M143" s="75">
        <v>0</v>
      </c>
      <c r="N143" s="75">
        <v>3</v>
      </c>
      <c r="O143" s="75" t="s">
        <v>362</v>
      </c>
      <c r="P143" s="88">
        <f>SUM(TreatmentUsed!E1947:E1973)</f>
        <v>195</v>
      </c>
      <c r="Q143" s="84">
        <v>0</v>
      </c>
      <c r="R143" s="75">
        <v>0</v>
      </c>
      <c r="S143" s="75">
        <v>0</v>
      </c>
      <c r="T143" s="75">
        <v>0</v>
      </c>
      <c r="U143" s="75">
        <v>0</v>
      </c>
      <c r="V143" s="75">
        <v>0</v>
      </c>
      <c r="W143" s="75">
        <v>0</v>
      </c>
      <c r="X143" s="75">
        <v>0</v>
      </c>
      <c r="Y143" s="75">
        <v>0</v>
      </c>
      <c r="Z143" s="75">
        <v>0</v>
      </c>
      <c r="AA143" s="75">
        <v>0</v>
      </c>
      <c r="AB143" s="75">
        <v>0</v>
      </c>
      <c r="AC143" s="75">
        <v>0</v>
      </c>
      <c r="AD143" s="75">
        <v>0</v>
      </c>
      <c r="AE143" s="75">
        <v>0</v>
      </c>
      <c r="AF143" s="75">
        <v>0</v>
      </c>
      <c r="AG143" s="75">
        <v>0</v>
      </c>
      <c r="AH143" s="75">
        <v>0</v>
      </c>
      <c r="AI143" s="75">
        <v>0</v>
      </c>
      <c r="AJ143" s="75">
        <v>0</v>
      </c>
      <c r="AK143" s="75">
        <v>0</v>
      </c>
      <c r="AL143" s="75">
        <v>0</v>
      </c>
      <c r="AM143" s="75">
        <v>0</v>
      </c>
      <c r="AN143" s="75">
        <v>0</v>
      </c>
      <c r="AO143" s="75">
        <v>0</v>
      </c>
      <c r="AP143" s="75">
        <v>0</v>
      </c>
      <c r="AQ143" s="75">
        <v>0</v>
      </c>
      <c r="AR143" s="75">
        <v>0</v>
      </c>
      <c r="AS143" s="84">
        <v>4</v>
      </c>
      <c r="AT143" s="84">
        <v>13</v>
      </c>
      <c r="AU143" s="84">
        <v>0</v>
      </c>
      <c r="AV143" s="75">
        <v>0</v>
      </c>
      <c r="AW143" s="75">
        <v>0</v>
      </c>
      <c r="AX143" s="75">
        <v>0</v>
      </c>
      <c r="AY143" s="84">
        <v>1</v>
      </c>
      <c r="AZ143" s="75">
        <v>0</v>
      </c>
      <c r="BA143" s="84">
        <v>3</v>
      </c>
      <c r="BB143" s="75">
        <v>0</v>
      </c>
      <c r="BC143" s="84">
        <v>1</v>
      </c>
      <c r="BD143" s="75">
        <v>0</v>
      </c>
      <c r="BE143" s="75">
        <v>0</v>
      </c>
      <c r="BF143" s="75">
        <v>5</v>
      </c>
      <c r="BG143" s="75">
        <v>0</v>
      </c>
      <c r="BH143" s="75">
        <v>0</v>
      </c>
      <c r="BM143" s="75">
        <f t="shared" si="17"/>
        <v>0</v>
      </c>
      <c r="BN143" s="75">
        <f t="shared" si="18"/>
        <v>0</v>
      </c>
      <c r="BO143" s="75">
        <f t="shared" si="19"/>
        <v>27</v>
      </c>
      <c r="BP143" s="84">
        <f t="shared" si="20"/>
        <v>27</v>
      </c>
      <c r="BR143" s="138" t="s">
        <v>363</v>
      </c>
      <c r="BT143" s="110">
        <v>0</v>
      </c>
    </row>
    <row r="144" spans="1:74" x14ac:dyDescent="0.75">
      <c r="C144" s="270">
        <v>757</v>
      </c>
      <c r="D144" s="75" t="s">
        <v>357</v>
      </c>
      <c r="E144" s="75" t="s">
        <v>358</v>
      </c>
      <c r="F144" s="75" t="s">
        <v>359</v>
      </c>
      <c r="G144" s="75" t="s">
        <v>69</v>
      </c>
      <c r="H144" s="75">
        <v>18.343233000000001</v>
      </c>
      <c r="I144" s="75">
        <v>-64.687667000000005</v>
      </c>
      <c r="J144" s="81">
        <v>44790</v>
      </c>
      <c r="K144" s="75" t="s">
        <v>367</v>
      </c>
      <c r="L144" s="75" t="s">
        <v>360</v>
      </c>
      <c r="M144" s="75">
        <v>0</v>
      </c>
      <c r="N144" s="75">
        <v>3</v>
      </c>
      <c r="O144" s="75" t="s">
        <v>362</v>
      </c>
      <c r="P144" s="88">
        <f>SUM(TreatmentUsed!E1974:E2026)</f>
        <v>389</v>
      </c>
      <c r="Q144" s="84">
        <f>236/2</f>
        <v>118</v>
      </c>
      <c r="R144" s="75">
        <v>0</v>
      </c>
      <c r="S144" s="75">
        <v>0</v>
      </c>
      <c r="T144" s="75">
        <v>0</v>
      </c>
      <c r="U144" s="75">
        <v>0</v>
      </c>
      <c r="V144" s="75">
        <v>0</v>
      </c>
      <c r="W144" s="75">
        <v>0</v>
      </c>
      <c r="X144" s="75">
        <v>0</v>
      </c>
      <c r="Y144" s="75">
        <v>0</v>
      </c>
      <c r="Z144" s="75">
        <v>0</v>
      </c>
      <c r="AA144" s="75">
        <v>0</v>
      </c>
      <c r="AB144" s="75">
        <v>0</v>
      </c>
      <c r="AC144" s="75">
        <v>0</v>
      </c>
      <c r="AD144" s="75">
        <v>0</v>
      </c>
      <c r="AE144" s="75">
        <v>0</v>
      </c>
      <c r="AF144" s="75">
        <v>0</v>
      </c>
      <c r="AG144" s="75">
        <v>0</v>
      </c>
      <c r="AH144" s="75">
        <v>0</v>
      </c>
      <c r="AI144" s="75">
        <v>0</v>
      </c>
      <c r="AJ144" s="75">
        <v>0</v>
      </c>
      <c r="AK144" s="75">
        <v>0</v>
      </c>
      <c r="AL144" s="75">
        <v>0</v>
      </c>
      <c r="AM144" s="75">
        <v>0</v>
      </c>
      <c r="AN144" s="75">
        <v>0</v>
      </c>
      <c r="AO144" s="75">
        <v>1</v>
      </c>
      <c r="AP144" s="75">
        <v>0</v>
      </c>
      <c r="AQ144" s="75">
        <v>0</v>
      </c>
      <c r="AR144" s="75">
        <v>1</v>
      </c>
      <c r="AS144" s="84">
        <v>17</v>
      </c>
      <c r="AT144" s="84">
        <v>4</v>
      </c>
      <c r="AU144" s="75">
        <v>0</v>
      </c>
      <c r="AV144" s="75">
        <v>0</v>
      </c>
      <c r="AW144" s="75">
        <v>0</v>
      </c>
      <c r="AX144" s="75">
        <v>0</v>
      </c>
      <c r="AY144" s="84">
        <v>4</v>
      </c>
      <c r="AZ144" s="84">
        <v>3</v>
      </c>
      <c r="BA144" s="84">
        <v>6</v>
      </c>
      <c r="BB144" s="75">
        <v>0</v>
      </c>
      <c r="BC144" s="84">
        <v>12</v>
      </c>
      <c r="BD144" s="75">
        <v>0</v>
      </c>
      <c r="BE144" s="75">
        <v>0</v>
      </c>
      <c r="BF144" s="75">
        <v>5</v>
      </c>
      <c r="BG144" s="75">
        <v>0</v>
      </c>
      <c r="BH144" s="75">
        <v>0</v>
      </c>
      <c r="BM144" s="75">
        <f t="shared" si="17"/>
        <v>0</v>
      </c>
      <c r="BN144" s="75">
        <f t="shared" si="18"/>
        <v>0</v>
      </c>
      <c r="BO144" s="75">
        <f t="shared" si="19"/>
        <v>53</v>
      </c>
      <c r="BP144" s="75">
        <f t="shared" si="20"/>
        <v>53</v>
      </c>
      <c r="BR144" s="252" t="s">
        <v>478</v>
      </c>
      <c r="BT144" s="110">
        <v>0</v>
      </c>
    </row>
    <row r="145" spans="1:74" x14ac:dyDescent="0.75">
      <c r="C145" s="270">
        <v>758</v>
      </c>
      <c r="D145" s="75" t="s">
        <v>357</v>
      </c>
      <c r="E145" s="75" t="s">
        <v>358</v>
      </c>
      <c r="F145" s="75" t="s">
        <v>359</v>
      </c>
      <c r="G145" s="75" t="s">
        <v>69</v>
      </c>
      <c r="H145" s="75">
        <v>18.343233000000001</v>
      </c>
      <c r="I145" s="75">
        <v>-64.687667000000005</v>
      </c>
      <c r="J145" s="81">
        <v>44790</v>
      </c>
      <c r="K145" s="75" t="s">
        <v>367</v>
      </c>
      <c r="L145" s="75" t="s">
        <v>360</v>
      </c>
      <c r="M145" s="75">
        <v>0</v>
      </c>
      <c r="N145" s="75">
        <v>3</v>
      </c>
      <c r="O145" s="75" t="s">
        <v>362</v>
      </c>
      <c r="P145" s="88">
        <f>SUM(TreatmentUsed!E2027:E2061)</f>
        <v>225</v>
      </c>
      <c r="Q145" s="84">
        <f>236/2</f>
        <v>118</v>
      </c>
      <c r="R145" s="75">
        <v>0</v>
      </c>
      <c r="S145" s="75">
        <v>0</v>
      </c>
      <c r="T145" s="75">
        <v>0</v>
      </c>
      <c r="U145" s="75">
        <v>0</v>
      </c>
      <c r="V145" s="75">
        <v>0</v>
      </c>
      <c r="W145" s="75">
        <v>0</v>
      </c>
      <c r="X145" s="75">
        <v>0</v>
      </c>
      <c r="Y145" s="75">
        <v>0</v>
      </c>
      <c r="Z145" s="75">
        <v>0</v>
      </c>
      <c r="AA145" s="75">
        <v>0</v>
      </c>
      <c r="AB145" s="75">
        <v>0</v>
      </c>
      <c r="AC145" s="75">
        <v>0</v>
      </c>
      <c r="AD145" s="75">
        <v>0</v>
      </c>
      <c r="AE145" s="75">
        <v>0</v>
      </c>
      <c r="AF145" s="75">
        <v>0</v>
      </c>
      <c r="AG145" s="75">
        <v>0</v>
      </c>
      <c r="AH145" s="75">
        <v>0</v>
      </c>
      <c r="AI145" s="75">
        <v>0</v>
      </c>
      <c r="AJ145" s="75">
        <v>0</v>
      </c>
      <c r="AK145" s="75">
        <v>0</v>
      </c>
      <c r="AL145" s="75">
        <v>0</v>
      </c>
      <c r="AM145" s="75">
        <v>0</v>
      </c>
      <c r="AN145" s="75">
        <v>0</v>
      </c>
      <c r="AO145" s="75">
        <v>0</v>
      </c>
      <c r="AP145" s="75">
        <v>0</v>
      </c>
      <c r="AQ145" s="75">
        <v>0</v>
      </c>
      <c r="AR145" s="75">
        <v>0</v>
      </c>
      <c r="AS145" s="84">
        <v>8</v>
      </c>
      <c r="AT145" s="84">
        <v>11</v>
      </c>
      <c r="AU145" s="75">
        <v>0</v>
      </c>
      <c r="AV145" s="75">
        <v>0</v>
      </c>
      <c r="AW145" s="75">
        <v>0</v>
      </c>
      <c r="AX145" s="75">
        <v>0</v>
      </c>
      <c r="AY145" s="84">
        <v>3</v>
      </c>
      <c r="AZ145" s="84">
        <v>1</v>
      </c>
      <c r="BA145" s="84">
        <v>7</v>
      </c>
      <c r="BB145" s="75">
        <v>0</v>
      </c>
      <c r="BC145" s="75">
        <v>1</v>
      </c>
      <c r="BD145" s="75">
        <v>0</v>
      </c>
      <c r="BE145" s="75">
        <v>0</v>
      </c>
      <c r="BF145" s="75">
        <v>4</v>
      </c>
      <c r="BG145" s="75">
        <v>0</v>
      </c>
      <c r="BH145" s="75">
        <v>0</v>
      </c>
      <c r="BM145" s="75">
        <f t="shared" si="17"/>
        <v>0</v>
      </c>
      <c r="BN145" s="75">
        <f t="shared" si="18"/>
        <v>0</v>
      </c>
      <c r="BO145" s="75">
        <f t="shared" si="19"/>
        <v>35</v>
      </c>
      <c r="BP145" s="84">
        <f t="shared" si="20"/>
        <v>35</v>
      </c>
      <c r="BR145" s="252" t="s">
        <v>479</v>
      </c>
      <c r="BT145" s="110">
        <v>0</v>
      </c>
    </row>
    <row r="146" spans="1:74" x14ac:dyDescent="0.75">
      <c r="C146" s="270">
        <v>767</v>
      </c>
      <c r="D146" s="75" t="s">
        <v>357</v>
      </c>
      <c r="E146" s="75" t="s">
        <v>358</v>
      </c>
      <c r="F146" s="75" t="s">
        <v>359</v>
      </c>
      <c r="G146" s="75" t="s">
        <v>23</v>
      </c>
      <c r="H146" s="75">
        <v>18.365749999999998</v>
      </c>
      <c r="I146" s="75">
        <v>-64.773619999999994</v>
      </c>
      <c r="J146" s="81">
        <v>44791</v>
      </c>
      <c r="K146" s="75" t="s">
        <v>367</v>
      </c>
      <c r="L146" s="75" t="s">
        <v>360</v>
      </c>
      <c r="M146" s="75">
        <v>0</v>
      </c>
      <c r="N146" s="75">
        <v>3</v>
      </c>
      <c r="O146" s="75" t="s">
        <v>362</v>
      </c>
      <c r="P146" s="88">
        <f>SUM(TreatmentUsed!E2062:E2064)</f>
        <v>13</v>
      </c>
      <c r="Q146" s="75">
        <f t="shared" ref="Q146:Q156" si="21">236/11</f>
        <v>21.454545454545453</v>
      </c>
      <c r="R146" s="75">
        <v>0</v>
      </c>
      <c r="S146" s="75">
        <v>0</v>
      </c>
      <c r="T146" s="75">
        <v>0</v>
      </c>
      <c r="U146" s="75">
        <v>0</v>
      </c>
      <c r="V146" s="75">
        <v>0</v>
      </c>
      <c r="W146" s="75">
        <v>0</v>
      </c>
      <c r="X146" s="75">
        <v>0</v>
      </c>
      <c r="Y146" s="75">
        <v>0</v>
      </c>
      <c r="Z146" s="75">
        <v>0</v>
      </c>
      <c r="AA146" s="75">
        <v>0</v>
      </c>
      <c r="AB146" s="75">
        <v>0</v>
      </c>
      <c r="AC146" s="75">
        <v>0</v>
      </c>
      <c r="AD146" s="75">
        <v>0</v>
      </c>
      <c r="AE146" s="75">
        <v>0</v>
      </c>
      <c r="AF146" s="75">
        <v>0</v>
      </c>
      <c r="AG146" s="75">
        <v>0</v>
      </c>
      <c r="AH146" s="75">
        <v>0</v>
      </c>
      <c r="AI146" s="75">
        <v>0</v>
      </c>
      <c r="AJ146" s="75">
        <v>0</v>
      </c>
      <c r="AK146" s="75">
        <v>0</v>
      </c>
      <c r="AL146" s="75">
        <v>0</v>
      </c>
      <c r="AM146" s="75">
        <v>0</v>
      </c>
      <c r="AN146" s="75">
        <v>0</v>
      </c>
      <c r="AO146" s="75">
        <v>0</v>
      </c>
      <c r="AP146" s="75">
        <v>0</v>
      </c>
      <c r="AQ146" s="75">
        <v>2</v>
      </c>
      <c r="AR146" s="75">
        <v>0</v>
      </c>
      <c r="AS146" s="75">
        <v>0</v>
      </c>
      <c r="AT146" s="75">
        <v>0</v>
      </c>
      <c r="AU146" s="75">
        <v>0</v>
      </c>
      <c r="AV146" s="75">
        <v>0</v>
      </c>
      <c r="AW146" s="75">
        <v>0</v>
      </c>
      <c r="AX146" s="75">
        <v>0</v>
      </c>
      <c r="AY146" s="75">
        <v>0</v>
      </c>
      <c r="AZ146" s="75">
        <v>0</v>
      </c>
      <c r="BA146" s="75">
        <v>0</v>
      </c>
      <c r="BB146" s="75">
        <v>0</v>
      </c>
      <c r="BC146" s="75">
        <v>0</v>
      </c>
      <c r="BD146" s="75">
        <v>0</v>
      </c>
      <c r="BE146" s="75">
        <v>0</v>
      </c>
      <c r="BF146" s="75">
        <v>1</v>
      </c>
      <c r="BG146" s="75">
        <v>0</v>
      </c>
      <c r="BH146" s="75">
        <v>0</v>
      </c>
      <c r="BM146" s="75">
        <f t="shared" si="17"/>
        <v>0</v>
      </c>
      <c r="BN146" s="75">
        <f t="shared" si="18"/>
        <v>0</v>
      </c>
      <c r="BO146" s="75">
        <f t="shared" si="19"/>
        <v>3</v>
      </c>
      <c r="BP146" s="75">
        <f t="shared" si="20"/>
        <v>3</v>
      </c>
      <c r="BR146" s="138" t="s">
        <v>480</v>
      </c>
      <c r="BT146" s="110">
        <v>0</v>
      </c>
    </row>
    <row r="147" spans="1:74" x14ac:dyDescent="0.75">
      <c r="C147" s="270">
        <v>768</v>
      </c>
      <c r="D147" s="75" t="s">
        <v>357</v>
      </c>
      <c r="E147" s="75" t="s">
        <v>358</v>
      </c>
      <c r="F147" s="75" t="s">
        <v>359</v>
      </c>
      <c r="G147" s="75" t="s">
        <v>23</v>
      </c>
      <c r="H147" s="75">
        <v>18.365749999999998</v>
      </c>
      <c r="I147" s="75">
        <v>-64.773619999999994</v>
      </c>
      <c r="J147" s="81">
        <v>44791</v>
      </c>
      <c r="K147" s="75" t="s">
        <v>367</v>
      </c>
      <c r="L147" s="75" t="s">
        <v>360</v>
      </c>
      <c r="M147" s="75">
        <v>0</v>
      </c>
      <c r="N147" s="75">
        <v>3</v>
      </c>
      <c r="O147" s="75" t="s">
        <v>362</v>
      </c>
      <c r="P147" s="88">
        <f>SUM(TreatmentUsed!E2065)</f>
        <v>24</v>
      </c>
      <c r="Q147" s="75">
        <f t="shared" si="21"/>
        <v>21.454545454545453</v>
      </c>
      <c r="R147" s="75">
        <v>0</v>
      </c>
      <c r="S147" s="75">
        <v>0</v>
      </c>
      <c r="T147" s="75">
        <v>0</v>
      </c>
      <c r="U147" s="75">
        <v>0</v>
      </c>
      <c r="V147" s="75">
        <v>0</v>
      </c>
      <c r="W147" s="75">
        <v>0</v>
      </c>
      <c r="X147" s="75">
        <v>0</v>
      </c>
      <c r="Y147" s="75">
        <v>0</v>
      </c>
      <c r="Z147" s="75">
        <v>0</v>
      </c>
      <c r="AA147" s="75">
        <v>0</v>
      </c>
      <c r="AB147" s="75">
        <v>0</v>
      </c>
      <c r="AC147" s="75">
        <v>0</v>
      </c>
      <c r="AD147" s="75">
        <v>0</v>
      </c>
      <c r="AE147" s="75">
        <v>0</v>
      </c>
      <c r="AF147" s="75">
        <v>0</v>
      </c>
      <c r="AG147" s="75">
        <v>0</v>
      </c>
      <c r="AH147" s="75">
        <v>0</v>
      </c>
      <c r="AI147" s="75">
        <v>0</v>
      </c>
      <c r="AJ147" s="75">
        <v>0</v>
      </c>
      <c r="AK147" s="75">
        <v>0</v>
      </c>
      <c r="AL147" s="75">
        <v>0</v>
      </c>
      <c r="AM147" s="75">
        <v>0</v>
      </c>
      <c r="AN147" s="75">
        <v>0</v>
      </c>
      <c r="AO147" s="75">
        <v>0</v>
      </c>
      <c r="AP147" s="75">
        <v>0</v>
      </c>
      <c r="AQ147" s="75">
        <v>0</v>
      </c>
      <c r="AR147" s="75">
        <v>0</v>
      </c>
      <c r="AS147" s="75">
        <v>1</v>
      </c>
      <c r="AT147" s="75">
        <v>0</v>
      </c>
      <c r="AU147" s="75">
        <v>0</v>
      </c>
      <c r="AV147" s="75">
        <v>0</v>
      </c>
      <c r="AW147" s="75">
        <v>0</v>
      </c>
      <c r="AX147" s="75">
        <v>0</v>
      </c>
      <c r="AY147" s="75">
        <v>0</v>
      </c>
      <c r="AZ147" s="75">
        <v>0</v>
      </c>
      <c r="BA147" s="75">
        <v>0</v>
      </c>
      <c r="BB147" s="75">
        <v>0</v>
      </c>
      <c r="BC147" s="75">
        <v>0</v>
      </c>
      <c r="BD147" s="75">
        <v>0</v>
      </c>
      <c r="BE147" s="75">
        <v>0</v>
      </c>
      <c r="BF147" s="75">
        <v>0</v>
      </c>
      <c r="BG147" s="75">
        <v>0</v>
      </c>
      <c r="BH147" s="75">
        <v>0</v>
      </c>
      <c r="BM147" s="75">
        <f t="shared" si="17"/>
        <v>0</v>
      </c>
      <c r="BN147" s="75">
        <f t="shared" si="18"/>
        <v>0</v>
      </c>
      <c r="BO147" s="75">
        <f t="shared" si="19"/>
        <v>1</v>
      </c>
      <c r="BP147" s="75">
        <f t="shared" si="20"/>
        <v>1</v>
      </c>
      <c r="BR147" s="138" t="s">
        <v>363</v>
      </c>
      <c r="BT147" s="110">
        <v>0</v>
      </c>
    </row>
    <row r="148" spans="1:74" x14ac:dyDescent="0.75">
      <c r="C148" s="270">
        <v>769</v>
      </c>
      <c r="D148" s="75" t="s">
        <v>357</v>
      </c>
      <c r="E148" s="75" t="s">
        <v>358</v>
      </c>
      <c r="F148" s="75" t="s">
        <v>359</v>
      </c>
      <c r="G148" s="75" t="s">
        <v>23</v>
      </c>
      <c r="H148" s="75">
        <v>18.365749999999998</v>
      </c>
      <c r="I148" s="75">
        <v>-64.773619999999994</v>
      </c>
      <c r="J148" s="81">
        <v>44796</v>
      </c>
      <c r="K148" s="75" t="s">
        <v>367</v>
      </c>
      <c r="L148" s="75" t="s">
        <v>360</v>
      </c>
      <c r="M148" s="75">
        <v>0</v>
      </c>
      <c r="N148" s="75">
        <v>2</v>
      </c>
      <c r="O148" s="75" t="s">
        <v>362</v>
      </c>
      <c r="P148" s="88">
        <f>SUM(TreatmentUsed!E2066)</f>
        <v>12</v>
      </c>
      <c r="Q148" s="75">
        <f t="shared" si="21"/>
        <v>21.454545454545453</v>
      </c>
      <c r="R148" s="75">
        <v>0</v>
      </c>
      <c r="S148" s="75">
        <v>0</v>
      </c>
      <c r="T148" s="75">
        <v>0</v>
      </c>
      <c r="U148" s="75">
        <v>0</v>
      </c>
      <c r="V148" s="75">
        <v>0</v>
      </c>
      <c r="W148" s="75">
        <v>0</v>
      </c>
      <c r="X148" s="75">
        <v>0</v>
      </c>
      <c r="Y148" s="75">
        <v>0</v>
      </c>
      <c r="Z148" s="75">
        <v>0</v>
      </c>
      <c r="AA148" s="75">
        <v>0</v>
      </c>
      <c r="AB148" s="75">
        <v>0</v>
      </c>
      <c r="AC148" s="75">
        <v>0</v>
      </c>
      <c r="AD148" s="75">
        <v>0</v>
      </c>
      <c r="AE148" s="75">
        <v>0</v>
      </c>
      <c r="AF148" s="75">
        <v>0</v>
      </c>
      <c r="AG148" s="75">
        <v>0</v>
      </c>
      <c r="AH148" s="75">
        <v>0</v>
      </c>
      <c r="AI148" s="75">
        <v>0</v>
      </c>
      <c r="AJ148" s="75">
        <v>0</v>
      </c>
      <c r="AK148" s="75">
        <v>0</v>
      </c>
      <c r="AL148" s="75">
        <v>0</v>
      </c>
      <c r="AM148" s="75">
        <v>0</v>
      </c>
      <c r="AN148" s="75">
        <v>0</v>
      </c>
      <c r="AO148" s="75">
        <v>0</v>
      </c>
      <c r="AP148" s="75">
        <v>0</v>
      </c>
      <c r="AQ148" s="75">
        <v>0</v>
      </c>
      <c r="AR148" s="75">
        <v>0</v>
      </c>
      <c r="AS148" s="75">
        <v>1</v>
      </c>
      <c r="AT148" s="75">
        <v>0</v>
      </c>
      <c r="AU148" s="75">
        <v>0</v>
      </c>
      <c r="AV148" s="75">
        <v>0</v>
      </c>
      <c r="AW148" s="75">
        <v>0</v>
      </c>
      <c r="AX148" s="75">
        <v>0</v>
      </c>
      <c r="AY148" s="75">
        <v>0</v>
      </c>
      <c r="AZ148" s="75">
        <v>0</v>
      </c>
      <c r="BA148" s="75">
        <v>0</v>
      </c>
      <c r="BB148" s="75">
        <v>0</v>
      </c>
      <c r="BC148" s="75">
        <v>0</v>
      </c>
      <c r="BD148" s="75">
        <v>0</v>
      </c>
      <c r="BE148" s="75">
        <v>0</v>
      </c>
      <c r="BF148" s="75">
        <v>0</v>
      </c>
      <c r="BG148" s="75">
        <v>0</v>
      </c>
      <c r="BH148" s="75">
        <v>0</v>
      </c>
      <c r="BM148" s="75">
        <f t="shared" si="17"/>
        <v>0</v>
      </c>
      <c r="BN148" s="75">
        <f t="shared" si="18"/>
        <v>0</v>
      </c>
      <c r="BO148" s="75">
        <f t="shared" si="19"/>
        <v>1</v>
      </c>
      <c r="BP148" s="75">
        <f t="shared" si="20"/>
        <v>1</v>
      </c>
      <c r="BQ148" s="80" t="s">
        <v>481</v>
      </c>
      <c r="BR148" s="138" t="s">
        <v>363</v>
      </c>
      <c r="BT148" s="110">
        <v>0</v>
      </c>
    </row>
    <row r="149" spans="1:74" x14ac:dyDescent="0.75">
      <c r="C149" s="270">
        <v>770</v>
      </c>
      <c r="D149" s="75" t="s">
        <v>357</v>
      </c>
      <c r="E149" s="75" t="s">
        <v>358</v>
      </c>
      <c r="F149" s="75" t="s">
        <v>359</v>
      </c>
      <c r="G149" s="75" t="s">
        <v>78</v>
      </c>
      <c r="H149" s="84"/>
      <c r="I149" s="84"/>
      <c r="J149" s="81">
        <v>44796</v>
      </c>
      <c r="K149" s="75" t="s">
        <v>367</v>
      </c>
      <c r="L149" s="75" t="s">
        <v>360</v>
      </c>
      <c r="M149" s="75">
        <v>0</v>
      </c>
      <c r="N149" s="75">
        <v>2</v>
      </c>
      <c r="O149" s="75" t="s">
        <v>362</v>
      </c>
      <c r="P149" s="88">
        <f>SUM(TreatmentUsed!E2067)</f>
        <v>21</v>
      </c>
      <c r="Q149" s="75">
        <f t="shared" si="21"/>
        <v>21.454545454545453</v>
      </c>
      <c r="R149" s="75">
        <v>0</v>
      </c>
      <c r="S149" s="75">
        <v>0</v>
      </c>
      <c r="T149" s="75">
        <v>0</v>
      </c>
      <c r="U149" s="75">
        <v>0</v>
      </c>
      <c r="V149" s="75">
        <v>0</v>
      </c>
      <c r="W149" s="75">
        <v>0</v>
      </c>
      <c r="X149" s="75">
        <v>0</v>
      </c>
      <c r="Y149" s="75">
        <v>0</v>
      </c>
      <c r="Z149" s="75">
        <v>0</v>
      </c>
      <c r="AA149" s="75">
        <v>0</v>
      </c>
      <c r="AB149" s="75">
        <v>0</v>
      </c>
      <c r="AC149" s="75">
        <v>0</v>
      </c>
      <c r="AD149" s="75">
        <v>0</v>
      </c>
      <c r="AE149" s="75">
        <v>0</v>
      </c>
      <c r="AF149" s="75">
        <v>0</v>
      </c>
      <c r="AG149" s="75">
        <v>0</v>
      </c>
      <c r="AH149" s="75">
        <v>0</v>
      </c>
      <c r="AI149" s="75">
        <v>0</v>
      </c>
      <c r="AJ149" s="75">
        <v>0</v>
      </c>
      <c r="AK149" s="75">
        <v>0</v>
      </c>
      <c r="AL149" s="75">
        <v>0</v>
      </c>
      <c r="AM149" s="75">
        <v>0</v>
      </c>
      <c r="AN149" s="75">
        <v>0</v>
      </c>
      <c r="AO149" s="75">
        <v>0</v>
      </c>
      <c r="AP149" s="75">
        <v>0</v>
      </c>
      <c r="AQ149" s="75">
        <v>0</v>
      </c>
      <c r="AR149" s="75">
        <v>0</v>
      </c>
      <c r="AS149" s="75">
        <v>0</v>
      </c>
      <c r="AT149" s="75">
        <v>0</v>
      </c>
      <c r="AU149" s="75">
        <v>0</v>
      </c>
      <c r="AV149" s="75">
        <v>0</v>
      </c>
      <c r="AW149" s="75">
        <v>0</v>
      </c>
      <c r="AX149" s="75">
        <v>0</v>
      </c>
      <c r="AY149" s="75">
        <v>0</v>
      </c>
      <c r="AZ149" s="75">
        <v>0</v>
      </c>
      <c r="BA149" s="75">
        <v>0</v>
      </c>
      <c r="BB149" s="75">
        <v>0</v>
      </c>
      <c r="BC149" s="75">
        <v>1</v>
      </c>
      <c r="BD149" s="75">
        <v>0</v>
      </c>
      <c r="BE149" s="75">
        <v>0</v>
      </c>
      <c r="BF149" s="75">
        <v>0</v>
      </c>
      <c r="BG149" s="75">
        <v>0</v>
      </c>
      <c r="BH149" s="75">
        <v>0</v>
      </c>
      <c r="BM149" s="75">
        <f t="shared" si="17"/>
        <v>0</v>
      </c>
      <c r="BN149" s="75">
        <f t="shared" si="18"/>
        <v>0</v>
      </c>
      <c r="BO149" s="75">
        <f t="shared" si="19"/>
        <v>1</v>
      </c>
      <c r="BP149" s="75">
        <f t="shared" si="20"/>
        <v>1</v>
      </c>
      <c r="BQ149" s="80" t="s">
        <v>481</v>
      </c>
      <c r="BR149" s="138" t="s">
        <v>363</v>
      </c>
      <c r="BT149" s="110">
        <v>0</v>
      </c>
    </row>
    <row r="150" spans="1:74" x14ac:dyDescent="0.75">
      <c r="C150" s="270">
        <v>771</v>
      </c>
      <c r="D150" s="75" t="s">
        <v>357</v>
      </c>
      <c r="E150" s="75" t="s">
        <v>358</v>
      </c>
      <c r="F150" s="75" t="s">
        <v>359</v>
      </c>
      <c r="G150" s="75" t="s">
        <v>83</v>
      </c>
      <c r="H150" s="84"/>
      <c r="I150" s="84"/>
      <c r="J150" s="81">
        <v>44796</v>
      </c>
      <c r="K150" s="75" t="s">
        <v>367</v>
      </c>
      <c r="L150" s="75" t="s">
        <v>360</v>
      </c>
      <c r="M150" s="75">
        <v>0</v>
      </c>
      <c r="N150" s="75">
        <v>2</v>
      </c>
      <c r="O150" s="75" t="s">
        <v>362</v>
      </c>
      <c r="P150" s="88">
        <f>SUM(TreatmentUsed!E2068)</f>
        <v>12</v>
      </c>
      <c r="Q150" s="75">
        <f t="shared" si="21"/>
        <v>21.454545454545453</v>
      </c>
      <c r="R150" s="75">
        <v>0</v>
      </c>
      <c r="S150" s="75">
        <v>0</v>
      </c>
      <c r="T150" s="75">
        <v>0</v>
      </c>
      <c r="U150" s="75">
        <v>0</v>
      </c>
      <c r="V150" s="75">
        <v>0</v>
      </c>
      <c r="W150" s="75">
        <v>0</v>
      </c>
      <c r="X150" s="75">
        <v>0</v>
      </c>
      <c r="Y150" s="75">
        <v>0</v>
      </c>
      <c r="Z150" s="75">
        <v>0</v>
      </c>
      <c r="AA150" s="75">
        <v>0</v>
      </c>
      <c r="AB150" s="75">
        <v>0</v>
      </c>
      <c r="AC150" s="75">
        <v>0</v>
      </c>
      <c r="AD150" s="75">
        <v>0</v>
      </c>
      <c r="AE150" s="75">
        <v>0</v>
      </c>
      <c r="AF150" s="75">
        <v>0</v>
      </c>
      <c r="AG150" s="75">
        <v>0</v>
      </c>
      <c r="AH150" s="75">
        <v>0</v>
      </c>
      <c r="AI150" s="75">
        <v>0</v>
      </c>
      <c r="AJ150" s="75">
        <v>0</v>
      </c>
      <c r="AK150" s="75">
        <v>0</v>
      </c>
      <c r="AL150" s="75">
        <v>0</v>
      </c>
      <c r="AM150" s="75">
        <v>0</v>
      </c>
      <c r="AN150" s="75">
        <v>0</v>
      </c>
      <c r="AO150" s="75">
        <v>0</v>
      </c>
      <c r="AP150" s="75">
        <v>0</v>
      </c>
      <c r="AQ150" s="75">
        <v>0</v>
      </c>
      <c r="AR150" s="75">
        <v>0</v>
      </c>
      <c r="AS150" s="75">
        <v>0</v>
      </c>
      <c r="AT150" s="75">
        <v>0</v>
      </c>
      <c r="AU150" s="75">
        <v>0</v>
      </c>
      <c r="AV150" s="75">
        <v>0</v>
      </c>
      <c r="AW150" s="75">
        <v>0</v>
      </c>
      <c r="AX150" s="75">
        <v>0</v>
      </c>
      <c r="AY150" s="75">
        <v>1</v>
      </c>
      <c r="AZ150" s="75">
        <v>0</v>
      </c>
      <c r="BA150" s="75">
        <v>0</v>
      </c>
      <c r="BB150" s="75">
        <v>0</v>
      </c>
      <c r="BC150" s="75">
        <v>0</v>
      </c>
      <c r="BD150" s="75">
        <v>0</v>
      </c>
      <c r="BE150" s="75">
        <v>0</v>
      </c>
      <c r="BF150" s="75">
        <v>0</v>
      </c>
      <c r="BG150" s="75">
        <v>0</v>
      </c>
      <c r="BH150" s="75">
        <v>0</v>
      </c>
      <c r="BM150" s="75">
        <f t="shared" si="17"/>
        <v>0</v>
      </c>
      <c r="BN150" s="75">
        <f t="shared" si="18"/>
        <v>0</v>
      </c>
      <c r="BO150" s="75">
        <f t="shared" si="19"/>
        <v>1</v>
      </c>
      <c r="BP150" s="75">
        <f t="shared" si="20"/>
        <v>1</v>
      </c>
      <c r="BQ150" s="80" t="s">
        <v>481</v>
      </c>
      <c r="BR150" s="138" t="s">
        <v>363</v>
      </c>
      <c r="BT150" s="110">
        <v>0</v>
      </c>
    </row>
    <row r="151" spans="1:74" x14ac:dyDescent="0.75">
      <c r="C151" s="270">
        <v>772</v>
      </c>
      <c r="D151" s="75" t="s">
        <v>357</v>
      </c>
      <c r="E151" s="75" t="s">
        <v>358</v>
      </c>
      <c r="F151" s="75" t="s">
        <v>359</v>
      </c>
      <c r="G151" s="75" t="s">
        <v>87</v>
      </c>
      <c r="H151" s="84"/>
      <c r="I151" s="84"/>
      <c r="J151" s="81">
        <v>44797</v>
      </c>
      <c r="K151" s="75" t="s">
        <v>367</v>
      </c>
      <c r="L151" s="75" t="s">
        <v>360</v>
      </c>
      <c r="M151" s="75">
        <v>0</v>
      </c>
      <c r="N151" s="75">
        <v>2</v>
      </c>
      <c r="O151" s="75" t="s">
        <v>362</v>
      </c>
      <c r="P151" s="88">
        <f>SUM(TreatmentUsed!E2069:E2071)</f>
        <v>42</v>
      </c>
      <c r="Q151" s="75">
        <f t="shared" si="21"/>
        <v>21.454545454545453</v>
      </c>
      <c r="R151" s="75">
        <v>0</v>
      </c>
      <c r="S151" s="75">
        <v>0</v>
      </c>
      <c r="T151" s="75">
        <v>0</v>
      </c>
      <c r="U151" s="75">
        <v>0</v>
      </c>
      <c r="V151" s="75">
        <v>0</v>
      </c>
      <c r="W151" s="75">
        <v>0</v>
      </c>
      <c r="X151" s="75">
        <v>0</v>
      </c>
      <c r="Y151" s="75">
        <v>0</v>
      </c>
      <c r="Z151" s="75">
        <v>0</v>
      </c>
      <c r="AA151" s="75">
        <v>0</v>
      </c>
      <c r="AB151" s="75">
        <v>0</v>
      </c>
      <c r="AC151" s="75">
        <v>0</v>
      </c>
      <c r="AD151" s="75">
        <v>0</v>
      </c>
      <c r="AE151" s="75">
        <v>0</v>
      </c>
      <c r="AF151" s="75">
        <v>0</v>
      </c>
      <c r="AG151" s="75">
        <v>0</v>
      </c>
      <c r="AH151" s="75">
        <v>0</v>
      </c>
      <c r="AI151" s="75">
        <v>0</v>
      </c>
      <c r="AJ151" s="75">
        <v>0</v>
      </c>
      <c r="AK151" s="75">
        <v>0</v>
      </c>
      <c r="AL151" s="75">
        <v>0</v>
      </c>
      <c r="AM151" s="75">
        <v>0</v>
      </c>
      <c r="AN151" s="75">
        <v>0</v>
      </c>
      <c r="AO151" s="75">
        <v>0</v>
      </c>
      <c r="AP151" s="75">
        <v>0</v>
      </c>
      <c r="AQ151" s="75">
        <v>1</v>
      </c>
      <c r="AR151" s="75">
        <v>0</v>
      </c>
      <c r="AS151" s="75">
        <v>0</v>
      </c>
      <c r="AT151" s="75">
        <v>0</v>
      </c>
      <c r="AU151" s="75">
        <v>0</v>
      </c>
      <c r="AV151" s="75">
        <v>0</v>
      </c>
      <c r="AW151" s="75">
        <v>0</v>
      </c>
      <c r="AX151" s="75">
        <v>0</v>
      </c>
      <c r="AY151" s="84">
        <v>1</v>
      </c>
      <c r="AZ151" s="75">
        <v>0</v>
      </c>
      <c r="BA151" s="84">
        <v>0</v>
      </c>
      <c r="BB151" s="75">
        <v>0</v>
      </c>
      <c r="BC151" s="75">
        <v>0</v>
      </c>
      <c r="BD151" s="75">
        <v>0</v>
      </c>
      <c r="BE151" s="75">
        <v>0</v>
      </c>
      <c r="BF151" s="75">
        <v>1</v>
      </c>
      <c r="BG151" s="75">
        <v>0</v>
      </c>
      <c r="BH151" s="75">
        <v>0</v>
      </c>
      <c r="BM151" s="75">
        <f t="shared" si="17"/>
        <v>0</v>
      </c>
      <c r="BN151" s="75">
        <f t="shared" si="18"/>
        <v>0</v>
      </c>
      <c r="BO151" s="75">
        <f t="shared" si="19"/>
        <v>3</v>
      </c>
      <c r="BP151" s="75">
        <f t="shared" si="20"/>
        <v>3</v>
      </c>
      <c r="BQ151" s="80" t="s">
        <v>481</v>
      </c>
      <c r="BR151" s="138" t="s">
        <v>363</v>
      </c>
      <c r="BT151" s="110">
        <v>0</v>
      </c>
    </row>
    <row r="152" spans="1:74" x14ac:dyDescent="0.75">
      <c r="C152" s="270">
        <v>773</v>
      </c>
      <c r="D152" s="75" t="s">
        <v>357</v>
      </c>
      <c r="E152" s="75" t="s">
        <v>358</v>
      </c>
      <c r="F152" s="75" t="s">
        <v>359</v>
      </c>
      <c r="G152" s="75" t="s">
        <v>91</v>
      </c>
      <c r="H152" s="84"/>
      <c r="I152" s="84"/>
      <c r="J152" s="81">
        <v>44797</v>
      </c>
      <c r="K152" s="75" t="s">
        <v>367</v>
      </c>
      <c r="L152" s="75" t="s">
        <v>360</v>
      </c>
      <c r="M152" s="75">
        <v>0</v>
      </c>
      <c r="N152" s="75">
        <v>2</v>
      </c>
      <c r="O152" s="75" t="s">
        <v>362</v>
      </c>
      <c r="P152" s="88">
        <f>SUM(TreatmentUsed!E2072:E2077)</f>
        <v>126</v>
      </c>
      <c r="Q152" s="75">
        <f t="shared" si="21"/>
        <v>21.454545454545453</v>
      </c>
      <c r="R152" s="75">
        <v>0</v>
      </c>
      <c r="S152" s="75">
        <v>0</v>
      </c>
      <c r="T152" s="75">
        <v>0</v>
      </c>
      <c r="U152" s="75">
        <v>0</v>
      </c>
      <c r="V152" s="75">
        <v>0</v>
      </c>
      <c r="W152" s="75">
        <v>0</v>
      </c>
      <c r="X152" s="75">
        <v>0</v>
      </c>
      <c r="Y152" s="75">
        <v>0</v>
      </c>
      <c r="Z152" s="75">
        <v>0</v>
      </c>
      <c r="AA152" s="75">
        <v>0</v>
      </c>
      <c r="AB152" s="75">
        <v>0</v>
      </c>
      <c r="AC152" s="75">
        <v>0</v>
      </c>
      <c r="AD152" s="75">
        <v>0</v>
      </c>
      <c r="AE152" s="75">
        <v>0</v>
      </c>
      <c r="AF152" s="75">
        <v>0</v>
      </c>
      <c r="AG152" s="75">
        <v>0</v>
      </c>
      <c r="AH152" s="75">
        <v>0</v>
      </c>
      <c r="AI152" s="75">
        <v>0</v>
      </c>
      <c r="AJ152" s="75">
        <v>0</v>
      </c>
      <c r="AK152" s="75">
        <v>0</v>
      </c>
      <c r="AL152" s="75">
        <v>0</v>
      </c>
      <c r="AM152" s="75">
        <v>0</v>
      </c>
      <c r="AN152" s="75">
        <v>0</v>
      </c>
      <c r="AO152" s="75">
        <v>0</v>
      </c>
      <c r="AP152" s="75">
        <v>0</v>
      </c>
      <c r="AQ152" s="85">
        <v>1</v>
      </c>
      <c r="AR152" s="75">
        <v>0</v>
      </c>
      <c r="AS152" s="75">
        <v>0</v>
      </c>
      <c r="AT152" s="75">
        <v>0</v>
      </c>
      <c r="AU152" s="75">
        <v>0</v>
      </c>
      <c r="AV152" s="75">
        <v>0</v>
      </c>
      <c r="AW152" s="75">
        <v>0</v>
      </c>
      <c r="AX152" s="75">
        <v>0</v>
      </c>
      <c r="AY152" s="75">
        <v>0</v>
      </c>
      <c r="AZ152" s="84">
        <v>1</v>
      </c>
      <c r="BA152" s="84">
        <v>2</v>
      </c>
      <c r="BB152" s="75">
        <v>0</v>
      </c>
      <c r="BC152" s="75">
        <v>0</v>
      </c>
      <c r="BD152" s="75">
        <v>0</v>
      </c>
      <c r="BE152" s="75">
        <v>0</v>
      </c>
      <c r="BF152" s="75">
        <v>2</v>
      </c>
      <c r="BG152" s="75">
        <v>0</v>
      </c>
      <c r="BH152" s="75">
        <v>0</v>
      </c>
      <c r="BM152" s="75">
        <f t="shared" si="17"/>
        <v>0</v>
      </c>
      <c r="BN152" s="75">
        <f t="shared" si="18"/>
        <v>0</v>
      </c>
      <c r="BO152" s="75">
        <f t="shared" si="19"/>
        <v>6</v>
      </c>
      <c r="BP152" s="84">
        <f t="shared" si="20"/>
        <v>6</v>
      </c>
      <c r="BQ152" s="80" t="s">
        <v>482</v>
      </c>
      <c r="BR152" s="138" t="s">
        <v>363</v>
      </c>
      <c r="BT152" s="110">
        <v>0</v>
      </c>
    </row>
    <row r="153" spans="1:74" x14ac:dyDescent="0.75">
      <c r="C153" s="270">
        <v>774</v>
      </c>
      <c r="D153" s="75" t="s">
        <v>357</v>
      </c>
      <c r="E153" s="75" t="s">
        <v>358</v>
      </c>
      <c r="F153" s="75" t="s">
        <v>359</v>
      </c>
      <c r="G153" s="75" t="s">
        <v>91</v>
      </c>
      <c r="H153" s="84"/>
      <c r="I153" s="84"/>
      <c r="J153" s="81">
        <v>44797</v>
      </c>
      <c r="K153" s="75" t="s">
        <v>367</v>
      </c>
      <c r="L153" s="75" t="s">
        <v>360</v>
      </c>
      <c r="M153" s="75">
        <v>0</v>
      </c>
      <c r="N153" s="75">
        <v>2</v>
      </c>
      <c r="O153" s="75" t="s">
        <v>362</v>
      </c>
      <c r="P153" s="88">
        <f>SUM(TreatmentUsed!E2078)</f>
        <v>8</v>
      </c>
      <c r="Q153" s="75">
        <f t="shared" si="21"/>
        <v>21.454545454545453</v>
      </c>
      <c r="R153" s="75">
        <v>0</v>
      </c>
      <c r="S153" s="75">
        <v>0</v>
      </c>
      <c r="T153" s="75">
        <v>0</v>
      </c>
      <c r="U153" s="75">
        <v>0</v>
      </c>
      <c r="V153" s="75">
        <v>0</v>
      </c>
      <c r="W153" s="75">
        <v>0</v>
      </c>
      <c r="X153" s="75">
        <v>0</v>
      </c>
      <c r="Y153" s="75">
        <v>0</v>
      </c>
      <c r="Z153" s="75">
        <v>0</v>
      </c>
      <c r="AA153" s="75">
        <v>0</v>
      </c>
      <c r="AB153" s="75">
        <v>0</v>
      </c>
      <c r="AC153" s="75">
        <v>0</v>
      </c>
      <c r="AD153" s="75">
        <v>0</v>
      </c>
      <c r="AE153" s="75">
        <v>0</v>
      </c>
      <c r="AF153" s="75">
        <v>0</v>
      </c>
      <c r="AG153" s="75">
        <v>0</v>
      </c>
      <c r="AH153" s="75">
        <v>0</v>
      </c>
      <c r="AI153" s="75">
        <v>0</v>
      </c>
      <c r="AJ153" s="75">
        <v>0</v>
      </c>
      <c r="AK153" s="75">
        <v>0</v>
      </c>
      <c r="AL153" s="75">
        <v>0</v>
      </c>
      <c r="AM153" s="75">
        <v>0</v>
      </c>
      <c r="AN153" s="75">
        <v>0</v>
      </c>
      <c r="AO153" s="75">
        <v>0</v>
      </c>
      <c r="AP153" s="75">
        <v>0</v>
      </c>
      <c r="AQ153" s="85">
        <v>0</v>
      </c>
      <c r="AR153" s="75">
        <v>0</v>
      </c>
      <c r="AS153" s="75">
        <v>0</v>
      </c>
      <c r="AT153" s="75">
        <v>0</v>
      </c>
      <c r="AU153" s="75">
        <v>0</v>
      </c>
      <c r="AV153" s="75">
        <v>0</v>
      </c>
      <c r="AW153" s="75">
        <v>0</v>
      </c>
      <c r="AX153" s="75">
        <v>0</v>
      </c>
      <c r="AY153" s="75">
        <v>0</v>
      </c>
      <c r="AZ153" s="75">
        <v>0</v>
      </c>
      <c r="BA153" s="84">
        <v>1</v>
      </c>
      <c r="BB153" s="75">
        <v>0</v>
      </c>
      <c r="BC153" s="75">
        <v>0</v>
      </c>
      <c r="BD153" s="75">
        <v>0</v>
      </c>
      <c r="BE153" s="75">
        <v>0</v>
      </c>
      <c r="BF153" s="75">
        <v>0</v>
      </c>
      <c r="BG153" s="75">
        <v>0</v>
      </c>
      <c r="BH153" s="75">
        <v>0</v>
      </c>
      <c r="BM153" s="75">
        <f t="shared" si="17"/>
        <v>0</v>
      </c>
      <c r="BN153" s="75">
        <f t="shared" si="18"/>
        <v>0</v>
      </c>
      <c r="BO153" s="75">
        <f t="shared" si="19"/>
        <v>1</v>
      </c>
      <c r="BP153" s="84">
        <f t="shared" si="20"/>
        <v>1</v>
      </c>
      <c r="BQ153" s="80" t="s">
        <v>482</v>
      </c>
      <c r="BR153" s="138" t="s">
        <v>363</v>
      </c>
      <c r="BT153" s="110">
        <v>0</v>
      </c>
    </row>
    <row r="154" spans="1:74" x14ac:dyDescent="0.75">
      <c r="C154" s="270">
        <v>775</v>
      </c>
      <c r="D154" s="75" t="s">
        <v>357</v>
      </c>
      <c r="E154" s="75" t="s">
        <v>358</v>
      </c>
      <c r="F154" s="75" t="s">
        <v>359</v>
      </c>
      <c r="G154" s="75" t="s">
        <v>44</v>
      </c>
      <c r="H154" s="75">
        <v>18.364650000000001</v>
      </c>
      <c r="I154" s="75">
        <v>-64.726183000000006</v>
      </c>
      <c r="J154" s="81">
        <v>44798</v>
      </c>
      <c r="K154" s="75" t="s">
        <v>367</v>
      </c>
      <c r="L154" s="75" t="s">
        <v>360</v>
      </c>
      <c r="M154" s="75">
        <v>0</v>
      </c>
      <c r="N154" s="75">
        <v>2</v>
      </c>
      <c r="O154" s="75" t="s">
        <v>362</v>
      </c>
      <c r="P154" s="88">
        <f>SUM(TreatmentUsed!E2105:E2118)</f>
        <v>52</v>
      </c>
      <c r="Q154" s="75">
        <f t="shared" si="21"/>
        <v>21.454545454545453</v>
      </c>
      <c r="R154" s="75">
        <v>0</v>
      </c>
      <c r="S154" s="75">
        <v>0</v>
      </c>
      <c r="T154" s="75">
        <v>0</v>
      </c>
      <c r="U154" s="75">
        <v>0</v>
      </c>
      <c r="V154" s="75">
        <v>0</v>
      </c>
      <c r="W154" s="75">
        <v>0</v>
      </c>
      <c r="X154" s="75">
        <v>0</v>
      </c>
      <c r="Y154" s="75">
        <v>0</v>
      </c>
      <c r="Z154" s="75">
        <v>0</v>
      </c>
      <c r="AA154" s="75">
        <v>0</v>
      </c>
      <c r="AB154" s="75">
        <v>0</v>
      </c>
      <c r="AC154" s="75">
        <v>0</v>
      </c>
      <c r="AD154" s="75">
        <v>0</v>
      </c>
      <c r="AE154" s="75">
        <v>0</v>
      </c>
      <c r="AF154" s="75">
        <v>0</v>
      </c>
      <c r="AG154" s="75">
        <v>0</v>
      </c>
      <c r="AH154" s="75">
        <v>0</v>
      </c>
      <c r="AI154" s="75">
        <v>0</v>
      </c>
      <c r="AJ154" s="75">
        <v>0</v>
      </c>
      <c r="AK154" s="75">
        <v>0</v>
      </c>
      <c r="AL154" s="75">
        <v>0</v>
      </c>
      <c r="AM154" s="75">
        <v>0</v>
      </c>
      <c r="AN154" s="75">
        <v>0</v>
      </c>
      <c r="AO154" s="75">
        <v>0</v>
      </c>
      <c r="AP154" s="75">
        <v>0</v>
      </c>
      <c r="AQ154" s="75">
        <v>0</v>
      </c>
      <c r="AR154" s="75">
        <v>0</v>
      </c>
      <c r="AS154" s="75">
        <v>0</v>
      </c>
      <c r="AT154" s="75">
        <v>0</v>
      </c>
      <c r="AU154" s="75">
        <v>1</v>
      </c>
      <c r="AV154" s="75">
        <v>0</v>
      </c>
      <c r="AW154" s="75">
        <v>0</v>
      </c>
      <c r="AX154" s="75">
        <v>0</v>
      </c>
      <c r="AY154" s="84">
        <v>2</v>
      </c>
      <c r="AZ154" s="84">
        <v>2</v>
      </c>
      <c r="BA154" s="84">
        <v>0</v>
      </c>
      <c r="BB154" s="84">
        <v>5</v>
      </c>
      <c r="BC154" s="75">
        <v>2</v>
      </c>
      <c r="BD154" s="75">
        <v>0</v>
      </c>
      <c r="BE154" s="75">
        <v>0</v>
      </c>
      <c r="BF154" s="75">
        <v>2</v>
      </c>
      <c r="BG154" s="75">
        <v>0</v>
      </c>
      <c r="BH154" s="75">
        <v>0</v>
      </c>
      <c r="BM154" s="75">
        <f t="shared" si="17"/>
        <v>0</v>
      </c>
      <c r="BN154" s="75">
        <f t="shared" si="18"/>
        <v>0</v>
      </c>
      <c r="BO154" s="75">
        <f t="shared" si="19"/>
        <v>14</v>
      </c>
      <c r="BP154" s="84">
        <f t="shared" si="20"/>
        <v>14</v>
      </c>
      <c r="BR154" s="252" t="s">
        <v>483</v>
      </c>
      <c r="BT154" s="110">
        <v>0</v>
      </c>
    </row>
    <row r="155" spans="1:74" x14ac:dyDescent="0.75">
      <c r="C155" s="270">
        <v>776</v>
      </c>
      <c r="D155" s="75" t="s">
        <v>357</v>
      </c>
      <c r="E155" s="75" t="s">
        <v>358</v>
      </c>
      <c r="F155" s="75" t="s">
        <v>359</v>
      </c>
      <c r="G155" s="75" t="s">
        <v>60</v>
      </c>
      <c r="H155" s="75">
        <v>18.367850000000001</v>
      </c>
      <c r="I155" s="75">
        <v>-64.732933000000003</v>
      </c>
      <c r="J155" s="81">
        <v>44798</v>
      </c>
      <c r="K155" s="75" t="s">
        <v>367</v>
      </c>
      <c r="L155" s="75" t="s">
        <v>360</v>
      </c>
      <c r="M155" s="75">
        <v>0</v>
      </c>
      <c r="N155" s="75">
        <v>2</v>
      </c>
      <c r="O155" s="75" t="s">
        <v>362</v>
      </c>
      <c r="P155" s="88">
        <f>SUM(TreatmentUsed!E2119:E2131)</f>
        <v>46</v>
      </c>
      <c r="Q155" s="75">
        <f t="shared" si="21"/>
        <v>21.454545454545453</v>
      </c>
      <c r="R155" s="75">
        <v>0</v>
      </c>
      <c r="S155" s="75">
        <v>0</v>
      </c>
      <c r="T155" s="75">
        <v>0</v>
      </c>
      <c r="U155" s="75">
        <v>0</v>
      </c>
      <c r="V155" s="75">
        <v>0</v>
      </c>
      <c r="W155" s="75">
        <v>0</v>
      </c>
      <c r="X155" s="75">
        <v>0</v>
      </c>
      <c r="Y155" s="75">
        <v>0</v>
      </c>
      <c r="Z155" s="75">
        <v>0</v>
      </c>
      <c r="AA155" s="75">
        <v>0</v>
      </c>
      <c r="AB155" s="75">
        <v>0</v>
      </c>
      <c r="AC155" s="75">
        <v>0</v>
      </c>
      <c r="AD155" s="75">
        <v>0</v>
      </c>
      <c r="AE155" s="75">
        <v>0</v>
      </c>
      <c r="AF155" s="75">
        <v>0</v>
      </c>
      <c r="AG155" s="75">
        <v>0</v>
      </c>
      <c r="AH155" s="75">
        <v>0</v>
      </c>
      <c r="AI155" s="75">
        <v>0</v>
      </c>
      <c r="AJ155" s="75">
        <v>0</v>
      </c>
      <c r="AK155" s="75">
        <v>0</v>
      </c>
      <c r="AL155" s="75">
        <v>0</v>
      </c>
      <c r="AM155" s="75">
        <v>0</v>
      </c>
      <c r="AN155" s="75">
        <v>0</v>
      </c>
      <c r="AO155" s="75">
        <v>1</v>
      </c>
      <c r="AP155" s="75">
        <v>0</v>
      </c>
      <c r="AQ155" s="75">
        <v>0</v>
      </c>
      <c r="AR155" s="75">
        <v>0</v>
      </c>
      <c r="AS155" s="75">
        <v>0</v>
      </c>
      <c r="AT155" s="75">
        <v>0</v>
      </c>
      <c r="AU155" s="75">
        <v>0</v>
      </c>
      <c r="AV155" s="75">
        <v>0</v>
      </c>
      <c r="AW155" s="75">
        <v>0</v>
      </c>
      <c r="AX155" s="75">
        <v>0</v>
      </c>
      <c r="AY155" s="75">
        <v>3</v>
      </c>
      <c r="AZ155" s="84">
        <v>4</v>
      </c>
      <c r="BA155" s="84">
        <v>0</v>
      </c>
      <c r="BB155" s="84">
        <v>1</v>
      </c>
      <c r="BC155" s="75">
        <v>2</v>
      </c>
      <c r="BD155" s="75">
        <v>0</v>
      </c>
      <c r="BE155" s="75">
        <v>0</v>
      </c>
      <c r="BF155" s="75">
        <v>1</v>
      </c>
      <c r="BG155" s="75">
        <v>0</v>
      </c>
      <c r="BH155" s="75">
        <v>1</v>
      </c>
      <c r="BM155" s="75">
        <f t="shared" si="17"/>
        <v>0</v>
      </c>
      <c r="BN155" s="75">
        <f t="shared" si="18"/>
        <v>0</v>
      </c>
      <c r="BO155" s="75">
        <f t="shared" si="19"/>
        <v>13</v>
      </c>
      <c r="BP155" s="75">
        <f t="shared" si="20"/>
        <v>13</v>
      </c>
      <c r="BQ155" s="80" t="s">
        <v>484</v>
      </c>
      <c r="BT155" s="110">
        <v>0</v>
      </c>
    </row>
    <row r="156" spans="1:74" x14ac:dyDescent="0.75">
      <c r="C156" s="270">
        <v>777</v>
      </c>
      <c r="D156" s="75" t="s">
        <v>357</v>
      </c>
      <c r="E156" s="75" t="s">
        <v>358</v>
      </c>
      <c r="F156" s="75" t="s">
        <v>359</v>
      </c>
      <c r="G156" s="75" t="s">
        <v>48</v>
      </c>
      <c r="H156" s="75">
        <v>18.363399999999999</v>
      </c>
      <c r="I156" s="75">
        <v>-64.706067000000004</v>
      </c>
      <c r="J156" s="81">
        <v>44798</v>
      </c>
      <c r="K156" s="75" t="s">
        <v>367</v>
      </c>
      <c r="L156" s="75" t="s">
        <v>360</v>
      </c>
      <c r="M156" s="75">
        <v>0</v>
      </c>
      <c r="N156" s="75">
        <v>2</v>
      </c>
      <c r="O156" s="75" t="s">
        <v>362</v>
      </c>
      <c r="P156" s="88">
        <f>SUM(TreatmentUsed!E2079:E2104)</f>
        <v>148</v>
      </c>
      <c r="Q156" s="75">
        <f t="shared" si="21"/>
        <v>21.454545454545453</v>
      </c>
      <c r="R156" s="75">
        <v>0</v>
      </c>
      <c r="S156" s="75">
        <v>0</v>
      </c>
      <c r="T156" s="75">
        <v>0</v>
      </c>
      <c r="U156" s="75">
        <v>0</v>
      </c>
      <c r="V156" s="75">
        <v>0</v>
      </c>
      <c r="W156" s="75">
        <v>0</v>
      </c>
      <c r="X156" s="75">
        <v>0</v>
      </c>
      <c r="Y156" s="75">
        <v>0</v>
      </c>
      <c r="Z156" s="75">
        <v>0</v>
      </c>
      <c r="AA156" s="75">
        <v>0</v>
      </c>
      <c r="AB156" s="75">
        <v>0</v>
      </c>
      <c r="AC156" s="75">
        <v>0</v>
      </c>
      <c r="AD156" s="75">
        <v>0</v>
      </c>
      <c r="AE156" s="75">
        <v>0</v>
      </c>
      <c r="AF156" s="75">
        <v>0</v>
      </c>
      <c r="AG156" s="75">
        <v>0</v>
      </c>
      <c r="AH156" s="75">
        <v>0</v>
      </c>
      <c r="AI156" s="75">
        <v>0</v>
      </c>
      <c r="AJ156" s="75">
        <v>0</v>
      </c>
      <c r="AK156" s="75">
        <v>0</v>
      </c>
      <c r="AL156" s="75">
        <v>0</v>
      </c>
      <c r="AM156" s="75">
        <v>0</v>
      </c>
      <c r="AN156" s="75">
        <v>0</v>
      </c>
      <c r="AO156" s="75">
        <v>0</v>
      </c>
      <c r="AP156" s="75">
        <v>0</v>
      </c>
      <c r="AQ156" s="75">
        <v>0</v>
      </c>
      <c r="AR156" s="75">
        <v>0</v>
      </c>
      <c r="AS156" s="75">
        <v>0</v>
      </c>
      <c r="AT156" s="75">
        <v>0</v>
      </c>
      <c r="AU156" s="75">
        <v>0</v>
      </c>
      <c r="AV156" s="75">
        <v>0</v>
      </c>
      <c r="AW156" s="75">
        <v>0</v>
      </c>
      <c r="AX156" s="75">
        <v>0</v>
      </c>
      <c r="AY156" s="84">
        <v>9</v>
      </c>
      <c r="AZ156" s="84">
        <v>3</v>
      </c>
      <c r="BA156" s="84">
        <v>8</v>
      </c>
      <c r="BB156" s="84">
        <v>1</v>
      </c>
      <c r="BC156" s="75">
        <v>1</v>
      </c>
      <c r="BD156" s="84">
        <v>0</v>
      </c>
      <c r="BE156" s="84">
        <v>1</v>
      </c>
      <c r="BF156" s="75">
        <v>2</v>
      </c>
      <c r="BG156" s="75">
        <v>0</v>
      </c>
      <c r="BH156" s="84">
        <v>1</v>
      </c>
      <c r="BI156" s="84"/>
      <c r="BJ156" s="84"/>
      <c r="BK156" s="84"/>
      <c r="BM156" s="75">
        <f t="shared" si="17"/>
        <v>0</v>
      </c>
      <c r="BN156" s="75">
        <f t="shared" si="18"/>
        <v>0</v>
      </c>
      <c r="BO156" s="75">
        <f t="shared" si="19"/>
        <v>26</v>
      </c>
      <c r="BP156" s="75">
        <f t="shared" si="20"/>
        <v>26</v>
      </c>
      <c r="BQ156" s="80" t="s">
        <v>485</v>
      </c>
      <c r="BR156" s="252" t="s">
        <v>486</v>
      </c>
      <c r="BT156" s="110">
        <v>0</v>
      </c>
    </row>
    <row r="157" spans="1:74" s="205" customFormat="1" x14ac:dyDescent="0.75">
      <c r="A157" s="232"/>
      <c r="B157" s="235"/>
      <c r="C157" s="272">
        <v>778</v>
      </c>
      <c r="D157" s="225" t="s">
        <v>357</v>
      </c>
      <c r="E157" s="225" t="s">
        <v>358</v>
      </c>
      <c r="F157" s="225" t="s">
        <v>359</v>
      </c>
      <c r="G157" s="225" t="s">
        <v>28</v>
      </c>
      <c r="H157" s="225">
        <v>18.315639999999998</v>
      </c>
      <c r="I157" s="225">
        <v>-64.725899999999996</v>
      </c>
      <c r="J157" s="234">
        <v>44819</v>
      </c>
      <c r="K157" s="225" t="s">
        <v>361</v>
      </c>
      <c r="L157" s="225" t="s">
        <v>360</v>
      </c>
      <c r="M157" s="225">
        <v>0</v>
      </c>
      <c r="N157" s="225">
        <v>3</v>
      </c>
      <c r="O157" s="225" t="s">
        <v>362</v>
      </c>
      <c r="P157" s="236">
        <f>SUM(TreatmentUsed!E2132:E2159)</f>
        <v>128</v>
      </c>
      <c r="Q157" s="225">
        <f t="shared" ref="Q157:Q162" si="22">86/6</f>
        <v>14.333333333333334</v>
      </c>
      <c r="R157" s="225">
        <v>0</v>
      </c>
      <c r="S157" s="225">
        <v>0</v>
      </c>
      <c r="T157" s="225">
        <v>0</v>
      </c>
      <c r="U157" s="225">
        <v>0</v>
      </c>
      <c r="V157" s="225">
        <v>0</v>
      </c>
      <c r="W157" s="225">
        <v>0</v>
      </c>
      <c r="X157" s="225">
        <v>0</v>
      </c>
      <c r="Y157" s="225">
        <v>0</v>
      </c>
      <c r="Z157" s="225">
        <v>0</v>
      </c>
      <c r="AA157" s="225">
        <v>0</v>
      </c>
      <c r="AB157" s="225">
        <v>0</v>
      </c>
      <c r="AC157" s="225">
        <v>0</v>
      </c>
      <c r="AD157" s="225">
        <v>0</v>
      </c>
      <c r="AE157" s="225">
        <v>0</v>
      </c>
      <c r="AF157" s="225">
        <v>0</v>
      </c>
      <c r="AG157" s="225">
        <v>0</v>
      </c>
      <c r="AH157" s="225">
        <v>0</v>
      </c>
      <c r="AI157" s="225">
        <v>0</v>
      </c>
      <c r="AJ157" s="225">
        <v>0</v>
      </c>
      <c r="AK157" s="225">
        <v>0</v>
      </c>
      <c r="AL157" s="225">
        <v>0</v>
      </c>
      <c r="AM157" s="225">
        <v>0</v>
      </c>
      <c r="AN157" s="225">
        <v>0</v>
      </c>
      <c r="AO157" s="225">
        <v>0</v>
      </c>
      <c r="AP157" s="225">
        <v>0</v>
      </c>
      <c r="AQ157" s="225">
        <v>0</v>
      </c>
      <c r="AR157" s="225">
        <v>0</v>
      </c>
      <c r="AS157" s="225">
        <v>0</v>
      </c>
      <c r="AT157" s="233">
        <v>1</v>
      </c>
      <c r="AU157" s="225">
        <v>0</v>
      </c>
      <c r="AV157" s="225">
        <v>0</v>
      </c>
      <c r="AW157" s="225">
        <v>0</v>
      </c>
      <c r="AX157" s="225">
        <v>0</v>
      </c>
      <c r="AY157" s="233">
        <v>4</v>
      </c>
      <c r="AZ157" s="233">
        <v>6</v>
      </c>
      <c r="BA157" s="233">
        <v>5</v>
      </c>
      <c r="BB157" s="225">
        <v>0</v>
      </c>
      <c r="BC157" s="225">
        <v>1</v>
      </c>
      <c r="BD157" s="225">
        <v>0</v>
      </c>
      <c r="BE157" s="233">
        <v>0</v>
      </c>
      <c r="BF157" s="233">
        <v>7</v>
      </c>
      <c r="BG157" s="225">
        <v>0</v>
      </c>
      <c r="BH157" s="233">
        <v>0</v>
      </c>
      <c r="BI157" s="233"/>
      <c r="BJ157" s="233"/>
      <c r="BK157" s="233"/>
      <c r="BL157" s="225"/>
      <c r="BM157" s="225">
        <f t="shared" si="17"/>
        <v>0</v>
      </c>
      <c r="BN157" s="225">
        <f t="shared" si="18"/>
        <v>0</v>
      </c>
      <c r="BO157" s="225">
        <f t="shared" si="19"/>
        <v>24</v>
      </c>
      <c r="BP157" s="233">
        <f t="shared" si="20"/>
        <v>24</v>
      </c>
      <c r="BQ157" s="276" t="s">
        <v>487</v>
      </c>
      <c r="BR157" s="249">
        <v>4190</v>
      </c>
      <c r="BS157" s="230"/>
      <c r="BT157" s="110">
        <v>0</v>
      </c>
      <c r="BU157" s="225"/>
      <c r="BV157" s="225"/>
    </row>
    <row r="158" spans="1:74" x14ac:dyDescent="0.75">
      <c r="C158" s="270">
        <v>779</v>
      </c>
      <c r="D158" s="75" t="s">
        <v>357</v>
      </c>
      <c r="E158" s="75" t="s">
        <v>358</v>
      </c>
      <c r="F158" s="75" t="s">
        <v>359</v>
      </c>
      <c r="G158" s="75" t="s">
        <v>28</v>
      </c>
      <c r="H158" s="75">
        <v>18.315639999999998</v>
      </c>
      <c r="I158" s="75">
        <v>-64.725899999999996</v>
      </c>
      <c r="J158" s="81">
        <v>44819</v>
      </c>
      <c r="K158" s="75" t="s">
        <v>361</v>
      </c>
      <c r="L158" s="75" t="s">
        <v>360</v>
      </c>
      <c r="M158" s="75">
        <v>0</v>
      </c>
      <c r="N158" s="75">
        <v>3</v>
      </c>
      <c r="O158" s="75" t="s">
        <v>362</v>
      </c>
      <c r="P158" s="88">
        <f>SUM(TreatmentUsed!E2160:E2186)</f>
        <v>134</v>
      </c>
      <c r="Q158" s="75">
        <f t="shared" si="22"/>
        <v>14.333333333333334</v>
      </c>
      <c r="R158" s="75">
        <v>0</v>
      </c>
      <c r="S158" s="75">
        <v>0</v>
      </c>
      <c r="T158" s="75">
        <v>0</v>
      </c>
      <c r="U158" s="75">
        <v>0</v>
      </c>
      <c r="V158" s="75">
        <v>0</v>
      </c>
      <c r="W158" s="75">
        <v>0</v>
      </c>
      <c r="X158" s="75">
        <v>0</v>
      </c>
      <c r="Y158" s="75">
        <v>0</v>
      </c>
      <c r="Z158" s="75">
        <v>0</v>
      </c>
      <c r="AA158" s="75">
        <v>0</v>
      </c>
      <c r="AB158" s="75">
        <v>0</v>
      </c>
      <c r="AC158" s="75">
        <v>0</v>
      </c>
      <c r="AD158" s="75">
        <v>0</v>
      </c>
      <c r="AE158" s="75">
        <v>0</v>
      </c>
      <c r="AF158" s="75">
        <v>0</v>
      </c>
      <c r="AG158" s="75">
        <v>0</v>
      </c>
      <c r="AH158" s="75">
        <v>0</v>
      </c>
      <c r="AI158" s="75">
        <v>0</v>
      </c>
      <c r="AJ158" s="75">
        <v>0</v>
      </c>
      <c r="AK158" s="75">
        <v>0</v>
      </c>
      <c r="AL158" s="75">
        <v>0</v>
      </c>
      <c r="AM158" s="75">
        <v>0</v>
      </c>
      <c r="AN158" s="75">
        <v>0</v>
      </c>
      <c r="AO158" s="75">
        <v>3</v>
      </c>
      <c r="AP158" s="75">
        <v>0</v>
      </c>
      <c r="AQ158" s="75">
        <v>0</v>
      </c>
      <c r="AR158" s="75">
        <v>0</v>
      </c>
      <c r="AS158" s="75">
        <v>5</v>
      </c>
      <c r="AT158" s="75">
        <v>1</v>
      </c>
      <c r="AU158" s="75">
        <v>0</v>
      </c>
      <c r="AV158" s="75">
        <v>0</v>
      </c>
      <c r="AW158" s="75">
        <v>0</v>
      </c>
      <c r="AX158" s="75">
        <v>0</v>
      </c>
      <c r="AY158" s="84">
        <v>4</v>
      </c>
      <c r="AZ158" s="84">
        <v>3</v>
      </c>
      <c r="BA158" s="75">
        <v>3</v>
      </c>
      <c r="BB158" s="75">
        <v>0</v>
      </c>
      <c r="BC158" s="75">
        <v>0</v>
      </c>
      <c r="BD158" s="75">
        <v>0</v>
      </c>
      <c r="BE158" s="84">
        <v>1</v>
      </c>
      <c r="BF158" s="75">
        <v>5</v>
      </c>
      <c r="BG158" s="75">
        <v>0</v>
      </c>
      <c r="BH158" s="75">
        <v>2</v>
      </c>
      <c r="BM158" s="75">
        <f t="shared" si="17"/>
        <v>0</v>
      </c>
      <c r="BN158" s="75">
        <f t="shared" si="18"/>
        <v>0</v>
      </c>
      <c r="BO158" s="75">
        <f t="shared" si="19"/>
        <v>27</v>
      </c>
      <c r="BP158" s="75">
        <f t="shared" si="20"/>
        <v>27</v>
      </c>
      <c r="BQ158" s="85" t="s">
        <v>488</v>
      </c>
      <c r="BR158" s="138">
        <v>4133</v>
      </c>
      <c r="BT158" s="110">
        <v>0</v>
      </c>
    </row>
    <row r="159" spans="1:74" x14ac:dyDescent="0.75">
      <c r="C159" s="270">
        <v>780</v>
      </c>
      <c r="D159" s="75" t="s">
        <v>357</v>
      </c>
      <c r="E159" s="75" t="s">
        <v>358</v>
      </c>
      <c r="F159" s="75" t="s">
        <v>359</v>
      </c>
      <c r="G159" s="75" t="s">
        <v>91</v>
      </c>
      <c r="H159" s="84"/>
      <c r="I159" s="84"/>
      <c r="J159" s="81">
        <v>44819</v>
      </c>
      <c r="K159" s="75" t="s">
        <v>361</v>
      </c>
      <c r="L159" s="75" t="s">
        <v>360</v>
      </c>
      <c r="M159" s="75">
        <v>0</v>
      </c>
      <c r="N159" s="75">
        <v>3</v>
      </c>
      <c r="O159" s="75" t="s">
        <v>362</v>
      </c>
      <c r="P159" s="88">
        <f>SUM(TreatmentUsed!E2187:E2193)</f>
        <v>71</v>
      </c>
      <c r="Q159" s="75">
        <f t="shared" si="22"/>
        <v>14.333333333333334</v>
      </c>
      <c r="R159" s="75">
        <v>0</v>
      </c>
      <c r="S159" s="75">
        <v>0</v>
      </c>
      <c r="T159" s="75">
        <v>0</v>
      </c>
      <c r="U159" s="75">
        <v>0</v>
      </c>
      <c r="V159" s="75">
        <v>0</v>
      </c>
      <c r="W159" s="75">
        <v>0</v>
      </c>
      <c r="X159" s="75">
        <v>0</v>
      </c>
      <c r="Y159" s="75">
        <v>0</v>
      </c>
      <c r="Z159" s="75">
        <v>0</v>
      </c>
      <c r="AA159" s="75">
        <v>0</v>
      </c>
      <c r="AB159" s="75">
        <v>0</v>
      </c>
      <c r="AC159" s="75">
        <v>0</v>
      </c>
      <c r="AD159" s="75">
        <v>0</v>
      </c>
      <c r="AE159" s="75">
        <v>0</v>
      </c>
      <c r="AF159" s="75">
        <v>0</v>
      </c>
      <c r="AG159" s="75">
        <v>0</v>
      </c>
      <c r="AH159" s="75">
        <v>0</v>
      </c>
      <c r="AI159" s="75">
        <v>0</v>
      </c>
      <c r="AJ159" s="75">
        <v>0</v>
      </c>
      <c r="AK159" s="75">
        <v>0</v>
      </c>
      <c r="AL159" s="75">
        <v>0</v>
      </c>
      <c r="AM159" s="75">
        <v>0</v>
      </c>
      <c r="AN159" s="75">
        <v>0</v>
      </c>
      <c r="AO159" s="75">
        <v>1</v>
      </c>
      <c r="AP159" s="75">
        <v>0</v>
      </c>
      <c r="AQ159" s="75">
        <v>1</v>
      </c>
      <c r="AR159" s="75">
        <v>0</v>
      </c>
      <c r="AS159" s="75">
        <v>1</v>
      </c>
      <c r="AT159" s="75">
        <v>2</v>
      </c>
      <c r="AU159" s="75">
        <v>0</v>
      </c>
      <c r="AV159" s="75">
        <v>0</v>
      </c>
      <c r="AW159" s="75">
        <v>0</v>
      </c>
      <c r="AX159" s="75">
        <v>0</v>
      </c>
      <c r="AY159" s="75">
        <v>0</v>
      </c>
      <c r="AZ159" s="75">
        <v>0</v>
      </c>
      <c r="BA159" s="75">
        <v>2</v>
      </c>
      <c r="BB159" s="75">
        <v>0</v>
      </c>
      <c r="BC159" s="75">
        <v>0</v>
      </c>
      <c r="BD159" s="75">
        <v>0</v>
      </c>
      <c r="BE159" s="75">
        <v>0</v>
      </c>
      <c r="BF159" s="75">
        <v>0</v>
      </c>
      <c r="BG159" s="75">
        <v>0</v>
      </c>
      <c r="BH159" s="75">
        <v>0</v>
      </c>
      <c r="BM159" s="75">
        <f t="shared" si="17"/>
        <v>0</v>
      </c>
      <c r="BN159" s="75">
        <f t="shared" si="18"/>
        <v>0</v>
      </c>
      <c r="BO159" s="75">
        <f t="shared" si="19"/>
        <v>7</v>
      </c>
      <c r="BP159" s="75">
        <f t="shared" si="20"/>
        <v>7</v>
      </c>
      <c r="BT159" s="110">
        <v>0</v>
      </c>
    </row>
    <row r="160" spans="1:74" x14ac:dyDescent="0.75">
      <c r="C160" s="270">
        <v>781</v>
      </c>
      <c r="D160" s="75" t="s">
        <v>357</v>
      </c>
      <c r="E160" s="75" t="s">
        <v>358</v>
      </c>
      <c r="F160" s="75" t="s">
        <v>359</v>
      </c>
      <c r="G160" s="75" t="s">
        <v>23</v>
      </c>
      <c r="H160" s="75">
        <v>18.365749999999998</v>
      </c>
      <c r="I160" s="75">
        <v>-64.773619999999994</v>
      </c>
      <c r="J160" s="81">
        <v>44824</v>
      </c>
      <c r="K160" s="75" t="s">
        <v>367</v>
      </c>
      <c r="L160" s="75" t="s">
        <v>360</v>
      </c>
      <c r="M160" s="75">
        <v>0</v>
      </c>
      <c r="N160" s="84">
        <v>3</v>
      </c>
      <c r="O160" s="75" t="s">
        <v>362</v>
      </c>
      <c r="P160" s="88">
        <f>SUM(TreatmentUsed!E2194:E2216)</f>
        <v>175</v>
      </c>
      <c r="Q160" s="75">
        <f t="shared" si="22"/>
        <v>14.333333333333334</v>
      </c>
      <c r="R160" s="75">
        <v>0</v>
      </c>
      <c r="S160" s="75">
        <v>0</v>
      </c>
      <c r="T160" s="75">
        <v>0</v>
      </c>
      <c r="U160" s="75">
        <v>0</v>
      </c>
      <c r="V160" s="75">
        <v>0</v>
      </c>
      <c r="W160" s="75">
        <v>0</v>
      </c>
      <c r="X160" s="75">
        <v>0</v>
      </c>
      <c r="Y160" s="75">
        <v>0</v>
      </c>
      <c r="Z160" s="75">
        <v>0</v>
      </c>
      <c r="AA160" s="75">
        <v>0</v>
      </c>
      <c r="AB160" s="75">
        <v>0</v>
      </c>
      <c r="AC160" s="75">
        <v>0</v>
      </c>
      <c r="AD160" s="75">
        <v>0</v>
      </c>
      <c r="AE160" s="75">
        <v>0</v>
      </c>
      <c r="AF160" s="75">
        <v>0</v>
      </c>
      <c r="AG160" s="75">
        <v>0</v>
      </c>
      <c r="AH160" s="75">
        <v>0</v>
      </c>
      <c r="AI160" s="75">
        <v>0</v>
      </c>
      <c r="AJ160" s="75">
        <v>0</v>
      </c>
      <c r="AK160" s="75">
        <v>0</v>
      </c>
      <c r="AL160" s="75">
        <v>0</v>
      </c>
      <c r="AM160" s="75">
        <v>0</v>
      </c>
      <c r="AN160" s="75">
        <v>0</v>
      </c>
      <c r="AO160" s="75">
        <v>2</v>
      </c>
      <c r="AP160" s="75">
        <v>0</v>
      </c>
      <c r="AQ160" s="75">
        <v>0</v>
      </c>
      <c r="AR160" s="75">
        <v>0</v>
      </c>
      <c r="AS160" s="75">
        <v>0</v>
      </c>
      <c r="AT160" s="75">
        <v>0</v>
      </c>
      <c r="AU160" s="75">
        <v>0</v>
      </c>
      <c r="AV160" s="75">
        <v>0</v>
      </c>
      <c r="AW160" s="75">
        <v>0</v>
      </c>
      <c r="AX160" s="75">
        <v>0</v>
      </c>
      <c r="AY160" s="75">
        <v>0</v>
      </c>
      <c r="AZ160" s="84">
        <v>6</v>
      </c>
      <c r="BA160" s="84">
        <v>2</v>
      </c>
      <c r="BB160" s="84">
        <v>2</v>
      </c>
      <c r="BC160" s="75">
        <v>6</v>
      </c>
      <c r="BD160" s="75">
        <v>1</v>
      </c>
      <c r="BE160" s="75">
        <v>0</v>
      </c>
      <c r="BF160" s="75">
        <v>2</v>
      </c>
      <c r="BG160" s="75">
        <v>0</v>
      </c>
      <c r="BH160" s="75">
        <v>1</v>
      </c>
      <c r="BM160" s="75">
        <f t="shared" si="17"/>
        <v>0</v>
      </c>
      <c r="BN160" s="75">
        <f t="shared" si="18"/>
        <v>0</v>
      </c>
      <c r="BO160" s="75">
        <f t="shared" si="19"/>
        <v>22</v>
      </c>
      <c r="BP160" s="75">
        <f t="shared" si="20"/>
        <v>22</v>
      </c>
      <c r="BQ160" s="80" t="s">
        <v>489</v>
      </c>
      <c r="BT160" s="110">
        <v>0</v>
      </c>
    </row>
    <row r="161" spans="1:74" x14ac:dyDescent="0.75">
      <c r="C161" s="270">
        <v>782</v>
      </c>
      <c r="D161" s="75" t="s">
        <v>357</v>
      </c>
      <c r="E161" s="75" t="s">
        <v>358</v>
      </c>
      <c r="F161" s="75" t="s">
        <v>359</v>
      </c>
      <c r="G161" s="75" t="s">
        <v>23</v>
      </c>
      <c r="H161" s="75">
        <v>18.365749999999998</v>
      </c>
      <c r="I161" s="75">
        <v>-64.773619999999994</v>
      </c>
      <c r="J161" s="81">
        <v>44824</v>
      </c>
      <c r="K161" s="75" t="s">
        <v>367</v>
      </c>
      <c r="L161" s="75" t="s">
        <v>360</v>
      </c>
      <c r="M161" s="75">
        <v>0</v>
      </c>
      <c r="N161" s="84">
        <v>3</v>
      </c>
      <c r="O161" s="75" t="s">
        <v>362</v>
      </c>
      <c r="P161" s="88">
        <f>SUM(TreatmentUsed!E2217:E2233)</f>
        <v>91</v>
      </c>
      <c r="Q161" s="75">
        <f t="shared" si="22"/>
        <v>14.333333333333334</v>
      </c>
      <c r="R161" s="75">
        <v>0</v>
      </c>
      <c r="S161" s="75">
        <v>0</v>
      </c>
      <c r="T161" s="75">
        <v>0</v>
      </c>
      <c r="U161" s="75">
        <v>0</v>
      </c>
      <c r="V161" s="75">
        <v>0</v>
      </c>
      <c r="W161" s="75">
        <v>0</v>
      </c>
      <c r="X161" s="75">
        <v>0</v>
      </c>
      <c r="Y161" s="75">
        <v>0</v>
      </c>
      <c r="Z161" s="75">
        <v>0</v>
      </c>
      <c r="AA161" s="75">
        <v>0</v>
      </c>
      <c r="AB161" s="75">
        <v>0</v>
      </c>
      <c r="AC161" s="75">
        <v>0</v>
      </c>
      <c r="AD161" s="75">
        <v>0</v>
      </c>
      <c r="AE161" s="75">
        <v>0</v>
      </c>
      <c r="AF161" s="75">
        <v>0</v>
      </c>
      <c r="AG161" s="75">
        <v>0</v>
      </c>
      <c r="AH161" s="75">
        <v>0</v>
      </c>
      <c r="AI161" s="75">
        <v>0</v>
      </c>
      <c r="AJ161" s="75">
        <v>0</v>
      </c>
      <c r="AK161" s="75">
        <v>0</v>
      </c>
      <c r="AL161" s="75">
        <v>0</v>
      </c>
      <c r="AM161" s="75">
        <v>0</v>
      </c>
      <c r="AN161" s="75">
        <v>0</v>
      </c>
      <c r="AO161" s="75">
        <v>2</v>
      </c>
      <c r="AP161" s="75">
        <v>0</v>
      </c>
      <c r="AQ161" s="75">
        <v>0</v>
      </c>
      <c r="AR161" s="75">
        <v>0</v>
      </c>
      <c r="AS161" s="75">
        <v>0</v>
      </c>
      <c r="AT161" s="75">
        <v>0</v>
      </c>
      <c r="AU161" s="75">
        <v>0</v>
      </c>
      <c r="AV161" s="75">
        <v>0</v>
      </c>
      <c r="AW161" s="75">
        <v>0</v>
      </c>
      <c r="AX161" s="75">
        <v>1</v>
      </c>
      <c r="AY161" s="75">
        <v>0</v>
      </c>
      <c r="AZ161" s="84">
        <v>5</v>
      </c>
      <c r="BA161" s="84">
        <v>2</v>
      </c>
      <c r="BB161" s="75">
        <v>2</v>
      </c>
      <c r="BC161" s="75">
        <v>1</v>
      </c>
      <c r="BD161" s="75">
        <v>0</v>
      </c>
      <c r="BE161" s="75">
        <v>0</v>
      </c>
      <c r="BF161" s="84">
        <v>3</v>
      </c>
      <c r="BG161" s="75">
        <v>0</v>
      </c>
      <c r="BH161" s="84">
        <v>1</v>
      </c>
      <c r="BI161" s="84"/>
      <c r="BJ161" s="84"/>
      <c r="BK161" s="84"/>
      <c r="BM161" s="75">
        <f t="shared" si="17"/>
        <v>0</v>
      </c>
      <c r="BN161" s="75">
        <f t="shared" si="18"/>
        <v>0</v>
      </c>
      <c r="BO161" s="75">
        <f t="shared" si="19"/>
        <v>17</v>
      </c>
      <c r="BP161" s="75">
        <f t="shared" si="20"/>
        <v>17</v>
      </c>
      <c r="BQ161" s="80" t="s">
        <v>485</v>
      </c>
      <c r="BT161" s="110">
        <v>0</v>
      </c>
    </row>
    <row r="162" spans="1:74" x14ac:dyDescent="0.75">
      <c r="C162" s="270">
        <v>783</v>
      </c>
      <c r="D162" s="75" t="s">
        <v>357</v>
      </c>
      <c r="E162" s="75" t="s">
        <v>358</v>
      </c>
      <c r="F162" s="75" t="s">
        <v>359</v>
      </c>
      <c r="G162" s="75" t="s">
        <v>23</v>
      </c>
      <c r="H162" s="75">
        <v>18.365749999999998</v>
      </c>
      <c r="I162" s="75">
        <v>-64.773619999999994</v>
      </c>
      <c r="J162" s="81">
        <v>44824</v>
      </c>
      <c r="K162" s="75" t="s">
        <v>367</v>
      </c>
      <c r="L162" s="75" t="s">
        <v>360</v>
      </c>
      <c r="M162" s="75">
        <v>0</v>
      </c>
      <c r="N162" s="84">
        <v>3</v>
      </c>
      <c r="O162" s="75" t="s">
        <v>362</v>
      </c>
      <c r="P162" s="88">
        <f>SUM(TreatmentUsed!E2234)</f>
        <v>4</v>
      </c>
      <c r="Q162" s="75">
        <f t="shared" si="22"/>
        <v>14.333333333333334</v>
      </c>
      <c r="R162" s="75">
        <v>0</v>
      </c>
      <c r="S162" s="75">
        <v>0</v>
      </c>
      <c r="T162" s="75">
        <v>0</v>
      </c>
      <c r="U162" s="75">
        <v>0</v>
      </c>
      <c r="V162" s="75">
        <v>0</v>
      </c>
      <c r="W162" s="75">
        <v>0</v>
      </c>
      <c r="X162" s="75">
        <v>0</v>
      </c>
      <c r="Y162" s="75">
        <v>0</v>
      </c>
      <c r="Z162" s="75">
        <v>0</v>
      </c>
      <c r="AA162" s="75">
        <v>0</v>
      </c>
      <c r="AB162" s="75">
        <v>0</v>
      </c>
      <c r="AC162" s="75">
        <v>0</v>
      </c>
      <c r="AD162" s="75">
        <v>0</v>
      </c>
      <c r="AE162" s="75">
        <v>0</v>
      </c>
      <c r="AF162" s="75">
        <v>0</v>
      </c>
      <c r="AG162" s="75">
        <v>0</v>
      </c>
      <c r="AH162" s="75">
        <v>0</v>
      </c>
      <c r="AI162" s="75">
        <v>0</v>
      </c>
      <c r="AJ162" s="75">
        <v>0</v>
      </c>
      <c r="AK162" s="75">
        <v>0</v>
      </c>
      <c r="AL162" s="75">
        <v>0</v>
      </c>
      <c r="AM162" s="75">
        <v>0</v>
      </c>
      <c r="AN162" s="75">
        <v>0</v>
      </c>
      <c r="AO162" s="75">
        <v>0</v>
      </c>
      <c r="AP162" s="75">
        <v>0</v>
      </c>
      <c r="AQ162" s="75">
        <v>1</v>
      </c>
      <c r="AR162" s="75">
        <v>0</v>
      </c>
      <c r="AS162" s="75">
        <v>0</v>
      </c>
      <c r="AT162" s="75">
        <v>0</v>
      </c>
      <c r="AU162" s="75">
        <v>0</v>
      </c>
      <c r="AV162" s="75">
        <v>0</v>
      </c>
      <c r="AW162" s="75">
        <v>0</v>
      </c>
      <c r="AX162" s="75">
        <v>0</v>
      </c>
      <c r="AY162" s="75">
        <v>0</v>
      </c>
      <c r="AZ162" s="75">
        <v>0</v>
      </c>
      <c r="BA162" s="75">
        <v>0</v>
      </c>
      <c r="BB162" s="75">
        <v>0</v>
      </c>
      <c r="BC162" s="75">
        <v>0</v>
      </c>
      <c r="BD162" s="75">
        <v>0</v>
      </c>
      <c r="BE162" s="75">
        <v>0</v>
      </c>
      <c r="BF162" s="75">
        <v>0</v>
      </c>
      <c r="BG162" s="75">
        <v>0</v>
      </c>
      <c r="BH162" s="75">
        <v>0</v>
      </c>
      <c r="BM162" s="75">
        <f t="shared" si="17"/>
        <v>0</v>
      </c>
      <c r="BN162" s="75">
        <f t="shared" si="18"/>
        <v>0</v>
      </c>
      <c r="BO162" s="75">
        <f t="shared" si="19"/>
        <v>1</v>
      </c>
      <c r="BP162" s="75">
        <f t="shared" si="20"/>
        <v>1</v>
      </c>
      <c r="BR162" s="252" t="s">
        <v>437</v>
      </c>
      <c r="BT162" s="110">
        <v>0</v>
      </c>
    </row>
    <row r="163" spans="1:74" x14ac:dyDescent="0.75">
      <c r="A163"/>
      <c r="B163"/>
      <c r="C163" s="270">
        <v>784</v>
      </c>
      <c r="D163" s="75" t="s">
        <v>357</v>
      </c>
      <c r="E163" s="75" t="s">
        <v>358</v>
      </c>
      <c r="F163" s="75" t="s">
        <v>359</v>
      </c>
      <c r="G163" s="75" t="s">
        <v>23</v>
      </c>
      <c r="H163" s="75">
        <v>18.365749999999998</v>
      </c>
      <c r="I163" s="75">
        <v>-64.773619999999994</v>
      </c>
      <c r="J163" s="81">
        <v>44825</v>
      </c>
      <c r="K163" s="75" t="s">
        <v>361</v>
      </c>
      <c r="L163" s="75" t="s">
        <v>360</v>
      </c>
      <c r="M163" s="75">
        <v>0</v>
      </c>
      <c r="N163" s="75">
        <v>4</v>
      </c>
      <c r="O163" s="75" t="s">
        <v>362</v>
      </c>
      <c r="P163" s="88">
        <f>SUM(TreatmentUsed!E2235:E2250)</f>
        <v>62</v>
      </c>
      <c r="Q163" s="75">
        <v>0</v>
      </c>
      <c r="R163" s="75">
        <v>0</v>
      </c>
      <c r="S163" s="75">
        <v>0</v>
      </c>
      <c r="T163" s="75">
        <v>0</v>
      </c>
      <c r="U163" s="75">
        <v>0</v>
      </c>
      <c r="V163" s="75">
        <v>0</v>
      </c>
      <c r="W163" s="75">
        <v>0</v>
      </c>
      <c r="X163" s="75">
        <v>0</v>
      </c>
      <c r="Y163" s="75">
        <v>0</v>
      </c>
      <c r="Z163" s="75">
        <v>0</v>
      </c>
      <c r="AA163" s="75">
        <v>0</v>
      </c>
      <c r="AB163" s="75">
        <v>0</v>
      </c>
      <c r="AC163" s="75">
        <v>0</v>
      </c>
      <c r="AD163" s="75">
        <v>0</v>
      </c>
      <c r="AE163" s="75">
        <v>0</v>
      </c>
      <c r="AF163" s="75">
        <v>0</v>
      </c>
      <c r="AG163" s="75">
        <v>0</v>
      </c>
      <c r="AH163" s="75">
        <v>0</v>
      </c>
      <c r="AI163" s="75">
        <v>0</v>
      </c>
      <c r="AJ163" s="75">
        <v>0</v>
      </c>
      <c r="AK163" s="75">
        <v>0</v>
      </c>
      <c r="AL163" s="75">
        <v>0</v>
      </c>
      <c r="AM163" s="75">
        <v>0</v>
      </c>
      <c r="AN163" s="75">
        <v>0</v>
      </c>
      <c r="AO163" s="75">
        <v>1</v>
      </c>
      <c r="AP163" s="75">
        <v>0</v>
      </c>
      <c r="AQ163" s="75">
        <v>0</v>
      </c>
      <c r="AR163" s="75">
        <v>0</v>
      </c>
      <c r="AS163" s="75">
        <v>0</v>
      </c>
      <c r="AT163" s="75">
        <v>0</v>
      </c>
      <c r="AU163" s="75">
        <v>0</v>
      </c>
      <c r="AV163" s="75">
        <v>0</v>
      </c>
      <c r="AW163" s="75">
        <v>0</v>
      </c>
      <c r="AX163" s="75">
        <v>0</v>
      </c>
      <c r="AY163" s="75">
        <v>0</v>
      </c>
      <c r="AZ163" s="75">
        <v>5</v>
      </c>
      <c r="BA163" s="84">
        <v>9</v>
      </c>
      <c r="BB163" s="75">
        <v>0</v>
      </c>
      <c r="BC163" s="75">
        <v>1</v>
      </c>
      <c r="BD163" s="75">
        <v>0</v>
      </c>
      <c r="BE163" s="75">
        <v>0</v>
      </c>
      <c r="BF163" s="75">
        <v>0</v>
      </c>
      <c r="BG163" s="75">
        <v>0</v>
      </c>
      <c r="BH163" s="75">
        <v>0</v>
      </c>
      <c r="BM163" s="75">
        <f t="shared" si="17"/>
        <v>0</v>
      </c>
      <c r="BN163" s="75">
        <f t="shared" si="18"/>
        <v>0</v>
      </c>
      <c r="BO163" s="75">
        <f t="shared" ref="BO163:BO194" si="23">SUM(AO163:BH163)</f>
        <v>16</v>
      </c>
      <c r="BP163" s="75">
        <f t="shared" ref="BP163:BP194" si="24">SUM(R163:BH163)</f>
        <v>16</v>
      </c>
      <c r="BR163" s="252" t="s">
        <v>490</v>
      </c>
      <c r="BT163" s="110">
        <v>0</v>
      </c>
    </row>
    <row r="164" spans="1:74" x14ac:dyDescent="0.75">
      <c r="C164" s="270">
        <v>785</v>
      </c>
      <c r="D164" s="75" t="s">
        <v>357</v>
      </c>
      <c r="E164" s="75" t="s">
        <v>358</v>
      </c>
      <c r="F164" s="75" t="s">
        <v>359</v>
      </c>
      <c r="G164" s="75" t="s">
        <v>23</v>
      </c>
      <c r="H164" s="75">
        <v>18.365749999999998</v>
      </c>
      <c r="I164" s="75">
        <v>-64.773619999999994</v>
      </c>
      <c r="J164" s="81">
        <v>44825</v>
      </c>
      <c r="K164" s="75" t="s">
        <v>361</v>
      </c>
      <c r="L164" s="75" t="s">
        <v>360</v>
      </c>
      <c r="M164" s="75">
        <v>0</v>
      </c>
      <c r="N164" s="75">
        <v>4</v>
      </c>
      <c r="O164" s="75" t="s">
        <v>362</v>
      </c>
      <c r="P164" s="88">
        <f>SUM(TreatmentUsed!E2251:E2267)</f>
        <v>138</v>
      </c>
      <c r="Q164" s="75">
        <v>0</v>
      </c>
      <c r="R164" s="75">
        <v>0</v>
      </c>
      <c r="S164" s="75">
        <v>0</v>
      </c>
      <c r="T164" s="75">
        <v>0</v>
      </c>
      <c r="U164" s="75">
        <v>0</v>
      </c>
      <c r="V164" s="75">
        <v>0</v>
      </c>
      <c r="W164" s="75">
        <v>0</v>
      </c>
      <c r="X164" s="75">
        <v>0</v>
      </c>
      <c r="Y164" s="75">
        <v>0</v>
      </c>
      <c r="Z164" s="75">
        <v>0</v>
      </c>
      <c r="AA164" s="75">
        <v>0</v>
      </c>
      <c r="AB164" s="75">
        <v>0</v>
      </c>
      <c r="AC164" s="75">
        <v>0</v>
      </c>
      <c r="AD164" s="75">
        <v>0</v>
      </c>
      <c r="AE164" s="75">
        <v>0</v>
      </c>
      <c r="AF164" s="75">
        <v>0</v>
      </c>
      <c r="AG164" s="75">
        <v>0</v>
      </c>
      <c r="AH164" s="75">
        <v>0</v>
      </c>
      <c r="AI164" s="75">
        <v>0</v>
      </c>
      <c r="AJ164" s="75">
        <v>0</v>
      </c>
      <c r="AK164" s="75">
        <v>0</v>
      </c>
      <c r="AL164" s="75">
        <v>0</v>
      </c>
      <c r="AM164" s="75">
        <v>0</v>
      </c>
      <c r="AN164" s="75">
        <v>0</v>
      </c>
      <c r="AO164" s="84">
        <v>0</v>
      </c>
      <c r="AP164" s="75">
        <v>0</v>
      </c>
      <c r="AQ164" s="75">
        <v>0</v>
      </c>
      <c r="AR164" s="75">
        <v>0</v>
      </c>
      <c r="AS164" s="75">
        <v>0</v>
      </c>
      <c r="AT164" s="75">
        <v>0</v>
      </c>
      <c r="AU164" s="75">
        <v>0</v>
      </c>
      <c r="AV164" s="75">
        <v>0</v>
      </c>
      <c r="AW164" s="75">
        <v>0</v>
      </c>
      <c r="AX164" s="75">
        <v>0</v>
      </c>
      <c r="AY164" s="75">
        <v>0</v>
      </c>
      <c r="AZ164" s="84">
        <v>9</v>
      </c>
      <c r="BA164" s="84">
        <v>2</v>
      </c>
      <c r="BB164" s="75">
        <v>1</v>
      </c>
      <c r="BC164" s="75">
        <v>0</v>
      </c>
      <c r="BD164" s="75">
        <v>0</v>
      </c>
      <c r="BE164" s="84">
        <v>1</v>
      </c>
      <c r="BF164" s="75">
        <v>2</v>
      </c>
      <c r="BG164" s="75">
        <v>0</v>
      </c>
      <c r="BH164" s="75">
        <v>0</v>
      </c>
      <c r="BM164" s="75">
        <f t="shared" si="17"/>
        <v>0</v>
      </c>
      <c r="BN164" s="75">
        <f t="shared" si="18"/>
        <v>0</v>
      </c>
      <c r="BO164" s="75">
        <f t="shared" si="23"/>
        <v>15</v>
      </c>
      <c r="BP164" s="75">
        <f t="shared" si="24"/>
        <v>15</v>
      </c>
      <c r="BT164" s="110">
        <v>0</v>
      </c>
    </row>
    <row r="165" spans="1:74" x14ac:dyDescent="0.75">
      <c r="C165" s="270">
        <v>786</v>
      </c>
      <c r="D165" s="75" t="s">
        <v>357</v>
      </c>
      <c r="E165" s="75" t="s">
        <v>358</v>
      </c>
      <c r="F165" s="75" t="s">
        <v>359</v>
      </c>
      <c r="G165" s="75" t="s">
        <v>64</v>
      </c>
      <c r="H165" s="75">
        <v>18.368383000000001</v>
      </c>
      <c r="I165" s="75">
        <v>-64.751450000000006</v>
      </c>
      <c r="J165" s="81">
        <v>44825</v>
      </c>
      <c r="K165" s="75" t="s">
        <v>361</v>
      </c>
      <c r="L165" s="75" t="s">
        <v>360</v>
      </c>
      <c r="M165" s="75">
        <v>0</v>
      </c>
      <c r="N165" s="75">
        <v>2</v>
      </c>
      <c r="O165" s="75" t="s">
        <v>362</v>
      </c>
      <c r="P165" s="88">
        <f>SUM(TreatmentUsed!E2268)</f>
        <v>11</v>
      </c>
      <c r="Q165" s="75">
        <v>0</v>
      </c>
      <c r="R165" s="75">
        <v>0</v>
      </c>
      <c r="S165" s="75">
        <v>0</v>
      </c>
      <c r="T165" s="75">
        <v>0</v>
      </c>
      <c r="U165" s="75">
        <v>0</v>
      </c>
      <c r="V165" s="75">
        <v>0</v>
      </c>
      <c r="W165" s="75">
        <v>0</v>
      </c>
      <c r="X165" s="75">
        <v>0</v>
      </c>
      <c r="Y165" s="75">
        <v>0</v>
      </c>
      <c r="Z165" s="75">
        <v>0</v>
      </c>
      <c r="AA165" s="75">
        <v>0</v>
      </c>
      <c r="AB165" s="75">
        <v>0</v>
      </c>
      <c r="AC165" s="75">
        <v>0</v>
      </c>
      <c r="AD165" s="75">
        <v>0</v>
      </c>
      <c r="AE165" s="75">
        <v>0</v>
      </c>
      <c r="AF165" s="75">
        <v>0</v>
      </c>
      <c r="AG165" s="75">
        <v>0</v>
      </c>
      <c r="AH165" s="75">
        <v>0</v>
      </c>
      <c r="AI165" s="75">
        <v>0</v>
      </c>
      <c r="AJ165" s="75">
        <v>0</v>
      </c>
      <c r="AK165" s="75">
        <v>0</v>
      </c>
      <c r="AL165" s="75">
        <v>0</v>
      </c>
      <c r="AM165" s="75">
        <v>0</v>
      </c>
      <c r="AN165" s="75">
        <v>0</v>
      </c>
      <c r="AO165" s="75">
        <v>0</v>
      </c>
      <c r="AP165" s="75">
        <v>0</v>
      </c>
      <c r="AQ165" s="75">
        <v>0</v>
      </c>
      <c r="AR165" s="75">
        <v>0</v>
      </c>
      <c r="AS165" s="75">
        <v>0</v>
      </c>
      <c r="AT165" s="75">
        <v>0</v>
      </c>
      <c r="AU165" s="75">
        <v>0</v>
      </c>
      <c r="AV165" s="75">
        <v>0</v>
      </c>
      <c r="AW165" s="75">
        <v>0</v>
      </c>
      <c r="AX165" s="75">
        <v>0</v>
      </c>
      <c r="AY165" s="75">
        <v>0</v>
      </c>
      <c r="AZ165" s="75">
        <v>0</v>
      </c>
      <c r="BA165" s="75">
        <v>0</v>
      </c>
      <c r="BB165" s="75">
        <v>0</v>
      </c>
      <c r="BC165" s="75">
        <v>1</v>
      </c>
      <c r="BD165" s="75">
        <v>0</v>
      </c>
      <c r="BE165" s="75">
        <v>0</v>
      </c>
      <c r="BF165" s="75">
        <v>0</v>
      </c>
      <c r="BG165" s="75">
        <v>0</v>
      </c>
      <c r="BH165" s="75">
        <v>0</v>
      </c>
      <c r="BM165" s="75">
        <f t="shared" si="17"/>
        <v>0</v>
      </c>
      <c r="BN165" s="75">
        <f t="shared" si="18"/>
        <v>0</v>
      </c>
      <c r="BO165" s="75">
        <f t="shared" si="23"/>
        <v>1</v>
      </c>
      <c r="BP165" s="75">
        <f t="shared" si="24"/>
        <v>1</v>
      </c>
      <c r="BR165" s="252">
        <v>3338</v>
      </c>
      <c r="BT165" s="110">
        <v>0</v>
      </c>
    </row>
    <row r="166" spans="1:74" x14ac:dyDescent="0.75">
      <c r="C166" s="270">
        <v>787</v>
      </c>
      <c r="D166" s="75" t="s">
        <v>357</v>
      </c>
      <c r="E166" s="75" t="s">
        <v>358</v>
      </c>
      <c r="F166" s="75" t="s">
        <v>359</v>
      </c>
      <c r="G166" s="75" t="s">
        <v>39</v>
      </c>
      <c r="H166" s="75">
        <v>18.357482999999998</v>
      </c>
      <c r="I166" s="75">
        <v>-64.751949999999994</v>
      </c>
      <c r="J166" s="81">
        <v>44826</v>
      </c>
      <c r="K166" s="75" t="s">
        <v>367</v>
      </c>
      <c r="L166" s="75" t="s">
        <v>360</v>
      </c>
      <c r="M166" s="75">
        <v>0</v>
      </c>
      <c r="N166" s="75">
        <v>4</v>
      </c>
      <c r="O166" s="75" t="s">
        <v>362</v>
      </c>
      <c r="P166" s="88">
        <f>SUM(TreatmentUsed!E2269:E2292)</f>
        <v>220</v>
      </c>
      <c r="Q166" s="75">
        <v>0</v>
      </c>
      <c r="R166" s="75">
        <v>0</v>
      </c>
      <c r="S166" s="75">
        <v>0</v>
      </c>
      <c r="T166" s="75">
        <v>0</v>
      </c>
      <c r="U166" s="75">
        <v>0</v>
      </c>
      <c r="V166" s="75">
        <v>0</v>
      </c>
      <c r="W166" s="75">
        <v>0</v>
      </c>
      <c r="X166" s="75">
        <v>0</v>
      </c>
      <c r="Y166" s="75">
        <v>0</v>
      </c>
      <c r="Z166" s="75">
        <v>0</v>
      </c>
      <c r="AA166" s="75">
        <v>0</v>
      </c>
      <c r="AB166" s="75">
        <v>0</v>
      </c>
      <c r="AC166" s="75">
        <v>0</v>
      </c>
      <c r="AD166" s="75">
        <v>0</v>
      </c>
      <c r="AE166" s="75">
        <v>0</v>
      </c>
      <c r="AF166" s="75">
        <v>0</v>
      </c>
      <c r="AG166" s="75">
        <v>0</v>
      </c>
      <c r="AH166" s="75">
        <v>0</v>
      </c>
      <c r="AI166" s="75">
        <v>0</v>
      </c>
      <c r="AJ166" s="75">
        <v>0</v>
      </c>
      <c r="AK166" s="75">
        <v>0</v>
      </c>
      <c r="AL166" s="75">
        <v>0</v>
      </c>
      <c r="AM166" s="75">
        <v>0</v>
      </c>
      <c r="AN166" s="75">
        <v>0</v>
      </c>
      <c r="AO166" s="75">
        <v>1</v>
      </c>
      <c r="AP166" s="75">
        <v>0</v>
      </c>
      <c r="AQ166" s="75">
        <v>0</v>
      </c>
      <c r="AR166" s="75">
        <v>1</v>
      </c>
      <c r="AS166" s="75">
        <v>0</v>
      </c>
      <c r="AT166" s="75">
        <v>0</v>
      </c>
      <c r="AU166" s="75">
        <v>0</v>
      </c>
      <c r="AV166" s="75">
        <v>0</v>
      </c>
      <c r="AW166" s="75">
        <v>0</v>
      </c>
      <c r="AX166" s="75">
        <v>0</v>
      </c>
      <c r="AY166" s="75">
        <v>2</v>
      </c>
      <c r="AZ166" s="84">
        <v>9</v>
      </c>
      <c r="BA166" s="84">
        <v>2</v>
      </c>
      <c r="BB166" s="84">
        <v>0</v>
      </c>
      <c r="BC166" s="75">
        <v>5</v>
      </c>
      <c r="BD166" s="75">
        <v>0</v>
      </c>
      <c r="BE166" s="75">
        <v>0</v>
      </c>
      <c r="BF166" s="75">
        <v>3</v>
      </c>
      <c r="BG166" s="75">
        <v>0</v>
      </c>
      <c r="BH166" s="75">
        <v>1</v>
      </c>
      <c r="BM166" s="75">
        <f t="shared" si="17"/>
        <v>0</v>
      </c>
      <c r="BN166" s="75">
        <f t="shared" si="18"/>
        <v>0</v>
      </c>
      <c r="BO166" s="75">
        <f t="shared" si="23"/>
        <v>24</v>
      </c>
      <c r="BP166" s="75">
        <f t="shared" si="24"/>
        <v>24</v>
      </c>
      <c r="BQ166" s="80" t="s">
        <v>489</v>
      </c>
      <c r="BR166" s="252">
        <v>3535</v>
      </c>
      <c r="BT166" s="110">
        <v>0</v>
      </c>
    </row>
    <row r="167" spans="1:74" x14ac:dyDescent="0.75">
      <c r="C167" s="270">
        <v>788</v>
      </c>
      <c r="D167" s="75" t="s">
        <v>357</v>
      </c>
      <c r="E167" s="75" t="s">
        <v>358</v>
      </c>
      <c r="F167" s="75" t="s">
        <v>359</v>
      </c>
      <c r="G167" s="75" t="s">
        <v>39</v>
      </c>
      <c r="H167" s="75">
        <v>18.357482999999998</v>
      </c>
      <c r="I167" s="75">
        <v>-64.751949999999994</v>
      </c>
      <c r="J167" s="81">
        <v>44826</v>
      </c>
      <c r="K167" s="75" t="s">
        <v>367</v>
      </c>
      <c r="L167" s="75" t="s">
        <v>360</v>
      </c>
      <c r="M167" s="75">
        <v>0</v>
      </c>
      <c r="N167" s="75">
        <v>2</v>
      </c>
      <c r="O167" s="75" t="s">
        <v>362</v>
      </c>
      <c r="P167" s="88">
        <f>SUM(TreatmentUsed!E2293:E2294)</f>
        <v>25</v>
      </c>
      <c r="Q167" s="75">
        <v>0</v>
      </c>
      <c r="R167" s="75">
        <v>0</v>
      </c>
      <c r="S167" s="75">
        <v>0</v>
      </c>
      <c r="T167" s="75">
        <v>0</v>
      </c>
      <c r="U167" s="75">
        <v>0</v>
      </c>
      <c r="V167" s="75">
        <v>0</v>
      </c>
      <c r="W167" s="75">
        <v>0</v>
      </c>
      <c r="X167" s="75">
        <v>0</v>
      </c>
      <c r="Y167" s="75">
        <v>0</v>
      </c>
      <c r="Z167" s="75">
        <v>0</v>
      </c>
      <c r="AA167" s="75">
        <v>0</v>
      </c>
      <c r="AB167" s="75">
        <v>0</v>
      </c>
      <c r="AC167" s="75">
        <v>0</v>
      </c>
      <c r="AD167" s="75">
        <v>0</v>
      </c>
      <c r="AE167" s="75">
        <v>0</v>
      </c>
      <c r="AF167" s="75">
        <v>0</v>
      </c>
      <c r="AG167" s="75">
        <v>0</v>
      </c>
      <c r="AH167" s="75">
        <v>0</v>
      </c>
      <c r="AI167" s="75">
        <v>0</v>
      </c>
      <c r="AJ167" s="75">
        <v>0</v>
      </c>
      <c r="AK167" s="75">
        <v>0</v>
      </c>
      <c r="AL167" s="75">
        <v>0</v>
      </c>
      <c r="AM167" s="75">
        <v>0</v>
      </c>
      <c r="AN167" s="75">
        <v>0</v>
      </c>
      <c r="AO167" s="75">
        <v>0</v>
      </c>
      <c r="AP167" s="75">
        <v>0</v>
      </c>
      <c r="AQ167" s="75">
        <v>0</v>
      </c>
      <c r="AR167" s="75">
        <v>0</v>
      </c>
      <c r="AS167" s="75">
        <v>1</v>
      </c>
      <c r="AT167" s="75">
        <v>0</v>
      </c>
      <c r="AU167" s="75">
        <v>0</v>
      </c>
      <c r="AV167" s="75">
        <v>0</v>
      </c>
      <c r="AW167" s="75">
        <v>0</v>
      </c>
      <c r="AX167" s="75">
        <v>0</v>
      </c>
      <c r="AY167" s="75">
        <v>0</v>
      </c>
      <c r="AZ167" s="75">
        <v>0</v>
      </c>
      <c r="BA167" s="75">
        <v>1</v>
      </c>
      <c r="BB167" s="75">
        <v>0</v>
      </c>
      <c r="BC167" s="75">
        <v>0</v>
      </c>
      <c r="BD167" s="75">
        <v>0</v>
      </c>
      <c r="BE167" s="75">
        <v>0</v>
      </c>
      <c r="BF167" s="75">
        <v>0</v>
      </c>
      <c r="BG167" s="75">
        <v>0</v>
      </c>
      <c r="BH167" s="75">
        <v>0</v>
      </c>
      <c r="BM167" s="75">
        <f t="shared" si="17"/>
        <v>0</v>
      </c>
      <c r="BN167" s="75">
        <f t="shared" si="18"/>
        <v>0</v>
      </c>
      <c r="BO167" s="75">
        <f t="shared" si="23"/>
        <v>2</v>
      </c>
      <c r="BP167" s="75">
        <f t="shared" si="24"/>
        <v>2</v>
      </c>
      <c r="BT167" s="110">
        <v>0</v>
      </c>
    </row>
    <row r="168" spans="1:74" x14ac:dyDescent="0.75">
      <c r="C168" s="270">
        <v>789</v>
      </c>
      <c r="D168" s="75" t="s">
        <v>357</v>
      </c>
      <c r="E168" s="75" t="s">
        <v>358</v>
      </c>
      <c r="F168" s="75" t="s">
        <v>359</v>
      </c>
      <c r="G168" s="75" t="s">
        <v>39</v>
      </c>
      <c r="H168" s="75">
        <v>18.357482999999998</v>
      </c>
      <c r="I168" s="75">
        <v>-64.751949999999994</v>
      </c>
      <c r="J168" s="81">
        <v>44826</v>
      </c>
      <c r="K168" s="75" t="s">
        <v>367</v>
      </c>
      <c r="L168" s="75" t="s">
        <v>360</v>
      </c>
      <c r="M168" s="75">
        <v>0</v>
      </c>
      <c r="N168" s="75">
        <v>2</v>
      </c>
      <c r="O168" s="75" t="s">
        <v>362</v>
      </c>
      <c r="P168" s="88">
        <f>SUM(TreatmentUsed!E2295:E2296)</f>
        <v>17</v>
      </c>
      <c r="Q168" s="75">
        <v>0</v>
      </c>
      <c r="R168" s="75">
        <v>0</v>
      </c>
      <c r="S168" s="75">
        <v>0</v>
      </c>
      <c r="T168" s="75">
        <v>0</v>
      </c>
      <c r="U168" s="75">
        <v>0</v>
      </c>
      <c r="V168" s="75">
        <v>0</v>
      </c>
      <c r="W168" s="75">
        <v>0</v>
      </c>
      <c r="X168" s="75">
        <v>0</v>
      </c>
      <c r="Y168" s="75">
        <v>0</v>
      </c>
      <c r="Z168" s="75">
        <v>0</v>
      </c>
      <c r="AA168" s="75">
        <v>0</v>
      </c>
      <c r="AB168" s="75">
        <v>0</v>
      </c>
      <c r="AC168" s="75">
        <v>0</v>
      </c>
      <c r="AD168" s="75">
        <v>0</v>
      </c>
      <c r="AE168" s="75">
        <v>0</v>
      </c>
      <c r="AF168" s="75">
        <v>0</v>
      </c>
      <c r="AG168" s="75">
        <v>0</v>
      </c>
      <c r="AH168" s="75">
        <v>0</v>
      </c>
      <c r="AI168" s="75">
        <v>0</v>
      </c>
      <c r="AJ168" s="75">
        <v>0</v>
      </c>
      <c r="AK168" s="75">
        <v>0</v>
      </c>
      <c r="AL168" s="75">
        <v>0</v>
      </c>
      <c r="AM168" s="75">
        <v>0</v>
      </c>
      <c r="AN168" s="75">
        <v>0</v>
      </c>
      <c r="AO168" s="75">
        <v>0</v>
      </c>
      <c r="AP168" s="75">
        <v>0</v>
      </c>
      <c r="AQ168" s="75">
        <v>0</v>
      </c>
      <c r="AR168" s="75">
        <v>0</v>
      </c>
      <c r="AS168" s="75">
        <v>0</v>
      </c>
      <c r="AT168" s="75">
        <v>0</v>
      </c>
      <c r="AU168" s="75">
        <v>0</v>
      </c>
      <c r="AV168" s="75">
        <v>0</v>
      </c>
      <c r="AW168" s="75">
        <v>0</v>
      </c>
      <c r="AX168" s="75">
        <v>0</v>
      </c>
      <c r="AY168" s="75">
        <v>0</v>
      </c>
      <c r="AZ168" s="75">
        <v>0</v>
      </c>
      <c r="BA168" s="75">
        <v>2</v>
      </c>
      <c r="BB168" s="75">
        <v>0</v>
      </c>
      <c r="BC168" s="75">
        <v>0</v>
      </c>
      <c r="BD168" s="75">
        <v>0</v>
      </c>
      <c r="BE168" s="75">
        <v>0</v>
      </c>
      <c r="BF168" s="75">
        <v>0</v>
      </c>
      <c r="BG168" s="75">
        <v>0</v>
      </c>
      <c r="BH168" s="75">
        <v>0</v>
      </c>
      <c r="BM168" s="75">
        <f t="shared" si="17"/>
        <v>0</v>
      </c>
      <c r="BN168" s="75">
        <f t="shared" si="18"/>
        <v>0</v>
      </c>
      <c r="BO168" s="75">
        <f t="shared" si="23"/>
        <v>2</v>
      </c>
      <c r="BP168" s="75">
        <f t="shared" si="24"/>
        <v>2</v>
      </c>
      <c r="BR168" s="138" t="s">
        <v>491</v>
      </c>
      <c r="BT168" s="110">
        <v>0</v>
      </c>
    </row>
    <row r="169" spans="1:74" x14ac:dyDescent="0.75">
      <c r="C169" s="270">
        <v>790</v>
      </c>
      <c r="D169" s="75" t="s">
        <v>357</v>
      </c>
      <c r="E169" s="75" t="s">
        <v>358</v>
      </c>
      <c r="F169" s="75" t="s">
        <v>359</v>
      </c>
      <c r="G169" s="75" t="s">
        <v>69</v>
      </c>
      <c r="H169" s="75">
        <v>18.343233000000001</v>
      </c>
      <c r="I169" s="75">
        <v>-64.687667000000005</v>
      </c>
      <c r="J169" s="81">
        <v>44831</v>
      </c>
      <c r="K169" s="75" t="s">
        <v>361</v>
      </c>
      <c r="L169" s="75" t="s">
        <v>360</v>
      </c>
      <c r="M169" s="75">
        <v>0</v>
      </c>
      <c r="N169" s="75">
        <v>3</v>
      </c>
      <c r="O169" s="75" t="s">
        <v>362</v>
      </c>
      <c r="P169" s="88">
        <f>SUM(TreatmentUsed!E2297:E2342)</f>
        <v>367</v>
      </c>
      <c r="Q169" s="75">
        <f>45/2</f>
        <v>22.5</v>
      </c>
      <c r="R169" s="75">
        <v>0</v>
      </c>
      <c r="S169" s="75">
        <v>0</v>
      </c>
      <c r="T169" s="75">
        <v>0</v>
      </c>
      <c r="U169" s="75">
        <v>0</v>
      </c>
      <c r="V169" s="75">
        <v>0</v>
      </c>
      <c r="W169" s="75">
        <v>0</v>
      </c>
      <c r="X169" s="75">
        <v>0</v>
      </c>
      <c r="Y169" s="75">
        <v>0</v>
      </c>
      <c r="Z169" s="75">
        <v>0</v>
      </c>
      <c r="AA169" s="75">
        <v>0</v>
      </c>
      <c r="AB169" s="75">
        <v>0</v>
      </c>
      <c r="AC169" s="75">
        <v>0</v>
      </c>
      <c r="AD169" s="75">
        <v>0</v>
      </c>
      <c r="AE169" s="75">
        <v>0</v>
      </c>
      <c r="AF169" s="75">
        <v>0</v>
      </c>
      <c r="AG169" s="75">
        <v>0</v>
      </c>
      <c r="AH169" s="75">
        <v>0</v>
      </c>
      <c r="AI169" s="75">
        <v>0</v>
      </c>
      <c r="AJ169" s="75">
        <v>0</v>
      </c>
      <c r="AK169" s="75">
        <v>0</v>
      </c>
      <c r="AL169" s="75">
        <v>0</v>
      </c>
      <c r="AM169" s="75">
        <v>0</v>
      </c>
      <c r="AN169" s="75">
        <v>0</v>
      </c>
      <c r="AO169" s="75">
        <v>1</v>
      </c>
      <c r="AP169" s="75">
        <v>0</v>
      </c>
      <c r="AQ169" s="75">
        <v>0</v>
      </c>
      <c r="AR169" s="75">
        <v>1</v>
      </c>
      <c r="AS169" s="75">
        <v>0</v>
      </c>
      <c r="AT169" s="75">
        <v>0</v>
      </c>
      <c r="AU169" s="75">
        <v>0</v>
      </c>
      <c r="AV169" s="75">
        <v>0</v>
      </c>
      <c r="AW169" s="75">
        <v>0</v>
      </c>
      <c r="AX169" s="75">
        <v>0</v>
      </c>
      <c r="AY169" s="84">
        <v>13</v>
      </c>
      <c r="AZ169" s="84">
        <v>16</v>
      </c>
      <c r="BA169" s="84">
        <v>12</v>
      </c>
      <c r="BB169" s="84">
        <v>2</v>
      </c>
      <c r="BC169" s="75">
        <v>0</v>
      </c>
      <c r="BD169" s="75">
        <v>0</v>
      </c>
      <c r="BE169" s="75">
        <v>0</v>
      </c>
      <c r="BF169" s="75">
        <v>0</v>
      </c>
      <c r="BG169" s="75">
        <v>0</v>
      </c>
      <c r="BH169" s="75">
        <v>1</v>
      </c>
      <c r="BM169" s="75">
        <f t="shared" si="17"/>
        <v>0</v>
      </c>
      <c r="BN169" s="75">
        <f t="shared" si="18"/>
        <v>0</v>
      </c>
      <c r="BO169" s="75">
        <f t="shared" si="23"/>
        <v>46</v>
      </c>
      <c r="BP169" s="75">
        <f t="shared" si="24"/>
        <v>46</v>
      </c>
      <c r="BQ169" s="85" t="s">
        <v>485</v>
      </c>
      <c r="BR169" s="138">
        <v>955</v>
      </c>
      <c r="BT169" s="110">
        <v>0</v>
      </c>
    </row>
    <row r="170" spans="1:74" s="173" customFormat="1" x14ac:dyDescent="0.75">
      <c r="A170" s="171"/>
      <c r="B170" s="172"/>
      <c r="C170" s="273">
        <v>791</v>
      </c>
      <c r="D170" s="174" t="s">
        <v>357</v>
      </c>
      <c r="E170" s="174" t="s">
        <v>358</v>
      </c>
      <c r="F170" s="174" t="s">
        <v>359</v>
      </c>
      <c r="G170" s="174" t="s">
        <v>69</v>
      </c>
      <c r="H170" s="174">
        <v>18.343233000000001</v>
      </c>
      <c r="I170" s="174">
        <v>-64.687667000000005</v>
      </c>
      <c r="J170" s="175">
        <v>44831</v>
      </c>
      <c r="K170" s="174" t="s">
        <v>361</v>
      </c>
      <c r="L170" s="174" t="s">
        <v>360</v>
      </c>
      <c r="M170" s="174">
        <v>2</v>
      </c>
      <c r="N170" s="174">
        <v>3</v>
      </c>
      <c r="O170" s="174" t="s">
        <v>362</v>
      </c>
      <c r="P170" s="179">
        <f>SUM(TreatmentUsed!E2343:E2378)</f>
        <v>201</v>
      </c>
      <c r="Q170" s="174">
        <f>45/2</f>
        <v>22.5</v>
      </c>
      <c r="R170" s="174">
        <v>0</v>
      </c>
      <c r="S170" s="174">
        <v>0</v>
      </c>
      <c r="T170" s="174">
        <v>0</v>
      </c>
      <c r="U170" s="174">
        <v>0</v>
      </c>
      <c r="V170" s="174">
        <v>0</v>
      </c>
      <c r="W170" s="174">
        <v>0</v>
      </c>
      <c r="X170" s="174">
        <v>0</v>
      </c>
      <c r="Y170" s="174">
        <v>0</v>
      </c>
      <c r="Z170" s="174">
        <v>0</v>
      </c>
      <c r="AA170" s="174">
        <v>0</v>
      </c>
      <c r="AB170" s="174">
        <v>0</v>
      </c>
      <c r="AC170" s="174">
        <v>0</v>
      </c>
      <c r="AD170" s="174">
        <v>0</v>
      </c>
      <c r="AE170" s="174">
        <v>0</v>
      </c>
      <c r="AF170" s="174">
        <v>0</v>
      </c>
      <c r="AG170" s="174">
        <v>0</v>
      </c>
      <c r="AH170" s="174">
        <v>0</v>
      </c>
      <c r="AI170" s="174">
        <v>0</v>
      </c>
      <c r="AJ170" s="174">
        <v>0</v>
      </c>
      <c r="AK170" s="174">
        <v>0</v>
      </c>
      <c r="AL170" s="174">
        <v>0</v>
      </c>
      <c r="AM170" s="174">
        <v>0</v>
      </c>
      <c r="AN170" s="174">
        <v>0</v>
      </c>
      <c r="AO170" s="174">
        <v>0</v>
      </c>
      <c r="AP170" s="174">
        <v>0</v>
      </c>
      <c r="AQ170" s="174">
        <v>0</v>
      </c>
      <c r="AR170" s="174">
        <v>0</v>
      </c>
      <c r="AS170" s="174">
        <v>0</v>
      </c>
      <c r="AT170" s="174">
        <v>0</v>
      </c>
      <c r="AU170" s="174">
        <v>0</v>
      </c>
      <c r="AV170" s="174">
        <v>0</v>
      </c>
      <c r="AW170" s="174">
        <v>0</v>
      </c>
      <c r="AX170" s="174">
        <v>1</v>
      </c>
      <c r="AY170" s="176">
        <v>9</v>
      </c>
      <c r="AZ170" s="176">
        <v>10</v>
      </c>
      <c r="BA170" s="176">
        <v>8</v>
      </c>
      <c r="BB170" s="176">
        <v>4</v>
      </c>
      <c r="BC170" s="174">
        <v>1</v>
      </c>
      <c r="BD170" s="174">
        <v>0</v>
      </c>
      <c r="BE170" s="174">
        <v>0</v>
      </c>
      <c r="BF170" s="174">
        <v>1</v>
      </c>
      <c r="BG170" s="174">
        <v>0</v>
      </c>
      <c r="BH170" s="174">
        <v>2</v>
      </c>
      <c r="BI170" s="174"/>
      <c r="BJ170" s="174"/>
      <c r="BK170" s="174"/>
      <c r="BL170" s="174"/>
      <c r="BM170" s="174">
        <f t="shared" si="17"/>
        <v>0</v>
      </c>
      <c r="BN170" s="174">
        <f t="shared" si="18"/>
        <v>0</v>
      </c>
      <c r="BO170" s="174">
        <f t="shared" si="23"/>
        <v>36</v>
      </c>
      <c r="BP170" s="174">
        <f t="shared" si="24"/>
        <v>36</v>
      </c>
      <c r="BQ170" s="181" t="s">
        <v>492</v>
      </c>
      <c r="BR170" s="250" t="s">
        <v>493</v>
      </c>
      <c r="BS170" s="178"/>
      <c r="BT170" s="110">
        <v>0</v>
      </c>
      <c r="BU170" s="174"/>
      <c r="BV170" s="174"/>
    </row>
    <row r="171" spans="1:74" x14ac:dyDescent="0.75">
      <c r="C171" s="270">
        <v>805</v>
      </c>
      <c r="D171" s="75" t="s">
        <v>357</v>
      </c>
      <c r="E171" s="75" t="s">
        <v>358</v>
      </c>
      <c r="F171" s="75" t="s">
        <v>359</v>
      </c>
      <c r="G171" s="75" t="s">
        <v>69</v>
      </c>
      <c r="H171" s="75">
        <v>18.343233000000001</v>
      </c>
      <c r="I171" s="75">
        <v>-64.687667000000005</v>
      </c>
      <c r="J171" s="81">
        <v>44838</v>
      </c>
      <c r="K171" s="75" t="s">
        <v>361</v>
      </c>
      <c r="L171" s="75" t="s">
        <v>360</v>
      </c>
      <c r="M171" s="75">
        <v>0</v>
      </c>
      <c r="N171" s="75">
        <v>2</v>
      </c>
      <c r="O171" s="75" t="s">
        <v>362</v>
      </c>
      <c r="P171" s="88">
        <f>SUM(TreatmentUsed!E2379:E2404)</f>
        <v>210</v>
      </c>
      <c r="Q171" s="75">
        <v>0</v>
      </c>
      <c r="R171" s="75">
        <v>0</v>
      </c>
      <c r="S171" s="75">
        <v>0</v>
      </c>
      <c r="T171" s="75">
        <v>0</v>
      </c>
      <c r="U171" s="75">
        <v>0</v>
      </c>
      <c r="V171" s="75">
        <v>0</v>
      </c>
      <c r="W171" s="75">
        <v>0</v>
      </c>
      <c r="X171" s="75">
        <v>0</v>
      </c>
      <c r="Y171" s="75">
        <v>0</v>
      </c>
      <c r="Z171" s="75">
        <v>0</v>
      </c>
      <c r="AA171" s="75">
        <v>0</v>
      </c>
      <c r="AB171" s="75">
        <v>0</v>
      </c>
      <c r="AC171" s="75">
        <v>0</v>
      </c>
      <c r="AD171" s="75">
        <v>0</v>
      </c>
      <c r="AE171" s="75">
        <v>0</v>
      </c>
      <c r="AF171" s="75">
        <v>0</v>
      </c>
      <c r="AG171" s="75">
        <v>0</v>
      </c>
      <c r="AH171" s="75">
        <v>0</v>
      </c>
      <c r="AI171" s="75">
        <v>0</v>
      </c>
      <c r="AJ171" s="75">
        <v>0</v>
      </c>
      <c r="AK171" s="75">
        <v>0</v>
      </c>
      <c r="AL171" s="75">
        <v>0</v>
      </c>
      <c r="AM171" s="75">
        <v>0</v>
      </c>
      <c r="AN171" s="75">
        <v>0</v>
      </c>
      <c r="AO171" s="75">
        <v>0</v>
      </c>
      <c r="AP171" s="75">
        <v>0</v>
      </c>
      <c r="AQ171" s="75">
        <v>0</v>
      </c>
      <c r="AR171" s="75">
        <v>0</v>
      </c>
      <c r="AS171" s="75">
        <v>3</v>
      </c>
      <c r="AT171" s="75">
        <v>0</v>
      </c>
      <c r="AU171" s="75">
        <v>1</v>
      </c>
      <c r="AV171" s="75">
        <v>0</v>
      </c>
      <c r="AW171" s="75">
        <v>0</v>
      </c>
      <c r="AX171" s="75">
        <v>0</v>
      </c>
      <c r="AY171" s="84">
        <v>3</v>
      </c>
      <c r="AZ171" s="75">
        <v>0</v>
      </c>
      <c r="BA171" s="75">
        <v>4</v>
      </c>
      <c r="BB171" s="84">
        <v>1</v>
      </c>
      <c r="BC171" s="75">
        <v>0</v>
      </c>
      <c r="BD171" s="75">
        <v>0</v>
      </c>
      <c r="BE171" s="75">
        <v>0</v>
      </c>
      <c r="BF171" s="84">
        <v>13</v>
      </c>
      <c r="BG171" s="75">
        <v>0</v>
      </c>
      <c r="BH171" s="84">
        <v>1</v>
      </c>
      <c r="BI171" s="84"/>
      <c r="BJ171" s="84"/>
      <c r="BK171" s="84"/>
      <c r="BM171" s="75">
        <f t="shared" si="17"/>
        <v>0</v>
      </c>
      <c r="BN171" s="75">
        <f t="shared" si="18"/>
        <v>0</v>
      </c>
      <c r="BO171" s="75">
        <f t="shared" si="23"/>
        <v>26</v>
      </c>
      <c r="BP171" s="75">
        <f t="shared" si="24"/>
        <v>26</v>
      </c>
      <c r="BQ171" s="80" t="s">
        <v>494</v>
      </c>
      <c r="BT171" s="110">
        <v>0</v>
      </c>
    </row>
    <row r="172" spans="1:74" x14ac:dyDescent="0.75">
      <c r="C172" s="270">
        <v>806</v>
      </c>
      <c r="D172" s="75" t="s">
        <v>357</v>
      </c>
      <c r="E172" s="75" t="s">
        <v>358</v>
      </c>
      <c r="F172" s="75" t="s">
        <v>359</v>
      </c>
      <c r="G172" s="75" t="s">
        <v>69</v>
      </c>
      <c r="H172" s="75">
        <v>18.343233000000001</v>
      </c>
      <c r="I172" s="75">
        <v>-64.687667000000005</v>
      </c>
      <c r="J172" s="81">
        <v>44838</v>
      </c>
      <c r="K172" s="75" t="s">
        <v>361</v>
      </c>
      <c r="L172" s="75" t="s">
        <v>360</v>
      </c>
      <c r="M172" s="75">
        <v>0</v>
      </c>
      <c r="N172" s="75">
        <v>2</v>
      </c>
      <c r="O172" s="75" t="s">
        <v>362</v>
      </c>
      <c r="P172" s="88">
        <f>SUM(TreatmentUsed!E2405:E2410)</f>
        <v>53</v>
      </c>
      <c r="Q172" s="75">
        <v>0</v>
      </c>
      <c r="R172" s="75">
        <v>0</v>
      </c>
      <c r="S172" s="75">
        <v>0</v>
      </c>
      <c r="T172" s="75">
        <v>0</v>
      </c>
      <c r="U172" s="75">
        <v>0</v>
      </c>
      <c r="V172" s="75">
        <v>0</v>
      </c>
      <c r="W172" s="75">
        <v>0</v>
      </c>
      <c r="X172" s="75">
        <v>0</v>
      </c>
      <c r="Y172" s="75">
        <v>0</v>
      </c>
      <c r="Z172" s="75">
        <v>0</v>
      </c>
      <c r="AA172" s="75">
        <v>0</v>
      </c>
      <c r="AB172" s="75">
        <v>0</v>
      </c>
      <c r="AC172" s="75">
        <v>0</v>
      </c>
      <c r="AD172" s="75">
        <v>0</v>
      </c>
      <c r="AE172" s="75">
        <v>0</v>
      </c>
      <c r="AF172" s="75">
        <v>0</v>
      </c>
      <c r="AG172" s="75">
        <v>0</v>
      </c>
      <c r="AH172" s="75">
        <v>0</v>
      </c>
      <c r="AI172" s="75">
        <v>0</v>
      </c>
      <c r="AJ172" s="75">
        <v>0</v>
      </c>
      <c r="AK172" s="75">
        <v>0</v>
      </c>
      <c r="AL172" s="75">
        <v>0</v>
      </c>
      <c r="AM172" s="75">
        <v>0</v>
      </c>
      <c r="AN172" s="75">
        <v>0</v>
      </c>
      <c r="AO172" s="75">
        <v>0</v>
      </c>
      <c r="AP172" s="75">
        <v>0</v>
      </c>
      <c r="AQ172" s="75">
        <v>0</v>
      </c>
      <c r="AR172" s="75">
        <v>1</v>
      </c>
      <c r="AS172" s="75">
        <v>0</v>
      </c>
      <c r="AT172" s="75">
        <v>0</v>
      </c>
      <c r="AU172" s="75">
        <v>0</v>
      </c>
      <c r="AV172" s="75">
        <v>0</v>
      </c>
      <c r="AW172" s="75">
        <v>0</v>
      </c>
      <c r="AX172" s="75">
        <v>0</v>
      </c>
      <c r="AY172" s="75">
        <v>0</v>
      </c>
      <c r="AZ172" s="75">
        <v>0</v>
      </c>
      <c r="BA172" s="84">
        <v>2</v>
      </c>
      <c r="BB172" s="84">
        <v>1</v>
      </c>
      <c r="BC172" s="75">
        <v>2</v>
      </c>
      <c r="BD172" s="75">
        <v>0</v>
      </c>
      <c r="BE172" s="75">
        <v>0</v>
      </c>
      <c r="BF172" s="75">
        <v>0</v>
      </c>
      <c r="BG172" s="75">
        <v>0</v>
      </c>
      <c r="BH172" s="75">
        <v>0</v>
      </c>
      <c r="BM172" s="75">
        <f t="shared" si="17"/>
        <v>0</v>
      </c>
      <c r="BN172" s="75">
        <f t="shared" si="18"/>
        <v>0</v>
      </c>
      <c r="BO172" s="75">
        <f t="shared" si="23"/>
        <v>6</v>
      </c>
      <c r="BP172" s="75">
        <f t="shared" si="24"/>
        <v>6</v>
      </c>
      <c r="BR172" s="252" t="s">
        <v>495</v>
      </c>
      <c r="BT172" s="110">
        <v>0</v>
      </c>
    </row>
    <row r="173" spans="1:74" x14ac:dyDescent="0.75">
      <c r="C173" s="270">
        <v>807</v>
      </c>
      <c r="D173" s="75" t="s">
        <v>357</v>
      </c>
      <c r="E173" s="75" t="s">
        <v>358</v>
      </c>
      <c r="F173" s="75" t="s">
        <v>359</v>
      </c>
      <c r="G173" s="75" t="s">
        <v>69</v>
      </c>
      <c r="H173" s="75">
        <v>18.343233000000001</v>
      </c>
      <c r="I173" s="75">
        <v>-64.687667000000005</v>
      </c>
      <c r="J173" s="81">
        <v>44838</v>
      </c>
      <c r="K173" s="75" t="s">
        <v>361</v>
      </c>
      <c r="L173" s="75" t="s">
        <v>360</v>
      </c>
      <c r="M173" s="75">
        <v>0</v>
      </c>
      <c r="N173" s="75">
        <v>2</v>
      </c>
      <c r="O173" s="75" t="s">
        <v>362</v>
      </c>
      <c r="P173" s="88">
        <f>SUM(TreatmentUsed!E2411:E2428)</f>
        <v>76</v>
      </c>
      <c r="Q173" s="75">
        <v>0</v>
      </c>
      <c r="R173" s="75">
        <v>0</v>
      </c>
      <c r="S173" s="75">
        <v>0</v>
      </c>
      <c r="T173" s="75">
        <v>0</v>
      </c>
      <c r="U173" s="75">
        <v>0</v>
      </c>
      <c r="V173" s="75">
        <v>0</v>
      </c>
      <c r="W173" s="75">
        <v>0</v>
      </c>
      <c r="X173" s="75">
        <v>0</v>
      </c>
      <c r="Y173" s="75">
        <v>0</v>
      </c>
      <c r="Z173" s="75">
        <v>0</v>
      </c>
      <c r="AA173" s="75">
        <v>0</v>
      </c>
      <c r="AB173" s="75">
        <v>0</v>
      </c>
      <c r="AC173" s="75">
        <v>0</v>
      </c>
      <c r="AD173" s="75">
        <v>0</v>
      </c>
      <c r="AE173" s="75">
        <v>0</v>
      </c>
      <c r="AF173" s="75">
        <v>0</v>
      </c>
      <c r="AG173" s="75">
        <v>0</v>
      </c>
      <c r="AH173" s="75">
        <v>0</v>
      </c>
      <c r="AI173" s="75">
        <v>0</v>
      </c>
      <c r="AJ173" s="75">
        <v>0</v>
      </c>
      <c r="AK173" s="75">
        <v>0</v>
      </c>
      <c r="AL173" s="75">
        <v>0</v>
      </c>
      <c r="AM173" s="75">
        <v>0</v>
      </c>
      <c r="AN173" s="75">
        <v>0</v>
      </c>
      <c r="AO173" s="75">
        <v>0</v>
      </c>
      <c r="AP173" s="75">
        <v>0</v>
      </c>
      <c r="AQ173" s="75">
        <v>0</v>
      </c>
      <c r="AR173" s="75">
        <v>0</v>
      </c>
      <c r="AS173" s="75">
        <v>1</v>
      </c>
      <c r="AT173" s="75">
        <v>0</v>
      </c>
      <c r="AU173" s="75">
        <v>0</v>
      </c>
      <c r="AV173" s="75">
        <v>0</v>
      </c>
      <c r="AW173" s="75">
        <v>0</v>
      </c>
      <c r="AX173" s="75">
        <v>0</v>
      </c>
      <c r="AY173" s="84">
        <v>4</v>
      </c>
      <c r="AZ173" s="75">
        <v>0</v>
      </c>
      <c r="BA173" s="75">
        <v>2</v>
      </c>
      <c r="BB173" s="75">
        <v>0</v>
      </c>
      <c r="BC173" s="75">
        <v>2</v>
      </c>
      <c r="BD173" s="75">
        <v>0</v>
      </c>
      <c r="BE173" s="75">
        <v>0</v>
      </c>
      <c r="BF173" s="75">
        <v>9</v>
      </c>
      <c r="BG173" s="75">
        <v>0</v>
      </c>
      <c r="BH173" s="75">
        <v>0</v>
      </c>
      <c r="BM173" s="75">
        <f t="shared" si="17"/>
        <v>0</v>
      </c>
      <c r="BN173" s="75">
        <f t="shared" si="18"/>
        <v>0</v>
      </c>
      <c r="BO173" s="75">
        <f t="shared" si="23"/>
        <v>18</v>
      </c>
      <c r="BP173" s="75">
        <f t="shared" si="24"/>
        <v>18</v>
      </c>
      <c r="BR173" s="138" t="s">
        <v>496</v>
      </c>
      <c r="BT173" s="110">
        <v>0</v>
      </c>
    </row>
    <row r="174" spans="1:74" x14ac:dyDescent="0.75">
      <c r="C174" s="270">
        <v>808</v>
      </c>
      <c r="D174" s="75" t="s">
        <v>357</v>
      </c>
      <c r="E174" s="75" t="s">
        <v>358</v>
      </c>
      <c r="F174" s="75" t="s">
        <v>359</v>
      </c>
      <c r="G174" s="75" t="s">
        <v>69</v>
      </c>
      <c r="H174" s="75">
        <v>18.343233000000001</v>
      </c>
      <c r="I174" s="75">
        <v>-64.687667000000005</v>
      </c>
      <c r="J174" s="81">
        <v>44839</v>
      </c>
      <c r="K174" s="75" t="s">
        <v>361</v>
      </c>
      <c r="L174" s="75" t="s">
        <v>360</v>
      </c>
      <c r="M174" s="75">
        <v>0</v>
      </c>
      <c r="N174" s="75">
        <v>2</v>
      </c>
      <c r="O174" s="75" t="s">
        <v>362</v>
      </c>
      <c r="P174" s="88">
        <f>SUM(TreatmentUsed!E2429:E2430)</f>
        <v>12</v>
      </c>
      <c r="Q174" s="75">
        <f t="shared" ref="Q174:Q185" si="25">336/12</f>
        <v>28</v>
      </c>
      <c r="R174" s="75">
        <v>0</v>
      </c>
      <c r="S174" s="75">
        <v>0</v>
      </c>
      <c r="T174" s="75">
        <v>0</v>
      </c>
      <c r="U174" s="75">
        <v>0</v>
      </c>
      <c r="V174" s="75">
        <v>0</v>
      </c>
      <c r="W174" s="75">
        <v>0</v>
      </c>
      <c r="X174" s="75">
        <v>0</v>
      </c>
      <c r="Y174" s="75">
        <v>0</v>
      </c>
      <c r="Z174" s="75">
        <v>0</v>
      </c>
      <c r="AA174" s="75">
        <v>0</v>
      </c>
      <c r="AB174" s="75">
        <v>0</v>
      </c>
      <c r="AC174" s="75">
        <v>0</v>
      </c>
      <c r="AD174" s="75">
        <v>0</v>
      </c>
      <c r="AE174" s="75">
        <v>0</v>
      </c>
      <c r="AF174" s="75">
        <v>0</v>
      </c>
      <c r="AG174" s="75">
        <v>0</v>
      </c>
      <c r="AH174" s="75">
        <v>0</v>
      </c>
      <c r="AI174" s="75">
        <v>0</v>
      </c>
      <c r="AJ174" s="75">
        <v>0</v>
      </c>
      <c r="AK174" s="75">
        <v>0</v>
      </c>
      <c r="AL174" s="75">
        <v>0</v>
      </c>
      <c r="AM174" s="75">
        <v>0</v>
      </c>
      <c r="AN174" s="75">
        <v>0</v>
      </c>
      <c r="AO174" s="75">
        <v>0</v>
      </c>
      <c r="AP174" s="75">
        <v>0</v>
      </c>
      <c r="AQ174" s="75">
        <v>0</v>
      </c>
      <c r="AR174" s="75">
        <v>0</v>
      </c>
      <c r="AS174" s="75">
        <v>0</v>
      </c>
      <c r="AT174" s="75">
        <v>0</v>
      </c>
      <c r="AU174" s="75">
        <v>0</v>
      </c>
      <c r="AV174" s="75">
        <v>0</v>
      </c>
      <c r="AW174" s="75">
        <v>0</v>
      </c>
      <c r="AX174" s="75">
        <v>0</v>
      </c>
      <c r="AY174" s="84">
        <v>2</v>
      </c>
      <c r="AZ174" s="75">
        <v>0</v>
      </c>
      <c r="BA174" s="84">
        <v>0</v>
      </c>
      <c r="BB174" s="75">
        <v>0</v>
      </c>
      <c r="BC174" s="75">
        <v>0</v>
      </c>
      <c r="BD174" s="75">
        <v>0</v>
      </c>
      <c r="BE174" s="75">
        <v>0</v>
      </c>
      <c r="BF174" s="75">
        <v>0</v>
      </c>
      <c r="BG174" s="75">
        <v>0</v>
      </c>
      <c r="BH174" s="75">
        <v>0</v>
      </c>
      <c r="BM174" s="75">
        <f t="shared" si="17"/>
        <v>0</v>
      </c>
      <c r="BN174" s="75">
        <f t="shared" si="18"/>
        <v>0</v>
      </c>
      <c r="BO174" s="75">
        <f t="shared" si="23"/>
        <v>2</v>
      </c>
      <c r="BP174" s="75">
        <f t="shared" si="24"/>
        <v>2</v>
      </c>
      <c r="BR174" s="252" t="s">
        <v>497</v>
      </c>
      <c r="BT174" s="110">
        <v>0</v>
      </c>
    </row>
    <row r="175" spans="1:74" x14ac:dyDescent="0.75">
      <c r="C175" s="270">
        <v>809</v>
      </c>
      <c r="D175" s="75" t="s">
        <v>357</v>
      </c>
      <c r="E175" s="75" t="s">
        <v>358</v>
      </c>
      <c r="F175" s="75" t="s">
        <v>359</v>
      </c>
      <c r="G175" s="75" t="s">
        <v>69</v>
      </c>
      <c r="H175" s="75">
        <v>18.343233000000001</v>
      </c>
      <c r="I175" s="75">
        <v>-64.687667000000005</v>
      </c>
      <c r="J175" s="81">
        <v>44839</v>
      </c>
      <c r="K175" s="75" t="s">
        <v>361</v>
      </c>
      <c r="L175" s="75" t="s">
        <v>360</v>
      </c>
      <c r="M175" s="75">
        <v>0</v>
      </c>
      <c r="N175" s="75">
        <v>2</v>
      </c>
      <c r="O175" s="75" t="s">
        <v>362</v>
      </c>
      <c r="P175" s="75">
        <f>SUM(TreatmentUsed!C2431:C2435)</f>
        <v>10</v>
      </c>
      <c r="Q175" s="75">
        <f t="shared" si="25"/>
        <v>28</v>
      </c>
      <c r="R175" s="75">
        <v>0</v>
      </c>
      <c r="S175" s="75">
        <v>0</v>
      </c>
      <c r="T175" s="75">
        <v>0</v>
      </c>
      <c r="U175" s="75">
        <v>0</v>
      </c>
      <c r="V175" s="75">
        <v>0</v>
      </c>
      <c r="W175" s="75">
        <v>0</v>
      </c>
      <c r="X175" s="75">
        <v>0</v>
      </c>
      <c r="Y175" s="75">
        <v>0</v>
      </c>
      <c r="Z175" s="75">
        <v>0</v>
      </c>
      <c r="AA175" s="75">
        <v>0</v>
      </c>
      <c r="AB175" s="75">
        <v>0</v>
      </c>
      <c r="AC175" s="75">
        <v>0</v>
      </c>
      <c r="AD175" s="75">
        <v>0</v>
      </c>
      <c r="AE175" s="75">
        <v>0</v>
      </c>
      <c r="AF175" s="75">
        <v>0</v>
      </c>
      <c r="AG175" s="75">
        <v>0</v>
      </c>
      <c r="AH175" s="75">
        <v>0</v>
      </c>
      <c r="AI175" s="75">
        <v>0</v>
      </c>
      <c r="AJ175" s="75">
        <v>0</v>
      </c>
      <c r="AK175" s="75">
        <v>0</v>
      </c>
      <c r="AL175" s="75">
        <v>0</v>
      </c>
      <c r="AM175" s="75">
        <v>0</v>
      </c>
      <c r="AN175" s="75">
        <v>0</v>
      </c>
      <c r="AO175" s="75">
        <v>0</v>
      </c>
      <c r="AP175" s="75">
        <v>0</v>
      </c>
      <c r="AQ175" s="75">
        <v>0</v>
      </c>
      <c r="AR175" s="75">
        <v>0</v>
      </c>
      <c r="AS175" s="75">
        <v>0</v>
      </c>
      <c r="AT175" s="75">
        <v>0</v>
      </c>
      <c r="AU175" s="75">
        <v>0</v>
      </c>
      <c r="AV175" s="75">
        <v>0</v>
      </c>
      <c r="AW175" s="75">
        <v>0</v>
      </c>
      <c r="AX175" s="75">
        <v>0</v>
      </c>
      <c r="AY175" s="84">
        <v>2</v>
      </c>
      <c r="AZ175" s="75">
        <v>0</v>
      </c>
      <c r="BA175" s="84">
        <v>1</v>
      </c>
      <c r="BB175" s="84">
        <v>1</v>
      </c>
      <c r="BC175" s="75">
        <v>1</v>
      </c>
      <c r="BD175" s="75">
        <v>0</v>
      </c>
      <c r="BE175" s="75">
        <v>0</v>
      </c>
      <c r="BF175" s="75">
        <v>0</v>
      </c>
      <c r="BG175" s="75">
        <v>0</v>
      </c>
      <c r="BH175" s="75">
        <v>0</v>
      </c>
      <c r="BM175" s="75">
        <f t="shared" si="17"/>
        <v>0</v>
      </c>
      <c r="BN175" s="75">
        <f t="shared" si="18"/>
        <v>0</v>
      </c>
      <c r="BO175" s="75">
        <f t="shared" si="23"/>
        <v>5</v>
      </c>
      <c r="BP175" s="75">
        <f t="shared" si="24"/>
        <v>5</v>
      </c>
      <c r="BR175" s="138">
        <v>959</v>
      </c>
      <c r="BT175" s="110">
        <v>0</v>
      </c>
    </row>
    <row r="176" spans="1:74" x14ac:dyDescent="0.75">
      <c r="C176" s="270">
        <v>810</v>
      </c>
      <c r="D176" s="75" t="s">
        <v>357</v>
      </c>
      <c r="E176" s="75" t="s">
        <v>358</v>
      </c>
      <c r="F176" s="75" t="s">
        <v>359</v>
      </c>
      <c r="G176" s="75" t="s">
        <v>69</v>
      </c>
      <c r="H176" s="75">
        <v>18.343233000000001</v>
      </c>
      <c r="I176" s="75">
        <v>-64.687667000000005</v>
      </c>
      <c r="J176" s="81">
        <v>44839</v>
      </c>
      <c r="K176" s="75" t="s">
        <v>361</v>
      </c>
      <c r="L176" s="75" t="s">
        <v>360</v>
      </c>
      <c r="M176" s="75">
        <v>0</v>
      </c>
      <c r="N176" s="75">
        <v>2</v>
      </c>
      <c r="O176" s="75" t="s">
        <v>362</v>
      </c>
      <c r="P176" s="75">
        <f>SUM(TreatmentUsed!C2436:C2445)</f>
        <v>31</v>
      </c>
      <c r="Q176" s="75">
        <f t="shared" si="25"/>
        <v>28</v>
      </c>
      <c r="R176" s="75">
        <v>0</v>
      </c>
      <c r="S176" s="75">
        <v>0</v>
      </c>
      <c r="T176" s="75">
        <v>0</v>
      </c>
      <c r="U176" s="75">
        <v>0</v>
      </c>
      <c r="V176" s="75">
        <v>0</v>
      </c>
      <c r="W176" s="75">
        <v>0</v>
      </c>
      <c r="X176" s="75">
        <v>0</v>
      </c>
      <c r="Y176" s="75">
        <v>0</v>
      </c>
      <c r="Z176" s="75">
        <v>0</v>
      </c>
      <c r="AA176" s="75">
        <v>0</v>
      </c>
      <c r="AB176" s="75">
        <v>0</v>
      </c>
      <c r="AC176" s="75">
        <v>0</v>
      </c>
      <c r="AD176" s="75">
        <v>0</v>
      </c>
      <c r="AE176" s="75">
        <v>0</v>
      </c>
      <c r="AF176" s="75">
        <v>0</v>
      </c>
      <c r="AG176" s="75">
        <v>0</v>
      </c>
      <c r="AH176" s="75">
        <v>0</v>
      </c>
      <c r="AI176" s="75">
        <v>0</v>
      </c>
      <c r="AJ176" s="75">
        <v>0</v>
      </c>
      <c r="AK176" s="75">
        <v>0</v>
      </c>
      <c r="AL176" s="75">
        <v>0</v>
      </c>
      <c r="AM176" s="75">
        <v>0</v>
      </c>
      <c r="AN176" s="75">
        <v>0</v>
      </c>
      <c r="AO176" s="75">
        <v>0</v>
      </c>
      <c r="AP176" s="75">
        <v>0</v>
      </c>
      <c r="AQ176" s="75">
        <v>0</v>
      </c>
      <c r="AR176" s="75">
        <v>0</v>
      </c>
      <c r="AS176" s="75">
        <v>0</v>
      </c>
      <c r="AT176" s="75">
        <v>0</v>
      </c>
      <c r="AU176" s="75">
        <v>0</v>
      </c>
      <c r="AV176" s="75">
        <v>0</v>
      </c>
      <c r="AW176" s="75">
        <v>0</v>
      </c>
      <c r="AX176" s="75">
        <v>0</v>
      </c>
      <c r="AY176" s="75">
        <v>2</v>
      </c>
      <c r="AZ176" s="84">
        <v>1</v>
      </c>
      <c r="BA176" s="75">
        <v>3</v>
      </c>
      <c r="BB176" s="75">
        <v>0</v>
      </c>
      <c r="BC176" s="75">
        <v>1</v>
      </c>
      <c r="BD176" s="75">
        <v>0</v>
      </c>
      <c r="BE176" s="75">
        <v>0</v>
      </c>
      <c r="BF176" s="75">
        <v>2</v>
      </c>
      <c r="BG176" s="75">
        <v>0</v>
      </c>
      <c r="BH176" s="75">
        <v>0</v>
      </c>
      <c r="BM176" s="75">
        <f t="shared" si="17"/>
        <v>0</v>
      </c>
      <c r="BN176" s="75">
        <f t="shared" si="18"/>
        <v>0</v>
      </c>
      <c r="BO176" s="75">
        <f t="shared" si="23"/>
        <v>9</v>
      </c>
      <c r="BP176" s="84">
        <f t="shared" si="24"/>
        <v>9</v>
      </c>
      <c r="BR176" s="252"/>
      <c r="BT176" s="110">
        <v>0</v>
      </c>
    </row>
    <row r="177" spans="1:73" x14ac:dyDescent="0.75">
      <c r="C177" s="270">
        <v>811</v>
      </c>
      <c r="D177" s="75" t="s">
        <v>357</v>
      </c>
      <c r="E177" s="75" t="s">
        <v>358</v>
      </c>
      <c r="F177" s="75" t="s">
        <v>359</v>
      </c>
      <c r="G177" s="75" t="s">
        <v>69</v>
      </c>
      <c r="H177" s="75">
        <v>18.343233000000001</v>
      </c>
      <c r="I177" s="75">
        <v>-64.687667000000005</v>
      </c>
      <c r="J177" s="81">
        <v>44839</v>
      </c>
      <c r="K177" s="75" t="s">
        <v>361</v>
      </c>
      <c r="L177" s="75" t="s">
        <v>360</v>
      </c>
      <c r="M177" s="75">
        <v>0</v>
      </c>
      <c r="N177" s="75">
        <v>2</v>
      </c>
      <c r="O177" s="75" t="s">
        <v>362</v>
      </c>
      <c r="P177" s="86" t="s">
        <v>364</v>
      </c>
      <c r="Q177" s="75">
        <f t="shared" si="25"/>
        <v>28</v>
      </c>
      <c r="R177" s="75">
        <v>0</v>
      </c>
      <c r="S177" s="75">
        <v>0</v>
      </c>
      <c r="T177" s="75">
        <v>0</v>
      </c>
      <c r="U177" s="75">
        <v>0</v>
      </c>
      <c r="V177" s="75">
        <v>0</v>
      </c>
      <c r="W177" s="75">
        <v>0</v>
      </c>
      <c r="X177" s="75">
        <v>0</v>
      </c>
      <c r="Y177" s="75">
        <v>0</v>
      </c>
      <c r="Z177" s="75">
        <v>0</v>
      </c>
      <c r="AA177" s="75">
        <v>0</v>
      </c>
      <c r="AB177" s="75">
        <v>0</v>
      </c>
      <c r="AC177" s="75">
        <v>0</v>
      </c>
      <c r="AD177" s="75">
        <v>0</v>
      </c>
      <c r="AE177" s="75">
        <v>0</v>
      </c>
      <c r="AF177" s="75">
        <v>0</v>
      </c>
      <c r="AG177" s="75">
        <v>0</v>
      </c>
      <c r="AH177" s="75">
        <v>0</v>
      </c>
      <c r="AI177" s="75">
        <v>0</v>
      </c>
      <c r="AJ177" s="75">
        <v>0</v>
      </c>
      <c r="AK177" s="75">
        <v>0</v>
      </c>
      <c r="AL177" s="75">
        <v>0</v>
      </c>
      <c r="AM177" s="75">
        <v>0</v>
      </c>
      <c r="AN177" s="75">
        <v>0</v>
      </c>
      <c r="AO177" s="75">
        <v>0</v>
      </c>
      <c r="AP177" s="75">
        <v>0</v>
      </c>
      <c r="AQ177" s="75">
        <v>1</v>
      </c>
      <c r="AR177" s="75">
        <v>0</v>
      </c>
      <c r="AS177" s="75">
        <v>0</v>
      </c>
      <c r="AT177" s="75">
        <v>0</v>
      </c>
      <c r="AU177" s="75">
        <v>0</v>
      </c>
      <c r="AV177" s="75">
        <v>0</v>
      </c>
      <c r="AW177" s="75">
        <v>0</v>
      </c>
      <c r="AX177" s="75">
        <v>0</v>
      </c>
      <c r="AY177" s="75">
        <v>0</v>
      </c>
      <c r="AZ177" s="75">
        <v>0</v>
      </c>
      <c r="BA177" s="75">
        <v>0</v>
      </c>
      <c r="BB177" s="75">
        <v>0</v>
      </c>
      <c r="BC177" s="75">
        <v>0</v>
      </c>
      <c r="BD177" s="75">
        <v>0</v>
      </c>
      <c r="BE177" s="75">
        <v>0</v>
      </c>
      <c r="BF177" s="75">
        <v>0</v>
      </c>
      <c r="BG177" s="75">
        <v>0</v>
      </c>
      <c r="BH177" s="75">
        <v>0</v>
      </c>
      <c r="BM177" s="75">
        <f t="shared" si="17"/>
        <v>0</v>
      </c>
      <c r="BN177" s="75">
        <f t="shared" si="18"/>
        <v>0</v>
      </c>
      <c r="BO177" s="75">
        <f t="shared" si="23"/>
        <v>1</v>
      </c>
      <c r="BP177" s="75">
        <f t="shared" si="24"/>
        <v>1</v>
      </c>
      <c r="BR177" s="252" t="s">
        <v>498</v>
      </c>
      <c r="BT177" s="110">
        <v>0</v>
      </c>
    </row>
    <row r="178" spans="1:73" x14ac:dyDescent="0.75">
      <c r="C178" s="270">
        <v>812</v>
      </c>
      <c r="D178" s="75" t="s">
        <v>357</v>
      </c>
      <c r="E178" s="75" t="s">
        <v>358</v>
      </c>
      <c r="F178" s="75" t="s">
        <v>359</v>
      </c>
      <c r="G178" s="75" t="s">
        <v>69</v>
      </c>
      <c r="H178" s="75">
        <v>18.343233000000001</v>
      </c>
      <c r="I178" s="75">
        <v>-64.687667000000005</v>
      </c>
      <c r="J178" s="81">
        <v>44839</v>
      </c>
      <c r="K178" s="75" t="s">
        <v>361</v>
      </c>
      <c r="L178" s="75" t="s">
        <v>360</v>
      </c>
      <c r="M178" s="75">
        <v>0</v>
      </c>
      <c r="N178" s="75">
        <v>2</v>
      </c>
      <c r="O178" s="75" t="s">
        <v>362</v>
      </c>
      <c r="P178" s="88">
        <f>SUM(TreatmentUsed!E2446:E2452)</f>
        <v>86</v>
      </c>
      <c r="Q178" s="75">
        <f t="shared" si="25"/>
        <v>28</v>
      </c>
      <c r="R178" s="75">
        <v>0</v>
      </c>
      <c r="S178" s="75">
        <v>0</v>
      </c>
      <c r="T178" s="75">
        <v>0</v>
      </c>
      <c r="U178" s="75">
        <v>0</v>
      </c>
      <c r="V178" s="75">
        <v>0</v>
      </c>
      <c r="W178" s="75">
        <v>0</v>
      </c>
      <c r="X178" s="75">
        <v>0</v>
      </c>
      <c r="Y178" s="75">
        <v>0</v>
      </c>
      <c r="Z178" s="75">
        <v>0</v>
      </c>
      <c r="AA178" s="75">
        <v>0</v>
      </c>
      <c r="AB178" s="75">
        <v>0</v>
      </c>
      <c r="AC178" s="75">
        <v>0</v>
      </c>
      <c r="AD178" s="75">
        <v>0</v>
      </c>
      <c r="AE178" s="75">
        <v>0</v>
      </c>
      <c r="AF178" s="75">
        <v>0</v>
      </c>
      <c r="AG178" s="75">
        <v>0</v>
      </c>
      <c r="AH178" s="75">
        <v>0</v>
      </c>
      <c r="AI178" s="75">
        <v>0</v>
      </c>
      <c r="AJ178" s="75">
        <v>0</v>
      </c>
      <c r="AK178" s="75">
        <v>0</v>
      </c>
      <c r="AL178" s="75">
        <v>0</v>
      </c>
      <c r="AM178" s="75">
        <v>0</v>
      </c>
      <c r="AN178" s="75">
        <v>0</v>
      </c>
      <c r="AO178" s="75">
        <v>0</v>
      </c>
      <c r="AP178" s="75">
        <v>0</v>
      </c>
      <c r="AQ178" s="75">
        <v>0</v>
      </c>
      <c r="AR178" s="75">
        <v>0</v>
      </c>
      <c r="AS178" s="75">
        <v>0</v>
      </c>
      <c r="AT178" s="75">
        <v>0</v>
      </c>
      <c r="AU178" s="75">
        <v>0</v>
      </c>
      <c r="AV178" s="75">
        <v>0</v>
      </c>
      <c r="AW178" s="75">
        <v>0</v>
      </c>
      <c r="AX178" s="75">
        <v>0</v>
      </c>
      <c r="AY178" s="75">
        <v>1</v>
      </c>
      <c r="AZ178" s="84">
        <v>0</v>
      </c>
      <c r="BA178" s="75">
        <v>2</v>
      </c>
      <c r="BB178" s="84">
        <v>1</v>
      </c>
      <c r="BC178" s="75">
        <v>0</v>
      </c>
      <c r="BD178" s="75">
        <v>0</v>
      </c>
      <c r="BE178" s="75">
        <v>0</v>
      </c>
      <c r="BF178" s="75">
        <v>3</v>
      </c>
      <c r="BG178" s="75">
        <v>0</v>
      </c>
      <c r="BH178" s="75">
        <v>0</v>
      </c>
      <c r="BM178" s="75">
        <f t="shared" si="17"/>
        <v>0</v>
      </c>
      <c r="BN178" s="75">
        <f t="shared" si="18"/>
        <v>0</v>
      </c>
      <c r="BO178" s="75">
        <f t="shared" si="23"/>
        <v>7</v>
      </c>
      <c r="BP178" s="75">
        <f t="shared" si="24"/>
        <v>7</v>
      </c>
      <c r="BT178" s="110">
        <v>0</v>
      </c>
    </row>
    <row r="179" spans="1:73" x14ac:dyDescent="0.75">
      <c r="C179" s="270">
        <v>813</v>
      </c>
      <c r="D179" s="75" t="s">
        <v>357</v>
      </c>
      <c r="E179" s="75" t="s">
        <v>358</v>
      </c>
      <c r="F179" s="75" t="s">
        <v>359</v>
      </c>
      <c r="G179" s="75" t="s">
        <v>74</v>
      </c>
      <c r="H179" s="75">
        <v>18.342904000000001</v>
      </c>
      <c r="I179" s="75">
        <v>-64.676987999999994</v>
      </c>
      <c r="J179" s="81">
        <v>44839</v>
      </c>
      <c r="K179" s="75" t="s">
        <v>374</v>
      </c>
      <c r="L179" s="75" t="s">
        <v>360</v>
      </c>
      <c r="M179" s="75">
        <v>0</v>
      </c>
      <c r="N179" s="84">
        <v>4</v>
      </c>
      <c r="O179" s="75" t="s">
        <v>362</v>
      </c>
      <c r="P179" s="88">
        <f>SUM(TreatmentUsed!E2453:E2465)</f>
        <v>236</v>
      </c>
      <c r="Q179" s="75">
        <f t="shared" si="25"/>
        <v>28</v>
      </c>
      <c r="R179" s="75">
        <v>0</v>
      </c>
      <c r="S179" s="75">
        <v>0</v>
      </c>
      <c r="T179" s="75">
        <v>0</v>
      </c>
      <c r="U179" s="75">
        <v>0</v>
      </c>
      <c r="V179" s="75">
        <v>0</v>
      </c>
      <c r="W179" s="75">
        <v>0</v>
      </c>
      <c r="X179" s="75">
        <v>0</v>
      </c>
      <c r="Y179" s="75">
        <v>0</v>
      </c>
      <c r="Z179" s="75">
        <v>0</v>
      </c>
      <c r="AA179" s="75">
        <v>0</v>
      </c>
      <c r="AB179" s="75">
        <v>0</v>
      </c>
      <c r="AC179" s="75">
        <v>0</v>
      </c>
      <c r="AD179" s="75">
        <v>0</v>
      </c>
      <c r="AE179" s="75">
        <v>0</v>
      </c>
      <c r="AF179" s="75">
        <v>0</v>
      </c>
      <c r="AG179" s="75">
        <v>0</v>
      </c>
      <c r="AH179" s="75">
        <v>0</v>
      </c>
      <c r="AI179" s="75">
        <v>0</v>
      </c>
      <c r="AJ179" s="75">
        <v>0</v>
      </c>
      <c r="AK179" s="75">
        <v>0</v>
      </c>
      <c r="AL179" s="75">
        <v>0</v>
      </c>
      <c r="AM179" s="75">
        <v>0</v>
      </c>
      <c r="AN179" s="75">
        <v>0</v>
      </c>
      <c r="AO179" s="75">
        <v>0</v>
      </c>
      <c r="AP179" s="75">
        <v>0</v>
      </c>
      <c r="AQ179" s="75">
        <v>5</v>
      </c>
      <c r="AR179" s="75">
        <v>0</v>
      </c>
      <c r="AS179" s="75">
        <v>1</v>
      </c>
      <c r="AT179" s="75">
        <v>0</v>
      </c>
      <c r="AU179" s="75">
        <v>7</v>
      </c>
      <c r="AV179" s="75">
        <v>0</v>
      </c>
      <c r="AW179" s="75">
        <v>0</v>
      </c>
      <c r="AX179" s="75">
        <v>0</v>
      </c>
      <c r="AY179" s="75">
        <v>0</v>
      </c>
      <c r="AZ179" s="75">
        <v>0</v>
      </c>
      <c r="BA179" s="75">
        <v>0</v>
      </c>
      <c r="BB179" s="75">
        <v>0</v>
      </c>
      <c r="BC179" s="75">
        <v>0</v>
      </c>
      <c r="BD179" s="75">
        <v>0</v>
      </c>
      <c r="BE179" s="75">
        <v>0</v>
      </c>
      <c r="BF179" s="75">
        <v>0</v>
      </c>
      <c r="BG179" s="75">
        <v>0</v>
      </c>
      <c r="BH179" s="75">
        <v>0</v>
      </c>
      <c r="BM179" s="75">
        <f t="shared" si="17"/>
        <v>0</v>
      </c>
      <c r="BN179" s="75">
        <f t="shared" si="18"/>
        <v>0</v>
      </c>
      <c r="BO179" s="75">
        <f t="shared" si="23"/>
        <v>13</v>
      </c>
      <c r="BP179" s="75">
        <f t="shared" si="24"/>
        <v>13</v>
      </c>
      <c r="BT179" s="110">
        <v>0</v>
      </c>
    </row>
    <row r="180" spans="1:73" x14ac:dyDescent="0.75">
      <c r="C180" s="270">
        <v>837</v>
      </c>
      <c r="D180" s="75" t="s">
        <v>357</v>
      </c>
      <c r="E180" s="75" t="s">
        <v>358</v>
      </c>
      <c r="F180" s="75" t="s">
        <v>359</v>
      </c>
      <c r="G180" s="75" t="s">
        <v>60</v>
      </c>
      <c r="H180" s="75">
        <v>18.367850000000001</v>
      </c>
      <c r="I180" s="75">
        <v>-64.732933000000003</v>
      </c>
      <c r="J180" s="81">
        <v>44840</v>
      </c>
      <c r="K180" s="75" t="s">
        <v>361</v>
      </c>
      <c r="L180" s="75" t="s">
        <v>360</v>
      </c>
      <c r="M180" s="75">
        <v>0</v>
      </c>
      <c r="N180" s="75">
        <v>2</v>
      </c>
      <c r="O180" s="75" t="s">
        <v>362</v>
      </c>
      <c r="P180" s="88">
        <f>SUM(TreatmentUsed!E2466:E2467)</f>
        <v>25</v>
      </c>
      <c r="Q180" s="75">
        <f t="shared" si="25"/>
        <v>28</v>
      </c>
      <c r="R180" s="75">
        <v>0</v>
      </c>
      <c r="S180" s="75">
        <v>0</v>
      </c>
      <c r="T180" s="75">
        <v>0</v>
      </c>
      <c r="U180" s="75">
        <v>0</v>
      </c>
      <c r="V180" s="75">
        <v>0</v>
      </c>
      <c r="W180" s="75">
        <v>0</v>
      </c>
      <c r="X180" s="75">
        <v>0</v>
      </c>
      <c r="Y180" s="75">
        <v>0</v>
      </c>
      <c r="Z180" s="75">
        <v>0</v>
      </c>
      <c r="AA180" s="75">
        <v>0</v>
      </c>
      <c r="AB180" s="75">
        <v>0</v>
      </c>
      <c r="AC180" s="75">
        <v>0</v>
      </c>
      <c r="AD180" s="75">
        <v>0</v>
      </c>
      <c r="AE180" s="75">
        <v>0</v>
      </c>
      <c r="AF180" s="75">
        <v>0</v>
      </c>
      <c r="AG180" s="75">
        <v>0</v>
      </c>
      <c r="AH180" s="75">
        <v>0</v>
      </c>
      <c r="AI180" s="75">
        <v>0</v>
      </c>
      <c r="AJ180" s="75">
        <v>0</v>
      </c>
      <c r="AK180" s="75">
        <v>0</v>
      </c>
      <c r="AL180" s="75">
        <v>0</v>
      </c>
      <c r="AM180" s="75">
        <v>0</v>
      </c>
      <c r="AN180" s="75">
        <v>0</v>
      </c>
      <c r="AO180" s="75">
        <v>0</v>
      </c>
      <c r="AP180" s="75">
        <v>0</v>
      </c>
      <c r="AQ180" s="75">
        <v>0</v>
      </c>
      <c r="AR180" s="75">
        <v>0</v>
      </c>
      <c r="AS180" s="75">
        <v>0</v>
      </c>
      <c r="AT180" s="75">
        <v>0</v>
      </c>
      <c r="AU180" s="75">
        <v>0</v>
      </c>
      <c r="AV180" s="75">
        <v>0</v>
      </c>
      <c r="AW180" s="75">
        <v>0</v>
      </c>
      <c r="AX180" s="75">
        <v>0</v>
      </c>
      <c r="AY180" s="75">
        <v>1</v>
      </c>
      <c r="AZ180" s="75">
        <v>0</v>
      </c>
      <c r="BA180" s="75">
        <v>0</v>
      </c>
      <c r="BB180" s="75">
        <v>0</v>
      </c>
      <c r="BC180" s="75">
        <v>1</v>
      </c>
      <c r="BD180" s="75">
        <v>0</v>
      </c>
      <c r="BE180" s="75">
        <v>0</v>
      </c>
      <c r="BF180" s="75">
        <v>0</v>
      </c>
      <c r="BG180" s="75">
        <v>0</v>
      </c>
      <c r="BH180" s="75">
        <v>0</v>
      </c>
      <c r="BM180" s="75">
        <f t="shared" si="17"/>
        <v>0</v>
      </c>
      <c r="BN180" s="75">
        <f t="shared" si="18"/>
        <v>0</v>
      </c>
      <c r="BO180" s="75">
        <f t="shared" si="23"/>
        <v>2</v>
      </c>
      <c r="BP180" s="75">
        <f t="shared" si="24"/>
        <v>2</v>
      </c>
      <c r="BT180" s="110">
        <v>0</v>
      </c>
    </row>
    <row r="181" spans="1:73" x14ac:dyDescent="0.75">
      <c r="C181" s="270">
        <v>838</v>
      </c>
      <c r="D181" s="75" t="s">
        <v>357</v>
      </c>
      <c r="E181" s="75" t="s">
        <v>358</v>
      </c>
      <c r="F181" s="75" t="s">
        <v>359</v>
      </c>
      <c r="G181" s="75" t="s">
        <v>23</v>
      </c>
      <c r="H181" s="75">
        <v>18.365749999999998</v>
      </c>
      <c r="I181" s="75">
        <v>-64.773619999999994</v>
      </c>
      <c r="J181" s="81">
        <v>44845</v>
      </c>
      <c r="K181" s="75" t="s">
        <v>367</v>
      </c>
      <c r="L181" s="75" t="s">
        <v>360</v>
      </c>
      <c r="M181" s="75">
        <v>0</v>
      </c>
      <c r="N181" s="75">
        <v>4</v>
      </c>
      <c r="O181" s="75" t="s">
        <v>362</v>
      </c>
      <c r="P181" s="88">
        <f>SUM(TreatmentUsed!E2468:E2470)</f>
        <v>48</v>
      </c>
      <c r="Q181" s="75">
        <f t="shared" si="25"/>
        <v>28</v>
      </c>
      <c r="R181" s="75">
        <v>0</v>
      </c>
      <c r="S181" s="75">
        <v>0</v>
      </c>
      <c r="T181" s="75">
        <v>0</v>
      </c>
      <c r="U181" s="75">
        <v>0</v>
      </c>
      <c r="V181" s="75">
        <v>0</v>
      </c>
      <c r="W181" s="75">
        <v>0</v>
      </c>
      <c r="X181" s="75">
        <v>0</v>
      </c>
      <c r="Y181" s="75">
        <v>0</v>
      </c>
      <c r="Z181" s="75">
        <v>0</v>
      </c>
      <c r="AA181" s="75">
        <v>0</v>
      </c>
      <c r="AB181" s="75">
        <v>0</v>
      </c>
      <c r="AC181" s="75">
        <v>0</v>
      </c>
      <c r="AD181" s="75">
        <v>0</v>
      </c>
      <c r="AE181" s="75">
        <v>0</v>
      </c>
      <c r="AF181" s="75">
        <v>0</v>
      </c>
      <c r="AG181" s="75">
        <v>0</v>
      </c>
      <c r="AH181" s="75">
        <v>0</v>
      </c>
      <c r="AI181" s="75">
        <v>0</v>
      </c>
      <c r="AJ181" s="75">
        <v>0</v>
      </c>
      <c r="AK181" s="75">
        <v>0</v>
      </c>
      <c r="AL181" s="75">
        <v>0</v>
      </c>
      <c r="AM181" s="75">
        <v>0</v>
      </c>
      <c r="AN181" s="75">
        <v>0</v>
      </c>
      <c r="AO181" s="75">
        <v>0</v>
      </c>
      <c r="AP181" s="75">
        <v>0</v>
      </c>
      <c r="AQ181" s="75">
        <v>0</v>
      </c>
      <c r="AR181" s="75">
        <v>0</v>
      </c>
      <c r="AS181" s="75">
        <v>0</v>
      </c>
      <c r="AT181" s="75">
        <v>0</v>
      </c>
      <c r="AU181" s="75">
        <v>0</v>
      </c>
      <c r="AV181" s="75">
        <v>0</v>
      </c>
      <c r="AW181" s="75">
        <v>0</v>
      </c>
      <c r="AX181" s="75">
        <v>0</v>
      </c>
      <c r="AY181" s="75">
        <v>0</v>
      </c>
      <c r="AZ181" s="84">
        <v>3</v>
      </c>
      <c r="BA181" s="75">
        <v>0</v>
      </c>
      <c r="BB181" s="75">
        <v>0</v>
      </c>
      <c r="BC181" s="75">
        <v>0</v>
      </c>
      <c r="BD181" s="75">
        <v>0</v>
      </c>
      <c r="BE181" s="75">
        <v>0</v>
      </c>
      <c r="BF181" s="75">
        <v>0</v>
      </c>
      <c r="BG181" s="75">
        <v>0</v>
      </c>
      <c r="BH181" s="75">
        <v>0</v>
      </c>
      <c r="BM181" s="75">
        <f t="shared" si="17"/>
        <v>0</v>
      </c>
      <c r="BN181" s="75">
        <f t="shared" si="18"/>
        <v>0</v>
      </c>
      <c r="BO181" s="75">
        <f t="shared" si="23"/>
        <v>3</v>
      </c>
      <c r="BP181" s="84">
        <f t="shared" si="24"/>
        <v>3</v>
      </c>
      <c r="BR181" s="252" t="s">
        <v>499</v>
      </c>
      <c r="BT181" s="110">
        <v>0</v>
      </c>
    </row>
    <row r="182" spans="1:73" x14ac:dyDescent="0.75">
      <c r="A182"/>
      <c r="B182"/>
      <c r="C182" s="270">
        <v>839</v>
      </c>
      <c r="D182" s="75" t="s">
        <v>357</v>
      </c>
      <c r="E182" s="75" t="s">
        <v>358</v>
      </c>
      <c r="F182" s="75" t="s">
        <v>359</v>
      </c>
      <c r="G182" s="75" t="s">
        <v>39</v>
      </c>
      <c r="H182" s="75">
        <v>18.357482999999998</v>
      </c>
      <c r="I182" s="75">
        <v>-64.751949999999994</v>
      </c>
      <c r="J182" s="81">
        <v>44845</v>
      </c>
      <c r="K182" s="75" t="s">
        <v>367</v>
      </c>
      <c r="L182" s="75" t="s">
        <v>360</v>
      </c>
      <c r="M182" s="75">
        <v>0</v>
      </c>
      <c r="N182" s="75">
        <v>4</v>
      </c>
      <c r="O182" s="75" t="s">
        <v>362</v>
      </c>
      <c r="P182" s="88">
        <f>SUM(TreatmentUsed!E2471)</f>
        <v>14</v>
      </c>
      <c r="Q182" s="75">
        <f t="shared" si="25"/>
        <v>28</v>
      </c>
      <c r="R182" s="75">
        <v>0</v>
      </c>
      <c r="S182" s="75">
        <v>0</v>
      </c>
      <c r="T182" s="75">
        <v>0</v>
      </c>
      <c r="U182" s="75">
        <v>0</v>
      </c>
      <c r="V182" s="75">
        <v>0</v>
      </c>
      <c r="W182" s="75">
        <v>0</v>
      </c>
      <c r="X182" s="75">
        <v>0</v>
      </c>
      <c r="Y182" s="75">
        <v>0</v>
      </c>
      <c r="Z182" s="75">
        <v>0</v>
      </c>
      <c r="AA182" s="75">
        <v>0</v>
      </c>
      <c r="AB182" s="75">
        <v>0</v>
      </c>
      <c r="AC182" s="75">
        <v>0</v>
      </c>
      <c r="AD182" s="75">
        <v>0</v>
      </c>
      <c r="AE182" s="75">
        <v>0</v>
      </c>
      <c r="AF182" s="75">
        <v>0</v>
      </c>
      <c r="AG182" s="75">
        <v>0</v>
      </c>
      <c r="AH182" s="75">
        <v>0</v>
      </c>
      <c r="AI182" s="75">
        <v>0</v>
      </c>
      <c r="AJ182" s="75">
        <v>0</v>
      </c>
      <c r="AK182" s="75">
        <v>0</v>
      </c>
      <c r="AL182" s="75">
        <v>0</v>
      </c>
      <c r="AM182" s="75">
        <v>0</v>
      </c>
      <c r="AN182" s="75">
        <v>0</v>
      </c>
      <c r="AO182" s="75">
        <v>0</v>
      </c>
      <c r="AP182" s="75">
        <v>0</v>
      </c>
      <c r="AQ182" s="75">
        <v>0</v>
      </c>
      <c r="AR182" s="84">
        <v>1</v>
      </c>
      <c r="AS182" s="75">
        <v>0</v>
      </c>
      <c r="AT182" s="75">
        <v>0</v>
      </c>
      <c r="AU182" s="75">
        <v>0</v>
      </c>
      <c r="AV182" s="75">
        <v>0</v>
      </c>
      <c r="AW182" s="75">
        <v>0</v>
      </c>
      <c r="AX182" s="75">
        <v>0</v>
      </c>
      <c r="AY182" s="75">
        <v>0</v>
      </c>
      <c r="AZ182" s="75">
        <v>0</v>
      </c>
      <c r="BA182" s="75">
        <v>0</v>
      </c>
      <c r="BB182" s="75">
        <v>0</v>
      </c>
      <c r="BC182" s="75">
        <v>0</v>
      </c>
      <c r="BD182" s="75">
        <v>0</v>
      </c>
      <c r="BE182" s="75">
        <v>0</v>
      </c>
      <c r="BF182" s="75">
        <v>0</v>
      </c>
      <c r="BG182" s="75">
        <v>0</v>
      </c>
      <c r="BH182" s="75">
        <v>0</v>
      </c>
      <c r="BM182" s="75">
        <f t="shared" si="17"/>
        <v>0</v>
      </c>
      <c r="BN182" s="75">
        <f t="shared" si="18"/>
        <v>0</v>
      </c>
      <c r="BO182" s="75">
        <f t="shared" si="23"/>
        <v>1</v>
      </c>
      <c r="BP182" s="75">
        <f t="shared" si="24"/>
        <v>1</v>
      </c>
      <c r="BR182" s="252" t="s">
        <v>500</v>
      </c>
      <c r="BT182" s="110">
        <v>0</v>
      </c>
    </row>
    <row r="183" spans="1:73" x14ac:dyDescent="0.75">
      <c r="C183" s="270">
        <v>840</v>
      </c>
      <c r="D183" s="75" t="s">
        <v>357</v>
      </c>
      <c r="E183" s="75" t="s">
        <v>358</v>
      </c>
      <c r="F183" s="75" t="s">
        <v>359</v>
      </c>
      <c r="G183" s="75" t="s">
        <v>39</v>
      </c>
      <c r="H183" s="75">
        <v>18.357482999999998</v>
      </c>
      <c r="I183" s="75">
        <v>-64.751949999999994</v>
      </c>
      <c r="J183" s="81">
        <v>44845</v>
      </c>
      <c r="K183" s="75" t="s">
        <v>367</v>
      </c>
      <c r="L183" s="75" t="s">
        <v>360</v>
      </c>
      <c r="M183" s="75">
        <v>0</v>
      </c>
      <c r="N183" s="75">
        <v>4</v>
      </c>
      <c r="O183" s="75" t="s">
        <v>362</v>
      </c>
      <c r="P183" s="88">
        <f>SUM(TreatmentUsed!E2472:E2484)</f>
        <v>199</v>
      </c>
      <c r="Q183" s="75">
        <f t="shared" si="25"/>
        <v>28</v>
      </c>
      <c r="R183" s="75">
        <v>0</v>
      </c>
      <c r="S183" s="75">
        <v>0</v>
      </c>
      <c r="T183" s="75">
        <v>0</v>
      </c>
      <c r="U183" s="75">
        <v>0</v>
      </c>
      <c r="V183" s="75">
        <v>0</v>
      </c>
      <c r="W183" s="75">
        <v>0</v>
      </c>
      <c r="X183" s="75">
        <v>0</v>
      </c>
      <c r="Y183" s="75">
        <v>0</v>
      </c>
      <c r="Z183" s="75">
        <v>0</v>
      </c>
      <c r="AA183" s="75">
        <v>0</v>
      </c>
      <c r="AB183" s="75">
        <v>0</v>
      </c>
      <c r="AC183" s="75">
        <v>0</v>
      </c>
      <c r="AD183" s="75">
        <v>0</v>
      </c>
      <c r="AE183" s="75">
        <v>0</v>
      </c>
      <c r="AF183" s="75">
        <v>0</v>
      </c>
      <c r="AG183" s="75">
        <v>0</v>
      </c>
      <c r="AH183" s="75">
        <v>0</v>
      </c>
      <c r="AI183" s="75">
        <v>0</v>
      </c>
      <c r="AJ183" s="75">
        <v>0</v>
      </c>
      <c r="AK183" s="75">
        <v>0</v>
      </c>
      <c r="AL183" s="75">
        <v>0</v>
      </c>
      <c r="AM183" s="75">
        <v>0</v>
      </c>
      <c r="AN183" s="75">
        <v>0</v>
      </c>
      <c r="AO183" s="75">
        <v>0</v>
      </c>
      <c r="AP183" s="75">
        <v>0</v>
      </c>
      <c r="AQ183" s="75">
        <v>0</v>
      </c>
      <c r="AR183" s="75">
        <v>0</v>
      </c>
      <c r="AS183" s="84">
        <v>9</v>
      </c>
      <c r="AT183" s="84">
        <v>3</v>
      </c>
      <c r="AU183" s="75">
        <v>0</v>
      </c>
      <c r="AV183" s="75">
        <v>0</v>
      </c>
      <c r="AW183" s="75">
        <v>0</v>
      </c>
      <c r="AX183" s="75">
        <v>0</v>
      </c>
      <c r="AY183" s="75">
        <v>0</v>
      </c>
      <c r="AZ183" s="75">
        <v>0</v>
      </c>
      <c r="BA183" s="75">
        <v>0</v>
      </c>
      <c r="BB183" s="75">
        <v>0</v>
      </c>
      <c r="BC183" s="75">
        <v>0</v>
      </c>
      <c r="BD183" s="75">
        <v>0</v>
      </c>
      <c r="BE183" s="75">
        <v>0</v>
      </c>
      <c r="BF183" s="75">
        <v>1</v>
      </c>
      <c r="BG183" s="75">
        <v>0</v>
      </c>
      <c r="BH183" s="75">
        <v>0</v>
      </c>
      <c r="BM183" s="75">
        <f t="shared" si="17"/>
        <v>0</v>
      </c>
      <c r="BN183" s="75">
        <f t="shared" si="18"/>
        <v>0</v>
      </c>
      <c r="BO183" s="75">
        <f t="shared" si="23"/>
        <v>13</v>
      </c>
      <c r="BP183" s="84">
        <f t="shared" si="24"/>
        <v>13</v>
      </c>
      <c r="BR183" s="252" t="s">
        <v>501</v>
      </c>
      <c r="BT183" s="110">
        <v>0</v>
      </c>
    </row>
    <row r="184" spans="1:73" x14ac:dyDescent="0.75">
      <c r="C184" s="270">
        <v>841</v>
      </c>
      <c r="D184" s="75" t="s">
        <v>357</v>
      </c>
      <c r="E184" s="75" t="s">
        <v>358</v>
      </c>
      <c r="F184" s="75" t="s">
        <v>359</v>
      </c>
      <c r="G184" s="75" t="s">
        <v>87</v>
      </c>
      <c r="H184" s="75">
        <v>18.343233000000001</v>
      </c>
      <c r="I184" s="75">
        <v>-64.687667000000005</v>
      </c>
      <c r="J184" s="81">
        <v>44847</v>
      </c>
      <c r="K184" s="75" t="s">
        <v>361</v>
      </c>
      <c r="L184" s="75" t="s">
        <v>360</v>
      </c>
      <c r="M184" s="75">
        <v>0</v>
      </c>
      <c r="N184" s="75">
        <v>2</v>
      </c>
      <c r="O184" s="75" t="s">
        <v>362</v>
      </c>
      <c r="P184" s="88">
        <f>SUM(TreatmentUsed!E2485)</f>
        <v>104</v>
      </c>
      <c r="Q184" s="75">
        <f t="shared" si="25"/>
        <v>28</v>
      </c>
      <c r="R184" s="75">
        <v>0</v>
      </c>
      <c r="S184" s="75">
        <v>0</v>
      </c>
      <c r="T184" s="75">
        <v>0</v>
      </c>
      <c r="U184" s="75">
        <v>0</v>
      </c>
      <c r="V184" s="75">
        <v>0</v>
      </c>
      <c r="W184" s="75">
        <v>0</v>
      </c>
      <c r="X184" s="75">
        <v>0</v>
      </c>
      <c r="Y184" s="75">
        <v>0</v>
      </c>
      <c r="Z184" s="75">
        <v>0</v>
      </c>
      <c r="AA184" s="75">
        <v>0</v>
      </c>
      <c r="AB184" s="75">
        <v>0</v>
      </c>
      <c r="AC184" s="75">
        <v>0</v>
      </c>
      <c r="AD184" s="75">
        <v>0</v>
      </c>
      <c r="AE184" s="75">
        <v>0</v>
      </c>
      <c r="AF184" s="75">
        <v>0</v>
      </c>
      <c r="AG184" s="75">
        <v>0</v>
      </c>
      <c r="AH184" s="75">
        <v>0</v>
      </c>
      <c r="AI184" s="75">
        <v>0</v>
      </c>
      <c r="AJ184" s="75">
        <v>0</v>
      </c>
      <c r="AK184" s="75">
        <v>0</v>
      </c>
      <c r="AL184" s="75">
        <v>0</v>
      </c>
      <c r="AM184" s="75">
        <v>0</v>
      </c>
      <c r="AN184" s="75">
        <v>0</v>
      </c>
      <c r="AO184" s="75">
        <v>0</v>
      </c>
      <c r="AP184" s="75">
        <v>0</v>
      </c>
      <c r="AQ184" s="75">
        <v>1</v>
      </c>
      <c r="AR184" s="75">
        <v>0</v>
      </c>
      <c r="AS184" s="75">
        <v>0</v>
      </c>
      <c r="AT184" s="75">
        <v>0</v>
      </c>
      <c r="AU184" s="75">
        <v>0</v>
      </c>
      <c r="AV184" s="75">
        <v>0</v>
      </c>
      <c r="AW184" s="75">
        <v>0</v>
      </c>
      <c r="AX184" s="75">
        <v>0</v>
      </c>
      <c r="AY184" s="75">
        <v>0</v>
      </c>
      <c r="AZ184" s="75">
        <v>0</v>
      </c>
      <c r="BA184" s="75">
        <v>0</v>
      </c>
      <c r="BB184" s="75">
        <v>0</v>
      </c>
      <c r="BC184" s="75">
        <v>0</v>
      </c>
      <c r="BD184" s="75">
        <v>0</v>
      </c>
      <c r="BE184" s="75">
        <v>0</v>
      </c>
      <c r="BF184" s="75">
        <v>0</v>
      </c>
      <c r="BG184" s="75">
        <v>0</v>
      </c>
      <c r="BH184" s="75">
        <v>0</v>
      </c>
      <c r="BM184" s="75">
        <f t="shared" si="17"/>
        <v>0</v>
      </c>
      <c r="BN184" s="75">
        <f t="shared" si="18"/>
        <v>0</v>
      </c>
      <c r="BO184" s="75">
        <f t="shared" si="23"/>
        <v>1</v>
      </c>
      <c r="BP184" s="75">
        <f t="shared" si="24"/>
        <v>1</v>
      </c>
      <c r="BQ184" s="80" t="s">
        <v>481</v>
      </c>
      <c r="BT184" s="110">
        <v>0</v>
      </c>
    </row>
    <row r="185" spans="1:73" x14ac:dyDescent="0.75">
      <c r="C185" s="270">
        <v>842</v>
      </c>
      <c r="D185" s="75" t="s">
        <v>357</v>
      </c>
      <c r="E185" s="75" t="s">
        <v>358</v>
      </c>
      <c r="F185" s="75" t="s">
        <v>359</v>
      </c>
      <c r="G185" s="75" t="s">
        <v>52</v>
      </c>
      <c r="H185" s="75">
        <v>18.317682999999999</v>
      </c>
      <c r="I185" s="75">
        <v>-64.741200000000006</v>
      </c>
      <c r="J185" s="81">
        <v>44847</v>
      </c>
      <c r="K185" s="75" t="s">
        <v>361</v>
      </c>
      <c r="L185" s="75" t="s">
        <v>360</v>
      </c>
      <c r="M185" s="75">
        <v>0</v>
      </c>
      <c r="N185" s="75">
        <v>2</v>
      </c>
      <c r="O185" s="75" t="s">
        <v>362</v>
      </c>
      <c r="P185" s="88">
        <f>SUM(TreatmentUsed!E2486)</f>
        <v>44</v>
      </c>
      <c r="Q185" s="75">
        <f t="shared" si="25"/>
        <v>28</v>
      </c>
      <c r="R185" s="75">
        <v>0</v>
      </c>
      <c r="S185" s="75">
        <v>0</v>
      </c>
      <c r="T185" s="75">
        <v>0</v>
      </c>
      <c r="U185" s="75">
        <v>0</v>
      </c>
      <c r="V185" s="75">
        <v>0</v>
      </c>
      <c r="W185" s="75">
        <v>0</v>
      </c>
      <c r="X185" s="75">
        <v>0</v>
      </c>
      <c r="Y185" s="75">
        <v>0</v>
      </c>
      <c r="Z185" s="75">
        <v>0</v>
      </c>
      <c r="AA185" s="75">
        <v>0</v>
      </c>
      <c r="AB185" s="75">
        <v>0</v>
      </c>
      <c r="AC185" s="75">
        <v>0</v>
      </c>
      <c r="AD185" s="75">
        <v>0</v>
      </c>
      <c r="AE185" s="75">
        <v>0</v>
      </c>
      <c r="AF185" s="75">
        <v>0</v>
      </c>
      <c r="AG185" s="75">
        <v>0</v>
      </c>
      <c r="AH185" s="75">
        <v>0</v>
      </c>
      <c r="AI185" s="75">
        <v>0</v>
      </c>
      <c r="AJ185" s="75">
        <v>0</v>
      </c>
      <c r="AK185" s="75">
        <v>0</v>
      </c>
      <c r="AL185" s="75">
        <v>0</v>
      </c>
      <c r="AM185" s="75">
        <v>0</v>
      </c>
      <c r="AN185" s="75">
        <v>0</v>
      </c>
      <c r="AO185" s="75">
        <v>0</v>
      </c>
      <c r="AP185" s="75">
        <v>0</v>
      </c>
      <c r="AQ185" s="75">
        <v>0</v>
      </c>
      <c r="AR185" s="75">
        <v>0</v>
      </c>
      <c r="AS185" s="75">
        <v>1</v>
      </c>
      <c r="AT185" s="75">
        <v>0</v>
      </c>
      <c r="AU185" s="75">
        <v>0</v>
      </c>
      <c r="AV185" s="75">
        <v>0</v>
      </c>
      <c r="AW185" s="75">
        <v>0</v>
      </c>
      <c r="AX185" s="75">
        <v>0</v>
      </c>
      <c r="AY185" s="75">
        <v>0</v>
      </c>
      <c r="AZ185" s="75">
        <v>0</v>
      </c>
      <c r="BA185" s="75">
        <v>0</v>
      </c>
      <c r="BB185" s="75">
        <v>0</v>
      </c>
      <c r="BC185" s="75">
        <v>0</v>
      </c>
      <c r="BD185" s="75">
        <v>0</v>
      </c>
      <c r="BE185" s="75">
        <v>0</v>
      </c>
      <c r="BF185" s="75">
        <v>0</v>
      </c>
      <c r="BG185" s="75">
        <v>0</v>
      </c>
      <c r="BH185" s="75">
        <v>0</v>
      </c>
      <c r="BM185" s="75">
        <f t="shared" si="17"/>
        <v>0</v>
      </c>
      <c r="BN185" s="75">
        <f t="shared" si="18"/>
        <v>0</v>
      </c>
      <c r="BO185" s="75">
        <f t="shared" si="23"/>
        <v>1</v>
      </c>
      <c r="BP185" s="75">
        <f t="shared" si="24"/>
        <v>1</v>
      </c>
      <c r="BT185" s="110">
        <v>0</v>
      </c>
    </row>
    <row r="186" spans="1:73" x14ac:dyDescent="0.75">
      <c r="C186" s="270">
        <v>843</v>
      </c>
      <c r="D186" s="75" t="s">
        <v>357</v>
      </c>
      <c r="E186" s="75" t="s">
        <v>358</v>
      </c>
      <c r="F186" s="75" t="s">
        <v>359</v>
      </c>
      <c r="G186" s="75" t="s">
        <v>96</v>
      </c>
      <c r="H186" s="119">
        <v>18.314226999999999</v>
      </c>
      <c r="I186" s="75">
        <v>-64.721965999999995</v>
      </c>
      <c r="J186" s="81">
        <v>44853</v>
      </c>
      <c r="K186" s="80" t="s">
        <v>361</v>
      </c>
      <c r="L186" s="75" t="s">
        <v>360</v>
      </c>
      <c r="M186" s="75">
        <v>0</v>
      </c>
      <c r="N186" s="75">
        <v>3</v>
      </c>
      <c r="O186" s="75" t="s">
        <v>362</v>
      </c>
      <c r="P186" s="88">
        <f>SUM(TreatmentUsed!E2487:E2539)</f>
        <v>273</v>
      </c>
      <c r="Q186" s="75">
        <v>0</v>
      </c>
      <c r="R186" s="75">
        <v>0</v>
      </c>
      <c r="S186" s="75">
        <v>0</v>
      </c>
      <c r="T186" s="75">
        <v>0</v>
      </c>
      <c r="U186" s="75">
        <v>0</v>
      </c>
      <c r="V186" s="75">
        <v>0</v>
      </c>
      <c r="W186" s="75">
        <v>0</v>
      </c>
      <c r="X186" s="75">
        <v>0</v>
      </c>
      <c r="Y186" s="75">
        <v>0</v>
      </c>
      <c r="Z186" s="75">
        <v>0</v>
      </c>
      <c r="AA186" s="75">
        <v>0</v>
      </c>
      <c r="AB186" s="75">
        <v>0</v>
      </c>
      <c r="AC186" s="75">
        <v>0</v>
      </c>
      <c r="AD186" s="75">
        <v>0</v>
      </c>
      <c r="AE186" s="75">
        <v>0</v>
      </c>
      <c r="AF186" s="75">
        <v>0</v>
      </c>
      <c r="AG186" s="75">
        <v>0</v>
      </c>
      <c r="AH186" s="75">
        <v>0</v>
      </c>
      <c r="AI186" s="75">
        <v>0</v>
      </c>
      <c r="AJ186" s="75">
        <v>0</v>
      </c>
      <c r="AK186" s="75">
        <v>0</v>
      </c>
      <c r="AL186" s="75">
        <v>0</v>
      </c>
      <c r="AM186" s="75">
        <v>0</v>
      </c>
      <c r="AN186" s="75">
        <v>0</v>
      </c>
      <c r="AO186" s="75">
        <v>1</v>
      </c>
      <c r="AP186" s="75">
        <v>0</v>
      </c>
      <c r="AQ186" s="75">
        <v>0</v>
      </c>
      <c r="AR186" s="75">
        <v>2</v>
      </c>
      <c r="AS186" s="75">
        <v>0</v>
      </c>
      <c r="AT186" s="75">
        <v>0</v>
      </c>
      <c r="AU186" s="75">
        <v>0</v>
      </c>
      <c r="AV186" s="75">
        <v>0</v>
      </c>
      <c r="AW186" s="75">
        <v>0</v>
      </c>
      <c r="AX186" s="75">
        <v>0</v>
      </c>
      <c r="AY186" s="75">
        <v>17</v>
      </c>
      <c r="AZ186" s="84">
        <v>23</v>
      </c>
      <c r="BA186" s="84">
        <v>5</v>
      </c>
      <c r="BB186" s="84">
        <v>4</v>
      </c>
      <c r="BC186" s="75">
        <v>0</v>
      </c>
      <c r="BD186" s="75">
        <v>0</v>
      </c>
      <c r="BE186" s="75">
        <v>0</v>
      </c>
      <c r="BF186" s="75">
        <v>0</v>
      </c>
      <c r="BG186" s="75">
        <v>0</v>
      </c>
      <c r="BH186" s="75">
        <v>1</v>
      </c>
      <c r="BL186" s="88"/>
      <c r="BM186" s="75">
        <f t="shared" si="17"/>
        <v>0</v>
      </c>
      <c r="BN186" s="75">
        <f t="shared" si="18"/>
        <v>0</v>
      </c>
      <c r="BO186" s="75">
        <f t="shared" si="23"/>
        <v>53</v>
      </c>
      <c r="BP186" s="75">
        <f t="shared" si="24"/>
        <v>53</v>
      </c>
      <c r="BQ186" s="80" t="s">
        <v>502</v>
      </c>
      <c r="BR186" s="256" t="s">
        <v>503</v>
      </c>
      <c r="BS186" s="112"/>
      <c r="BT186" s="110">
        <v>0</v>
      </c>
      <c r="BU186" s="88"/>
    </row>
    <row r="187" spans="1:73" x14ac:dyDescent="0.75">
      <c r="C187" s="270">
        <v>844</v>
      </c>
      <c r="D187" s="75" t="s">
        <v>357</v>
      </c>
      <c r="E187" s="75" t="s">
        <v>358</v>
      </c>
      <c r="F187" s="75" t="s">
        <v>359</v>
      </c>
      <c r="G187" s="75" t="s">
        <v>96</v>
      </c>
      <c r="H187" s="119">
        <v>18.314226999999999</v>
      </c>
      <c r="I187" s="75">
        <v>-64.721965999999995</v>
      </c>
      <c r="J187" s="81">
        <v>44853</v>
      </c>
      <c r="K187" s="80" t="s">
        <v>361</v>
      </c>
      <c r="L187" s="75" t="s">
        <v>360</v>
      </c>
      <c r="M187" s="75">
        <v>0</v>
      </c>
      <c r="N187" s="75">
        <v>3</v>
      </c>
      <c r="O187" s="75" t="s">
        <v>362</v>
      </c>
      <c r="P187" s="88">
        <f>SUM(TreatmentUsed!E2540:E2585)</f>
        <v>299</v>
      </c>
      <c r="Q187" s="75">
        <v>0</v>
      </c>
      <c r="R187" s="75">
        <v>0</v>
      </c>
      <c r="S187" s="75">
        <v>0</v>
      </c>
      <c r="T187" s="75">
        <v>0</v>
      </c>
      <c r="U187" s="75">
        <v>0</v>
      </c>
      <c r="V187" s="75">
        <v>0</v>
      </c>
      <c r="W187" s="75">
        <v>0</v>
      </c>
      <c r="X187" s="75">
        <v>0</v>
      </c>
      <c r="Y187" s="75">
        <v>0</v>
      </c>
      <c r="Z187" s="75">
        <v>0</v>
      </c>
      <c r="AA187" s="75">
        <v>0</v>
      </c>
      <c r="AB187" s="75">
        <v>0</v>
      </c>
      <c r="AC187" s="75">
        <v>0</v>
      </c>
      <c r="AD187" s="75">
        <v>0</v>
      </c>
      <c r="AE187" s="75">
        <v>0</v>
      </c>
      <c r="AF187" s="75">
        <v>0</v>
      </c>
      <c r="AG187" s="75">
        <v>0</v>
      </c>
      <c r="AH187" s="75">
        <v>0</v>
      </c>
      <c r="AI187" s="75">
        <v>0</v>
      </c>
      <c r="AJ187" s="75">
        <v>0</v>
      </c>
      <c r="AK187" s="75">
        <v>0</v>
      </c>
      <c r="AL187" s="75">
        <v>0</v>
      </c>
      <c r="AM187" s="75">
        <v>0</v>
      </c>
      <c r="AN187" s="75">
        <v>0</v>
      </c>
      <c r="AO187" s="75">
        <v>0</v>
      </c>
      <c r="AP187" s="75">
        <v>0</v>
      </c>
      <c r="AQ187" s="75">
        <v>0</v>
      </c>
      <c r="AR187" s="75">
        <v>0</v>
      </c>
      <c r="AS187" s="75">
        <v>0</v>
      </c>
      <c r="AT187" s="75">
        <v>0</v>
      </c>
      <c r="AU187" s="75">
        <v>0</v>
      </c>
      <c r="AV187" s="75">
        <v>0</v>
      </c>
      <c r="AW187" s="75">
        <v>0</v>
      </c>
      <c r="AX187" s="75">
        <v>0</v>
      </c>
      <c r="AY187" s="84">
        <v>11</v>
      </c>
      <c r="AZ187" s="84">
        <v>18</v>
      </c>
      <c r="BA187" s="84">
        <v>11</v>
      </c>
      <c r="BB187" s="84">
        <v>0</v>
      </c>
      <c r="BC187" s="75">
        <v>0</v>
      </c>
      <c r="BD187" s="75">
        <v>0</v>
      </c>
      <c r="BE187" s="75">
        <v>1</v>
      </c>
      <c r="BF187" s="75">
        <v>3</v>
      </c>
      <c r="BG187" s="75">
        <v>0</v>
      </c>
      <c r="BH187" s="75">
        <v>2</v>
      </c>
      <c r="BM187" s="75">
        <f t="shared" si="17"/>
        <v>0</v>
      </c>
      <c r="BN187" s="75">
        <f t="shared" si="18"/>
        <v>0</v>
      </c>
      <c r="BO187" s="75">
        <f t="shared" si="23"/>
        <v>46</v>
      </c>
      <c r="BP187" s="75">
        <f t="shared" si="24"/>
        <v>46</v>
      </c>
      <c r="BQ187" s="80" t="s">
        <v>504</v>
      </c>
      <c r="BR187" s="138" t="s">
        <v>505</v>
      </c>
      <c r="BT187" s="110">
        <v>0</v>
      </c>
    </row>
    <row r="188" spans="1:73" x14ac:dyDescent="0.75">
      <c r="C188" s="270">
        <v>845</v>
      </c>
      <c r="D188" s="75" t="s">
        <v>357</v>
      </c>
      <c r="E188" s="75" t="s">
        <v>358</v>
      </c>
      <c r="F188" s="75" t="s">
        <v>359</v>
      </c>
      <c r="G188" s="75" t="s">
        <v>96</v>
      </c>
      <c r="H188" s="119">
        <v>18.314226999999999</v>
      </c>
      <c r="I188" s="75">
        <v>-64.721965999999995</v>
      </c>
      <c r="J188" s="81">
        <v>44853</v>
      </c>
      <c r="K188" s="80" t="s">
        <v>361</v>
      </c>
      <c r="L188" s="75" t="s">
        <v>360</v>
      </c>
      <c r="M188" s="75">
        <v>0</v>
      </c>
      <c r="N188" s="75">
        <v>2</v>
      </c>
      <c r="O188" s="75" t="s">
        <v>362</v>
      </c>
      <c r="P188" s="88">
        <f>SUM(TreatmentUsed!E2586:E2603)</f>
        <v>76</v>
      </c>
      <c r="Q188" s="75">
        <v>0</v>
      </c>
      <c r="R188" s="75">
        <v>0</v>
      </c>
      <c r="S188" s="75">
        <v>0</v>
      </c>
      <c r="T188" s="75">
        <v>0</v>
      </c>
      <c r="U188" s="75">
        <v>0</v>
      </c>
      <c r="V188" s="75">
        <v>0</v>
      </c>
      <c r="W188" s="75">
        <v>0</v>
      </c>
      <c r="X188" s="75">
        <v>0</v>
      </c>
      <c r="Y188" s="75">
        <v>0</v>
      </c>
      <c r="Z188" s="75">
        <v>0</v>
      </c>
      <c r="AA188" s="75">
        <v>0</v>
      </c>
      <c r="AB188" s="75">
        <v>0</v>
      </c>
      <c r="AC188" s="75">
        <v>0</v>
      </c>
      <c r="AD188" s="75">
        <v>0</v>
      </c>
      <c r="AE188" s="75">
        <v>0</v>
      </c>
      <c r="AF188" s="75">
        <v>0</v>
      </c>
      <c r="AG188" s="75">
        <v>0</v>
      </c>
      <c r="AH188" s="75">
        <v>0</v>
      </c>
      <c r="AI188" s="75">
        <v>0</v>
      </c>
      <c r="AJ188" s="75">
        <v>0</v>
      </c>
      <c r="AK188" s="75">
        <v>0</v>
      </c>
      <c r="AL188" s="75">
        <v>0</v>
      </c>
      <c r="AM188" s="75">
        <v>0</v>
      </c>
      <c r="AN188" s="75">
        <v>0</v>
      </c>
      <c r="AO188" s="75">
        <v>0</v>
      </c>
      <c r="AP188" s="75">
        <v>0</v>
      </c>
      <c r="AQ188" s="75">
        <v>0</v>
      </c>
      <c r="AR188" s="75">
        <v>0</v>
      </c>
      <c r="AS188" s="75">
        <v>0</v>
      </c>
      <c r="AT188" s="75">
        <v>0</v>
      </c>
      <c r="AU188" s="75">
        <v>0</v>
      </c>
      <c r="AV188" s="75">
        <v>0</v>
      </c>
      <c r="AW188" s="75">
        <v>0</v>
      </c>
      <c r="AX188" s="75">
        <v>0</v>
      </c>
      <c r="AY188" s="75">
        <v>1</v>
      </c>
      <c r="AZ188" s="84">
        <v>8</v>
      </c>
      <c r="BA188" s="84">
        <v>8</v>
      </c>
      <c r="BB188" s="75">
        <v>0</v>
      </c>
      <c r="BC188" s="75">
        <v>0</v>
      </c>
      <c r="BD188" s="75">
        <v>0</v>
      </c>
      <c r="BE188" s="75">
        <v>0</v>
      </c>
      <c r="BF188" s="75">
        <v>0</v>
      </c>
      <c r="BG188" s="75">
        <v>0</v>
      </c>
      <c r="BH188" s="75">
        <v>1</v>
      </c>
      <c r="BM188" s="75">
        <f t="shared" si="17"/>
        <v>0</v>
      </c>
      <c r="BN188" s="75">
        <f t="shared" si="18"/>
        <v>0</v>
      </c>
      <c r="BO188" s="75">
        <f t="shared" si="23"/>
        <v>18</v>
      </c>
      <c r="BP188" s="84">
        <f t="shared" si="24"/>
        <v>18</v>
      </c>
      <c r="BQ188" s="80" t="s">
        <v>506</v>
      </c>
      <c r="BT188" s="110">
        <v>0</v>
      </c>
    </row>
    <row r="189" spans="1:73" x14ac:dyDescent="0.75">
      <c r="C189" s="270">
        <v>846</v>
      </c>
      <c r="D189" s="75" t="s">
        <v>357</v>
      </c>
      <c r="E189" s="75" t="s">
        <v>358</v>
      </c>
      <c r="F189" s="75" t="s">
        <v>359</v>
      </c>
      <c r="G189" s="75" t="s">
        <v>23</v>
      </c>
      <c r="H189" s="75">
        <v>18.365749999999998</v>
      </c>
      <c r="I189" s="75">
        <v>-64.773619999999994</v>
      </c>
      <c r="J189" s="81">
        <v>44854</v>
      </c>
      <c r="K189" s="75" t="s">
        <v>361</v>
      </c>
      <c r="L189" s="75" t="s">
        <v>360</v>
      </c>
      <c r="M189" s="75">
        <v>0</v>
      </c>
      <c r="N189" s="75">
        <v>2</v>
      </c>
      <c r="O189" s="75" t="s">
        <v>362</v>
      </c>
      <c r="P189" s="88">
        <f>SUM(TreatmentUsed!E2604:E2611)</f>
        <v>72</v>
      </c>
      <c r="Q189" s="75">
        <f>318/4</f>
        <v>79.5</v>
      </c>
      <c r="R189" s="75">
        <v>0</v>
      </c>
      <c r="S189" s="75">
        <v>0</v>
      </c>
      <c r="T189" s="75">
        <v>0</v>
      </c>
      <c r="U189" s="75">
        <v>0</v>
      </c>
      <c r="V189" s="75">
        <v>0</v>
      </c>
      <c r="W189" s="75">
        <v>0</v>
      </c>
      <c r="X189" s="75">
        <v>0</v>
      </c>
      <c r="Y189" s="75">
        <v>0</v>
      </c>
      <c r="Z189" s="75">
        <v>0</v>
      </c>
      <c r="AA189" s="75">
        <v>0</v>
      </c>
      <c r="AB189" s="75">
        <v>0</v>
      </c>
      <c r="AC189" s="75">
        <v>0</v>
      </c>
      <c r="AD189" s="75">
        <v>0</v>
      </c>
      <c r="AE189" s="75">
        <v>0</v>
      </c>
      <c r="AF189" s="75">
        <v>0</v>
      </c>
      <c r="AG189" s="75">
        <v>0</v>
      </c>
      <c r="AH189" s="75">
        <v>0</v>
      </c>
      <c r="AI189" s="75">
        <v>0</v>
      </c>
      <c r="AJ189" s="75">
        <v>0</v>
      </c>
      <c r="AK189" s="75">
        <v>0</v>
      </c>
      <c r="AL189" s="75">
        <v>0</v>
      </c>
      <c r="AM189" s="75">
        <v>0</v>
      </c>
      <c r="AN189" s="75">
        <v>0</v>
      </c>
      <c r="AO189" s="75">
        <v>1</v>
      </c>
      <c r="AP189" s="75">
        <v>0</v>
      </c>
      <c r="AQ189" s="75">
        <v>0</v>
      </c>
      <c r="AR189" s="75">
        <v>0</v>
      </c>
      <c r="AS189" s="75">
        <v>0</v>
      </c>
      <c r="AT189" s="75">
        <v>0</v>
      </c>
      <c r="AU189" s="75">
        <v>0</v>
      </c>
      <c r="AV189" s="75">
        <v>0</v>
      </c>
      <c r="AW189" s="75">
        <v>0</v>
      </c>
      <c r="AX189" s="75">
        <v>0</v>
      </c>
      <c r="AY189" s="75">
        <v>0</v>
      </c>
      <c r="AZ189" s="75">
        <v>1</v>
      </c>
      <c r="BA189" s="75">
        <v>4</v>
      </c>
      <c r="BB189" s="75">
        <v>0</v>
      </c>
      <c r="BC189" s="75">
        <v>1</v>
      </c>
      <c r="BD189" s="75">
        <v>0</v>
      </c>
      <c r="BE189" s="75">
        <v>0</v>
      </c>
      <c r="BF189" s="75">
        <v>1</v>
      </c>
      <c r="BG189" s="75">
        <v>0</v>
      </c>
      <c r="BH189" s="75">
        <v>0</v>
      </c>
      <c r="BM189" s="75">
        <f t="shared" si="17"/>
        <v>0</v>
      </c>
      <c r="BN189" s="75">
        <f t="shared" si="18"/>
        <v>0</v>
      </c>
      <c r="BO189" s="75">
        <f t="shared" si="23"/>
        <v>8</v>
      </c>
      <c r="BP189" s="75">
        <f t="shared" si="24"/>
        <v>8</v>
      </c>
      <c r="BR189" s="252"/>
      <c r="BT189" s="110">
        <v>0</v>
      </c>
    </row>
    <row r="190" spans="1:73" x14ac:dyDescent="0.75">
      <c r="C190" s="270">
        <v>847</v>
      </c>
      <c r="D190" s="75" t="s">
        <v>357</v>
      </c>
      <c r="E190" s="75" t="s">
        <v>358</v>
      </c>
      <c r="F190" s="75" t="s">
        <v>359</v>
      </c>
      <c r="G190" s="75" t="s">
        <v>23</v>
      </c>
      <c r="H190" s="75">
        <v>18.365749999999998</v>
      </c>
      <c r="I190" s="75">
        <v>-64.773619999999994</v>
      </c>
      <c r="J190" s="81">
        <v>44854</v>
      </c>
      <c r="K190" s="75" t="s">
        <v>361</v>
      </c>
      <c r="L190" s="75" t="s">
        <v>360</v>
      </c>
      <c r="M190" s="75">
        <v>0</v>
      </c>
      <c r="N190" s="75">
        <v>2</v>
      </c>
      <c r="O190" s="75" t="s">
        <v>362</v>
      </c>
      <c r="P190" s="75">
        <v>0</v>
      </c>
      <c r="Q190" s="75">
        <f>318/4</f>
        <v>79.5</v>
      </c>
      <c r="R190" s="75">
        <v>0</v>
      </c>
      <c r="S190" s="75">
        <v>0</v>
      </c>
      <c r="T190" s="75">
        <v>0</v>
      </c>
      <c r="U190" s="75">
        <v>0</v>
      </c>
      <c r="V190" s="75">
        <v>0</v>
      </c>
      <c r="W190" s="75">
        <v>0</v>
      </c>
      <c r="X190" s="75">
        <v>0</v>
      </c>
      <c r="Y190" s="75">
        <v>0</v>
      </c>
      <c r="Z190" s="75">
        <v>0</v>
      </c>
      <c r="AA190" s="75">
        <v>0</v>
      </c>
      <c r="AB190" s="75">
        <v>0</v>
      </c>
      <c r="AC190" s="75">
        <v>0</v>
      </c>
      <c r="AD190" s="75">
        <v>0</v>
      </c>
      <c r="AE190" s="75">
        <v>0</v>
      </c>
      <c r="AF190" s="75">
        <v>0</v>
      </c>
      <c r="AG190" s="75">
        <v>0</v>
      </c>
      <c r="AH190" s="75">
        <v>0</v>
      </c>
      <c r="AI190" s="75">
        <v>0</v>
      </c>
      <c r="AJ190" s="75">
        <v>0</v>
      </c>
      <c r="AK190" s="75">
        <v>0</v>
      </c>
      <c r="AL190" s="75">
        <v>0</v>
      </c>
      <c r="AM190" s="75">
        <v>0</v>
      </c>
      <c r="AN190" s="75">
        <v>0</v>
      </c>
      <c r="AO190" s="75">
        <v>0</v>
      </c>
      <c r="AP190" s="75">
        <v>0</v>
      </c>
      <c r="AQ190" s="75">
        <v>0</v>
      </c>
      <c r="AR190" s="75">
        <v>0</v>
      </c>
      <c r="AS190" s="75">
        <v>0</v>
      </c>
      <c r="AT190" s="75">
        <v>0</v>
      </c>
      <c r="AU190" s="75">
        <v>0</v>
      </c>
      <c r="AV190" s="75">
        <v>0</v>
      </c>
      <c r="AW190" s="75">
        <v>0</v>
      </c>
      <c r="AX190" s="75">
        <v>0</v>
      </c>
      <c r="AY190" s="75">
        <v>0</v>
      </c>
      <c r="AZ190" s="75">
        <v>0</v>
      </c>
      <c r="BA190" s="75">
        <v>0</v>
      </c>
      <c r="BB190" s="75">
        <v>0</v>
      </c>
      <c r="BC190" s="75">
        <v>0</v>
      </c>
      <c r="BD190" s="75">
        <v>0</v>
      </c>
      <c r="BE190" s="75">
        <v>0</v>
      </c>
      <c r="BF190" s="75">
        <v>0</v>
      </c>
      <c r="BG190" s="75">
        <v>0</v>
      </c>
      <c r="BH190" s="75">
        <v>0</v>
      </c>
      <c r="BL190" s="87"/>
      <c r="BM190" s="75">
        <f t="shared" si="17"/>
        <v>0</v>
      </c>
      <c r="BN190" s="75">
        <f t="shared" si="18"/>
        <v>0</v>
      </c>
      <c r="BO190" s="75">
        <f t="shared" si="23"/>
        <v>0</v>
      </c>
      <c r="BP190" s="75">
        <f t="shared" si="24"/>
        <v>0</v>
      </c>
      <c r="BQ190" s="80" t="s">
        <v>507</v>
      </c>
      <c r="BR190" s="255" t="s">
        <v>508</v>
      </c>
      <c r="BS190" s="111"/>
      <c r="BT190" s="110">
        <v>0</v>
      </c>
      <c r="BU190" s="87"/>
    </row>
    <row r="191" spans="1:73" x14ac:dyDescent="0.75">
      <c r="C191" s="270">
        <v>848</v>
      </c>
      <c r="D191" s="75" t="s">
        <v>357</v>
      </c>
      <c r="E191" s="75" t="s">
        <v>358</v>
      </c>
      <c r="F191" s="75" t="s">
        <v>359</v>
      </c>
      <c r="G191" s="75" t="s">
        <v>23</v>
      </c>
      <c r="H191" s="75">
        <v>18.365749999999998</v>
      </c>
      <c r="I191" s="75">
        <v>-64.773619999999994</v>
      </c>
      <c r="J191" s="81">
        <v>44854</v>
      </c>
      <c r="K191" s="75" t="s">
        <v>361</v>
      </c>
      <c r="L191" s="75" t="s">
        <v>360</v>
      </c>
      <c r="M191" s="75">
        <v>0</v>
      </c>
      <c r="N191" s="75">
        <v>2</v>
      </c>
      <c r="O191" s="75" t="s">
        <v>362</v>
      </c>
      <c r="P191" s="88">
        <f>SUM(TreatmentUsed!E2612:E2617)</f>
        <v>61</v>
      </c>
      <c r="Q191" s="75">
        <f>318/4</f>
        <v>79.5</v>
      </c>
      <c r="R191" s="75">
        <v>0</v>
      </c>
      <c r="S191" s="75">
        <v>0</v>
      </c>
      <c r="T191" s="75">
        <v>0</v>
      </c>
      <c r="U191" s="75">
        <v>0</v>
      </c>
      <c r="V191" s="75">
        <v>0</v>
      </c>
      <c r="W191" s="75">
        <v>0</v>
      </c>
      <c r="X191" s="75">
        <v>0</v>
      </c>
      <c r="Y191" s="75">
        <v>0</v>
      </c>
      <c r="Z191" s="75">
        <v>0</v>
      </c>
      <c r="AA191" s="75">
        <v>0</v>
      </c>
      <c r="AB191" s="75">
        <v>0</v>
      </c>
      <c r="AC191" s="75">
        <v>0</v>
      </c>
      <c r="AD191" s="75">
        <v>0</v>
      </c>
      <c r="AE191" s="75">
        <v>0</v>
      </c>
      <c r="AF191" s="75">
        <v>0</v>
      </c>
      <c r="AG191" s="75">
        <v>0</v>
      </c>
      <c r="AH191" s="75">
        <v>0</v>
      </c>
      <c r="AI191" s="75">
        <v>0</v>
      </c>
      <c r="AJ191" s="75">
        <v>0</v>
      </c>
      <c r="AK191" s="75">
        <v>0</v>
      </c>
      <c r="AL191" s="75">
        <v>0</v>
      </c>
      <c r="AM191" s="75">
        <v>0</v>
      </c>
      <c r="AN191" s="75">
        <v>0</v>
      </c>
      <c r="AO191" s="75">
        <v>0</v>
      </c>
      <c r="AP191" s="75">
        <v>0</v>
      </c>
      <c r="AQ191" s="75">
        <v>0</v>
      </c>
      <c r="AR191" s="75">
        <v>0</v>
      </c>
      <c r="AS191" s="75">
        <v>0</v>
      </c>
      <c r="AT191" s="75">
        <v>0</v>
      </c>
      <c r="AU191" s="75">
        <v>0</v>
      </c>
      <c r="AV191" s="75">
        <v>0</v>
      </c>
      <c r="AW191" s="75">
        <v>0</v>
      </c>
      <c r="AX191" s="75">
        <v>0</v>
      </c>
      <c r="AY191" s="75">
        <v>0</v>
      </c>
      <c r="AZ191" s="75">
        <v>2</v>
      </c>
      <c r="BA191" s="75">
        <v>2</v>
      </c>
      <c r="BB191" s="75">
        <v>0</v>
      </c>
      <c r="BC191" s="75">
        <v>1</v>
      </c>
      <c r="BD191" s="75">
        <v>0</v>
      </c>
      <c r="BE191" s="75">
        <v>0</v>
      </c>
      <c r="BF191" s="75">
        <v>1</v>
      </c>
      <c r="BG191" s="75">
        <v>0</v>
      </c>
      <c r="BH191" s="75">
        <v>0</v>
      </c>
      <c r="BM191" s="75">
        <f t="shared" ref="BM191:BM254" si="26">SUM(R191:AD191)</f>
        <v>0</v>
      </c>
      <c r="BN191" s="75">
        <f t="shared" ref="BN191:BN254" si="27">SUM(AE191:AN191)</f>
        <v>0</v>
      </c>
      <c r="BO191" s="75">
        <f t="shared" si="23"/>
        <v>6</v>
      </c>
      <c r="BP191" s="75">
        <f t="shared" si="24"/>
        <v>6</v>
      </c>
      <c r="BT191" s="110">
        <v>0</v>
      </c>
    </row>
    <row r="192" spans="1:73" x14ac:dyDescent="0.75">
      <c r="C192" s="270">
        <v>849</v>
      </c>
      <c r="D192" s="75" t="s">
        <v>357</v>
      </c>
      <c r="E192" s="75" t="s">
        <v>358</v>
      </c>
      <c r="F192" s="75" t="s">
        <v>359</v>
      </c>
      <c r="G192" s="75" t="s">
        <v>64</v>
      </c>
      <c r="H192" s="75">
        <v>18.368383000000001</v>
      </c>
      <c r="I192" s="75">
        <v>-64.751450000000006</v>
      </c>
      <c r="J192" s="81">
        <v>44854</v>
      </c>
      <c r="K192" s="75" t="s">
        <v>361</v>
      </c>
      <c r="L192" s="75" t="s">
        <v>360</v>
      </c>
      <c r="M192" s="75">
        <v>0</v>
      </c>
      <c r="N192" s="75">
        <v>2</v>
      </c>
      <c r="O192" s="75" t="s">
        <v>362</v>
      </c>
      <c r="P192" s="88">
        <f>SUM(TreatmentUsed!E2618)</f>
        <v>3</v>
      </c>
      <c r="Q192" s="75">
        <f>318/4</f>
        <v>79.5</v>
      </c>
      <c r="R192" s="75">
        <v>0</v>
      </c>
      <c r="S192" s="75">
        <v>0</v>
      </c>
      <c r="T192" s="75">
        <v>0</v>
      </c>
      <c r="U192" s="75">
        <v>0</v>
      </c>
      <c r="V192" s="75">
        <v>0</v>
      </c>
      <c r="W192" s="75">
        <v>0</v>
      </c>
      <c r="X192" s="75">
        <v>0</v>
      </c>
      <c r="Y192" s="75">
        <v>0</v>
      </c>
      <c r="Z192" s="75">
        <v>0</v>
      </c>
      <c r="AA192" s="75">
        <v>0</v>
      </c>
      <c r="AB192" s="75">
        <v>0</v>
      </c>
      <c r="AC192" s="75">
        <v>0</v>
      </c>
      <c r="AD192" s="75">
        <v>0</v>
      </c>
      <c r="AE192" s="75">
        <v>0</v>
      </c>
      <c r="AF192" s="75">
        <v>0</v>
      </c>
      <c r="AG192" s="75">
        <v>0</v>
      </c>
      <c r="AH192" s="75">
        <v>0</v>
      </c>
      <c r="AI192" s="75">
        <v>0</v>
      </c>
      <c r="AJ192" s="75">
        <v>0</v>
      </c>
      <c r="AK192" s="75">
        <v>0</v>
      </c>
      <c r="AL192" s="75">
        <v>0</v>
      </c>
      <c r="AM192" s="75">
        <v>0</v>
      </c>
      <c r="AN192" s="75">
        <v>0</v>
      </c>
      <c r="AO192" s="75">
        <v>0</v>
      </c>
      <c r="AP192" s="75">
        <v>0</v>
      </c>
      <c r="AQ192" s="75">
        <v>0</v>
      </c>
      <c r="AR192" s="75">
        <v>0</v>
      </c>
      <c r="AS192" s="75">
        <v>0</v>
      </c>
      <c r="AT192" s="75">
        <v>0</v>
      </c>
      <c r="AU192" s="75">
        <v>0</v>
      </c>
      <c r="AV192" s="75">
        <v>0</v>
      </c>
      <c r="AW192" s="75">
        <v>0</v>
      </c>
      <c r="AX192" s="75">
        <v>0</v>
      </c>
      <c r="AY192" s="75">
        <v>0</v>
      </c>
      <c r="AZ192" s="75">
        <v>0</v>
      </c>
      <c r="BA192" s="75">
        <v>0</v>
      </c>
      <c r="BB192" s="75">
        <v>0</v>
      </c>
      <c r="BC192" s="75">
        <v>1</v>
      </c>
      <c r="BD192" s="75">
        <v>0</v>
      </c>
      <c r="BE192" s="75">
        <v>0</v>
      </c>
      <c r="BF192" s="75">
        <v>0</v>
      </c>
      <c r="BG192" s="75">
        <v>0</v>
      </c>
      <c r="BH192" s="75">
        <v>0</v>
      </c>
      <c r="BM192" s="75">
        <f t="shared" si="26"/>
        <v>0</v>
      </c>
      <c r="BN192" s="75">
        <f t="shared" si="27"/>
        <v>0</v>
      </c>
      <c r="BO192" s="75">
        <f t="shared" si="23"/>
        <v>1</v>
      </c>
      <c r="BP192" s="75">
        <f t="shared" si="24"/>
        <v>1</v>
      </c>
      <c r="BR192" s="138" t="s">
        <v>509</v>
      </c>
      <c r="BT192" s="110">
        <v>0</v>
      </c>
    </row>
    <row r="193" spans="1:74" x14ac:dyDescent="0.75">
      <c r="C193" s="270">
        <v>850</v>
      </c>
      <c r="D193" s="75" t="s">
        <v>357</v>
      </c>
      <c r="E193" s="75" t="s">
        <v>358</v>
      </c>
      <c r="F193" s="75" t="s">
        <v>359</v>
      </c>
      <c r="G193" s="75" t="s">
        <v>96</v>
      </c>
      <c r="H193" s="75">
        <v>18.309038942679699</v>
      </c>
      <c r="I193" s="75">
        <v>-64.723371360450898</v>
      </c>
      <c r="J193" s="81">
        <v>44859</v>
      </c>
      <c r="K193" s="75" t="s">
        <v>361</v>
      </c>
      <c r="L193" s="75" t="s">
        <v>360</v>
      </c>
      <c r="M193" s="75">
        <v>2</v>
      </c>
      <c r="N193" s="75">
        <v>2</v>
      </c>
      <c r="O193" s="75" t="s">
        <v>362</v>
      </c>
      <c r="P193" s="88">
        <f>SUM(TreatmentUsed!E2619:E2626)</f>
        <v>98</v>
      </c>
      <c r="Q193" s="75">
        <f>374/6</f>
        <v>62.333333333333336</v>
      </c>
      <c r="R193" s="75">
        <v>0</v>
      </c>
      <c r="S193" s="75">
        <v>0</v>
      </c>
      <c r="T193" s="75">
        <v>0</v>
      </c>
      <c r="U193" s="75">
        <v>0</v>
      </c>
      <c r="V193" s="75">
        <v>0</v>
      </c>
      <c r="W193" s="75">
        <v>0</v>
      </c>
      <c r="X193" s="75">
        <v>0</v>
      </c>
      <c r="Y193" s="75">
        <v>0</v>
      </c>
      <c r="Z193" s="75">
        <v>0</v>
      </c>
      <c r="AA193" s="75">
        <v>0</v>
      </c>
      <c r="AB193" s="75">
        <v>0</v>
      </c>
      <c r="AC193" s="75">
        <v>0</v>
      </c>
      <c r="AD193" s="75">
        <v>0</v>
      </c>
      <c r="AE193" s="75">
        <v>0</v>
      </c>
      <c r="AF193" s="75">
        <v>0</v>
      </c>
      <c r="AG193" s="75">
        <v>0</v>
      </c>
      <c r="AH193" s="75">
        <v>0</v>
      </c>
      <c r="AI193" s="75">
        <v>0</v>
      </c>
      <c r="AJ193" s="75">
        <v>0</v>
      </c>
      <c r="AK193" s="75">
        <v>0</v>
      </c>
      <c r="AL193" s="75">
        <v>0</v>
      </c>
      <c r="AM193" s="75">
        <v>0</v>
      </c>
      <c r="AN193" s="75">
        <v>0</v>
      </c>
      <c r="AO193" s="75">
        <v>1</v>
      </c>
      <c r="AP193" s="75">
        <v>0</v>
      </c>
      <c r="AQ193" s="75">
        <v>0</v>
      </c>
      <c r="AR193" s="75">
        <v>0</v>
      </c>
      <c r="AS193" s="75">
        <v>0</v>
      </c>
      <c r="AT193" s="75">
        <v>0</v>
      </c>
      <c r="AU193" s="75">
        <v>0</v>
      </c>
      <c r="AV193" s="75">
        <v>0</v>
      </c>
      <c r="AW193" s="75">
        <v>0</v>
      </c>
      <c r="AX193" s="75">
        <v>0</v>
      </c>
      <c r="AY193" s="75">
        <v>0</v>
      </c>
      <c r="AZ193" s="75">
        <v>4</v>
      </c>
      <c r="BA193" s="75">
        <v>3</v>
      </c>
      <c r="BB193" s="75">
        <v>0</v>
      </c>
      <c r="BC193" s="75">
        <v>0</v>
      </c>
      <c r="BD193" s="75">
        <v>0</v>
      </c>
      <c r="BE193" s="75">
        <v>0</v>
      </c>
      <c r="BF193" s="75">
        <v>0</v>
      </c>
      <c r="BG193" s="75">
        <v>0</v>
      </c>
      <c r="BH193" s="75">
        <v>0</v>
      </c>
      <c r="BM193" s="75">
        <f t="shared" si="26"/>
        <v>0</v>
      </c>
      <c r="BN193" s="75">
        <f t="shared" si="27"/>
        <v>0</v>
      </c>
      <c r="BO193" s="75">
        <f t="shared" si="23"/>
        <v>8</v>
      </c>
      <c r="BP193" s="75">
        <f t="shared" si="24"/>
        <v>8</v>
      </c>
      <c r="BQ193" s="80" t="s">
        <v>510</v>
      </c>
      <c r="BT193" s="110">
        <v>0</v>
      </c>
    </row>
    <row r="194" spans="1:74" x14ac:dyDescent="0.75">
      <c r="C194" s="270">
        <v>851</v>
      </c>
      <c r="D194" s="75" t="s">
        <v>357</v>
      </c>
      <c r="E194" s="75" t="s">
        <v>358</v>
      </c>
      <c r="F194" s="75" t="s">
        <v>359</v>
      </c>
      <c r="G194" s="75" t="s">
        <v>96</v>
      </c>
      <c r="H194" s="75">
        <v>18.309038942679699</v>
      </c>
      <c r="I194" s="75">
        <v>-64.723371360450898</v>
      </c>
      <c r="J194" s="81">
        <v>44859</v>
      </c>
      <c r="K194" s="75" t="s">
        <v>361</v>
      </c>
      <c r="L194" s="75" t="s">
        <v>360</v>
      </c>
      <c r="M194" s="75">
        <v>1</v>
      </c>
      <c r="N194" s="75">
        <v>2</v>
      </c>
      <c r="O194" s="75" t="s">
        <v>362</v>
      </c>
      <c r="P194" s="88">
        <f>SUM(TreatmentUsed!E2627:E2632)</f>
        <v>42</v>
      </c>
      <c r="Q194" s="75">
        <f>374/6</f>
        <v>62.333333333333336</v>
      </c>
      <c r="R194" s="75">
        <v>0</v>
      </c>
      <c r="S194" s="75">
        <v>0</v>
      </c>
      <c r="T194" s="75">
        <v>0</v>
      </c>
      <c r="U194" s="75">
        <v>0</v>
      </c>
      <c r="V194" s="75">
        <v>0</v>
      </c>
      <c r="W194" s="75">
        <v>0</v>
      </c>
      <c r="X194" s="75">
        <v>0</v>
      </c>
      <c r="Y194" s="75">
        <v>0</v>
      </c>
      <c r="Z194" s="75">
        <v>0</v>
      </c>
      <c r="AA194" s="75">
        <v>0</v>
      </c>
      <c r="AB194" s="75">
        <v>0</v>
      </c>
      <c r="AC194" s="75">
        <v>0</v>
      </c>
      <c r="AD194" s="75">
        <v>0</v>
      </c>
      <c r="AE194" s="75">
        <v>0</v>
      </c>
      <c r="AF194" s="75">
        <v>0</v>
      </c>
      <c r="AG194" s="75">
        <v>0</v>
      </c>
      <c r="AH194" s="75">
        <v>0</v>
      </c>
      <c r="AI194" s="75">
        <v>0</v>
      </c>
      <c r="AJ194" s="75">
        <v>0</v>
      </c>
      <c r="AK194" s="75">
        <v>0</v>
      </c>
      <c r="AL194" s="75">
        <v>0</v>
      </c>
      <c r="AM194" s="75">
        <v>0</v>
      </c>
      <c r="AN194" s="75">
        <v>0</v>
      </c>
      <c r="AO194" s="75">
        <v>0</v>
      </c>
      <c r="AP194" s="75">
        <v>0</v>
      </c>
      <c r="AQ194" s="75">
        <v>0</v>
      </c>
      <c r="AR194" s="75">
        <v>0</v>
      </c>
      <c r="AS194" s="75">
        <v>0</v>
      </c>
      <c r="AT194" s="75">
        <v>0</v>
      </c>
      <c r="AU194" s="75">
        <v>0</v>
      </c>
      <c r="AV194" s="75">
        <v>0</v>
      </c>
      <c r="AW194" s="75">
        <v>0</v>
      </c>
      <c r="AX194" s="75">
        <v>0</v>
      </c>
      <c r="AY194" s="75">
        <v>1</v>
      </c>
      <c r="AZ194" s="84">
        <v>3</v>
      </c>
      <c r="BA194" s="84">
        <v>1</v>
      </c>
      <c r="BB194" s="75">
        <v>0</v>
      </c>
      <c r="BC194" s="75">
        <v>0</v>
      </c>
      <c r="BD194" s="75">
        <v>0</v>
      </c>
      <c r="BE194" s="75">
        <v>0</v>
      </c>
      <c r="BF194" s="75">
        <v>1</v>
      </c>
      <c r="BG194" s="75">
        <v>0</v>
      </c>
      <c r="BH194" s="75">
        <v>0</v>
      </c>
      <c r="BM194" s="75">
        <f t="shared" si="26"/>
        <v>0</v>
      </c>
      <c r="BN194" s="75">
        <f t="shared" si="27"/>
        <v>0</v>
      </c>
      <c r="BO194" s="75">
        <f t="shared" si="23"/>
        <v>6</v>
      </c>
      <c r="BP194" s="75">
        <f t="shared" si="24"/>
        <v>6</v>
      </c>
      <c r="BQ194" s="80" t="s">
        <v>511</v>
      </c>
      <c r="BT194" s="110">
        <v>0</v>
      </c>
    </row>
    <row r="195" spans="1:74" x14ac:dyDescent="0.75">
      <c r="C195" s="270">
        <v>852</v>
      </c>
      <c r="D195" s="75" t="s">
        <v>357</v>
      </c>
      <c r="E195" s="75" t="s">
        <v>358</v>
      </c>
      <c r="F195" s="75" t="s">
        <v>359</v>
      </c>
      <c r="G195" s="75" t="s">
        <v>28</v>
      </c>
      <c r="H195" s="75">
        <v>18.315639999999998</v>
      </c>
      <c r="I195" s="75">
        <v>-64.725899999999996</v>
      </c>
      <c r="J195" s="81">
        <v>44859</v>
      </c>
      <c r="K195" s="75" t="s">
        <v>361</v>
      </c>
      <c r="L195" s="75" t="s">
        <v>360</v>
      </c>
      <c r="M195" s="75">
        <v>0</v>
      </c>
      <c r="N195" s="75">
        <v>2</v>
      </c>
      <c r="O195" s="75" t="s">
        <v>362</v>
      </c>
      <c r="P195" s="88">
        <f>SUM(TreatmentUsed!E2633:E2635)</f>
        <v>12</v>
      </c>
      <c r="Q195" s="75">
        <f>374/6</f>
        <v>62.333333333333336</v>
      </c>
      <c r="R195" s="75">
        <v>0</v>
      </c>
      <c r="S195" s="75">
        <v>0</v>
      </c>
      <c r="T195" s="75">
        <v>0</v>
      </c>
      <c r="U195" s="75">
        <v>0</v>
      </c>
      <c r="V195" s="75">
        <v>0</v>
      </c>
      <c r="W195" s="75">
        <v>0</v>
      </c>
      <c r="X195" s="75">
        <v>0</v>
      </c>
      <c r="Y195" s="75">
        <v>0</v>
      </c>
      <c r="Z195" s="75">
        <v>0</v>
      </c>
      <c r="AA195" s="75">
        <v>0</v>
      </c>
      <c r="AB195" s="75">
        <v>0</v>
      </c>
      <c r="AC195" s="75">
        <v>0</v>
      </c>
      <c r="AD195" s="75">
        <v>0</v>
      </c>
      <c r="AE195" s="75">
        <v>0</v>
      </c>
      <c r="AF195" s="75">
        <v>0</v>
      </c>
      <c r="AG195" s="75">
        <v>0</v>
      </c>
      <c r="AH195" s="75">
        <v>0</v>
      </c>
      <c r="AI195" s="75">
        <v>0</v>
      </c>
      <c r="AJ195" s="75">
        <v>0</v>
      </c>
      <c r="AK195" s="75">
        <v>0</v>
      </c>
      <c r="AL195" s="75">
        <v>0</v>
      </c>
      <c r="AM195" s="75">
        <v>0</v>
      </c>
      <c r="AN195" s="75">
        <v>0</v>
      </c>
      <c r="AO195" s="75">
        <v>0</v>
      </c>
      <c r="AP195" s="75">
        <v>0</v>
      </c>
      <c r="AQ195" s="75">
        <v>1</v>
      </c>
      <c r="AR195" s="75">
        <v>0</v>
      </c>
      <c r="AS195" s="75">
        <v>0</v>
      </c>
      <c r="AT195" s="75">
        <v>0</v>
      </c>
      <c r="AU195" s="75">
        <v>0</v>
      </c>
      <c r="AV195" s="75">
        <v>0</v>
      </c>
      <c r="AW195" s="75">
        <v>0</v>
      </c>
      <c r="AX195" s="75">
        <v>0</v>
      </c>
      <c r="AY195" s="75">
        <v>0</v>
      </c>
      <c r="AZ195" s="75">
        <v>0</v>
      </c>
      <c r="BA195" s="75">
        <v>2</v>
      </c>
      <c r="BB195" s="75">
        <v>0</v>
      </c>
      <c r="BC195" s="75">
        <v>0</v>
      </c>
      <c r="BD195" s="75">
        <v>0</v>
      </c>
      <c r="BE195" s="75">
        <v>0</v>
      </c>
      <c r="BF195" s="75">
        <v>0</v>
      </c>
      <c r="BG195" s="75">
        <v>0</v>
      </c>
      <c r="BH195" s="75">
        <v>0</v>
      </c>
      <c r="BL195" s="80"/>
      <c r="BM195" s="75">
        <f t="shared" si="26"/>
        <v>0</v>
      </c>
      <c r="BN195" s="75">
        <f t="shared" si="27"/>
        <v>0</v>
      </c>
      <c r="BO195" s="75">
        <f t="shared" ref="BO195:BO226" si="28">SUM(AO195:BH195)</f>
        <v>3</v>
      </c>
      <c r="BP195" s="75">
        <f t="shared" ref="BP195:BP208" si="29">SUM(R195:BH195)</f>
        <v>3</v>
      </c>
      <c r="BR195" s="257">
        <v>4190</v>
      </c>
      <c r="BS195" s="113"/>
      <c r="BT195" s="110">
        <v>0</v>
      </c>
      <c r="BU195" s="80"/>
    </row>
    <row r="196" spans="1:74" x14ac:dyDescent="0.75">
      <c r="C196" s="270">
        <v>853</v>
      </c>
      <c r="D196" s="75" t="s">
        <v>357</v>
      </c>
      <c r="E196" s="75" t="s">
        <v>358</v>
      </c>
      <c r="F196" s="75" t="s">
        <v>359</v>
      </c>
      <c r="G196" s="75" t="s">
        <v>28</v>
      </c>
      <c r="H196" s="75">
        <v>18.315639999999998</v>
      </c>
      <c r="I196" s="75">
        <v>-64.725899999999996</v>
      </c>
      <c r="J196" s="81">
        <v>44859</v>
      </c>
      <c r="K196" s="75" t="s">
        <v>361</v>
      </c>
      <c r="L196" s="75" t="s">
        <v>360</v>
      </c>
      <c r="M196" s="75">
        <v>0</v>
      </c>
      <c r="N196" s="75">
        <v>2</v>
      </c>
      <c r="O196" s="75" t="s">
        <v>362</v>
      </c>
      <c r="P196" s="88">
        <f>SUM(TreatmentUsed!E2636:E2643)</f>
        <v>56</v>
      </c>
      <c r="Q196" s="75">
        <f>374/6</f>
        <v>62.333333333333336</v>
      </c>
      <c r="R196" s="75">
        <v>0</v>
      </c>
      <c r="S196" s="75">
        <v>0</v>
      </c>
      <c r="T196" s="75">
        <v>0</v>
      </c>
      <c r="U196" s="75">
        <v>0</v>
      </c>
      <c r="V196" s="75">
        <v>0</v>
      </c>
      <c r="W196" s="75">
        <v>0</v>
      </c>
      <c r="X196" s="75">
        <v>0</v>
      </c>
      <c r="Y196" s="75">
        <v>0</v>
      </c>
      <c r="Z196" s="75">
        <v>0</v>
      </c>
      <c r="AA196" s="75">
        <v>0</v>
      </c>
      <c r="AB196" s="75">
        <v>0</v>
      </c>
      <c r="AC196" s="75">
        <v>0</v>
      </c>
      <c r="AD196" s="75">
        <v>0</v>
      </c>
      <c r="AE196" s="75">
        <v>0</v>
      </c>
      <c r="AF196" s="75">
        <v>0</v>
      </c>
      <c r="AG196" s="75">
        <v>0</v>
      </c>
      <c r="AH196" s="75">
        <v>0</v>
      </c>
      <c r="AI196" s="75">
        <v>0</v>
      </c>
      <c r="AJ196" s="75">
        <v>0</v>
      </c>
      <c r="AK196" s="75">
        <v>0</v>
      </c>
      <c r="AL196" s="75">
        <v>0</v>
      </c>
      <c r="AM196" s="75">
        <v>0</v>
      </c>
      <c r="AN196" s="75">
        <v>0</v>
      </c>
      <c r="AO196" s="75">
        <v>0</v>
      </c>
      <c r="AP196" s="75">
        <v>0</v>
      </c>
      <c r="AQ196" s="75">
        <v>2</v>
      </c>
      <c r="AR196" s="75">
        <v>0</v>
      </c>
      <c r="AS196" s="75">
        <v>1</v>
      </c>
      <c r="AT196" s="75">
        <v>4</v>
      </c>
      <c r="AU196" s="75">
        <v>0</v>
      </c>
      <c r="AV196" s="75">
        <v>0</v>
      </c>
      <c r="AW196" s="75">
        <v>0</v>
      </c>
      <c r="AX196" s="75">
        <v>0</v>
      </c>
      <c r="AY196" s="75">
        <v>0</v>
      </c>
      <c r="AZ196" s="75">
        <v>0</v>
      </c>
      <c r="BA196" s="75">
        <v>1</v>
      </c>
      <c r="BB196" s="75">
        <v>0</v>
      </c>
      <c r="BC196" s="75">
        <v>0</v>
      </c>
      <c r="BD196" s="75">
        <v>0</v>
      </c>
      <c r="BE196" s="75">
        <v>0</v>
      </c>
      <c r="BF196" s="75">
        <v>0</v>
      </c>
      <c r="BG196" s="75">
        <v>0</v>
      </c>
      <c r="BH196" s="75">
        <v>0</v>
      </c>
      <c r="BM196" s="75">
        <f t="shared" si="26"/>
        <v>0</v>
      </c>
      <c r="BN196" s="75">
        <f t="shared" si="27"/>
        <v>0</v>
      </c>
      <c r="BO196" s="75">
        <f t="shared" si="28"/>
        <v>8</v>
      </c>
      <c r="BP196" s="75">
        <f t="shared" si="29"/>
        <v>8</v>
      </c>
      <c r="BR196" s="252" t="s">
        <v>512</v>
      </c>
      <c r="BT196" s="110">
        <v>0</v>
      </c>
    </row>
    <row r="197" spans="1:74" s="205" customFormat="1" x14ac:dyDescent="0.75">
      <c r="A197" s="232"/>
      <c r="B197" s="235"/>
      <c r="C197" s="272">
        <v>856</v>
      </c>
      <c r="D197" s="225" t="s">
        <v>357</v>
      </c>
      <c r="E197" s="225" t="s">
        <v>358</v>
      </c>
      <c r="F197" s="225" t="s">
        <v>359</v>
      </c>
      <c r="G197" s="225" t="s">
        <v>69</v>
      </c>
      <c r="H197" s="225">
        <v>18.343233000000001</v>
      </c>
      <c r="I197" s="225">
        <v>-64.687667000000005</v>
      </c>
      <c r="J197" s="234">
        <v>44867</v>
      </c>
      <c r="K197" s="225" t="s">
        <v>361</v>
      </c>
      <c r="L197" s="225" t="s">
        <v>360</v>
      </c>
      <c r="M197" s="225">
        <v>0</v>
      </c>
      <c r="N197" s="225">
        <v>2</v>
      </c>
      <c r="O197" s="225" t="s">
        <v>362</v>
      </c>
      <c r="P197" s="236">
        <f>SUM(TreatmentUsed!E2644:E2646)</f>
        <v>15</v>
      </c>
      <c r="Q197" s="225">
        <v>0</v>
      </c>
      <c r="R197" s="225">
        <v>0</v>
      </c>
      <c r="S197" s="225">
        <v>0</v>
      </c>
      <c r="T197" s="225">
        <v>0</v>
      </c>
      <c r="U197" s="225">
        <v>0</v>
      </c>
      <c r="V197" s="225">
        <v>0</v>
      </c>
      <c r="W197" s="225">
        <v>0</v>
      </c>
      <c r="X197" s="225">
        <v>0</v>
      </c>
      <c r="Y197" s="225">
        <v>0</v>
      </c>
      <c r="Z197" s="225">
        <v>0</v>
      </c>
      <c r="AA197" s="225">
        <v>0</v>
      </c>
      <c r="AB197" s="225">
        <v>0</v>
      </c>
      <c r="AC197" s="225">
        <v>0</v>
      </c>
      <c r="AD197" s="225">
        <v>0</v>
      </c>
      <c r="AE197" s="225">
        <v>0</v>
      </c>
      <c r="AF197" s="225">
        <v>0</v>
      </c>
      <c r="AG197" s="225">
        <v>0</v>
      </c>
      <c r="AH197" s="225">
        <v>0</v>
      </c>
      <c r="AI197" s="225">
        <v>0</v>
      </c>
      <c r="AJ197" s="225">
        <v>0</v>
      </c>
      <c r="AK197" s="225">
        <v>0</v>
      </c>
      <c r="AL197" s="225">
        <v>0</v>
      </c>
      <c r="AM197" s="225">
        <v>0</v>
      </c>
      <c r="AN197" s="225">
        <v>0</v>
      </c>
      <c r="AO197" s="225">
        <v>0</v>
      </c>
      <c r="AP197" s="225">
        <v>0</v>
      </c>
      <c r="AQ197" s="225">
        <v>0</v>
      </c>
      <c r="AR197" s="225">
        <v>0</v>
      </c>
      <c r="AS197" s="225">
        <v>0</v>
      </c>
      <c r="AT197" s="225">
        <v>0</v>
      </c>
      <c r="AU197" s="225">
        <v>0</v>
      </c>
      <c r="AV197" s="225">
        <v>0</v>
      </c>
      <c r="AW197" s="225">
        <v>0</v>
      </c>
      <c r="AX197" s="225">
        <v>0</v>
      </c>
      <c r="AY197" s="225">
        <v>1</v>
      </c>
      <c r="AZ197" s="233">
        <v>0</v>
      </c>
      <c r="BA197" s="233">
        <v>1</v>
      </c>
      <c r="BB197" s="225">
        <v>0</v>
      </c>
      <c r="BC197" s="225">
        <v>1</v>
      </c>
      <c r="BD197" s="225">
        <v>0</v>
      </c>
      <c r="BE197" s="225">
        <v>0</v>
      </c>
      <c r="BF197" s="225">
        <v>0</v>
      </c>
      <c r="BG197" s="225">
        <v>0</v>
      </c>
      <c r="BH197" s="225">
        <v>0</v>
      </c>
      <c r="BI197" s="225"/>
      <c r="BJ197" s="225"/>
      <c r="BK197" s="225"/>
      <c r="BL197" s="225"/>
      <c r="BM197" s="225">
        <f t="shared" si="26"/>
        <v>0</v>
      </c>
      <c r="BN197" s="225">
        <f t="shared" si="27"/>
        <v>0</v>
      </c>
      <c r="BO197" s="225">
        <f t="shared" si="28"/>
        <v>3</v>
      </c>
      <c r="BP197" s="225">
        <f t="shared" si="29"/>
        <v>3</v>
      </c>
      <c r="BQ197" s="229"/>
      <c r="BR197" s="249" t="s">
        <v>513</v>
      </c>
      <c r="BS197" s="230"/>
      <c r="BT197" s="110">
        <v>0</v>
      </c>
      <c r="BU197" s="225"/>
      <c r="BV197" s="225"/>
    </row>
    <row r="198" spans="1:74" x14ac:dyDescent="0.75">
      <c r="C198" s="270">
        <v>857</v>
      </c>
      <c r="D198" s="75" t="s">
        <v>357</v>
      </c>
      <c r="E198" s="75" t="s">
        <v>358</v>
      </c>
      <c r="F198" s="75" t="s">
        <v>359</v>
      </c>
      <c r="G198" s="75" t="s">
        <v>69</v>
      </c>
      <c r="H198" s="75">
        <v>18.343233000000001</v>
      </c>
      <c r="I198" s="75">
        <v>-64.687667000000005</v>
      </c>
      <c r="J198" s="81">
        <v>44867</v>
      </c>
      <c r="K198" s="75" t="s">
        <v>361</v>
      </c>
      <c r="L198" s="75" t="s">
        <v>360</v>
      </c>
      <c r="M198" s="75">
        <v>0</v>
      </c>
      <c r="N198" s="75">
        <v>2</v>
      </c>
      <c r="O198" s="75" t="s">
        <v>362</v>
      </c>
      <c r="P198" s="88">
        <f>SUM(TreatmentUsed!E2647:E2654)</f>
        <v>80</v>
      </c>
      <c r="Q198" s="75">
        <v>0</v>
      </c>
      <c r="R198" s="75">
        <v>0</v>
      </c>
      <c r="S198" s="75">
        <v>0</v>
      </c>
      <c r="T198" s="75">
        <v>0</v>
      </c>
      <c r="U198" s="75">
        <v>0</v>
      </c>
      <c r="V198" s="75">
        <v>0</v>
      </c>
      <c r="W198" s="75">
        <v>0</v>
      </c>
      <c r="X198" s="75">
        <v>0</v>
      </c>
      <c r="Y198" s="75">
        <v>0</v>
      </c>
      <c r="Z198" s="75">
        <v>0</v>
      </c>
      <c r="AA198" s="75">
        <v>0</v>
      </c>
      <c r="AB198" s="75">
        <v>0</v>
      </c>
      <c r="AC198" s="75">
        <v>0</v>
      </c>
      <c r="AD198" s="75">
        <v>0</v>
      </c>
      <c r="AE198" s="75">
        <v>0</v>
      </c>
      <c r="AF198" s="75">
        <v>0</v>
      </c>
      <c r="AG198" s="75">
        <v>0</v>
      </c>
      <c r="AH198" s="75">
        <v>0</v>
      </c>
      <c r="AI198" s="75">
        <v>0</v>
      </c>
      <c r="AJ198" s="75">
        <v>0</v>
      </c>
      <c r="AK198" s="75">
        <v>0</v>
      </c>
      <c r="AL198" s="75">
        <v>0</v>
      </c>
      <c r="AM198" s="75">
        <v>0</v>
      </c>
      <c r="AN198" s="75">
        <v>0</v>
      </c>
      <c r="AO198" s="75">
        <v>1</v>
      </c>
      <c r="AP198" s="75">
        <v>0</v>
      </c>
      <c r="AQ198" s="75">
        <v>0</v>
      </c>
      <c r="AR198" s="75">
        <v>1</v>
      </c>
      <c r="AS198" s="75">
        <v>0</v>
      </c>
      <c r="AT198" s="75">
        <v>0</v>
      </c>
      <c r="AU198" s="75">
        <v>0</v>
      </c>
      <c r="AV198" s="75">
        <v>0</v>
      </c>
      <c r="AW198" s="75">
        <v>0</v>
      </c>
      <c r="AX198" s="75">
        <v>0</v>
      </c>
      <c r="AY198" s="75">
        <v>0</v>
      </c>
      <c r="AZ198" s="84">
        <v>4</v>
      </c>
      <c r="BA198" s="84">
        <v>2</v>
      </c>
      <c r="BB198" s="75">
        <v>0</v>
      </c>
      <c r="BC198" s="75">
        <v>0</v>
      </c>
      <c r="BD198" s="75">
        <v>0</v>
      </c>
      <c r="BE198" s="75">
        <v>0</v>
      </c>
      <c r="BF198" s="75">
        <v>0</v>
      </c>
      <c r="BG198" s="75">
        <v>0</v>
      </c>
      <c r="BH198" s="75">
        <v>0</v>
      </c>
      <c r="BM198" s="75">
        <f t="shared" si="26"/>
        <v>0</v>
      </c>
      <c r="BN198" s="75">
        <f t="shared" si="27"/>
        <v>0</v>
      </c>
      <c r="BO198" s="75">
        <f t="shared" si="28"/>
        <v>8</v>
      </c>
      <c r="BP198" s="75">
        <f t="shared" si="29"/>
        <v>8</v>
      </c>
      <c r="BR198" s="138" t="s">
        <v>514</v>
      </c>
      <c r="BT198" s="110">
        <v>0</v>
      </c>
    </row>
    <row r="199" spans="1:74" x14ac:dyDescent="0.75">
      <c r="C199" s="270">
        <v>858</v>
      </c>
      <c r="D199" s="75" t="s">
        <v>357</v>
      </c>
      <c r="E199" s="75" t="s">
        <v>358</v>
      </c>
      <c r="F199" s="75" t="s">
        <v>359</v>
      </c>
      <c r="G199" s="75" t="s">
        <v>69</v>
      </c>
      <c r="H199" s="75">
        <v>18.343233000000001</v>
      </c>
      <c r="I199" s="75">
        <v>-64.687667000000005</v>
      </c>
      <c r="J199" s="81">
        <v>44867</v>
      </c>
      <c r="K199" s="75" t="s">
        <v>361</v>
      </c>
      <c r="L199" s="75" t="s">
        <v>360</v>
      </c>
      <c r="M199" s="75">
        <v>0</v>
      </c>
      <c r="N199" s="75">
        <v>2</v>
      </c>
      <c r="O199" s="75" t="s">
        <v>362</v>
      </c>
      <c r="P199" s="88">
        <f>SUM(TreatmentUsed!E2655:E2668)</f>
        <v>192</v>
      </c>
      <c r="Q199" s="75">
        <v>0</v>
      </c>
      <c r="R199" s="75">
        <v>0</v>
      </c>
      <c r="S199" s="75">
        <v>0</v>
      </c>
      <c r="T199" s="75">
        <v>0</v>
      </c>
      <c r="U199" s="75">
        <v>0</v>
      </c>
      <c r="V199" s="75">
        <v>0</v>
      </c>
      <c r="W199" s="75">
        <v>0</v>
      </c>
      <c r="X199" s="75">
        <v>0</v>
      </c>
      <c r="Y199" s="75">
        <v>0</v>
      </c>
      <c r="Z199" s="75">
        <v>0</v>
      </c>
      <c r="AA199" s="75">
        <v>0</v>
      </c>
      <c r="AB199" s="75">
        <v>0</v>
      </c>
      <c r="AC199" s="75">
        <v>0</v>
      </c>
      <c r="AD199" s="75">
        <v>0</v>
      </c>
      <c r="AE199" s="75">
        <v>0</v>
      </c>
      <c r="AF199" s="75">
        <v>0</v>
      </c>
      <c r="AG199" s="75">
        <v>0</v>
      </c>
      <c r="AH199" s="75">
        <v>0</v>
      </c>
      <c r="AI199" s="75">
        <v>0</v>
      </c>
      <c r="AJ199" s="75">
        <v>0</v>
      </c>
      <c r="AK199" s="75">
        <v>0</v>
      </c>
      <c r="AL199" s="75">
        <v>0</v>
      </c>
      <c r="AM199" s="75">
        <v>0</v>
      </c>
      <c r="AN199" s="75">
        <v>0</v>
      </c>
      <c r="AO199" s="75">
        <v>0</v>
      </c>
      <c r="AP199" s="75">
        <v>0</v>
      </c>
      <c r="AQ199" s="75">
        <v>0</v>
      </c>
      <c r="AR199" s="75">
        <v>3</v>
      </c>
      <c r="AS199" s="75">
        <v>0</v>
      </c>
      <c r="AT199" s="75">
        <v>0</v>
      </c>
      <c r="AU199" s="75">
        <v>0</v>
      </c>
      <c r="AV199" s="75">
        <v>0</v>
      </c>
      <c r="AW199" s="75">
        <v>0</v>
      </c>
      <c r="AX199" s="75">
        <v>0</v>
      </c>
      <c r="AY199" s="75">
        <v>0</v>
      </c>
      <c r="AZ199" s="84">
        <v>5</v>
      </c>
      <c r="BA199" s="84">
        <v>1</v>
      </c>
      <c r="BB199" s="75">
        <v>0</v>
      </c>
      <c r="BC199" s="75">
        <v>4</v>
      </c>
      <c r="BD199" s="75">
        <v>0</v>
      </c>
      <c r="BE199" s="75">
        <v>1</v>
      </c>
      <c r="BF199" s="75">
        <v>0</v>
      </c>
      <c r="BG199" s="75">
        <v>0</v>
      </c>
      <c r="BH199" s="75">
        <v>0</v>
      </c>
      <c r="BM199" s="75">
        <f t="shared" si="26"/>
        <v>0</v>
      </c>
      <c r="BN199" s="75">
        <f t="shared" si="27"/>
        <v>0</v>
      </c>
      <c r="BO199" s="75">
        <f t="shared" si="28"/>
        <v>14</v>
      </c>
      <c r="BP199" s="75">
        <f t="shared" si="29"/>
        <v>14</v>
      </c>
      <c r="BT199" s="110">
        <v>0</v>
      </c>
    </row>
    <row r="200" spans="1:74" x14ac:dyDescent="0.75">
      <c r="C200" s="270">
        <v>859</v>
      </c>
      <c r="D200" s="75" t="s">
        <v>357</v>
      </c>
      <c r="E200" s="75" t="s">
        <v>358</v>
      </c>
      <c r="F200" s="75" t="s">
        <v>359</v>
      </c>
      <c r="G200" s="75" t="s">
        <v>48</v>
      </c>
      <c r="H200" s="75">
        <v>18.363399999999999</v>
      </c>
      <c r="I200" s="75">
        <v>-64.706067000000004</v>
      </c>
      <c r="J200" s="81">
        <v>44868</v>
      </c>
      <c r="K200" s="75" t="s">
        <v>361</v>
      </c>
      <c r="L200" s="75" t="s">
        <v>360</v>
      </c>
      <c r="M200" s="75">
        <v>0</v>
      </c>
      <c r="N200" s="75">
        <v>3</v>
      </c>
      <c r="O200" s="75" t="s">
        <v>362</v>
      </c>
      <c r="P200" s="88">
        <f>SUM(TreatmentUsed!E2669:E2676)</f>
        <v>64</v>
      </c>
      <c r="Q200" s="75">
        <f>74/3</f>
        <v>24.666666666666668</v>
      </c>
      <c r="R200" s="75">
        <v>0</v>
      </c>
      <c r="S200" s="75">
        <v>0</v>
      </c>
      <c r="T200" s="75">
        <v>0</v>
      </c>
      <c r="U200" s="75">
        <v>0</v>
      </c>
      <c r="V200" s="75">
        <v>0</v>
      </c>
      <c r="W200" s="75">
        <v>0</v>
      </c>
      <c r="X200" s="75">
        <v>0</v>
      </c>
      <c r="Y200" s="75">
        <v>0</v>
      </c>
      <c r="Z200" s="75">
        <v>0</v>
      </c>
      <c r="AA200" s="75">
        <v>0</v>
      </c>
      <c r="AB200" s="75">
        <v>0</v>
      </c>
      <c r="AC200" s="75">
        <v>0</v>
      </c>
      <c r="AD200" s="75">
        <v>0</v>
      </c>
      <c r="AE200" s="75">
        <v>0</v>
      </c>
      <c r="AF200" s="75">
        <v>0</v>
      </c>
      <c r="AG200" s="75">
        <v>0</v>
      </c>
      <c r="AH200" s="75">
        <v>0</v>
      </c>
      <c r="AI200" s="75">
        <v>0</v>
      </c>
      <c r="AJ200" s="75">
        <v>0</v>
      </c>
      <c r="AK200" s="75">
        <v>0</v>
      </c>
      <c r="AL200" s="75">
        <v>0</v>
      </c>
      <c r="AM200" s="75">
        <v>0</v>
      </c>
      <c r="AN200" s="75">
        <v>0</v>
      </c>
      <c r="AO200" s="75">
        <v>0</v>
      </c>
      <c r="AP200" s="75">
        <v>0</v>
      </c>
      <c r="AQ200" s="75">
        <v>0</v>
      </c>
      <c r="AR200" s="75">
        <v>0</v>
      </c>
      <c r="AS200" s="75">
        <v>0</v>
      </c>
      <c r="AT200" s="75">
        <v>0</v>
      </c>
      <c r="AU200" s="75">
        <v>0</v>
      </c>
      <c r="AV200" s="75">
        <v>0</v>
      </c>
      <c r="AW200" s="75">
        <v>0</v>
      </c>
      <c r="AX200" s="75">
        <v>0</v>
      </c>
      <c r="AY200" s="84">
        <v>1</v>
      </c>
      <c r="AZ200" s="75">
        <v>0</v>
      </c>
      <c r="BA200" s="84">
        <v>5</v>
      </c>
      <c r="BB200" s="75">
        <v>0</v>
      </c>
      <c r="BC200" s="84">
        <v>0</v>
      </c>
      <c r="BD200" s="75">
        <v>0</v>
      </c>
      <c r="BE200" s="75">
        <v>0</v>
      </c>
      <c r="BF200" s="75">
        <v>2</v>
      </c>
      <c r="BG200" s="75">
        <v>0</v>
      </c>
      <c r="BH200" s="75">
        <v>0</v>
      </c>
      <c r="BM200" s="75">
        <f t="shared" si="26"/>
        <v>0</v>
      </c>
      <c r="BN200" s="75">
        <f t="shared" si="27"/>
        <v>0</v>
      </c>
      <c r="BO200" s="75">
        <f t="shared" si="28"/>
        <v>8</v>
      </c>
      <c r="BP200" s="84">
        <f t="shared" si="29"/>
        <v>8</v>
      </c>
      <c r="BT200" s="110">
        <v>0</v>
      </c>
    </row>
    <row r="201" spans="1:74" x14ac:dyDescent="0.75">
      <c r="C201" s="270">
        <v>860</v>
      </c>
      <c r="D201" s="75" t="s">
        <v>357</v>
      </c>
      <c r="E201" s="75" t="s">
        <v>358</v>
      </c>
      <c r="F201" s="75" t="s">
        <v>359</v>
      </c>
      <c r="G201" s="75" t="s">
        <v>44</v>
      </c>
      <c r="H201" s="75">
        <v>18.364650000000001</v>
      </c>
      <c r="I201" s="75">
        <v>-64.726183000000006</v>
      </c>
      <c r="J201" s="81">
        <v>44868</v>
      </c>
      <c r="K201" s="75" t="s">
        <v>361</v>
      </c>
      <c r="L201" s="75" t="s">
        <v>360</v>
      </c>
      <c r="M201" s="75">
        <v>0</v>
      </c>
      <c r="N201" s="75">
        <v>3</v>
      </c>
      <c r="O201" s="75" t="s">
        <v>362</v>
      </c>
      <c r="P201" s="88">
        <f>SUM(TreatmentUsed!E2677:E2703)</f>
        <v>248</v>
      </c>
      <c r="Q201" s="75">
        <f>74/3</f>
        <v>24.666666666666668</v>
      </c>
      <c r="R201" s="75">
        <v>0</v>
      </c>
      <c r="S201" s="75">
        <v>0</v>
      </c>
      <c r="T201" s="75">
        <v>0</v>
      </c>
      <c r="U201" s="75">
        <v>0</v>
      </c>
      <c r="V201" s="75">
        <v>0</v>
      </c>
      <c r="W201" s="75">
        <v>0</v>
      </c>
      <c r="X201" s="75">
        <v>0</v>
      </c>
      <c r="Y201" s="75">
        <v>0</v>
      </c>
      <c r="Z201" s="75">
        <v>0</v>
      </c>
      <c r="AA201" s="75">
        <v>0</v>
      </c>
      <c r="AB201" s="75">
        <v>0</v>
      </c>
      <c r="AC201" s="75">
        <v>0</v>
      </c>
      <c r="AD201" s="75">
        <v>0</v>
      </c>
      <c r="AE201" s="75">
        <v>0</v>
      </c>
      <c r="AF201" s="75">
        <v>0</v>
      </c>
      <c r="AG201" s="75">
        <v>0</v>
      </c>
      <c r="AH201" s="75">
        <v>0</v>
      </c>
      <c r="AI201" s="75">
        <v>0</v>
      </c>
      <c r="AJ201" s="75">
        <v>0</v>
      </c>
      <c r="AK201" s="75">
        <v>0</v>
      </c>
      <c r="AL201" s="75">
        <v>0</v>
      </c>
      <c r="AM201" s="75">
        <v>0</v>
      </c>
      <c r="AN201" s="75">
        <v>0</v>
      </c>
      <c r="AO201" s="75">
        <v>1</v>
      </c>
      <c r="AP201" s="75">
        <v>0</v>
      </c>
      <c r="AQ201" s="75">
        <v>0</v>
      </c>
      <c r="AR201" s="75">
        <v>1</v>
      </c>
      <c r="AS201" s="84">
        <v>2</v>
      </c>
      <c r="AT201" s="75">
        <v>0</v>
      </c>
      <c r="AU201" s="75">
        <v>2</v>
      </c>
      <c r="AV201" s="75">
        <v>0</v>
      </c>
      <c r="AW201" s="75">
        <v>0</v>
      </c>
      <c r="AX201" s="75">
        <v>0</v>
      </c>
      <c r="AY201" s="84">
        <v>2</v>
      </c>
      <c r="AZ201" s="84">
        <v>2</v>
      </c>
      <c r="BA201" s="84">
        <v>2</v>
      </c>
      <c r="BB201" s="75">
        <v>0</v>
      </c>
      <c r="BC201" s="84">
        <v>3</v>
      </c>
      <c r="BD201" s="75">
        <v>0</v>
      </c>
      <c r="BE201" s="75">
        <v>0</v>
      </c>
      <c r="BF201" s="75">
        <v>11</v>
      </c>
      <c r="BG201" s="75">
        <v>0</v>
      </c>
      <c r="BH201" s="84">
        <v>1</v>
      </c>
      <c r="BI201" s="84"/>
      <c r="BJ201" s="84"/>
      <c r="BK201" s="84"/>
      <c r="BM201" s="75">
        <f t="shared" si="26"/>
        <v>0</v>
      </c>
      <c r="BN201" s="75">
        <f t="shared" si="27"/>
        <v>0</v>
      </c>
      <c r="BO201" s="75">
        <f t="shared" si="28"/>
        <v>27</v>
      </c>
      <c r="BP201" s="84">
        <f t="shared" si="29"/>
        <v>27</v>
      </c>
      <c r="BQ201" s="85" t="s">
        <v>515</v>
      </c>
      <c r="BT201" s="110">
        <v>0</v>
      </c>
    </row>
    <row r="202" spans="1:74" x14ac:dyDescent="0.75">
      <c r="C202" s="270">
        <v>861</v>
      </c>
      <c r="D202" s="75" t="s">
        <v>357</v>
      </c>
      <c r="E202" s="75" t="s">
        <v>358</v>
      </c>
      <c r="F202" s="75" t="s">
        <v>359</v>
      </c>
      <c r="G202" s="75" t="s">
        <v>60</v>
      </c>
      <c r="H202" s="75">
        <v>18.367850000000001</v>
      </c>
      <c r="I202" s="75">
        <v>-64.732933000000003</v>
      </c>
      <c r="J202" s="81">
        <v>44868</v>
      </c>
      <c r="K202" s="75" t="s">
        <v>361</v>
      </c>
      <c r="L202" s="75" t="s">
        <v>360</v>
      </c>
      <c r="M202" s="75">
        <v>0</v>
      </c>
      <c r="N202" s="75">
        <v>3</v>
      </c>
      <c r="O202" s="75" t="s">
        <v>362</v>
      </c>
      <c r="P202" s="88">
        <f>SUM(TreatmentUsed!E2704:E2716)</f>
        <v>97</v>
      </c>
      <c r="Q202" s="75">
        <f>74/3</f>
        <v>24.666666666666668</v>
      </c>
      <c r="R202" s="75">
        <v>0</v>
      </c>
      <c r="S202" s="75">
        <v>0</v>
      </c>
      <c r="T202" s="75">
        <v>0</v>
      </c>
      <c r="U202" s="75">
        <v>0</v>
      </c>
      <c r="V202" s="75">
        <v>0</v>
      </c>
      <c r="W202" s="75">
        <v>0</v>
      </c>
      <c r="X202" s="75">
        <v>0</v>
      </c>
      <c r="Y202" s="75">
        <v>0</v>
      </c>
      <c r="Z202" s="75">
        <v>0</v>
      </c>
      <c r="AA202" s="75">
        <v>0</v>
      </c>
      <c r="AB202" s="75">
        <v>0</v>
      </c>
      <c r="AC202" s="75">
        <v>0</v>
      </c>
      <c r="AD202" s="75">
        <v>0</v>
      </c>
      <c r="AE202" s="75">
        <v>0</v>
      </c>
      <c r="AF202" s="75">
        <v>0</v>
      </c>
      <c r="AG202" s="75">
        <v>0</v>
      </c>
      <c r="AH202" s="75">
        <v>0</v>
      </c>
      <c r="AI202" s="75">
        <v>0</v>
      </c>
      <c r="AJ202" s="75">
        <v>0</v>
      </c>
      <c r="AK202" s="75">
        <v>0</v>
      </c>
      <c r="AL202" s="75">
        <v>0</v>
      </c>
      <c r="AM202" s="75">
        <v>0</v>
      </c>
      <c r="AN202" s="75">
        <v>0</v>
      </c>
      <c r="AO202" s="75">
        <v>0</v>
      </c>
      <c r="AP202" s="75">
        <v>0</v>
      </c>
      <c r="AQ202" s="75">
        <v>0</v>
      </c>
      <c r="AR202" s="75">
        <v>0</v>
      </c>
      <c r="AS202" s="75">
        <v>0</v>
      </c>
      <c r="AT202" s="75">
        <v>0</v>
      </c>
      <c r="AU202" s="75">
        <v>0</v>
      </c>
      <c r="AV202" s="75">
        <v>0</v>
      </c>
      <c r="AW202" s="75">
        <v>0</v>
      </c>
      <c r="AX202" s="75">
        <v>0</v>
      </c>
      <c r="AY202" s="84">
        <v>5</v>
      </c>
      <c r="AZ202" s="84">
        <v>1</v>
      </c>
      <c r="BA202" s="84">
        <v>3</v>
      </c>
      <c r="BB202" s="84">
        <v>1</v>
      </c>
      <c r="BC202" s="75">
        <v>0</v>
      </c>
      <c r="BD202" s="75">
        <v>0</v>
      </c>
      <c r="BE202" s="75">
        <v>0</v>
      </c>
      <c r="BF202" s="75">
        <v>1</v>
      </c>
      <c r="BG202" s="75">
        <v>0</v>
      </c>
      <c r="BH202" s="75">
        <v>2</v>
      </c>
      <c r="BM202" s="75">
        <f t="shared" si="26"/>
        <v>0</v>
      </c>
      <c r="BN202" s="75">
        <f t="shared" si="27"/>
        <v>0</v>
      </c>
      <c r="BO202" s="75">
        <f t="shared" si="28"/>
        <v>13</v>
      </c>
      <c r="BP202" s="75">
        <f t="shared" si="29"/>
        <v>13</v>
      </c>
      <c r="BQ202" s="80" t="s">
        <v>516</v>
      </c>
      <c r="BT202" s="110">
        <v>0</v>
      </c>
    </row>
    <row r="203" spans="1:74" x14ac:dyDescent="0.75">
      <c r="C203" s="270">
        <v>862</v>
      </c>
      <c r="D203" s="75" t="s">
        <v>357</v>
      </c>
      <c r="E203" s="75" t="s">
        <v>358</v>
      </c>
      <c r="F203" s="75" t="s">
        <v>359</v>
      </c>
      <c r="G203" s="75" t="s">
        <v>23</v>
      </c>
      <c r="H203" s="75">
        <v>18.365749999999998</v>
      </c>
      <c r="I203" s="75">
        <v>-64.773619999999994</v>
      </c>
      <c r="J203" s="81">
        <v>44873</v>
      </c>
      <c r="K203" s="75" t="s">
        <v>361</v>
      </c>
      <c r="L203" s="75" t="s">
        <v>360</v>
      </c>
      <c r="M203" s="75">
        <v>0</v>
      </c>
      <c r="N203" s="75">
        <v>3</v>
      </c>
      <c r="O203" s="75" t="s">
        <v>362</v>
      </c>
      <c r="P203" s="88">
        <f>SUM(TreatmentUsed!E2717:E2729)</f>
        <v>45</v>
      </c>
      <c r="Q203" s="75">
        <v>0</v>
      </c>
      <c r="R203" s="75">
        <v>0</v>
      </c>
      <c r="S203" s="75">
        <v>0</v>
      </c>
      <c r="T203" s="75">
        <v>0</v>
      </c>
      <c r="U203" s="75">
        <v>0</v>
      </c>
      <c r="V203" s="75">
        <v>0</v>
      </c>
      <c r="W203" s="75">
        <v>0</v>
      </c>
      <c r="X203" s="75">
        <v>0</v>
      </c>
      <c r="Y203" s="75">
        <v>0</v>
      </c>
      <c r="Z203" s="75">
        <v>0</v>
      </c>
      <c r="AA203" s="75">
        <v>0</v>
      </c>
      <c r="AB203" s="75">
        <v>0</v>
      </c>
      <c r="AC203" s="75">
        <v>0</v>
      </c>
      <c r="AD203" s="75">
        <v>0</v>
      </c>
      <c r="AE203" s="75">
        <v>0</v>
      </c>
      <c r="AF203" s="75">
        <v>0</v>
      </c>
      <c r="AG203" s="75">
        <v>0</v>
      </c>
      <c r="AH203" s="75">
        <v>0</v>
      </c>
      <c r="AI203" s="75">
        <v>0</v>
      </c>
      <c r="AJ203" s="75">
        <v>0</v>
      </c>
      <c r="AK203" s="75">
        <v>0</v>
      </c>
      <c r="AL203" s="75">
        <v>0</v>
      </c>
      <c r="AM203" s="75">
        <v>0</v>
      </c>
      <c r="AN203" s="75">
        <v>0</v>
      </c>
      <c r="AO203" s="84">
        <v>2</v>
      </c>
      <c r="AP203" s="75">
        <v>0</v>
      </c>
      <c r="AQ203" s="75">
        <v>0</v>
      </c>
      <c r="AR203" s="75">
        <v>0</v>
      </c>
      <c r="AS203" s="75">
        <v>0</v>
      </c>
      <c r="AT203" s="75">
        <v>0</v>
      </c>
      <c r="AU203" s="75">
        <v>0</v>
      </c>
      <c r="AV203" s="75">
        <v>0</v>
      </c>
      <c r="AW203" s="75">
        <v>0</v>
      </c>
      <c r="AX203" s="75">
        <v>0</v>
      </c>
      <c r="AY203" s="84">
        <v>0</v>
      </c>
      <c r="AZ203" s="84">
        <v>2</v>
      </c>
      <c r="BA203" s="84">
        <v>6</v>
      </c>
      <c r="BB203" s="75">
        <v>0</v>
      </c>
      <c r="BC203" s="75">
        <v>1</v>
      </c>
      <c r="BD203" s="75">
        <v>0</v>
      </c>
      <c r="BE203" s="75">
        <v>0</v>
      </c>
      <c r="BF203" s="75">
        <v>0</v>
      </c>
      <c r="BG203" s="75">
        <v>0</v>
      </c>
      <c r="BH203" s="75">
        <v>2</v>
      </c>
      <c r="BM203" s="75">
        <f t="shared" si="26"/>
        <v>0</v>
      </c>
      <c r="BN203" s="75">
        <f t="shared" si="27"/>
        <v>0</v>
      </c>
      <c r="BO203" s="75">
        <f t="shared" si="28"/>
        <v>13</v>
      </c>
      <c r="BP203" s="84">
        <f t="shared" si="29"/>
        <v>13</v>
      </c>
      <c r="BQ203" s="85" t="s">
        <v>517</v>
      </c>
      <c r="BR203" s="138" t="s">
        <v>518</v>
      </c>
      <c r="BT203" s="110">
        <v>0</v>
      </c>
    </row>
    <row r="204" spans="1:74" x14ac:dyDescent="0.75">
      <c r="C204" s="270">
        <v>863</v>
      </c>
      <c r="D204" s="75" t="s">
        <v>357</v>
      </c>
      <c r="E204" s="75" t="s">
        <v>358</v>
      </c>
      <c r="F204" s="75" t="s">
        <v>359</v>
      </c>
      <c r="G204" s="75" t="s">
        <v>69</v>
      </c>
      <c r="H204" s="75">
        <v>18.343233000000001</v>
      </c>
      <c r="I204" s="75">
        <v>-64.687667000000005</v>
      </c>
      <c r="J204" s="81">
        <v>44874</v>
      </c>
      <c r="K204" s="75" t="s">
        <v>361</v>
      </c>
      <c r="L204" s="75" t="s">
        <v>360</v>
      </c>
      <c r="M204" s="75">
        <v>0</v>
      </c>
      <c r="N204" s="75">
        <v>3</v>
      </c>
      <c r="O204" s="75" t="s">
        <v>362</v>
      </c>
      <c r="P204" s="88">
        <f>SUM(TreatmentUsed!E2730:E2762)</f>
        <v>242</v>
      </c>
      <c r="Q204" s="75">
        <v>0</v>
      </c>
      <c r="R204" s="75">
        <v>0</v>
      </c>
      <c r="S204" s="75">
        <v>0</v>
      </c>
      <c r="T204" s="75">
        <v>0</v>
      </c>
      <c r="U204" s="75">
        <v>0</v>
      </c>
      <c r="V204" s="75">
        <v>0</v>
      </c>
      <c r="W204" s="75">
        <v>0</v>
      </c>
      <c r="X204" s="75">
        <v>0</v>
      </c>
      <c r="Y204" s="75">
        <v>0</v>
      </c>
      <c r="Z204" s="75">
        <v>0</v>
      </c>
      <c r="AA204" s="75">
        <v>0</v>
      </c>
      <c r="AB204" s="75">
        <v>0</v>
      </c>
      <c r="AC204" s="75">
        <v>0</v>
      </c>
      <c r="AD204" s="75">
        <v>0</v>
      </c>
      <c r="AE204" s="75">
        <v>0</v>
      </c>
      <c r="AF204" s="75">
        <v>0</v>
      </c>
      <c r="AG204" s="75">
        <v>0</v>
      </c>
      <c r="AH204" s="75">
        <v>0</v>
      </c>
      <c r="AI204" s="75">
        <v>0</v>
      </c>
      <c r="AJ204" s="75">
        <v>0</v>
      </c>
      <c r="AK204" s="75">
        <v>0</v>
      </c>
      <c r="AL204" s="75">
        <v>0</v>
      </c>
      <c r="AM204" s="75">
        <v>0</v>
      </c>
      <c r="AN204" s="75">
        <v>0</v>
      </c>
      <c r="AO204" s="75">
        <v>0</v>
      </c>
      <c r="AP204" s="75">
        <v>0</v>
      </c>
      <c r="AQ204" s="75">
        <v>0</v>
      </c>
      <c r="AR204" s="75">
        <v>1</v>
      </c>
      <c r="AS204" s="75">
        <v>0</v>
      </c>
      <c r="AT204" s="75">
        <v>0</v>
      </c>
      <c r="AU204" s="75">
        <v>0</v>
      </c>
      <c r="AV204" s="75">
        <v>0</v>
      </c>
      <c r="AW204" s="75">
        <v>0</v>
      </c>
      <c r="AX204" s="75">
        <v>0</v>
      </c>
      <c r="AY204" s="84">
        <v>7</v>
      </c>
      <c r="AZ204" s="84">
        <v>6</v>
      </c>
      <c r="BA204" s="84">
        <v>16</v>
      </c>
      <c r="BB204" s="75">
        <v>0</v>
      </c>
      <c r="BC204" s="84">
        <v>2</v>
      </c>
      <c r="BD204" s="75">
        <v>0</v>
      </c>
      <c r="BE204" s="75">
        <v>0</v>
      </c>
      <c r="BF204" s="75">
        <v>0</v>
      </c>
      <c r="BG204" s="75">
        <v>0</v>
      </c>
      <c r="BH204" s="75">
        <v>1</v>
      </c>
      <c r="BM204" s="75">
        <f t="shared" si="26"/>
        <v>0</v>
      </c>
      <c r="BN204" s="75">
        <f t="shared" si="27"/>
        <v>0</v>
      </c>
      <c r="BO204" s="75">
        <f t="shared" si="28"/>
        <v>33</v>
      </c>
      <c r="BP204" s="84">
        <f t="shared" si="29"/>
        <v>33</v>
      </c>
      <c r="BQ204" s="80" t="s">
        <v>519</v>
      </c>
      <c r="BR204" s="252" t="s">
        <v>520</v>
      </c>
      <c r="BT204" s="110">
        <v>0</v>
      </c>
    </row>
    <row r="205" spans="1:74" x14ac:dyDescent="0.75">
      <c r="C205" s="270">
        <v>864</v>
      </c>
      <c r="D205" s="75" t="s">
        <v>357</v>
      </c>
      <c r="E205" s="75" t="s">
        <v>358</v>
      </c>
      <c r="F205" s="75" t="s">
        <v>359</v>
      </c>
      <c r="G205" s="75" t="s">
        <v>69</v>
      </c>
      <c r="H205" s="75">
        <v>18.343233000000001</v>
      </c>
      <c r="I205" s="75">
        <v>-64.687667000000005</v>
      </c>
      <c r="J205" s="81">
        <v>44874</v>
      </c>
      <c r="K205" s="75" t="s">
        <v>361</v>
      </c>
      <c r="L205" s="75" t="s">
        <v>360</v>
      </c>
      <c r="M205" s="75">
        <v>0</v>
      </c>
      <c r="N205" s="75">
        <v>3</v>
      </c>
      <c r="O205" s="75" t="s">
        <v>362</v>
      </c>
      <c r="P205" s="88">
        <f>SUM(TreatmentUsed!E2763:E2816)</f>
        <v>389</v>
      </c>
      <c r="Q205" s="75">
        <v>0</v>
      </c>
      <c r="R205" s="75">
        <v>0</v>
      </c>
      <c r="S205" s="75">
        <v>0</v>
      </c>
      <c r="T205" s="75">
        <v>0</v>
      </c>
      <c r="U205" s="75">
        <v>0</v>
      </c>
      <c r="V205" s="75">
        <v>0</v>
      </c>
      <c r="W205" s="75">
        <v>0</v>
      </c>
      <c r="X205" s="75">
        <v>0</v>
      </c>
      <c r="Y205" s="75">
        <v>0</v>
      </c>
      <c r="Z205" s="75">
        <v>0</v>
      </c>
      <c r="AA205" s="75">
        <v>0</v>
      </c>
      <c r="AB205" s="75">
        <v>0</v>
      </c>
      <c r="AC205" s="75">
        <v>0</v>
      </c>
      <c r="AD205" s="75">
        <v>0</v>
      </c>
      <c r="AE205" s="75">
        <v>0</v>
      </c>
      <c r="AF205" s="75">
        <v>0</v>
      </c>
      <c r="AG205" s="75">
        <v>0</v>
      </c>
      <c r="AH205" s="75">
        <v>0</v>
      </c>
      <c r="AI205" s="75">
        <v>0</v>
      </c>
      <c r="AJ205" s="75">
        <v>0</v>
      </c>
      <c r="AK205" s="75">
        <v>0</v>
      </c>
      <c r="AL205" s="75">
        <v>0</v>
      </c>
      <c r="AM205" s="75">
        <v>0</v>
      </c>
      <c r="AN205" s="75">
        <v>0</v>
      </c>
      <c r="AO205" s="75">
        <v>0</v>
      </c>
      <c r="AP205" s="75">
        <v>0</v>
      </c>
      <c r="AQ205" s="75">
        <v>0</v>
      </c>
      <c r="AR205" s="75">
        <v>0</v>
      </c>
      <c r="AS205" s="75">
        <v>0</v>
      </c>
      <c r="AT205" s="75">
        <v>0</v>
      </c>
      <c r="AU205" s="75">
        <v>0</v>
      </c>
      <c r="AV205" s="75">
        <v>0</v>
      </c>
      <c r="AW205" s="75">
        <v>0</v>
      </c>
      <c r="AX205" s="75">
        <v>0</v>
      </c>
      <c r="AY205" s="84">
        <v>14</v>
      </c>
      <c r="AZ205" s="84">
        <v>17</v>
      </c>
      <c r="BA205" s="84">
        <v>16</v>
      </c>
      <c r="BB205" s="84">
        <v>5</v>
      </c>
      <c r="BC205" s="84">
        <v>1</v>
      </c>
      <c r="BD205" s="75">
        <v>0</v>
      </c>
      <c r="BE205" s="75">
        <v>0</v>
      </c>
      <c r="BF205" s="75">
        <v>0</v>
      </c>
      <c r="BG205" s="75">
        <v>0</v>
      </c>
      <c r="BH205" s="84">
        <v>3</v>
      </c>
      <c r="BI205" s="84"/>
      <c r="BJ205" s="84"/>
      <c r="BK205" s="84"/>
      <c r="BM205" s="75">
        <f t="shared" si="26"/>
        <v>0</v>
      </c>
      <c r="BN205" s="75">
        <f t="shared" si="27"/>
        <v>0</v>
      </c>
      <c r="BO205" s="75">
        <f t="shared" si="28"/>
        <v>56</v>
      </c>
      <c r="BP205" s="84">
        <f t="shared" si="29"/>
        <v>56</v>
      </c>
      <c r="BQ205" s="85" t="s">
        <v>521</v>
      </c>
      <c r="BT205" s="110">
        <v>0</v>
      </c>
    </row>
    <row r="206" spans="1:74" x14ac:dyDescent="0.75">
      <c r="C206" s="270">
        <v>865</v>
      </c>
      <c r="D206" s="75" t="s">
        <v>357</v>
      </c>
      <c r="E206" s="75" t="s">
        <v>358</v>
      </c>
      <c r="F206" s="75" t="s">
        <v>359</v>
      </c>
      <c r="G206" s="75" t="s">
        <v>69</v>
      </c>
      <c r="H206" s="75">
        <v>18.343233000000001</v>
      </c>
      <c r="I206" s="75">
        <v>-64.687667000000005</v>
      </c>
      <c r="J206" s="81">
        <v>44874</v>
      </c>
      <c r="K206" s="75" t="s">
        <v>361</v>
      </c>
      <c r="L206" s="75" t="s">
        <v>360</v>
      </c>
      <c r="M206" s="75">
        <v>0</v>
      </c>
      <c r="N206" s="75">
        <v>3</v>
      </c>
      <c r="O206" s="75" t="s">
        <v>362</v>
      </c>
      <c r="P206" s="88">
        <f>SUM(TreatmentUsed!E2817:E2835)</f>
        <v>133</v>
      </c>
      <c r="Q206" s="75">
        <v>0</v>
      </c>
      <c r="R206" s="75">
        <v>0</v>
      </c>
      <c r="S206" s="75">
        <v>0</v>
      </c>
      <c r="T206" s="75">
        <v>0</v>
      </c>
      <c r="U206" s="75">
        <v>0</v>
      </c>
      <c r="V206" s="75">
        <v>0</v>
      </c>
      <c r="W206" s="75">
        <v>0</v>
      </c>
      <c r="X206" s="75">
        <v>0</v>
      </c>
      <c r="Y206" s="75">
        <v>0</v>
      </c>
      <c r="Z206" s="75">
        <v>0</v>
      </c>
      <c r="AA206" s="75">
        <v>0</v>
      </c>
      <c r="AB206" s="75">
        <v>0</v>
      </c>
      <c r="AC206" s="75">
        <v>0</v>
      </c>
      <c r="AD206" s="75">
        <v>0</v>
      </c>
      <c r="AE206" s="75">
        <v>0</v>
      </c>
      <c r="AF206" s="75">
        <v>0</v>
      </c>
      <c r="AG206" s="75">
        <v>0</v>
      </c>
      <c r="AH206" s="75">
        <v>0</v>
      </c>
      <c r="AI206" s="75">
        <v>0</v>
      </c>
      <c r="AJ206" s="75">
        <v>0</v>
      </c>
      <c r="AK206" s="75">
        <v>0</v>
      </c>
      <c r="AL206" s="75">
        <v>0</v>
      </c>
      <c r="AM206" s="75">
        <v>0</v>
      </c>
      <c r="AN206" s="75">
        <v>0</v>
      </c>
      <c r="AO206" s="75">
        <v>1</v>
      </c>
      <c r="AP206" s="75">
        <v>0</v>
      </c>
      <c r="AQ206" s="75">
        <v>0</v>
      </c>
      <c r="AR206" s="75">
        <v>1</v>
      </c>
      <c r="AS206" s="75">
        <v>0</v>
      </c>
      <c r="AT206" s="75">
        <v>0</v>
      </c>
      <c r="AU206" s="75">
        <v>0</v>
      </c>
      <c r="AV206" s="75">
        <v>0</v>
      </c>
      <c r="AW206" s="75">
        <v>0</v>
      </c>
      <c r="AX206" s="75">
        <v>0</v>
      </c>
      <c r="AY206" s="75">
        <v>5</v>
      </c>
      <c r="AZ206" s="84">
        <v>6</v>
      </c>
      <c r="BA206" s="84">
        <v>6</v>
      </c>
      <c r="BB206" s="75">
        <v>0</v>
      </c>
      <c r="BC206" s="75">
        <v>0</v>
      </c>
      <c r="BD206" s="75">
        <v>0</v>
      </c>
      <c r="BE206" s="75">
        <v>0</v>
      </c>
      <c r="BF206" s="75">
        <v>0</v>
      </c>
      <c r="BG206" s="75">
        <v>0</v>
      </c>
      <c r="BH206" s="75">
        <v>0</v>
      </c>
      <c r="BM206" s="75">
        <f t="shared" si="26"/>
        <v>0</v>
      </c>
      <c r="BN206" s="75">
        <f t="shared" si="27"/>
        <v>0</v>
      </c>
      <c r="BO206" s="75">
        <f t="shared" si="28"/>
        <v>19</v>
      </c>
      <c r="BP206" s="75">
        <f t="shared" si="29"/>
        <v>19</v>
      </c>
      <c r="BQ206" s="85"/>
      <c r="BT206" s="110">
        <v>0</v>
      </c>
    </row>
    <row r="207" spans="1:74" x14ac:dyDescent="0.75">
      <c r="C207" s="270">
        <v>866</v>
      </c>
      <c r="D207" s="75" t="s">
        <v>357</v>
      </c>
      <c r="E207" s="75" t="s">
        <v>358</v>
      </c>
      <c r="F207" s="75" t="s">
        <v>359</v>
      </c>
      <c r="G207" s="75" t="s">
        <v>69</v>
      </c>
      <c r="H207" s="75">
        <v>18.343233000000001</v>
      </c>
      <c r="I207" s="75">
        <v>-64.687667000000005</v>
      </c>
      <c r="J207" s="81">
        <v>44875</v>
      </c>
      <c r="K207" s="75" t="s">
        <v>367</v>
      </c>
      <c r="L207" s="75" t="s">
        <v>360</v>
      </c>
      <c r="M207" s="75">
        <v>0</v>
      </c>
      <c r="N207" s="75">
        <v>3</v>
      </c>
      <c r="O207" s="75" t="s">
        <v>362</v>
      </c>
      <c r="P207" s="88">
        <f>SUM(TreatmentUsed!E2836:E2878)</f>
        <v>352</v>
      </c>
      <c r="Q207" s="75">
        <f>200/4</f>
        <v>50</v>
      </c>
      <c r="R207" s="75">
        <v>0</v>
      </c>
      <c r="S207" s="75">
        <v>0</v>
      </c>
      <c r="T207" s="75">
        <v>0</v>
      </c>
      <c r="U207" s="75">
        <v>0</v>
      </c>
      <c r="V207" s="75">
        <v>0</v>
      </c>
      <c r="W207" s="75">
        <v>0</v>
      </c>
      <c r="X207" s="75">
        <v>0</v>
      </c>
      <c r="Y207" s="75">
        <v>0</v>
      </c>
      <c r="Z207" s="75">
        <v>0</v>
      </c>
      <c r="AA207" s="75">
        <v>0</v>
      </c>
      <c r="AB207" s="75">
        <v>0</v>
      </c>
      <c r="AC207" s="75">
        <v>0</v>
      </c>
      <c r="AD207" s="75">
        <v>0</v>
      </c>
      <c r="AE207" s="75">
        <v>0</v>
      </c>
      <c r="AF207" s="75">
        <v>0</v>
      </c>
      <c r="AG207" s="75">
        <v>0</v>
      </c>
      <c r="AH207" s="75">
        <v>0</v>
      </c>
      <c r="AI207" s="75">
        <v>0</v>
      </c>
      <c r="AJ207" s="75">
        <v>0</v>
      </c>
      <c r="AK207" s="75">
        <v>0</v>
      </c>
      <c r="AL207" s="75">
        <v>0</v>
      </c>
      <c r="AM207" s="75">
        <v>0</v>
      </c>
      <c r="AN207" s="75">
        <v>0</v>
      </c>
      <c r="AO207" s="75">
        <v>0</v>
      </c>
      <c r="AP207" s="75">
        <v>0</v>
      </c>
      <c r="AQ207" s="75">
        <v>0</v>
      </c>
      <c r="AR207" s="75">
        <v>2</v>
      </c>
      <c r="AS207" s="75">
        <v>0</v>
      </c>
      <c r="AT207" s="75">
        <v>0</v>
      </c>
      <c r="AU207" s="75">
        <v>0</v>
      </c>
      <c r="AV207" s="75">
        <v>0</v>
      </c>
      <c r="AW207" s="75">
        <v>0</v>
      </c>
      <c r="AX207" s="75">
        <v>0</v>
      </c>
      <c r="AY207" s="75">
        <v>15</v>
      </c>
      <c r="AZ207" s="84">
        <v>5</v>
      </c>
      <c r="BA207" s="75">
        <v>18</v>
      </c>
      <c r="BB207" s="84">
        <v>1</v>
      </c>
      <c r="BC207" s="75">
        <v>0</v>
      </c>
      <c r="BD207" s="75">
        <v>0</v>
      </c>
      <c r="BE207" s="75">
        <v>0</v>
      </c>
      <c r="BF207" s="75">
        <v>1</v>
      </c>
      <c r="BG207" s="75">
        <v>0</v>
      </c>
      <c r="BH207" s="75">
        <v>1</v>
      </c>
      <c r="BM207" s="75">
        <f t="shared" si="26"/>
        <v>0</v>
      </c>
      <c r="BN207" s="75">
        <f t="shared" si="27"/>
        <v>0</v>
      </c>
      <c r="BO207" s="75">
        <f t="shared" si="28"/>
        <v>43</v>
      </c>
      <c r="BP207" s="75">
        <f t="shared" si="29"/>
        <v>43</v>
      </c>
      <c r="BQ207" s="80" t="s">
        <v>522</v>
      </c>
      <c r="BT207" s="110">
        <v>0</v>
      </c>
    </row>
    <row r="208" spans="1:74" x14ac:dyDescent="0.75">
      <c r="C208" s="270">
        <v>867</v>
      </c>
      <c r="D208" s="75" t="s">
        <v>357</v>
      </c>
      <c r="E208" s="75" t="s">
        <v>358</v>
      </c>
      <c r="F208" s="75" t="s">
        <v>359</v>
      </c>
      <c r="G208" s="75" t="s">
        <v>69</v>
      </c>
      <c r="H208" s="75">
        <v>18.343233000000001</v>
      </c>
      <c r="I208" s="75">
        <v>-64.687667000000005</v>
      </c>
      <c r="J208" s="81">
        <v>44875</v>
      </c>
      <c r="K208" s="75" t="s">
        <v>367</v>
      </c>
      <c r="L208" s="75" t="s">
        <v>360</v>
      </c>
      <c r="M208" s="75">
        <v>0</v>
      </c>
      <c r="N208" s="75">
        <v>3</v>
      </c>
      <c r="O208" s="75" t="s">
        <v>362</v>
      </c>
      <c r="P208" s="88">
        <f>SUM(TreatmentUsed!E2879:E2895)</f>
        <v>81</v>
      </c>
      <c r="Q208" s="75">
        <f>200/4</f>
        <v>50</v>
      </c>
      <c r="R208" s="75">
        <v>0</v>
      </c>
      <c r="S208" s="75">
        <v>0</v>
      </c>
      <c r="T208" s="75">
        <v>0</v>
      </c>
      <c r="U208" s="75">
        <v>0</v>
      </c>
      <c r="V208" s="75">
        <v>0</v>
      </c>
      <c r="W208" s="75">
        <v>0</v>
      </c>
      <c r="X208" s="75">
        <v>0</v>
      </c>
      <c r="Y208" s="75">
        <v>0</v>
      </c>
      <c r="Z208" s="75">
        <v>0</v>
      </c>
      <c r="AA208" s="75">
        <v>0</v>
      </c>
      <c r="AB208" s="75">
        <v>0</v>
      </c>
      <c r="AC208" s="75">
        <v>0</v>
      </c>
      <c r="AD208" s="75">
        <v>0</v>
      </c>
      <c r="AE208" s="75">
        <v>0</v>
      </c>
      <c r="AF208" s="75">
        <v>0</v>
      </c>
      <c r="AG208" s="75">
        <v>0</v>
      </c>
      <c r="AH208" s="75">
        <v>0</v>
      </c>
      <c r="AI208" s="75">
        <v>0</v>
      </c>
      <c r="AJ208" s="75">
        <v>0</v>
      </c>
      <c r="AK208" s="75">
        <v>0</v>
      </c>
      <c r="AL208" s="75">
        <v>0</v>
      </c>
      <c r="AM208" s="75">
        <v>0</v>
      </c>
      <c r="AN208" s="75">
        <v>0</v>
      </c>
      <c r="AO208" s="75">
        <v>0</v>
      </c>
      <c r="AP208" s="75">
        <v>0</v>
      </c>
      <c r="AQ208" s="75">
        <v>0</v>
      </c>
      <c r="AR208" s="75">
        <v>0</v>
      </c>
      <c r="AS208" s="84">
        <v>4</v>
      </c>
      <c r="AT208" s="84">
        <v>1</v>
      </c>
      <c r="AU208" s="75">
        <v>0</v>
      </c>
      <c r="AV208" s="75">
        <v>0</v>
      </c>
      <c r="AW208" s="75">
        <v>0</v>
      </c>
      <c r="AX208" s="75">
        <v>0</v>
      </c>
      <c r="AY208" s="84">
        <v>4</v>
      </c>
      <c r="AZ208" s="75">
        <v>0</v>
      </c>
      <c r="BA208" s="75">
        <v>3</v>
      </c>
      <c r="BB208" s="75">
        <v>0</v>
      </c>
      <c r="BC208" s="75">
        <v>0</v>
      </c>
      <c r="BD208" s="75">
        <v>0</v>
      </c>
      <c r="BE208" s="75">
        <v>0</v>
      </c>
      <c r="BF208" s="75">
        <v>5</v>
      </c>
      <c r="BG208" s="75">
        <v>0</v>
      </c>
      <c r="BH208" s="75">
        <v>0</v>
      </c>
      <c r="BM208" s="75">
        <f t="shared" si="26"/>
        <v>0</v>
      </c>
      <c r="BN208" s="75">
        <f t="shared" si="27"/>
        <v>0</v>
      </c>
      <c r="BO208" s="75">
        <f t="shared" si="28"/>
        <v>17</v>
      </c>
      <c r="BP208" s="84">
        <f t="shared" si="29"/>
        <v>17</v>
      </c>
      <c r="BR208" s="138" t="s">
        <v>523</v>
      </c>
      <c r="BT208" s="110">
        <v>0</v>
      </c>
    </row>
    <row r="209" spans="3:72" x14ac:dyDescent="0.75">
      <c r="C209" s="270">
        <v>868</v>
      </c>
      <c r="D209" s="75" t="s">
        <v>357</v>
      </c>
      <c r="E209" s="75" t="s">
        <v>358</v>
      </c>
      <c r="F209" s="75" t="s">
        <v>359</v>
      </c>
      <c r="G209" s="75" t="s">
        <v>69</v>
      </c>
      <c r="H209" s="75">
        <v>18.343233000000001</v>
      </c>
      <c r="I209" s="75">
        <v>-64.687667000000005</v>
      </c>
      <c r="J209" s="81">
        <v>44875</v>
      </c>
      <c r="K209" s="75" t="s">
        <v>367</v>
      </c>
      <c r="L209" s="75" t="s">
        <v>360</v>
      </c>
      <c r="M209" s="75">
        <v>0</v>
      </c>
      <c r="N209" s="75">
        <v>3</v>
      </c>
      <c r="O209" s="75" t="s">
        <v>362</v>
      </c>
      <c r="P209" s="88">
        <f>SUM(TreatmentUsed!E2896:E2902)</f>
        <v>28</v>
      </c>
      <c r="Q209" s="75">
        <f>200/4</f>
        <v>50</v>
      </c>
      <c r="R209" s="75">
        <v>0</v>
      </c>
      <c r="S209" s="75">
        <v>0</v>
      </c>
      <c r="T209" s="75">
        <v>0</v>
      </c>
      <c r="U209" s="75">
        <v>0</v>
      </c>
      <c r="V209" s="75">
        <v>0</v>
      </c>
      <c r="W209" s="75">
        <v>0</v>
      </c>
      <c r="X209" s="75">
        <v>0</v>
      </c>
      <c r="Y209" s="75">
        <v>0</v>
      </c>
      <c r="Z209" s="75">
        <v>0</v>
      </c>
      <c r="AA209" s="75">
        <v>0</v>
      </c>
      <c r="AB209" s="75">
        <v>0</v>
      </c>
      <c r="AC209" s="75">
        <v>0</v>
      </c>
      <c r="AD209" s="75">
        <v>0</v>
      </c>
      <c r="AE209" s="75">
        <v>0</v>
      </c>
      <c r="AF209" s="75">
        <v>0</v>
      </c>
      <c r="AG209" s="75">
        <v>0</v>
      </c>
      <c r="AH209" s="75">
        <v>0</v>
      </c>
      <c r="AI209" s="75">
        <v>0</v>
      </c>
      <c r="AJ209" s="75">
        <v>0</v>
      </c>
      <c r="AK209" s="75">
        <v>0</v>
      </c>
      <c r="AL209" s="75">
        <v>0</v>
      </c>
      <c r="AM209" s="75">
        <v>0</v>
      </c>
      <c r="AN209" s="75">
        <v>0</v>
      </c>
      <c r="AO209" s="75">
        <v>0</v>
      </c>
      <c r="AP209" s="75">
        <v>0</v>
      </c>
      <c r="AQ209" s="75">
        <v>0</v>
      </c>
      <c r="AR209" s="75">
        <v>0</v>
      </c>
      <c r="AS209" s="75">
        <v>2</v>
      </c>
      <c r="AT209" s="75">
        <v>0</v>
      </c>
      <c r="AU209" s="75">
        <v>0</v>
      </c>
      <c r="AV209" s="75">
        <v>0</v>
      </c>
      <c r="AW209" s="75">
        <v>0</v>
      </c>
      <c r="AX209" s="75">
        <v>0</v>
      </c>
      <c r="AY209" s="84">
        <v>1</v>
      </c>
      <c r="AZ209" s="75">
        <v>0</v>
      </c>
      <c r="BA209" s="75">
        <v>0</v>
      </c>
      <c r="BB209" s="75">
        <v>0</v>
      </c>
      <c r="BC209" s="75">
        <v>0</v>
      </c>
      <c r="BD209" s="75">
        <v>0</v>
      </c>
      <c r="BE209" s="75">
        <v>0</v>
      </c>
      <c r="BF209" s="75">
        <v>4</v>
      </c>
      <c r="BG209" s="75">
        <v>0</v>
      </c>
      <c r="BH209" s="75">
        <v>0</v>
      </c>
      <c r="BM209" s="75">
        <f t="shared" si="26"/>
        <v>0</v>
      </c>
      <c r="BN209" s="75">
        <f t="shared" si="27"/>
        <v>0</v>
      </c>
      <c r="BO209" s="75">
        <f t="shared" si="28"/>
        <v>7</v>
      </c>
      <c r="BP209" s="84">
        <f t="shared" ref="BP209:BP238" si="30">SUM(R209:BH209)</f>
        <v>7</v>
      </c>
      <c r="BR209" s="138" t="s">
        <v>524</v>
      </c>
      <c r="BT209" s="110">
        <v>0</v>
      </c>
    </row>
    <row r="210" spans="3:72" x14ac:dyDescent="0.75">
      <c r="C210" s="270">
        <v>869</v>
      </c>
      <c r="D210" s="75" t="s">
        <v>357</v>
      </c>
      <c r="E210" s="75" t="s">
        <v>358</v>
      </c>
      <c r="F210" s="75" t="s">
        <v>359</v>
      </c>
      <c r="G210" s="75" t="s">
        <v>69</v>
      </c>
      <c r="H210" s="75">
        <v>18.343233000000001</v>
      </c>
      <c r="I210" s="75">
        <v>-64.687667000000005</v>
      </c>
      <c r="J210" s="81">
        <v>44875</v>
      </c>
      <c r="K210" s="75" t="s">
        <v>367</v>
      </c>
      <c r="L210" s="75" t="s">
        <v>360</v>
      </c>
      <c r="M210" s="75">
        <v>0</v>
      </c>
      <c r="N210" s="75">
        <v>3</v>
      </c>
      <c r="O210" s="75" t="s">
        <v>362</v>
      </c>
      <c r="P210" s="88">
        <f>SUM(TreatmentUsed!E2903)</f>
        <v>2</v>
      </c>
      <c r="Q210" s="75">
        <f>200/4</f>
        <v>50</v>
      </c>
      <c r="R210" s="75">
        <v>0</v>
      </c>
      <c r="S210" s="75">
        <v>0</v>
      </c>
      <c r="T210" s="75">
        <v>0</v>
      </c>
      <c r="U210" s="75">
        <v>0</v>
      </c>
      <c r="V210" s="75">
        <v>0</v>
      </c>
      <c r="W210" s="75">
        <v>0</v>
      </c>
      <c r="X210" s="75">
        <v>0</v>
      </c>
      <c r="Y210" s="75">
        <v>0</v>
      </c>
      <c r="Z210" s="75">
        <v>0</v>
      </c>
      <c r="AA210" s="75">
        <v>0</v>
      </c>
      <c r="AB210" s="75">
        <v>0</v>
      </c>
      <c r="AC210" s="75">
        <v>0</v>
      </c>
      <c r="AD210" s="75">
        <v>0</v>
      </c>
      <c r="AE210" s="75">
        <v>0</v>
      </c>
      <c r="AF210" s="75">
        <v>0</v>
      </c>
      <c r="AG210" s="75">
        <v>0</v>
      </c>
      <c r="AH210" s="75">
        <v>0</v>
      </c>
      <c r="AI210" s="75">
        <v>0</v>
      </c>
      <c r="AJ210" s="75">
        <v>0</v>
      </c>
      <c r="AK210" s="75">
        <v>0</v>
      </c>
      <c r="AL210" s="75">
        <v>0</v>
      </c>
      <c r="AM210" s="75">
        <v>0</v>
      </c>
      <c r="AN210" s="75">
        <v>0</v>
      </c>
      <c r="AO210" s="75">
        <v>0</v>
      </c>
      <c r="AP210" s="75">
        <v>0</v>
      </c>
      <c r="AQ210" s="75">
        <v>0</v>
      </c>
      <c r="AR210" s="75">
        <v>0</v>
      </c>
      <c r="AS210" s="75">
        <v>0</v>
      </c>
      <c r="AT210" s="75">
        <v>0</v>
      </c>
      <c r="AU210" s="75">
        <v>0</v>
      </c>
      <c r="AV210" s="75">
        <v>0</v>
      </c>
      <c r="AW210" s="75">
        <v>0</v>
      </c>
      <c r="AX210" s="75">
        <v>0</v>
      </c>
      <c r="AY210" s="75">
        <v>0</v>
      </c>
      <c r="AZ210" s="75">
        <v>0</v>
      </c>
      <c r="BA210" s="75">
        <v>0</v>
      </c>
      <c r="BB210" s="75">
        <v>0</v>
      </c>
      <c r="BC210" s="75">
        <v>0</v>
      </c>
      <c r="BD210" s="75">
        <v>0</v>
      </c>
      <c r="BE210" s="75">
        <v>0</v>
      </c>
      <c r="BF210" s="75">
        <v>1</v>
      </c>
      <c r="BG210" s="75">
        <v>0</v>
      </c>
      <c r="BH210" s="75">
        <v>0</v>
      </c>
      <c r="BM210" s="75">
        <f t="shared" si="26"/>
        <v>0</v>
      </c>
      <c r="BN210" s="75">
        <f t="shared" si="27"/>
        <v>0</v>
      </c>
      <c r="BO210" s="75">
        <f t="shared" si="28"/>
        <v>1</v>
      </c>
      <c r="BP210" s="75">
        <f t="shared" si="30"/>
        <v>1</v>
      </c>
      <c r="BR210" s="138">
        <v>907</v>
      </c>
      <c r="BT210" s="110">
        <v>0</v>
      </c>
    </row>
    <row r="211" spans="3:72" x14ac:dyDescent="0.75">
      <c r="C211" s="270">
        <v>870</v>
      </c>
      <c r="D211" s="75" t="s">
        <v>357</v>
      </c>
      <c r="E211" s="75" t="s">
        <v>358</v>
      </c>
      <c r="F211" s="75" t="s">
        <v>359</v>
      </c>
      <c r="G211" s="75" t="s">
        <v>39</v>
      </c>
      <c r="H211" s="75">
        <v>18.357482999999998</v>
      </c>
      <c r="I211" s="75">
        <v>-64.751949999999994</v>
      </c>
      <c r="J211" s="81">
        <v>44880</v>
      </c>
      <c r="K211" s="75" t="s">
        <v>367</v>
      </c>
      <c r="L211" s="75" t="s">
        <v>360</v>
      </c>
      <c r="M211" s="75">
        <v>0</v>
      </c>
      <c r="N211" s="75">
        <v>3</v>
      </c>
      <c r="O211" s="75" t="s">
        <v>362</v>
      </c>
      <c r="P211" s="88">
        <f>SUM(TreatmentUsed!E2904:E2911)</f>
        <v>30</v>
      </c>
      <c r="Q211" s="75">
        <v>0</v>
      </c>
      <c r="R211" s="75">
        <v>0</v>
      </c>
      <c r="S211" s="75">
        <v>0</v>
      </c>
      <c r="T211" s="75">
        <v>0</v>
      </c>
      <c r="U211" s="75">
        <v>0</v>
      </c>
      <c r="V211" s="75">
        <v>0</v>
      </c>
      <c r="W211" s="75">
        <v>0</v>
      </c>
      <c r="X211" s="75">
        <v>0</v>
      </c>
      <c r="Y211" s="75">
        <v>0</v>
      </c>
      <c r="Z211" s="75">
        <v>0</v>
      </c>
      <c r="AA211" s="75">
        <v>0</v>
      </c>
      <c r="AB211" s="75">
        <v>0</v>
      </c>
      <c r="AC211" s="75">
        <v>0</v>
      </c>
      <c r="AD211" s="75">
        <v>0</v>
      </c>
      <c r="AE211" s="75">
        <v>0</v>
      </c>
      <c r="AF211" s="75">
        <v>0</v>
      </c>
      <c r="AG211" s="75">
        <v>0</v>
      </c>
      <c r="AH211" s="75">
        <v>0</v>
      </c>
      <c r="AI211" s="75">
        <v>0</v>
      </c>
      <c r="AJ211" s="75">
        <v>0</v>
      </c>
      <c r="AK211" s="75">
        <v>0</v>
      </c>
      <c r="AL211" s="75">
        <v>0</v>
      </c>
      <c r="AM211" s="75">
        <v>0</v>
      </c>
      <c r="AN211" s="75">
        <v>0</v>
      </c>
      <c r="AO211" s="75">
        <v>0</v>
      </c>
      <c r="AP211" s="75">
        <v>0</v>
      </c>
      <c r="AQ211" s="75">
        <v>0</v>
      </c>
      <c r="AR211" s="75">
        <v>1</v>
      </c>
      <c r="AS211" s="75">
        <v>0</v>
      </c>
      <c r="AT211" s="75">
        <v>0</v>
      </c>
      <c r="AU211" s="75">
        <v>0</v>
      </c>
      <c r="AV211" s="75">
        <v>0</v>
      </c>
      <c r="AW211" s="75">
        <v>0</v>
      </c>
      <c r="AX211" s="75">
        <v>0</v>
      </c>
      <c r="AY211" s="75">
        <v>0</v>
      </c>
      <c r="AZ211" s="75">
        <v>0</v>
      </c>
      <c r="BA211" s="75">
        <v>2</v>
      </c>
      <c r="BB211" s="75">
        <v>1</v>
      </c>
      <c r="BC211" s="75">
        <v>1</v>
      </c>
      <c r="BD211" s="75">
        <v>0</v>
      </c>
      <c r="BE211" s="75">
        <v>1</v>
      </c>
      <c r="BF211" s="84">
        <v>2</v>
      </c>
      <c r="BG211" s="75">
        <v>0</v>
      </c>
      <c r="BH211" s="75">
        <v>0</v>
      </c>
      <c r="BM211" s="75">
        <f t="shared" si="26"/>
        <v>0</v>
      </c>
      <c r="BN211" s="75">
        <f t="shared" si="27"/>
        <v>0</v>
      </c>
      <c r="BO211" s="75">
        <f t="shared" si="28"/>
        <v>8</v>
      </c>
      <c r="BP211" s="84">
        <f t="shared" si="30"/>
        <v>8</v>
      </c>
      <c r="BR211" s="252" t="s">
        <v>525</v>
      </c>
      <c r="BT211" s="110">
        <v>0</v>
      </c>
    </row>
    <row r="212" spans="3:72" x14ac:dyDescent="0.75">
      <c r="C212" s="270">
        <v>871</v>
      </c>
      <c r="D212" s="75" t="s">
        <v>357</v>
      </c>
      <c r="E212" s="75" t="s">
        <v>358</v>
      </c>
      <c r="F212" s="75" t="s">
        <v>359</v>
      </c>
      <c r="G212" s="75" t="s">
        <v>39</v>
      </c>
      <c r="H212" s="75">
        <v>18.357482999999998</v>
      </c>
      <c r="I212" s="75">
        <v>-64.751949999999994</v>
      </c>
      <c r="J212" s="81">
        <v>44880</v>
      </c>
      <c r="K212" s="75" t="s">
        <v>367</v>
      </c>
      <c r="L212" s="75" t="s">
        <v>360</v>
      </c>
      <c r="M212" s="75">
        <v>0</v>
      </c>
      <c r="N212" s="75">
        <v>3</v>
      </c>
      <c r="O212" s="75" t="s">
        <v>362</v>
      </c>
      <c r="P212" s="88">
        <f>SUM(TreatmentUsed!E2912:E2921)</f>
        <v>82</v>
      </c>
      <c r="Q212" s="75">
        <v>0</v>
      </c>
      <c r="R212" s="75">
        <v>0</v>
      </c>
      <c r="S212" s="75">
        <v>0</v>
      </c>
      <c r="T212" s="75">
        <v>0</v>
      </c>
      <c r="U212" s="75">
        <v>0</v>
      </c>
      <c r="V212" s="75">
        <v>0</v>
      </c>
      <c r="W212" s="75">
        <v>0</v>
      </c>
      <c r="X212" s="75">
        <v>0</v>
      </c>
      <c r="Y212" s="75">
        <v>0</v>
      </c>
      <c r="Z212" s="75">
        <v>0</v>
      </c>
      <c r="AA212" s="75">
        <v>0</v>
      </c>
      <c r="AB212" s="75">
        <v>0</v>
      </c>
      <c r="AC212" s="75">
        <v>0</v>
      </c>
      <c r="AD212" s="75">
        <v>0</v>
      </c>
      <c r="AE212" s="75">
        <v>0</v>
      </c>
      <c r="AF212" s="75">
        <v>0</v>
      </c>
      <c r="AG212" s="75">
        <v>0</v>
      </c>
      <c r="AH212" s="75">
        <v>0</v>
      </c>
      <c r="AI212" s="75">
        <v>0</v>
      </c>
      <c r="AJ212" s="75">
        <v>0</v>
      </c>
      <c r="AK212" s="75">
        <v>0</v>
      </c>
      <c r="AL212" s="75">
        <v>0</v>
      </c>
      <c r="AM212" s="75">
        <v>0</v>
      </c>
      <c r="AN212" s="75">
        <v>0</v>
      </c>
      <c r="AO212" s="75">
        <v>0</v>
      </c>
      <c r="AP212" s="75">
        <v>0</v>
      </c>
      <c r="AQ212" s="75">
        <v>0</v>
      </c>
      <c r="AR212" s="75">
        <v>0</v>
      </c>
      <c r="AS212" s="75">
        <v>2</v>
      </c>
      <c r="AT212" s="75">
        <v>1</v>
      </c>
      <c r="AU212" s="75">
        <v>0</v>
      </c>
      <c r="AV212" s="75">
        <v>0</v>
      </c>
      <c r="AW212" s="75">
        <v>0</v>
      </c>
      <c r="AX212" s="75">
        <v>0</v>
      </c>
      <c r="AY212" s="75">
        <v>0</v>
      </c>
      <c r="AZ212" s="84">
        <v>0</v>
      </c>
      <c r="BA212" s="84">
        <v>1</v>
      </c>
      <c r="BB212" s="75">
        <v>0</v>
      </c>
      <c r="BC212" s="75">
        <v>5</v>
      </c>
      <c r="BD212" s="75">
        <v>0</v>
      </c>
      <c r="BE212" s="75">
        <v>0</v>
      </c>
      <c r="BF212" s="75">
        <v>1</v>
      </c>
      <c r="BG212" s="75">
        <v>0</v>
      </c>
      <c r="BH212" s="75">
        <v>0</v>
      </c>
      <c r="BM212" s="75">
        <f t="shared" si="26"/>
        <v>0</v>
      </c>
      <c r="BN212" s="75">
        <f t="shared" si="27"/>
        <v>0</v>
      </c>
      <c r="BO212" s="75">
        <f t="shared" si="28"/>
        <v>10</v>
      </c>
      <c r="BP212" s="75">
        <f t="shared" si="30"/>
        <v>10</v>
      </c>
      <c r="BR212" s="138" t="s">
        <v>526</v>
      </c>
      <c r="BT212" s="110">
        <v>0</v>
      </c>
    </row>
    <row r="213" spans="3:72" x14ac:dyDescent="0.75">
      <c r="C213" s="270">
        <v>872</v>
      </c>
      <c r="D213" s="75" t="s">
        <v>357</v>
      </c>
      <c r="E213" s="75" t="s">
        <v>358</v>
      </c>
      <c r="F213" s="75" t="s">
        <v>359</v>
      </c>
      <c r="G213" s="75" t="s">
        <v>64</v>
      </c>
      <c r="H213" s="75">
        <v>18.368383000000001</v>
      </c>
      <c r="I213" s="75">
        <v>-64.751450000000006</v>
      </c>
      <c r="J213" s="81">
        <v>44880</v>
      </c>
      <c r="K213" s="75" t="s">
        <v>367</v>
      </c>
      <c r="L213" s="75" t="s">
        <v>360</v>
      </c>
      <c r="M213" s="75">
        <v>0</v>
      </c>
      <c r="N213" s="75">
        <v>3</v>
      </c>
      <c r="O213" s="75" t="s">
        <v>362</v>
      </c>
      <c r="P213" s="88">
        <f>SUM(TreatmentUsed!E2922:E2923)</f>
        <v>114</v>
      </c>
      <c r="Q213" s="75">
        <v>0</v>
      </c>
      <c r="R213" s="75">
        <v>0</v>
      </c>
      <c r="S213" s="75">
        <v>0</v>
      </c>
      <c r="T213" s="75">
        <v>0</v>
      </c>
      <c r="U213" s="75">
        <v>0</v>
      </c>
      <c r="V213" s="75">
        <v>0</v>
      </c>
      <c r="W213" s="75">
        <v>0</v>
      </c>
      <c r="X213" s="75">
        <v>0</v>
      </c>
      <c r="Y213" s="75">
        <v>0</v>
      </c>
      <c r="Z213" s="75">
        <v>0</v>
      </c>
      <c r="AA213" s="75">
        <v>0</v>
      </c>
      <c r="AB213" s="75">
        <v>0</v>
      </c>
      <c r="AC213" s="75">
        <v>0</v>
      </c>
      <c r="AD213" s="75">
        <v>0</v>
      </c>
      <c r="AE213" s="75">
        <v>0</v>
      </c>
      <c r="AF213" s="75">
        <v>0</v>
      </c>
      <c r="AG213" s="75">
        <v>0</v>
      </c>
      <c r="AH213" s="75">
        <v>0</v>
      </c>
      <c r="AI213" s="75">
        <v>0</v>
      </c>
      <c r="AJ213" s="75">
        <v>0</v>
      </c>
      <c r="AK213" s="75">
        <v>0</v>
      </c>
      <c r="AL213" s="75">
        <v>0</v>
      </c>
      <c r="AM213" s="75">
        <v>0</v>
      </c>
      <c r="AN213" s="75">
        <v>0</v>
      </c>
      <c r="AO213" s="75">
        <v>1</v>
      </c>
      <c r="AP213" s="75">
        <v>0</v>
      </c>
      <c r="AQ213" s="75">
        <v>0</v>
      </c>
      <c r="AR213" s="75">
        <v>0</v>
      </c>
      <c r="AS213" s="75">
        <v>0</v>
      </c>
      <c r="AT213" s="75">
        <v>0</v>
      </c>
      <c r="AU213" s="75">
        <v>0</v>
      </c>
      <c r="AV213" s="75">
        <v>0</v>
      </c>
      <c r="AW213" s="75">
        <v>0</v>
      </c>
      <c r="AX213" s="75">
        <v>0</v>
      </c>
      <c r="AY213" s="75">
        <v>0</v>
      </c>
      <c r="AZ213" s="75">
        <v>0</v>
      </c>
      <c r="BA213" s="75">
        <v>0</v>
      </c>
      <c r="BB213" s="75">
        <v>0</v>
      </c>
      <c r="BC213" s="75">
        <v>0</v>
      </c>
      <c r="BD213" s="75">
        <v>0</v>
      </c>
      <c r="BE213" s="75">
        <v>0</v>
      </c>
      <c r="BF213" s="75">
        <v>1</v>
      </c>
      <c r="BG213" s="75">
        <v>0</v>
      </c>
      <c r="BH213" s="75">
        <v>0</v>
      </c>
      <c r="BM213" s="75">
        <f t="shared" si="26"/>
        <v>0</v>
      </c>
      <c r="BN213" s="75">
        <f t="shared" si="27"/>
        <v>0</v>
      </c>
      <c r="BO213" s="75">
        <f t="shared" si="28"/>
        <v>2</v>
      </c>
      <c r="BP213" s="75">
        <f t="shared" si="30"/>
        <v>2</v>
      </c>
      <c r="BQ213" s="80" t="s">
        <v>527</v>
      </c>
      <c r="BR213" s="138" t="s">
        <v>528</v>
      </c>
      <c r="BS213" s="110" t="s">
        <v>390</v>
      </c>
      <c r="BT213" s="110">
        <v>0</v>
      </c>
    </row>
    <row r="214" spans="3:72" x14ac:dyDescent="0.75">
      <c r="C214" s="270">
        <v>873</v>
      </c>
      <c r="D214" s="75" t="s">
        <v>357</v>
      </c>
      <c r="E214" s="75" t="s">
        <v>358</v>
      </c>
      <c r="F214" s="75" t="s">
        <v>359</v>
      </c>
      <c r="G214" s="75" t="s">
        <v>96</v>
      </c>
      <c r="H214" s="119">
        <v>18.314226999999999</v>
      </c>
      <c r="I214" s="75">
        <v>-64.721965999999995</v>
      </c>
      <c r="J214" s="81">
        <v>44881</v>
      </c>
      <c r="K214" s="75" t="s">
        <v>367</v>
      </c>
      <c r="L214" s="75" t="s">
        <v>360</v>
      </c>
      <c r="M214" s="75">
        <v>0</v>
      </c>
      <c r="N214" s="75">
        <v>3</v>
      </c>
      <c r="O214" s="75" t="s">
        <v>362</v>
      </c>
      <c r="P214" s="88">
        <f>SUM(TreatmentUsed!E2924:E2946)</f>
        <v>227</v>
      </c>
      <c r="Q214" s="75">
        <v>0</v>
      </c>
      <c r="R214" s="75">
        <v>0</v>
      </c>
      <c r="S214" s="75">
        <v>0</v>
      </c>
      <c r="T214" s="75">
        <v>0</v>
      </c>
      <c r="U214" s="75">
        <v>0</v>
      </c>
      <c r="V214" s="75">
        <v>0</v>
      </c>
      <c r="W214" s="75">
        <v>0</v>
      </c>
      <c r="X214" s="75">
        <v>0</v>
      </c>
      <c r="Y214" s="75">
        <v>0</v>
      </c>
      <c r="Z214" s="75">
        <v>0</v>
      </c>
      <c r="AA214" s="75">
        <v>0</v>
      </c>
      <c r="AB214" s="75">
        <v>0</v>
      </c>
      <c r="AC214" s="75">
        <v>0</v>
      </c>
      <c r="AD214" s="75">
        <v>0</v>
      </c>
      <c r="AE214" s="75">
        <v>0</v>
      </c>
      <c r="AF214" s="75">
        <v>0</v>
      </c>
      <c r="AG214" s="75">
        <v>0</v>
      </c>
      <c r="AH214" s="75">
        <v>0</v>
      </c>
      <c r="AI214" s="75">
        <v>0</v>
      </c>
      <c r="AJ214" s="75">
        <v>0</v>
      </c>
      <c r="AK214" s="75">
        <v>0</v>
      </c>
      <c r="AL214" s="75">
        <v>0</v>
      </c>
      <c r="AM214" s="75">
        <v>0</v>
      </c>
      <c r="AN214" s="75">
        <v>0</v>
      </c>
      <c r="AO214" s="75">
        <v>0</v>
      </c>
      <c r="AP214" s="75">
        <v>0</v>
      </c>
      <c r="AQ214" s="75">
        <v>0</v>
      </c>
      <c r="AR214" s="75">
        <v>0</v>
      </c>
      <c r="AS214" s="75">
        <v>0</v>
      </c>
      <c r="AT214" s="75">
        <v>0</v>
      </c>
      <c r="AU214" s="75">
        <v>0</v>
      </c>
      <c r="AV214" s="75">
        <v>0</v>
      </c>
      <c r="AW214" s="75">
        <v>0</v>
      </c>
      <c r="AX214" s="75">
        <v>1</v>
      </c>
      <c r="AY214" s="75">
        <v>1</v>
      </c>
      <c r="AZ214" s="75">
        <v>7</v>
      </c>
      <c r="BA214" s="75">
        <v>12</v>
      </c>
      <c r="BB214" s="75">
        <v>1</v>
      </c>
      <c r="BC214" s="75">
        <v>0</v>
      </c>
      <c r="BD214" s="75">
        <v>0</v>
      </c>
      <c r="BE214" s="75">
        <v>0</v>
      </c>
      <c r="BF214" s="75">
        <v>0</v>
      </c>
      <c r="BG214" s="75">
        <v>0</v>
      </c>
      <c r="BH214" s="75">
        <v>1</v>
      </c>
      <c r="BM214" s="75">
        <f t="shared" si="26"/>
        <v>0</v>
      </c>
      <c r="BN214" s="75">
        <f t="shared" si="27"/>
        <v>0</v>
      </c>
      <c r="BO214" s="75">
        <f t="shared" si="28"/>
        <v>23</v>
      </c>
      <c r="BP214" s="75">
        <f t="shared" si="30"/>
        <v>23</v>
      </c>
      <c r="BQ214" s="80" t="s">
        <v>529</v>
      </c>
      <c r="BR214" s="138" t="s">
        <v>530</v>
      </c>
      <c r="BT214" s="110">
        <v>0</v>
      </c>
    </row>
    <row r="215" spans="3:72" x14ac:dyDescent="0.75">
      <c r="C215" s="270">
        <v>874</v>
      </c>
      <c r="D215" s="75" t="s">
        <v>357</v>
      </c>
      <c r="E215" s="75" t="s">
        <v>358</v>
      </c>
      <c r="F215" s="75" t="s">
        <v>359</v>
      </c>
      <c r="G215" s="75" t="s">
        <v>96</v>
      </c>
      <c r="H215" s="119">
        <v>18.314226999999999</v>
      </c>
      <c r="I215" s="75">
        <v>-64.721965999999995</v>
      </c>
      <c r="J215" s="81">
        <v>44881</v>
      </c>
      <c r="K215" s="75" t="s">
        <v>367</v>
      </c>
      <c r="L215" s="75" t="s">
        <v>360</v>
      </c>
      <c r="M215" s="75">
        <v>0</v>
      </c>
      <c r="N215" s="75">
        <v>3</v>
      </c>
      <c r="O215" s="75" t="s">
        <v>362</v>
      </c>
      <c r="P215" s="88">
        <f>SUM(TreatmentUsed!E2947:E2973)</f>
        <v>160</v>
      </c>
      <c r="Q215" s="75">
        <v>0</v>
      </c>
      <c r="R215" s="75">
        <v>0</v>
      </c>
      <c r="S215" s="75">
        <v>0</v>
      </c>
      <c r="T215" s="75">
        <v>0</v>
      </c>
      <c r="U215" s="75">
        <v>0</v>
      </c>
      <c r="V215" s="75">
        <v>0</v>
      </c>
      <c r="W215" s="75">
        <v>0</v>
      </c>
      <c r="X215" s="75">
        <v>0</v>
      </c>
      <c r="Y215" s="75">
        <v>0</v>
      </c>
      <c r="Z215" s="75">
        <v>0</v>
      </c>
      <c r="AA215" s="75">
        <v>0</v>
      </c>
      <c r="AB215" s="75">
        <v>0</v>
      </c>
      <c r="AC215" s="75">
        <v>0</v>
      </c>
      <c r="AD215" s="75">
        <v>0</v>
      </c>
      <c r="AE215" s="75">
        <v>0</v>
      </c>
      <c r="AF215" s="75">
        <v>0</v>
      </c>
      <c r="AG215" s="75">
        <v>0</v>
      </c>
      <c r="AH215" s="75">
        <v>0</v>
      </c>
      <c r="AI215" s="75">
        <v>0</v>
      </c>
      <c r="AJ215" s="75">
        <v>0</v>
      </c>
      <c r="AK215" s="75">
        <v>0</v>
      </c>
      <c r="AL215" s="75">
        <v>0</v>
      </c>
      <c r="AM215" s="75">
        <v>0</v>
      </c>
      <c r="AN215" s="75">
        <v>0</v>
      </c>
      <c r="AO215" s="75">
        <v>1</v>
      </c>
      <c r="AP215" s="75">
        <v>0</v>
      </c>
      <c r="AQ215" s="75">
        <v>0</v>
      </c>
      <c r="AR215" s="75">
        <v>0</v>
      </c>
      <c r="AS215" s="75">
        <v>0</v>
      </c>
      <c r="AT215" s="75">
        <v>0</v>
      </c>
      <c r="AU215" s="75">
        <v>0</v>
      </c>
      <c r="AV215" s="75">
        <v>0</v>
      </c>
      <c r="AW215" s="75">
        <v>0</v>
      </c>
      <c r="AX215" s="75">
        <v>0</v>
      </c>
      <c r="AY215" s="84">
        <v>9</v>
      </c>
      <c r="AZ215" s="84">
        <v>8</v>
      </c>
      <c r="BA215" s="84">
        <v>8</v>
      </c>
      <c r="BB215" s="84">
        <v>0</v>
      </c>
      <c r="BC215" s="75">
        <v>0</v>
      </c>
      <c r="BD215" s="75">
        <v>0</v>
      </c>
      <c r="BE215" s="75">
        <v>0</v>
      </c>
      <c r="BF215" s="75">
        <v>0</v>
      </c>
      <c r="BG215" s="75">
        <v>0</v>
      </c>
      <c r="BH215" s="75">
        <v>0</v>
      </c>
      <c r="BM215" s="75">
        <f t="shared" si="26"/>
        <v>0</v>
      </c>
      <c r="BN215" s="75">
        <f t="shared" si="27"/>
        <v>0</v>
      </c>
      <c r="BO215" s="75">
        <f t="shared" si="28"/>
        <v>26</v>
      </c>
      <c r="BP215" s="75">
        <f t="shared" si="30"/>
        <v>26</v>
      </c>
      <c r="BR215" s="138" t="s">
        <v>531</v>
      </c>
      <c r="BT215" s="110">
        <v>0</v>
      </c>
    </row>
    <row r="216" spans="3:72" x14ac:dyDescent="0.75">
      <c r="C216" s="270">
        <v>875</v>
      </c>
      <c r="D216" s="75" t="s">
        <v>357</v>
      </c>
      <c r="E216" s="75" t="s">
        <v>358</v>
      </c>
      <c r="F216" s="75" t="s">
        <v>359</v>
      </c>
      <c r="G216" s="75" t="s">
        <v>91</v>
      </c>
      <c r="H216" s="75">
        <v>18.302265542188699</v>
      </c>
      <c r="I216" s="75">
        <v>-64.709759103599794</v>
      </c>
      <c r="J216" s="81">
        <v>44881</v>
      </c>
      <c r="K216" s="75" t="s">
        <v>367</v>
      </c>
      <c r="L216" s="75" t="s">
        <v>360</v>
      </c>
      <c r="M216" s="75">
        <v>0</v>
      </c>
      <c r="N216" s="75">
        <v>2</v>
      </c>
      <c r="O216" s="75" t="s">
        <v>362</v>
      </c>
      <c r="P216" s="88">
        <f>SUM(TreatmentUsed!E2974:E2979)</f>
        <v>94</v>
      </c>
      <c r="Q216" s="75">
        <v>0</v>
      </c>
      <c r="R216" s="75">
        <v>0</v>
      </c>
      <c r="S216" s="75">
        <v>0</v>
      </c>
      <c r="T216" s="75">
        <v>0</v>
      </c>
      <c r="U216" s="75">
        <v>0</v>
      </c>
      <c r="V216" s="75">
        <v>0</v>
      </c>
      <c r="W216" s="75">
        <v>0</v>
      </c>
      <c r="X216" s="75">
        <v>0</v>
      </c>
      <c r="Y216" s="75">
        <v>0</v>
      </c>
      <c r="Z216" s="75">
        <v>0</v>
      </c>
      <c r="AA216" s="75">
        <v>0</v>
      </c>
      <c r="AB216" s="75">
        <v>0</v>
      </c>
      <c r="AC216" s="75">
        <v>0</v>
      </c>
      <c r="AD216" s="75">
        <v>0</v>
      </c>
      <c r="AE216" s="75">
        <v>0</v>
      </c>
      <c r="AF216" s="75">
        <v>0</v>
      </c>
      <c r="AG216" s="75">
        <v>0</v>
      </c>
      <c r="AH216" s="75">
        <v>0</v>
      </c>
      <c r="AI216" s="75">
        <v>0</v>
      </c>
      <c r="AJ216" s="75">
        <v>0</v>
      </c>
      <c r="AK216" s="75">
        <v>0</v>
      </c>
      <c r="AL216" s="75">
        <v>0</v>
      </c>
      <c r="AM216" s="75">
        <v>0</v>
      </c>
      <c r="AN216" s="75">
        <v>0</v>
      </c>
      <c r="AO216" s="75">
        <v>0</v>
      </c>
      <c r="AP216" s="75">
        <v>0</v>
      </c>
      <c r="AQ216" s="75">
        <v>0</v>
      </c>
      <c r="AR216" s="75">
        <v>0</v>
      </c>
      <c r="AS216" s="75">
        <v>0</v>
      </c>
      <c r="AT216" s="75">
        <v>0</v>
      </c>
      <c r="AU216" s="75">
        <v>0</v>
      </c>
      <c r="AV216" s="75">
        <v>0</v>
      </c>
      <c r="AW216" s="75">
        <v>0</v>
      </c>
      <c r="AX216" s="75">
        <v>0</v>
      </c>
      <c r="AY216" s="75">
        <v>0</v>
      </c>
      <c r="AZ216" s="75">
        <v>0</v>
      </c>
      <c r="BA216" s="75">
        <v>5</v>
      </c>
      <c r="BB216" s="75">
        <v>0</v>
      </c>
      <c r="BC216" s="75">
        <v>1</v>
      </c>
      <c r="BD216" s="75">
        <v>0</v>
      </c>
      <c r="BE216" s="75">
        <v>0</v>
      </c>
      <c r="BF216" s="75">
        <v>0</v>
      </c>
      <c r="BG216" s="75">
        <v>0</v>
      </c>
      <c r="BH216" s="75">
        <v>0</v>
      </c>
      <c r="BM216" s="75">
        <f t="shared" si="26"/>
        <v>0</v>
      </c>
      <c r="BN216" s="75">
        <f t="shared" si="27"/>
        <v>0</v>
      </c>
      <c r="BO216" s="75">
        <f t="shared" si="28"/>
        <v>6</v>
      </c>
      <c r="BP216" s="75">
        <f t="shared" si="30"/>
        <v>6</v>
      </c>
      <c r="BT216" s="110">
        <v>0</v>
      </c>
    </row>
    <row r="217" spans="3:72" x14ac:dyDescent="0.75">
      <c r="C217" s="270">
        <v>876</v>
      </c>
      <c r="D217" s="75" t="s">
        <v>357</v>
      </c>
      <c r="E217" s="75" t="s">
        <v>358</v>
      </c>
      <c r="F217" s="75" t="s">
        <v>359</v>
      </c>
      <c r="G217" s="75" t="s">
        <v>28</v>
      </c>
      <c r="H217" s="75">
        <v>18.315639999999998</v>
      </c>
      <c r="I217" s="75">
        <v>-64.725899999999996</v>
      </c>
      <c r="J217" s="81">
        <v>44882</v>
      </c>
      <c r="K217" s="75" t="s">
        <v>367</v>
      </c>
      <c r="L217" s="75" t="s">
        <v>360</v>
      </c>
      <c r="M217" s="75">
        <v>0</v>
      </c>
      <c r="N217" s="75">
        <v>2</v>
      </c>
      <c r="O217" s="75" t="s">
        <v>362</v>
      </c>
      <c r="P217" s="88">
        <f>SUM(TreatmentUsed!E2980)</f>
        <v>13</v>
      </c>
      <c r="Q217" s="75">
        <f>443/3</f>
        <v>147.66666666666666</v>
      </c>
      <c r="R217" s="75">
        <v>0</v>
      </c>
      <c r="S217" s="75">
        <v>0</v>
      </c>
      <c r="T217" s="75">
        <v>0</v>
      </c>
      <c r="U217" s="75">
        <v>0</v>
      </c>
      <c r="V217" s="75">
        <v>0</v>
      </c>
      <c r="W217" s="75">
        <v>0</v>
      </c>
      <c r="X217" s="75">
        <v>0</v>
      </c>
      <c r="Y217" s="75">
        <v>0</v>
      </c>
      <c r="Z217" s="75">
        <v>0</v>
      </c>
      <c r="AA217" s="75">
        <v>0</v>
      </c>
      <c r="AB217" s="75">
        <v>0</v>
      </c>
      <c r="AC217" s="75">
        <v>0</v>
      </c>
      <c r="AD217" s="75">
        <v>0</v>
      </c>
      <c r="AE217" s="75">
        <v>0</v>
      </c>
      <c r="AF217" s="75">
        <v>0</v>
      </c>
      <c r="AG217" s="75">
        <v>0</v>
      </c>
      <c r="AH217" s="75">
        <v>0</v>
      </c>
      <c r="AI217" s="75">
        <v>0</v>
      </c>
      <c r="AJ217" s="75">
        <v>0</v>
      </c>
      <c r="AK217" s="75">
        <v>0</v>
      </c>
      <c r="AL217" s="75">
        <v>0</v>
      </c>
      <c r="AM217" s="75">
        <v>0</v>
      </c>
      <c r="AN217" s="75">
        <v>0</v>
      </c>
      <c r="AO217" s="75">
        <v>0</v>
      </c>
      <c r="AP217" s="75">
        <v>0</v>
      </c>
      <c r="AQ217" s="75">
        <v>0</v>
      </c>
      <c r="AR217" s="75">
        <v>0</v>
      </c>
      <c r="AS217" s="75">
        <v>0</v>
      </c>
      <c r="AT217" s="75">
        <v>0</v>
      </c>
      <c r="AU217" s="75">
        <v>0</v>
      </c>
      <c r="AV217" s="75">
        <v>0</v>
      </c>
      <c r="AW217" s="75">
        <v>0</v>
      </c>
      <c r="AX217" s="75">
        <v>0</v>
      </c>
      <c r="AY217" s="75">
        <v>0</v>
      </c>
      <c r="AZ217" s="75">
        <v>0</v>
      </c>
      <c r="BA217" s="75">
        <v>1</v>
      </c>
      <c r="BB217" s="75">
        <v>0</v>
      </c>
      <c r="BC217" s="75">
        <v>0</v>
      </c>
      <c r="BD217" s="75">
        <v>0</v>
      </c>
      <c r="BE217" s="75">
        <v>0</v>
      </c>
      <c r="BF217" s="75">
        <v>0</v>
      </c>
      <c r="BG217" s="75">
        <v>0</v>
      </c>
      <c r="BH217" s="75">
        <v>0</v>
      </c>
      <c r="BM217" s="75">
        <f t="shared" si="26"/>
        <v>0</v>
      </c>
      <c r="BN217" s="75">
        <f t="shared" si="27"/>
        <v>0</v>
      </c>
      <c r="BO217" s="75">
        <f t="shared" si="28"/>
        <v>1</v>
      </c>
      <c r="BP217" s="75">
        <f t="shared" si="30"/>
        <v>1</v>
      </c>
      <c r="BR217" s="138">
        <v>4190</v>
      </c>
      <c r="BT217" s="110">
        <v>0</v>
      </c>
    </row>
    <row r="218" spans="3:72" x14ac:dyDescent="0.75">
      <c r="C218" s="270">
        <v>877</v>
      </c>
      <c r="D218" s="75" t="s">
        <v>357</v>
      </c>
      <c r="E218" s="75" t="s">
        <v>358</v>
      </c>
      <c r="F218" s="75" t="s">
        <v>359</v>
      </c>
      <c r="G218" s="75" t="s">
        <v>28</v>
      </c>
      <c r="H218" s="75">
        <v>18.315639999999998</v>
      </c>
      <c r="I218" s="75">
        <v>-64.725899999999996</v>
      </c>
      <c r="J218" s="81">
        <v>44882</v>
      </c>
      <c r="K218" s="75" t="s">
        <v>367</v>
      </c>
      <c r="L218" s="75" t="s">
        <v>360</v>
      </c>
      <c r="M218" s="75">
        <v>0</v>
      </c>
      <c r="N218" s="75">
        <v>2</v>
      </c>
      <c r="O218" s="75" t="s">
        <v>362</v>
      </c>
      <c r="P218" s="88">
        <f>SUM(TreatmentUsed!E2981:E2982)</f>
        <v>12</v>
      </c>
      <c r="Q218" s="75">
        <f>443/3</f>
        <v>147.66666666666666</v>
      </c>
      <c r="R218" s="75">
        <v>0</v>
      </c>
      <c r="S218" s="75">
        <v>0</v>
      </c>
      <c r="T218" s="75">
        <v>0</v>
      </c>
      <c r="U218" s="75">
        <v>0</v>
      </c>
      <c r="V218" s="75">
        <v>0</v>
      </c>
      <c r="W218" s="75">
        <v>0</v>
      </c>
      <c r="X218" s="75">
        <v>0</v>
      </c>
      <c r="Y218" s="75">
        <v>0</v>
      </c>
      <c r="Z218" s="75">
        <v>0</v>
      </c>
      <c r="AA218" s="75">
        <v>0</v>
      </c>
      <c r="AB218" s="75">
        <v>0</v>
      </c>
      <c r="AC218" s="75">
        <v>0</v>
      </c>
      <c r="AD218" s="75">
        <v>0</v>
      </c>
      <c r="AE218" s="75">
        <v>0</v>
      </c>
      <c r="AF218" s="75">
        <v>0</v>
      </c>
      <c r="AG218" s="75">
        <v>0</v>
      </c>
      <c r="AH218" s="75">
        <v>0</v>
      </c>
      <c r="AI218" s="75">
        <v>0</v>
      </c>
      <c r="AJ218" s="75">
        <v>0</v>
      </c>
      <c r="AK218" s="75">
        <v>0</v>
      </c>
      <c r="AL218" s="75">
        <v>0</v>
      </c>
      <c r="AM218" s="75">
        <v>0</v>
      </c>
      <c r="AN218" s="75">
        <v>0</v>
      </c>
      <c r="AO218" s="75">
        <v>0</v>
      </c>
      <c r="AP218" s="75">
        <v>0</v>
      </c>
      <c r="AQ218" s="75">
        <v>0</v>
      </c>
      <c r="AR218" s="75">
        <v>0</v>
      </c>
      <c r="AS218" s="75">
        <v>0</v>
      </c>
      <c r="AT218" s="75">
        <v>0</v>
      </c>
      <c r="AU218" s="75">
        <v>0</v>
      </c>
      <c r="AV218" s="75">
        <v>0</v>
      </c>
      <c r="AW218" s="75">
        <v>0</v>
      </c>
      <c r="AX218" s="75">
        <v>0</v>
      </c>
      <c r="AY218" s="75">
        <v>0</v>
      </c>
      <c r="AZ218" s="75">
        <v>0</v>
      </c>
      <c r="BA218" s="75">
        <v>2</v>
      </c>
      <c r="BB218" s="75">
        <v>0</v>
      </c>
      <c r="BC218" s="75">
        <v>0</v>
      </c>
      <c r="BD218" s="75">
        <v>0</v>
      </c>
      <c r="BE218" s="75">
        <v>0</v>
      </c>
      <c r="BF218" s="75">
        <v>0</v>
      </c>
      <c r="BG218" s="75">
        <v>0</v>
      </c>
      <c r="BH218" s="75">
        <v>0</v>
      </c>
      <c r="BM218" s="75">
        <f t="shared" si="26"/>
        <v>0</v>
      </c>
      <c r="BN218" s="75">
        <f t="shared" si="27"/>
        <v>0</v>
      </c>
      <c r="BO218" s="75">
        <f t="shared" si="28"/>
        <v>2</v>
      </c>
      <c r="BP218" s="75">
        <f t="shared" si="30"/>
        <v>2</v>
      </c>
      <c r="BR218" s="138">
        <v>4133</v>
      </c>
      <c r="BT218" s="110">
        <v>0</v>
      </c>
    </row>
    <row r="219" spans="3:72" x14ac:dyDescent="0.75">
      <c r="C219" s="270">
        <v>878</v>
      </c>
      <c r="D219" s="75" t="s">
        <v>357</v>
      </c>
      <c r="E219" s="75" t="s">
        <v>358</v>
      </c>
      <c r="F219" s="75" t="s">
        <v>359</v>
      </c>
      <c r="G219" s="75" t="s">
        <v>96</v>
      </c>
      <c r="H219" s="119">
        <v>18.314226999999999</v>
      </c>
      <c r="I219" s="75">
        <v>-64.721965999999995</v>
      </c>
      <c r="J219" s="81">
        <v>44882</v>
      </c>
      <c r="K219" s="75" t="s">
        <v>367</v>
      </c>
      <c r="L219" s="75" t="s">
        <v>360</v>
      </c>
      <c r="M219" s="75">
        <v>0</v>
      </c>
      <c r="N219" s="75">
        <v>2</v>
      </c>
      <c r="O219" s="75" t="s">
        <v>362</v>
      </c>
      <c r="P219" s="88">
        <f>SUM(TreatmentUsed!E2983:E2985)</f>
        <v>45</v>
      </c>
      <c r="Q219" s="75">
        <f>443/3</f>
        <v>147.66666666666666</v>
      </c>
      <c r="R219" s="75">
        <v>0</v>
      </c>
      <c r="S219" s="75">
        <v>0</v>
      </c>
      <c r="T219" s="75">
        <v>0</v>
      </c>
      <c r="U219" s="75">
        <v>0</v>
      </c>
      <c r="V219" s="75">
        <v>0</v>
      </c>
      <c r="W219" s="75">
        <v>0</v>
      </c>
      <c r="X219" s="75">
        <v>0</v>
      </c>
      <c r="Y219" s="75">
        <v>0</v>
      </c>
      <c r="Z219" s="75">
        <v>0</v>
      </c>
      <c r="AA219" s="75">
        <v>0</v>
      </c>
      <c r="AB219" s="75">
        <v>0</v>
      </c>
      <c r="AC219" s="75">
        <v>0</v>
      </c>
      <c r="AD219" s="75">
        <v>0</v>
      </c>
      <c r="AE219" s="75">
        <v>0</v>
      </c>
      <c r="AF219" s="75">
        <v>0</v>
      </c>
      <c r="AG219" s="75">
        <v>0</v>
      </c>
      <c r="AH219" s="75">
        <v>0</v>
      </c>
      <c r="AI219" s="75">
        <v>0</v>
      </c>
      <c r="AJ219" s="75">
        <v>0</v>
      </c>
      <c r="AK219" s="75">
        <v>0</v>
      </c>
      <c r="AL219" s="75">
        <v>0</v>
      </c>
      <c r="AM219" s="75">
        <v>0</v>
      </c>
      <c r="AN219" s="75">
        <v>0</v>
      </c>
      <c r="AO219" s="75">
        <v>0</v>
      </c>
      <c r="AP219" s="75">
        <v>0</v>
      </c>
      <c r="AQ219" s="75">
        <v>0</v>
      </c>
      <c r="AR219" s="75">
        <v>0</v>
      </c>
      <c r="AS219" s="75">
        <v>0</v>
      </c>
      <c r="AT219" s="75">
        <v>0</v>
      </c>
      <c r="AU219" s="75">
        <v>0</v>
      </c>
      <c r="AV219" s="75">
        <v>0</v>
      </c>
      <c r="AW219" s="75">
        <v>0</v>
      </c>
      <c r="AX219" s="75">
        <v>0</v>
      </c>
      <c r="AY219" s="75">
        <v>0</v>
      </c>
      <c r="AZ219" s="75">
        <v>0</v>
      </c>
      <c r="BA219" s="75">
        <v>3</v>
      </c>
      <c r="BB219" s="75">
        <v>0</v>
      </c>
      <c r="BC219" s="75">
        <v>0</v>
      </c>
      <c r="BD219" s="75">
        <v>0</v>
      </c>
      <c r="BE219" s="75">
        <v>0</v>
      </c>
      <c r="BF219" s="75">
        <v>0</v>
      </c>
      <c r="BG219" s="75">
        <v>0</v>
      </c>
      <c r="BH219" s="75">
        <v>0</v>
      </c>
      <c r="BM219" s="75">
        <f t="shared" si="26"/>
        <v>0</v>
      </c>
      <c r="BN219" s="75">
        <f t="shared" si="27"/>
        <v>0</v>
      </c>
      <c r="BO219" s="75">
        <f t="shared" si="28"/>
        <v>3</v>
      </c>
      <c r="BP219" s="75">
        <f t="shared" si="30"/>
        <v>3</v>
      </c>
      <c r="BT219" s="110">
        <v>0</v>
      </c>
    </row>
    <row r="220" spans="3:72" x14ac:dyDescent="0.75">
      <c r="C220" s="270">
        <v>879</v>
      </c>
      <c r="D220" s="75" t="s">
        <v>357</v>
      </c>
      <c r="E220" s="75" t="s">
        <v>358</v>
      </c>
      <c r="F220" s="75" t="s">
        <v>359</v>
      </c>
      <c r="G220" s="75" t="s">
        <v>23</v>
      </c>
      <c r="H220" s="75">
        <v>18.365749999999998</v>
      </c>
      <c r="I220" s="75">
        <v>-64.773619999999994</v>
      </c>
      <c r="J220" s="81">
        <v>44894</v>
      </c>
      <c r="K220" s="75" t="s">
        <v>367</v>
      </c>
      <c r="L220" s="75" t="s">
        <v>360</v>
      </c>
      <c r="M220" s="75">
        <v>0</v>
      </c>
      <c r="N220" s="84">
        <v>3</v>
      </c>
      <c r="O220" s="75" t="s">
        <v>362</v>
      </c>
      <c r="P220" s="88">
        <f>SUM(TreatmentUsed!E2986:E2992)</f>
        <v>30</v>
      </c>
      <c r="Q220" s="75">
        <v>0</v>
      </c>
      <c r="R220" s="75">
        <v>0</v>
      </c>
      <c r="S220" s="75">
        <v>0</v>
      </c>
      <c r="T220" s="75">
        <v>0</v>
      </c>
      <c r="U220" s="75">
        <v>0</v>
      </c>
      <c r="V220" s="75">
        <v>0</v>
      </c>
      <c r="W220" s="75">
        <v>0</v>
      </c>
      <c r="X220" s="75">
        <v>0</v>
      </c>
      <c r="Y220" s="75">
        <v>0</v>
      </c>
      <c r="Z220" s="75">
        <v>0</v>
      </c>
      <c r="AA220" s="75">
        <v>0</v>
      </c>
      <c r="AB220" s="75">
        <v>0</v>
      </c>
      <c r="AC220" s="75">
        <v>0</v>
      </c>
      <c r="AD220" s="75">
        <v>0</v>
      </c>
      <c r="AE220" s="75">
        <v>0</v>
      </c>
      <c r="AF220" s="75">
        <v>0</v>
      </c>
      <c r="AG220" s="75">
        <v>0</v>
      </c>
      <c r="AH220" s="75">
        <v>0</v>
      </c>
      <c r="AI220" s="75">
        <v>0</v>
      </c>
      <c r="AJ220" s="75">
        <v>0</v>
      </c>
      <c r="AK220" s="75">
        <v>0</v>
      </c>
      <c r="AL220" s="75">
        <v>0</v>
      </c>
      <c r="AM220" s="75">
        <v>0</v>
      </c>
      <c r="AN220" s="75">
        <v>0</v>
      </c>
      <c r="AO220" s="75">
        <v>1</v>
      </c>
      <c r="AP220" s="75">
        <v>0</v>
      </c>
      <c r="AQ220" s="75">
        <v>0</v>
      </c>
      <c r="AR220" s="75">
        <v>0</v>
      </c>
      <c r="AS220" s="75">
        <v>0</v>
      </c>
      <c r="AT220" s="75">
        <v>0</v>
      </c>
      <c r="AU220" s="75">
        <v>0</v>
      </c>
      <c r="AV220" s="75">
        <v>0</v>
      </c>
      <c r="AW220" s="75">
        <v>0</v>
      </c>
      <c r="AX220" s="75">
        <v>0</v>
      </c>
      <c r="AY220" s="75">
        <v>0</v>
      </c>
      <c r="AZ220" s="75">
        <v>0</v>
      </c>
      <c r="BA220" s="84">
        <v>5</v>
      </c>
      <c r="BB220" s="84">
        <v>0</v>
      </c>
      <c r="BC220" s="75">
        <v>0</v>
      </c>
      <c r="BD220" s="84">
        <v>0</v>
      </c>
      <c r="BE220" s="75">
        <v>0</v>
      </c>
      <c r="BF220" s="75">
        <v>0</v>
      </c>
      <c r="BG220" s="75">
        <v>0</v>
      </c>
      <c r="BH220" s="84">
        <v>1</v>
      </c>
      <c r="BI220" s="84"/>
      <c r="BJ220" s="84"/>
      <c r="BK220" s="84"/>
      <c r="BM220" s="75">
        <f t="shared" si="26"/>
        <v>0</v>
      </c>
      <c r="BN220" s="75">
        <f t="shared" si="27"/>
        <v>0</v>
      </c>
      <c r="BO220" s="75">
        <f t="shared" si="28"/>
        <v>7</v>
      </c>
      <c r="BP220" s="75">
        <f t="shared" si="30"/>
        <v>7</v>
      </c>
      <c r="BQ220" s="80" t="s">
        <v>532</v>
      </c>
      <c r="BT220" s="110">
        <v>0</v>
      </c>
    </row>
    <row r="221" spans="3:72" x14ac:dyDescent="0.75">
      <c r="C221" s="270">
        <v>880</v>
      </c>
      <c r="D221" s="75" t="s">
        <v>357</v>
      </c>
      <c r="E221" s="75" t="s">
        <v>358</v>
      </c>
      <c r="F221" s="75" t="s">
        <v>359</v>
      </c>
      <c r="G221" s="75" t="s">
        <v>23</v>
      </c>
      <c r="H221" s="75">
        <v>18.365749999999998</v>
      </c>
      <c r="I221" s="75">
        <v>-64.773619999999994</v>
      </c>
      <c r="J221" s="81">
        <v>44894</v>
      </c>
      <c r="K221" s="75" t="s">
        <v>367</v>
      </c>
      <c r="L221" s="75" t="s">
        <v>360</v>
      </c>
      <c r="M221" s="75">
        <v>0</v>
      </c>
      <c r="N221" s="84">
        <v>3</v>
      </c>
      <c r="O221" s="75" t="s">
        <v>362</v>
      </c>
      <c r="P221" s="88">
        <f>SUM(TreatmentUsed!E2993:E3004)</f>
        <v>48</v>
      </c>
      <c r="Q221" s="75">
        <v>0</v>
      </c>
      <c r="R221" s="75">
        <v>0</v>
      </c>
      <c r="S221" s="75">
        <v>0</v>
      </c>
      <c r="T221" s="75">
        <v>0</v>
      </c>
      <c r="U221" s="75">
        <v>0</v>
      </c>
      <c r="V221" s="75">
        <v>0</v>
      </c>
      <c r="W221" s="75">
        <v>0</v>
      </c>
      <c r="X221" s="75">
        <v>0</v>
      </c>
      <c r="Y221" s="75">
        <v>0</v>
      </c>
      <c r="Z221" s="75">
        <v>0</v>
      </c>
      <c r="AA221" s="75">
        <v>0</v>
      </c>
      <c r="AB221" s="75">
        <v>0</v>
      </c>
      <c r="AC221" s="75">
        <v>0</v>
      </c>
      <c r="AD221" s="75">
        <v>0</v>
      </c>
      <c r="AE221" s="75">
        <v>0</v>
      </c>
      <c r="AF221" s="75">
        <v>0</v>
      </c>
      <c r="AG221" s="75">
        <v>0</v>
      </c>
      <c r="AH221" s="75">
        <v>0</v>
      </c>
      <c r="AI221" s="75">
        <v>0</v>
      </c>
      <c r="AJ221" s="75">
        <v>0</v>
      </c>
      <c r="AK221" s="75">
        <v>0</v>
      </c>
      <c r="AL221" s="75">
        <v>0</v>
      </c>
      <c r="AM221" s="75">
        <v>0</v>
      </c>
      <c r="AN221" s="75">
        <v>0</v>
      </c>
      <c r="AO221" s="75">
        <v>3</v>
      </c>
      <c r="AP221" s="75">
        <v>0</v>
      </c>
      <c r="AQ221" s="75">
        <v>0</v>
      </c>
      <c r="AR221" s="75">
        <v>0</v>
      </c>
      <c r="AS221" s="75">
        <v>0</v>
      </c>
      <c r="AT221" s="75">
        <v>0</v>
      </c>
      <c r="AU221" s="75">
        <v>0</v>
      </c>
      <c r="AV221" s="75">
        <v>0</v>
      </c>
      <c r="AW221" s="75">
        <v>0</v>
      </c>
      <c r="AX221" s="75">
        <v>0</v>
      </c>
      <c r="AY221" s="75">
        <v>0</v>
      </c>
      <c r="AZ221" s="84">
        <v>3</v>
      </c>
      <c r="BA221" s="84">
        <v>3</v>
      </c>
      <c r="BB221" s="75">
        <v>0</v>
      </c>
      <c r="BC221" s="75">
        <v>1</v>
      </c>
      <c r="BD221" s="75">
        <v>0</v>
      </c>
      <c r="BE221" s="75">
        <v>0</v>
      </c>
      <c r="BF221" s="75">
        <v>1</v>
      </c>
      <c r="BG221" s="75">
        <v>0</v>
      </c>
      <c r="BH221" s="75">
        <v>1</v>
      </c>
      <c r="BM221" s="75">
        <f t="shared" si="26"/>
        <v>0</v>
      </c>
      <c r="BN221" s="75">
        <f t="shared" si="27"/>
        <v>0</v>
      </c>
      <c r="BO221" s="75">
        <f t="shared" si="28"/>
        <v>12</v>
      </c>
      <c r="BP221" s="75">
        <f t="shared" si="30"/>
        <v>12</v>
      </c>
      <c r="BQ221" s="80" t="s">
        <v>529</v>
      </c>
      <c r="BT221" s="110">
        <v>0</v>
      </c>
    </row>
    <row r="222" spans="3:72" x14ac:dyDescent="0.75">
      <c r="C222" s="270">
        <v>881</v>
      </c>
      <c r="D222" s="75" t="s">
        <v>357</v>
      </c>
      <c r="E222" s="75" t="s">
        <v>358</v>
      </c>
      <c r="F222" s="75" t="s">
        <v>359</v>
      </c>
      <c r="G222" s="75" t="s">
        <v>69</v>
      </c>
      <c r="H222" s="75">
        <v>18.343233000000001</v>
      </c>
      <c r="I222" s="75">
        <v>-64.687667000000005</v>
      </c>
      <c r="J222" s="81">
        <v>44895</v>
      </c>
      <c r="K222" s="75" t="s">
        <v>367</v>
      </c>
      <c r="L222" s="75" t="s">
        <v>360</v>
      </c>
      <c r="M222" s="75">
        <v>0</v>
      </c>
      <c r="N222" s="75">
        <v>3</v>
      </c>
      <c r="O222" s="75" t="s">
        <v>362</v>
      </c>
      <c r="P222" s="88">
        <f>SUM(TreatmentUsed!E3005:E3031)</f>
        <v>136</v>
      </c>
      <c r="Q222" s="75">
        <v>0</v>
      </c>
      <c r="R222" s="75">
        <v>0</v>
      </c>
      <c r="S222" s="75">
        <v>0</v>
      </c>
      <c r="T222" s="75">
        <v>0</v>
      </c>
      <c r="U222" s="75">
        <v>0</v>
      </c>
      <c r="V222" s="75">
        <v>0</v>
      </c>
      <c r="W222" s="75">
        <v>0</v>
      </c>
      <c r="X222" s="75">
        <v>0</v>
      </c>
      <c r="Y222" s="75">
        <v>0</v>
      </c>
      <c r="Z222" s="75">
        <v>0</v>
      </c>
      <c r="AA222" s="75">
        <v>0</v>
      </c>
      <c r="AB222" s="75">
        <v>0</v>
      </c>
      <c r="AC222" s="75">
        <v>0</v>
      </c>
      <c r="AD222" s="75">
        <v>0</v>
      </c>
      <c r="AE222" s="75">
        <v>0</v>
      </c>
      <c r="AF222" s="75">
        <v>0</v>
      </c>
      <c r="AG222" s="75">
        <v>0</v>
      </c>
      <c r="AH222" s="75">
        <v>0</v>
      </c>
      <c r="AI222" s="75">
        <v>0</v>
      </c>
      <c r="AJ222" s="75">
        <v>0</v>
      </c>
      <c r="AK222" s="75">
        <v>0</v>
      </c>
      <c r="AL222" s="75">
        <v>0</v>
      </c>
      <c r="AM222" s="75">
        <v>0</v>
      </c>
      <c r="AN222" s="75">
        <v>0</v>
      </c>
      <c r="AO222" s="75">
        <v>0</v>
      </c>
      <c r="AP222" s="75">
        <v>0</v>
      </c>
      <c r="AQ222" s="75">
        <v>0</v>
      </c>
      <c r="AR222" s="75">
        <v>0</v>
      </c>
      <c r="AS222" s="75">
        <v>0</v>
      </c>
      <c r="AT222" s="75">
        <v>0</v>
      </c>
      <c r="AU222" s="75">
        <v>0</v>
      </c>
      <c r="AV222" s="75">
        <v>0</v>
      </c>
      <c r="AW222" s="75">
        <v>0</v>
      </c>
      <c r="AX222" s="75">
        <v>0</v>
      </c>
      <c r="AY222" s="84">
        <v>10</v>
      </c>
      <c r="AZ222" s="75">
        <v>2</v>
      </c>
      <c r="BA222" s="75">
        <v>12</v>
      </c>
      <c r="BB222" s="84">
        <v>0</v>
      </c>
      <c r="BC222" s="75">
        <v>0</v>
      </c>
      <c r="BD222" s="75">
        <v>0</v>
      </c>
      <c r="BE222" s="75">
        <v>1</v>
      </c>
      <c r="BF222" s="75">
        <v>2</v>
      </c>
      <c r="BG222" s="75">
        <v>0</v>
      </c>
      <c r="BH222" s="75">
        <v>0</v>
      </c>
      <c r="BM222" s="75">
        <f t="shared" si="26"/>
        <v>0</v>
      </c>
      <c r="BN222" s="75">
        <f t="shared" si="27"/>
        <v>0</v>
      </c>
      <c r="BO222" s="75">
        <f t="shared" si="28"/>
        <v>27</v>
      </c>
      <c r="BP222" s="84">
        <f t="shared" si="30"/>
        <v>27</v>
      </c>
      <c r="BR222" s="252" t="s">
        <v>533</v>
      </c>
      <c r="BT222" s="110">
        <v>0</v>
      </c>
    </row>
    <row r="223" spans="3:72" x14ac:dyDescent="0.75">
      <c r="C223" s="270">
        <v>882</v>
      </c>
      <c r="D223" s="75" t="s">
        <v>357</v>
      </c>
      <c r="E223" s="75" t="s">
        <v>358</v>
      </c>
      <c r="F223" s="75" t="s">
        <v>359</v>
      </c>
      <c r="G223" s="75" t="s">
        <v>69</v>
      </c>
      <c r="H223" s="75">
        <v>18.343233000000001</v>
      </c>
      <c r="I223" s="75">
        <v>-64.687667000000005</v>
      </c>
      <c r="J223" s="81">
        <v>44895</v>
      </c>
      <c r="K223" s="75" t="s">
        <v>367</v>
      </c>
      <c r="L223" s="75" t="s">
        <v>360</v>
      </c>
      <c r="M223" s="75">
        <v>0</v>
      </c>
      <c r="N223" s="75">
        <v>3</v>
      </c>
      <c r="O223" s="75" t="s">
        <v>362</v>
      </c>
      <c r="P223" s="88">
        <f>SUM(TreatmentUsed!E3032:E3064)</f>
        <v>181</v>
      </c>
      <c r="Q223" s="75">
        <v>0</v>
      </c>
      <c r="R223" s="75">
        <v>0</v>
      </c>
      <c r="S223" s="75">
        <v>0</v>
      </c>
      <c r="T223" s="75">
        <v>0</v>
      </c>
      <c r="U223" s="75">
        <v>0</v>
      </c>
      <c r="V223" s="75">
        <v>0</v>
      </c>
      <c r="W223" s="75">
        <v>0</v>
      </c>
      <c r="X223" s="75">
        <v>0</v>
      </c>
      <c r="Y223" s="75">
        <v>0</v>
      </c>
      <c r="Z223" s="75">
        <v>0</v>
      </c>
      <c r="AA223" s="75">
        <v>0</v>
      </c>
      <c r="AB223" s="75">
        <v>0</v>
      </c>
      <c r="AC223" s="75">
        <v>0</v>
      </c>
      <c r="AD223" s="75">
        <v>0</v>
      </c>
      <c r="AE223" s="75">
        <v>0</v>
      </c>
      <c r="AF223" s="75">
        <v>0</v>
      </c>
      <c r="AG223" s="75">
        <v>0</v>
      </c>
      <c r="AH223" s="75">
        <v>0</v>
      </c>
      <c r="AI223" s="75">
        <v>0</v>
      </c>
      <c r="AJ223" s="75">
        <v>0</v>
      </c>
      <c r="AK223" s="75">
        <v>0</v>
      </c>
      <c r="AL223" s="75">
        <v>0</v>
      </c>
      <c r="AM223" s="75">
        <v>0</v>
      </c>
      <c r="AN223" s="75">
        <v>0</v>
      </c>
      <c r="AO223" s="75">
        <v>0</v>
      </c>
      <c r="AP223" s="75">
        <v>0</v>
      </c>
      <c r="AQ223" s="75">
        <v>0</v>
      </c>
      <c r="AR223" s="75">
        <v>1</v>
      </c>
      <c r="AS223" s="75">
        <v>0</v>
      </c>
      <c r="AT223" s="75">
        <v>0</v>
      </c>
      <c r="AU223" s="75">
        <v>0</v>
      </c>
      <c r="AV223" s="75">
        <v>0</v>
      </c>
      <c r="AW223" s="75">
        <v>0</v>
      </c>
      <c r="AX223" s="84">
        <v>1</v>
      </c>
      <c r="AY223" s="84">
        <v>11</v>
      </c>
      <c r="AZ223" s="84">
        <v>4</v>
      </c>
      <c r="BA223" s="84">
        <v>8</v>
      </c>
      <c r="BB223" s="84">
        <v>1</v>
      </c>
      <c r="BC223" s="75">
        <v>1</v>
      </c>
      <c r="BD223" s="75">
        <v>0</v>
      </c>
      <c r="BE223" s="75">
        <v>1</v>
      </c>
      <c r="BF223" s="75">
        <v>2</v>
      </c>
      <c r="BG223" s="75">
        <v>0</v>
      </c>
      <c r="BH223" s="84">
        <v>3</v>
      </c>
      <c r="BI223" s="84"/>
      <c r="BJ223" s="84"/>
      <c r="BK223" s="84"/>
      <c r="BM223" s="75">
        <f t="shared" si="26"/>
        <v>0</v>
      </c>
      <c r="BN223" s="75">
        <f t="shared" si="27"/>
        <v>0</v>
      </c>
      <c r="BO223" s="75">
        <f t="shared" si="28"/>
        <v>33</v>
      </c>
      <c r="BP223" s="84">
        <f t="shared" si="30"/>
        <v>33</v>
      </c>
      <c r="BQ223" s="80" t="s">
        <v>529</v>
      </c>
      <c r="BT223" s="110">
        <v>0</v>
      </c>
    </row>
    <row r="224" spans="3:72" x14ac:dyDescent="0.75">
      <c r="C224" s="270">
        <v>883</v>
      </c>
      <c r="D224" s="75" t="s">
        <v>357</v>
      </c>
      <c r="E224" s="75" t="s">
        <v>358</v>
      </c>
      <c r="F224" s="75" t="s">
        <v>359</v>
      </c>
      <c r="G224" s="75" t="s">
        <v>69</v>
      </c>
      <c r="H224" s="75">
        <v>18.343233000000001</v>
      </c>
      <c r="I224" s="75">
        <v>-64.687667000000005</v>
      </c>
      <c r="J224" s="81">
        <v>44895</v>
      </c>
      <c r="K224" s="75" t="s">
        <v>367</v>
      </c>
      <c r="L224" s="75" t="s">
        <v>360</v>
      </c>
      <c r="M224" s="75">
        <v>0</v>
      </c>
      <c r="N224" s="75">
        <v>3</v>
      </c>
      <c r="O224" s="75" t="s">
        <v>362</v>
      </c>
      <c r="P224" s="88">
        <f>SUM(TreatmentUsed!E3065:E3115)</f>
        <v>396</v>
      </c>
      <c r="Q224" s="75">
        <v>0</v>
      </c>
      <c r="R224" s="75">
        <v>0</v>
      </c>
      <c r="S224" s="75">
        <v>0</v>
      </c>
      <c r="T224" s="75">
        <v>0</v>
      </c>
      <c r="U224" s="75">
        <v>0</v>
      </c>
      <c r="V224" s="75">
        <v>0</v>
      </c>
      <c r="W224" s="75">
        <v>0</v>
      </c>
      <c r="X224" s="75">
        <v>0</v>
      </c>
      <c r="Y224" s="75">
        <v>0</v>
      </c>
      <c r="Z224" s="75">
        <v>0</v>
      </c>
      <c r="AA224" s="75">
        <v>0</v>
      </c>
      <c r="AB224" s="75">
        <v>0</v>
      </c>
      <c r="AC224" s="75">
        <v>0</v>
      </c>
      <c r="AD224" s="75">
        <v>0</v>
      </c>
      <c r="AE224" s="75">
        <v>0</v>
      </c>
      <c r="AF224" s="75">
        <v>0</v>
      </c>
      <c r="AG224" s="75">
        <v>0</v>
      </c>
      <c r="AH224" s="75">
        <v>0</v>
      </c>
      <c r="AI224" s="75">
        <v>0</v>
      </c>
      <c r="AJ224" s="75">
        <v>0</v>
      </c>
      <c r="AK224" s="75">
        <v>0</v>
      </c>
      <c r="AL224" s="75">
        <v>0</v>
      </c>
      <c r="AM224" s="75">
        <v>0</v>
      </c>
      <c r="AN224" s="75">
        <v>0</v>
      </c>
      <c r="AO224" s="75">
        <v>2</v>
      </c>
      <c r="AP224" s="75">
        <v>0</v>
      </c>
      <c r="AQ224" s="75">
        <v>0</v>
      </c>
      <c r="AR224" s="75">
        <v>2</v>
      </c>
      <c r="AS224" s="75">
        <v>0</v>
      </c>
      <c r="AT224" s="75">
        <v>0</v>
      </c>
      <c r="AU224" s="75">
        <v>0</v>
      </c>
      <c r="AV224" s="75">
        <v>0</v>
      </c>
      <c r="AW224" s="75">
        <v>0</v>
      </c>
      <c r="AX224" s="75">
        <v>0</v>
      </c>
      <c r="AY224" s="84">
        <v>19</v>
      </c>
      <c r="AZ224" s="84">
        <v>4</v>
      </c>
      <c r="BA224" s="84">
        <v>17</v>
      </c>
      <c r="BB224" s="84">
        <v>3</v>
      </c>
      <c r="BC224" s="75">
        <v>2</v>
      </c>
      <c r="BD224" s="75">
        <v>0</v>
      </c>
      <c r="BE224" s="84">
        <v>1</v>
      </c>
      <c r="BF224" s="75">
        <v>0</v>
      </c>
      <c r="BG224" s="75">
        <v>0</v>
      </c>
      <c r="BH224" s="75">
        <v>1</v>
      </c>
      <c r="BM224" s="75">
        <f t="shared" si="26"/>
        <v>0</v>
      </c>
      <c r="BN224" s="75">
        <f t="shared" si="27"/>
        <v>0</v>
      </c>
      <c r="BO224" s="75">
        <f t="shared" si="28"/>
        <v>51</v>
      </c>
      <c r="BP224" s="75">
        <f t="shared" si="30"/>
        <v>51</v>
      </c>
      <c r="BQ224" s="80" t="s">
        <v>529</v>
      </c>
      <c r="BT224" s="110">
        <v>0</v>
      </c>
    </row>
    <row r="225" spans="1:74" s="205" customFormat="1" x14ac:dyDescent="0.75">
      <c r="A225" s="232"/>
      <c r="B225" s="235"/>
      <c r="C225" s="272">
        <v>884</v>
      </c>
      <c r="D225" s="225" t="s">
        <v>357</v>
      </c>
      <c r="E225" s="225" t="s">
        <v>358</v>
      </c>
      <c r="F225" s="225" t="s">
        <v>359</v>
      </c>
      <c r="G225" s="225" t="s">
        <v>69</v>
      </c>
      <c r="H225" s="225">
        <v>18.343233000000001</v>
      </c>
      <c r="I225" s="225">
        <v>-64.687667000000005</v>
      </c>
      <c r="J225" s="234">
        <v>44896</v>
      </c>
      <c r="K225" s="225" t="s">
        <v>367</v>
      </c>
      <c r="L225" s="225" t="s">
        <v>360</v>
      </c>
      <c r="M225" s="225">
        <v>0</v>
      </c>
      <c r="N225" s="225">
        <v>2</v>
      </c>
      <c r="O225" s="225" t="s">
        <v>362</v>
      </c>
      <c r="P225" s="236">
        <f>SUM(TreatmentUsed!E3116:E3152)</f>
        <v>261</v>
      </c>
      <c r="Q225" s="225">
        <v>0</v>
      </c>
      <c r="R225" s="225">
        <v>0</v>
      </c>
      <c r="S225" s="225">
        <v>0</v>
      </c>
      <c r="T225" s="225">
        <v>0</v>
      </c>
      <c r="U225" s="225">
        <v>0</v>
      </c>
      <c r="V225" s="225">
        <v>0</v>
      </c>
      <c r="W225" s="225">
        <v>0</v>
      </c>
      <c r="X225" s="225">
        <v>0</v>
      </c>
      <c r="Y225" s="225">
        <v>0</v>
      </c>
      <c r="Z225" s="225">
        <v>0</v>
      </c>
      <c r="AA225" s="225">
        <v>0</v>
      </c>
      <c r="AB225" s="225">
        <v>0</v>
      </c>
      <c r="AC225" s="225">
        <v>0</v>
      </c>
      <c r="AD225" s="225">
        <v>0</v>
      </c>
      <c r="AE225" s="225">
        <v>0</v>
      </c>
      <c r="AF225" s="225">
        <v>0</v>
      </c>
      <c r="AG225" s="225">
        <v>0</v>
      </c>
      <c r="AH225" s="225">
        <v>0</v>
      </c>
      <c r="AI225" s="225">
        <v>0</v>
      </c>
      <c r="AJ225" s="225">
        <v>0</v>
      </c>
      <c r="AK225" s="225">
        <v>0</v>
      </c>
      <c r="AL225" s="225">
        <v>0</v>
      </c>
      <c r="AM225" s="225">
        <v>0</v>
      </c>
      <c r="AN225" s="225">
        <v>0</v>
      </c>
      <c r="AO225" s="225">
        <v>0</v>
      </c>
      <c r="AP225" s="225">
        <v>0</v>
      </c>
      <c r="AQ225" s="225">
        <v>0</v>
      </c>
      <c r="AR225" s="225">
        <v>0</v>
      </c>
      <c r="AS225" s="233">
        <v>8</v>
      </c>
      <c r="AT225" s="225">
        <v>7</v>
      </c>
      <c r="AU225" s="225">
        <v>0</v>
      </c>
      <c r="AV225" s="225">
        <v>0</v>
      </c>
      <c r="AW225" s="225">
        <v>0</v>
      </c>
      <c r="AX225" s="225">
        <v>0</v>
      </c>
      <c r="AY225" s="233">
        <v>5</v>
      </c>
      <c r="AZ225" s="225">
        <v>0</v>
      </c>
      <c r="BA225" s="233">
        <v>2</v>
      </c>
      <c r="BB225" s="225">
        <v>2</v>
      </c>
      <c r="BC225" s="225">
        <v>1</v>
      </c>
      <c r="BD225" s="225">
        <v>0</v>
      </c>
      <c r="BE225" s="225">
        <v>0</v>
      </c>
      <c r="BF225" s="225">
        <v>12</v>
      </c>
      <c r="BG225" s="225">
        <v>0</v>
      </c>
      <c r="BH225" s="225">
        <v>0</v>
      </c>
      <c r="BI225" s="225"/>
      <c r="BJ225" s="225"/>
      <c r="BK225" s="225"/>
      <c r="BL225" s="225"/>
      <c r="BM225" s="225">
        <f t="shared" si="26"/>
        <v>0</v>
      </c>
      <c r="BN225" s="225">
        <f t="shared" si="27"/>
        <v>0</v>
      </c>
      <c r="BO225" s="225">
        <f t="shared" si="28"/>
        <v>37</v>
      </c>
      <c r="BP225" s="225">
        <f t="shared" si="30"/>
        <v>37</v>
      </c>
      <c r="BQ225" s="229"/>
      <c r="BR225" s="249" t="s">
        <v>534</v>
      </c>
      <c r="BS225" s="230"/>
      <c r="BT225" s="110">
        <v>0</v>
      </c>
      <c r="BU225" s="225"/>
      <c r="BV225" s="225"/>
    </row>
    <row r="226" spans="1:74" x14ac:dyDescent="0.75">
      <c r="C226" s="270">
        <v>885</v>
      </c>
      <c r="D226" s="75" t="s">
        <v>357</v>
      </c>
      <c r="E226" s="75" t="s">
        <v>358</v>
      </c>
      <c r="F226" s="75" t="s">
        <v>359</v>
      </c>
      <c r="G226" s="75" t="s">
        <v>69</v>
      </c>
      <c r="H226" s="75">
        <v>18.343233000000001</v>
      </c>
      <c r="I226" s="75">
        <v>-64.687667000000005</v>
      </c>
      <c r="J226" s="81">
        <v>44896</v>
      </c>
      <c r="K226" s="75" t="s">
        <v>367</v>
      </c>
      <c r="L226" s="75" t="s">
        <v>360</v>
      </c>
      <c r="M226" s="75">
        <v>0</v>
      </c>
      <c r="N226" s="75">
        <v>2</v>
      </c>
      <c r="O226" s="75" t="s">
        <v>362</v>
      </c>
      <c r="P226" s="88">
        <f>SUM(TreatmentUsed!E3153:E3182)</f>
        <v>249</v>
      </c>
      <c r="Q226" s="75">
        <v>0</v>
      </c>
      <c r="R226" s="75">
        <v>0</v>
      </c>
      <c r="S226" s="75">
        <v>0</v>
      </c>
      <c r="T226" s="75">
        <v>0</v>
      </c>
      <c r="U226" s="75">
        <v>0</v>
      </c>
      <c r="V226" s="75">
        <v>0</v>
      </c>
      <c r="W226" s="75">
        <v>0</v>
      </c>
      <c r="X226" s="75">
        <v>0</v>
      </c>
      <c r="Y226" s="75">
        <v>0</v>
      </c>
      <c r="Z226" s="75">
        <v>0</v>
      </c>
      <c r="AA226" s="75">
        <v>0</v>
      </c>
      <c r="AB226" s="75">
        <v>0</v>
      </c>
      <c r="AC226" s="75">
        <v>0</v>
      </c>
      <c r="AD226" s="75">
        <v>0</v>
      </c>
      <c r="AE226" s="75">
        <v>0</v>
      </c>
      <c r="AF226" s="75">
        <v>0</v>
      </c>
      <c r="AG226" s="75">
        <v>0</v>
      </c>
      <c r="AH226" s="75">
        <v>0</v>
      </c>
      <c r="AI226" s="75">
        <v>0</v>
      </c>
      <c r="AJ226" s="75">
        <v>0</v>
      </c>
      <c r="AK226" s="75">
        <v>0</v>
      </c>
      <c r="AL226" s="75">
        <v>0</v>
      </c>
      <c r="AM226" s="75">
        <v>0</v>
      </c>
      <c r="AN226" s="75">
        <v>0</v>
      </c>
      <c r="AO226" s="75">
        <v>0</v>
      </c>
      <c r="AP226" s="75">
        <v>0</v>
      </c>
      <c r="AQ226" s="75">
        <v>0</v>
      </c>
      <c r="AR226" s="75">
        <v>0</v>
      </c>
      <c r="AS226" s="75">
        <v>5</v>
      </c>
      <c r="AT226" s="75">
        <v>5</v>
      </c>
      <c r="AU226" s="75">
        <v>1</v>
      </c>
      <c r="AV226" s="75">
        <v>0</v>
      </c>
      <c r="AW226" s="75">
        <v>0</v>
      </c>
      <c r="AX226" s="75">
        <v>0</v>
      </c>
      <c r="AY226" s="84">
        <v>6</v>
      </c>
      <c r="AZ226" s="75">
        <v>0</v>
      </c>
      <c r="BA226" s="84">
        <v>2</v>
      </c>
      <c r="BB226" s="75">
        <v>0</v>
      </c>
      <c r="BC226" s="75">
        <v>0</v>
      </c>
      <c r="BD226" s="75">
        <v>0</v>
      </c>
      <c r="BE226" s="75">
        <v>0</v>
      </c>
      <c r="BF226" s="75">
        <v>11</v>
      </c>
      <c r="BG226" s="75">
        <v>0</v>
      </c>
      <c r="BH226" s="75">
        <v>0</v>
      </c>
      <c r="BM226" s="75">
        <f t="shared" si="26"/>
        <v>0</v>
      </c>
      <c r="BN226" s="75">
        <f t="shared" si="27"/>
        <v>0</v>
      </c>
      <c r="BO226" s="75">
        <f t="shared" si="28"/>
        <v>30</v>
      </c>
      <c r="BP226" s="75">
        <f t="shared" si="30"/>
        <v>30</v>
      </c>
      <c r="BR226" s="138" t="s">
        <v>535</v>
      </c>
      <c r="BT226" s="110">
        <v>0</v>
      </c>
    </row>
    <row r="227" spans="1:74" x14ac:dyDescent="0.75">
      <c r="C227" s="270">
        <v>886</v>
      </c>
      <c r="D227" s="75" t="s">
        <v>357</v>
      </c>
      <c r="E227" s="75" t="s">
        <v>358</v>
      </c>
      <c r="F227" s="75" t="s">
        <v>359</v>
      </c>
      <c r="G227" s="75" t="s">
        <v>74</v>
      </c>
      <c r="H227" s="75">
        <v>18.342904000000001</v>
      </c>
      <c r="I227" s="75">
        <v>-64.676987999999994</v>
      </c>
      <c r="J227" s="81">
        <v>44896</v>
      </c>
      <c r="K227" s="75" t="s">
        <v>367</v>
      </c>
      <c r="L227" s="75" t="s">
        <v>360</v>
      </c>
      <c r="M227" s="75">
        <v>0</v>
      </c>
      <c r="N227" s="75">
        <v>2</v>
      </c>
      <c r="O227" s="75" t="s">
        <v>362</v>
      </c>
      <c r="P227" s="88">
        <f>SUM(TreatmentUsed!E3183:E3191)</f>
        <v>213</v>
      </c>
      <c r="Q227" s="75">
        <v>0</v>
      </c>
      <c r="R227" s="75">
        <v>0</v>
      </c>
      <c r="S227" s="75">
        <v>0</v>
      </c>
      <c r="T227" s="75">
        <v>0</v>
      </c>
      <c r="U227" s="75">
        <v>0</v>
      </c>
      <c r="V227" s="75">
        <v>0</v>
      </c>
      <c r="W227" s="75">
        <v>0</v>
      </c>
      <c r="X227" s="75">
        <v>0</v>
      </c>
      <c r="Y227" s="75">
        <v>0</v>
      </c>
      <c r="Z227" s="75">
        <v>0</v>
      </c>
      <c r="AA227" s="75">
        <v>0</v>
      </c>
      <c r="AB227" s="75">
        <v>0</v>
      </c>
      <c r="AC227" s="75">
        <v>0</v>
      </c>
      <c r="AD227" s="75">
        <v>0</v>
      </c>
      <c r="AE227" s="75">
        <v>0</v>
      </c>
      <c r="AF227" s="75">
        <v>0</v>
      </c>
      <c r="AG227" s="75">
        <v>0</v>
      </c>
      <c r="AH227" s="75">
        <v>0</v>
      </c>
      <c r="AI227" s="75">
        <v>0</v>
      </c>
      <c r="AJ227" s="75">
        <v>0</v>
      </c>
      <c r="AK227" s="75">
        <v>0</v>
      </c>
      <c r="AL227" s="75">
        <v>0</v>
      </c>
      <c r="AM227" s="75">
        <v>0</v>
      </c>
      <c r="AN227" s="75">
        <v>0</v>
      </c>
      <c r="AO227" s="75">
        <v>0</v>
      </c>
      <c r="AP227" s="75">
        <v>0</v>
      </c>
      <c r="AQ227" s="75">
        <v>2</v>
      </c>
      <c r="AR227" s="75">
        <v>0</v>
      </c>
      <c r="AS227" s="75">
        <v>0</v>
      </c>
      <c r="AT227" s="75">
        <v>0</v>
      </c>
      <c r="AU227" s="84">
        <v>5</v>
      </c>
      <c r="AV227" s="75">
        <v>0</v>
      </c>
      <c r="AW227" s="75">
        <v>0</v>
      </c>
      <c r="AX227" s="75">
        <v>0</v>
      </c>
      <c r="AY227" s="75">
        <v>0</v>
      </c>
      <c r="AZ227" s="75">
        <v>0</v>
      </c>
      <c r="BA227" s="75">
        <v>0</v>
      </c>
      <c r="BB227" s="75">
        <v>0</v>
      </c>
      <c r="BC227" s="75">
        <v>2</v>
      </c>
      <c r="BD227" s="75">
        <v>0</v>
      </c>
      <c r="BE227" s="75">
        <v>0</v>
      </c>
      <c r="BF227" s="75">
        <v>0</v>
      </c>
      <c r="BG227" s="75">
        <v>0</v>
      </c>
      <c r="BH227" s="75">
        <v>0</v>
      </c>
      <c r="BM227" s="75">
        <f t="shared" si="26"/>
        <v>0</v>
      </c>
      <c r="BN227" s="75">
        <f t="shared" si="27"/>
        <v>0</v>
      </c>
      <c r="BO227" s="75">
        <f t="shared" ref="BO227:BO233" si="31">SUM(AO227:BH227)</f>
        <v>9</v>
      </c>
      <c r="BP227" s="84">
        <f t="shared" si="30"/>
        <v>9</v>
      </c>
      <c r="BT227" s="110">
        <v>0</v>
      </c>
    </row>
    <row r="228" spans="1:74" x14ac:dyDescent="0.75">
      <c r="C228" s="270">
        <v>887</v>
      </c>
      <c r="D228" s="75" t="s">
        <v>357</v>
      </c>
      <c r="E228" s="75" t="s">
        <v>358</v>
      </c>
      <c r="F228" s="75" t="s">
        <v>359</v>
      </c>
      <c r="G228" s="75" t="s">
        <v>96</v>
      </c>
      <c r="H228" s="119">
        <v>18.314226999999999</v>
      </c>
      <c r="I228" s="75">
        <v>-64.721965999999995</v>
      </c>
      <c r="J228" s="81">
        <v>44901</v>
      </c>
      <c r="K228" s="75" t="s">
        <v>367</v>
      </c>
      <c r="L228" s="75" t="s">
        <v>360</v>
      </c>
      <c r="M228" s="75">
        <v>0</v>
      </c>
      <c r="N228" s="75">
        <v>2</v>
      </c>
      <c r="O228" s="75" t="s">
        <v>362</v>
      </c>
      <c r="P228" s="88">
        <f>SUM(TreatmentUsed!E3192:E3227)</f>
        <v>93</v>
      </c>
      <c r="Q228" s="75">
        <v>0</v>
      </c>
      <c r="R228" s="75">
        <v>0</v>
      </c>
      <c r="S228" s="75">
        <v>0</v>
      </c>
      <c r="T228" s="75">
        <v>0</v>
      </c>
      <c r="U228" s="75">
        <v>0</v>
      </c>
      <c r="V228" s="75">
        <v>0</v>
      </c>
      <c r="W228" s="75">
        <v>0</v>
      </c>
      <c r="X228" s="75">
        <v>0</v>
      </c>
      <c r="Y228" s="75">
        <v>0</v>
      </c>
      <c r="Z228" s="75">
        <v>0</v>
      </c>
      <c r="AA228" s="75">
        <v>0</v>
      </c>
      <c r="AB228" s="75">
        <v>0</v>
      </c>
      <c r="AC228" s="75">
        <v>0</v>
      </c>
      <c r="AD228" s="75">
        <v>0</v>
      </c>
      <c r="AE228" s="75">
        <v>0</v>
      </c>
      <c r="AF228" s="75">
        <v>0</v>
      </c>
      <c r="AG228" s="75">
        <v>0</v>
      </c>
      <c r="AH228" s="75">
        <v>0</v>
      </c>
      <c r="AI228" s="75">
        <v>0</v>
      </c>
      <c r="AJ228" s="75">
        <v>0</v>
      </c>
      <c r="AK228" s="75">
        <v>0</v>
      </c>
      <c r="AL228" s="75">
        <v>0</v>
      </c>
      <c r="AM228" s="75">
        <v>0</v>
      </c>
      <c r="AN228" s="75">
        <v>0</v>
      </c>
      <c r="AO228" s="75">
        <v>0</v>
      </c>
      <c r="AP228" s="75">
        <v>0</v>
      </c>
      <c r="AQ228" s="75">
        <v>0</v>
      </c>
      <c r="AR228" s="75">
        <v>0</v>
      </c>
      <c r="AS228" s="75">
        <v>0</v>
      </c>
      <c r="AT228" s="75">
        <v>0</v>
      </c>
      <c r="AU228" s="75">
        <v>0</v>
      </c>
      <c r="AV228" s="75">
        <v>0</v>
      </c>
      <c r="AW228" s="75">
        <v>0</v>
      </c>
      <c r="AX228" s="75">
        <v>0</v>
      </c>
      <c r="AY228" s="84">
        <v>21</v>
      </c>
      <c r="AZ228" s="75">
        <v>7</v>
      </c>
      <c r="BA228" s="84">
        <v>4</v>
      </c>
      <c r="BB228" s="84">
        <v>3</v>
      </c>
      <c r="BC228" s="75">
        <v>0</v>
      </c>
      <c r="BD228" s="75">
        <v>0</v>
      </c>
      <c r="BE228" s="75">
        <v>0</v>
      </c>
      <c r="BF228" s="75">
        <v>0</v>
      </c>
      <c r="BG228" s="75">
        <v>0</v>
      </c>
      <c r="BH228" s="75">
        <v>1</v>
      </c>
      <c r="BM228" s="75">
        <f t="shared" si="26"/>
        <v>0</v>
      </c>
      <c r="BN228" s="75">
        <f t="shared" si="27"/>
        <v>0</v>
      </c>
      <c r="BO228" s="75">
        <f t="shared" si="31"/>
        <v>36</v>
      </c>
      <c r="BP228" s="75">
        <f t="shared" si="30"/>
        <v>36</v>
      </c>
      <c r="BQ228" s="80" t="s">
        <v>536</v>
      </c>
      <c r="BT228" s="110">
        <v>0</v>
      </c>
    </row>
    <row r="229" spans="1:74" x14ac:dyDescent="0.75">
      <c r="C229" s="270">
        <v>888</v>
      </c>
      <c r="D229" s="75" t="s">
        <v>357</v>
      </c>
      <c r="E229" s="75" t="s">
        <v>358</v>
      </c>
      <c r="F229" s="75" t="s">
        <v>359</v>
      </c>
      <c r="G229" s="75" t="s">
        <v>96</v>
      </c>
      <c r="H229" s="119">
        <v>18.314226999999999</v>
      </c>
      <c r="I229" s="75">
        <v>-64.721965999999995</v>
      </c>
      <c r="J229" s="81">
        <v>44901</v>
      </c>
      <c r="K229" s="75" t="s">
        <v>367</v>
      </c>
      <c r="L229" s="75" t="s">
        <v>360</v>
      </c>
      <c r="M229" s="75">
        <v>0</v>
      </c>
      <c r="N229" s="75">
        <v>2</v>
      </c>
      <c r="O229" s="75" t="s">
        <v>362</v>
      </c>
      <c r="P229" s="88">
        <f>SUM(TreatmentUsed!E3228:E3258)</f>
        <v>183</v>
      </c>
      <c r="Q229" s="75">
        <v>0</v>
      </c>
      <c r="R229" s="75">
        <v>0</v>
      </c>
      <c r="S229" s="75">
        <v>0</v>
      </c>
      <c r="T229" s="75">
        <v>0</v>
      </c>
      <c r="U229" s="75">
        <v>0</v>
      </c>
      <c r="V229" s="75">
        <v>0</v>
      </c>
      <c r="W229" s="75">
        <v>0</v>
      </c>
      <c r="X229" s="75">
        <v>0</v>
      </c>
      <c r="Y229" s="75">
        <v>0</v>
      </c>
      <c r="Z229" s="75">
        <v>0</v>
      </c>
      <c r="AA229" s="75">
        <v>0</v>
      </c>
      <c r="AB229" s="75">
        <v>0</v>
      </c>
      <c r="AC229" s="75">
        <v>0</v>
      </c>
      <c r="AD229" s="75">
        <v>0</v>
      </c>
      <c r="AE229" s="75">
        <v>0</v>
      </c>
      <c r="AF229" s="75">
        <v>0</v>
      </c>
      <c r="AG229" s="75">
        <v>0</v>
      </c>
      <c r="AH229" s="75">
        <v>0</v>
      </c>
      <c r="AI229" s="75">
        <v>0</v>
      </c>
      <c r="AJ229" s="75">
        <v>0</v>
      </c>
      <c r="AK229" s="75">
        <v>0</v>
      </c>
      <c r="AL229" s="75">
        <v>0</v>
      </c>
      <c r="AM229" s="75">
        <v>0</v>
      </c>
      <c r="AN229" s="75">
        <v>0</v>
      </c>
      <c r="AO229" s="75">
        <v>1</v>
      </c>
      <c r="AP229" s="75">
        <v>0</v>
      </c>
      <c r="AQ229" s="75">
        <v>0</v>
      </c>
      <c r="AR229" s="75">
        <v>0</v>
      </c>
      <c r="AS229" s="75">
        <v>0</v>
      </c>
      <c r="AT229" s="75">
        <v>0</v>
      </c>
      <c r="AU229" s="75">
        <v>0</v>
      </c>
      <c r="AV229" s="75">
        <v>0</v>
      </c>
      <c r="AW229" s="75">
        <v>0</v>
      </c>
      <c r="AX229" s="75">
        <v>0</v>
      </c>
      <c r="AY229" s="84">
        <v>5</v>
      </c>
      <c r="AZ229" s="84">
        <v>4</v>
      </c>
      <c r="BA229" s="84">
        <v>14</v>
      </c>
      <c r="BB229" s="75">
        <v>2</v>
      </c>
      <c r="BC229" s="84">
        <v>0</v>
      </c>
      <c r="BD229" s="75">
        <v>0</v>
      </c>
      <c r="BE229" s="75">
        <v>0</v>
      </c>
      <c r="BF229" s="84">
        <v>3</v>
      </c>
      <c r="BG229" s="75">
        <v>0</v>
      </c>
      <c r="BH229" s="75">
        <v>2</v>
      </c>
      <c r="BM229" s="75">
        <f t="shared" si="26"/>
        <v>0</v>
      </c>
      <c r="BN229" s="75">
        <f t="shared" si="27"/>
        <v>0</v>
      </c>
      <c r="BO229" s="75">
        <f t="shared" si="31"/>
        <v>31</v>
      </c>
      <c r="BP229" s="84">
        <f t="shared" si="30"/>
        <v>31</v>
      </c>
      <c r="BQ229" s="80" t="s">
        <v>529</v>
      </c>
      <c r="BT229" s="110">
        <v>0</v>
      </c>
    </row>
    <row r="230" spans="1:74" x14ac:dyDescent="0.75">
      <c r="C230" s="270">
        <v>889</v>
      </c>
      <c r="D230" s="75" t="s">
        <v>357</v>
      </c>
      <c r="E230" s="75" t="s">
        <v>358</v>
      </c>
      <c r="F230" s="75" t="s">
        <v>359</v>
      </c>
      <c r="G230" s="75" t="s">
        <v>96</v>
      </c>
      <c r="H230" s="119">
        <v>18.314226999999999</v>
      </c>
      <c r="I230" s="75">
        <v>-64.721965999999995</v>
      </c>
      <c r="J230" s="81">
        <v>44901</v>
      </c>
      <c r="K230" s="75" t="s">
        <v>367</v>
      </c>
      <c r="L230" s="75" t="s">
        <v>360</v>
      </c>
      <c r="M230" s="75">
        <v>0</v>
      </c>
      <c r="N230" s="75">
        <v>2</v>
      </c>
      <c r="O230" s="75" t="s">
        <v>362</v>
      </c>
      <c r="P230" s="88">
        <f>SUM(TreatmentUsed!E3260:E3270)</f>
        <v>57</v>
      </c>
      <c r="Q230" s="75">
        <v>0</v>
      </c>
      <c r="R230" s="75">
        <v>0</v>
      </c>
      <c r="S230" s="75">
        <v>0</v>
      </c>
      <c r="T230" s="75">
        <v>0</v>
      </c>
      <c r="U230" s="75">
        <v>0</v>
      </c>
      <c r="V230" s="75">
        <v>0</v>
      </c>
      <c r="W230" s="75">
        <v>0</v>
      </c>
      <c r="X230" s="75">
        <v>0</v>
      </c>
      <c r="Y230" s="75">
        <v>0</v>
      </c>
      <c r="Z230" s="75">
        <v>0</v>
      </c>
      <c r="AA230" s="75">
        <v>0</v>
      </c>
      <c r="AB230" s="75">
        <v>0</v>
      </c>
      <c r="AC230" s="75">
        <v>0</v>
      </c>
      <c r="AD230" s="75">
        <v>0</v>
      </c>
      <c r="AE230" s="75">
        <v>0</v>
      </c>
      <c r="AF230" s="75">
        <v>0</v>
      </c>
      <c r="AG230" s="75">
        <v>0</v>
      </c>
      <c r="AH230" s="75">
        <v>0</v>
      </c>
      <c r="AI230" s="75">
        <v>0</v>
      </c>
      <c r="AJ230" s="75">
        <v>0</v>
      </c>
      <c r="AK230" s="75">
        <v>0</v>
      </c>
      <c r="AL230" s="75">
        <v>0</v>
      </c>
      <c r="AM230" s="75">
        <v>0</v>
      </c>
      <c r="AN230" s="75">
        <v>0</v>
      </c>
      <c r="AO230" s="75">
        <v>0</v>
      </c>
      <c r="AP230" s="75">
        <v>0</v>
      </c>
      <c r="AQ230" s="75">
        <v>0</v>
      </c>
      <c r="AR230" s="75">
        <v>0</v>
      </c>
      <c r="AS230" s="75">
        <v>0</v>
      </c>
      <c r="AT230" s="75">
        <v>0</v>
      </c>
      <c r="AU230" s="75">
        <v>0</v>
      </c>
      <c r="AV230" s="75">
        <v>0</v>
      </c>
      <c r="AW230" s="75">
        <v>0</v>
      </c>
      <c r="AX230" s="75">
        <v>0</v>
      </c>
      <c r="AY230" s="84">
        <v>1</v>
      </c>
      <c r="AZ230" s="84">
        <v>6</v>
      </c>
      <c r="BA230" s="84">
        <v>4</v>
      </c>
      <c r="BB230" s="84">
        <v>1</v>
      </c>
      <c r="BC230" s="75">
        <v>0</v>
      </c>
      <c r="BD230" s="75">
        <v>0</v>
      </c>
      <c r="BE230" s="75">
        <v>0</v>
      </c>
      <c r="BF230" s="75">
        <v>0</v>
      </c>
      <c r="BG230" s="75">
        <v>0</v>
      </c>
      <c r="BH230" s="75">
        <v>0</v>
      </c>
      <c r="BM230" s="75">
        <f t="shared" si="26"/>
        <v>0</v>
      </c>
      <c r="BN230" s="75">
        <f t="shared" si="27"/>
        <v>0</v>
      </c>
      <c r="BO230" s="75">
        <f t="shared" si="31"/>
        <v>12</v>
      </c>
      <c r="BP230" s="75">
        <f t="shared" si="30"/>
        <v>12</v>
      </c>
      <c r="BR230" s="138">
        <v>926</v>
      </c>
      <c r="BT230" s="110">
        <v>0</v>
      </c>
    </row>
    <row r="231" spans="1:74" x14ac:dyDescent="0.75">
      <c r="C231" s="270">
        <v>890</v>
      </c>
      <c r="D231" s="75" t="s">
        <v>357</v>
      </c>
      <c r="E231" s="75" t="s">
        <v>358</v>
      </c>
      <c r="F231" s="75" t="s">
        <v>359</v>
      </c>
      <c r="G231" s="75" t="s">
        <v>74</v>
      </c>
      <c r="H231" s="75">
        <v>18.342904000000001</v>
      </c>
      <c r="I231" s="75">
        <v>-64.676987999999994</v>
      </c>
      <c r="J231" s="81">
        <v>44903</v>
      </c>
      <c r="K231" s="75" t="s">
        <v>367</v>
      </c>
      <c r="L231" s="75" t="s">
        <v>360</v>
      </c>
      <c r="M231" s="75">
        <v>0</v>
      </c>
      <c r="N231" s="75">
        <v>2</v>
      </c>
      <c r="O231" s="75" t="s">
        <v>362</v>
      </c>
      <c r="P231" s="88">
        <f>SUM(TreatmentUsed!E3271:E3289)</f>
        <v>332</v>
      </c>
      <c r="Q231" s="75">
        <v>0</v>
      </c>
      <c r="R231" s="75">
        <v>0</v>
      </c>
      <c r="S231" s="75">
        <v>0</v>
      </c>
      <c r="T231" s="75">
        <v>0</v>
      </c>
      <c r="U231" s="75">
        <v>0</v>
      </c>
      <c r="V231" s="75">
        <v>0</v>
      </c>
      <c r="W231" s="75">
        <v>0</v>
      </c>
      <c r="X231" s="75">
        <v>0</v>
      </c>
      <c r="Y231" s="75">
        <v>0</v>
      </c>
      <c r="Z231" s="75">
        <v>0</v>
      </c>
      <c r="AA231" s="75">
        <v>0</v>
      </c>
      <c r="AB231" s="75">
        <v>0</v>
      </c>
      <c r="AC231" s="75">
        <v>0</v>
      </c>
      <c r="AD231" s="75">
        <v>0</v>
      </c>
      <c r="AE231" s="75">
        <v>0</v>
      </c>
      <c r="AF231" s="75">
        <v>0</v>
      </c>
      <c r="AG231" s="75">
        <v>0</v>
      </c>
      <c r="AH231" s="75">
        <v>0</v>
      </c>
      <c r="AI231" s="75">
        <v>0</v>
      </c>
      <c r="AJ231" s="75">
        <v>0</v>
      </c>
      <c r="AK231" s="75">
        <v>0</v>
      </c>
      <c r="AL231" s="75">
        <v>0</v>
      </c>
      <c r="AM231" s="75">
        <v>0</v>
      </c>
      <c r="AN231" s="75">
        <v>0</v>
      </c>
      <c r="AO231" s="75">
        <v>0</v>
      </c>
      <c r="AP231" s="75">
        <v>0</v>
      </c>
      <c r="AQ231" s="75">
        <v>4</v>
      </c>
      <c r="AR231" s="75">
        <v>0</v>
      </c>
      <c r="AS231" s="75">
        <v>3</v>
      </c>
      <c r="AT231" s="75">
        <v>0</v>
      </c>
      <c r="AU231" s="75">
        <v>5</v>
      </c>
      <c r="AV231" s="75">
        <v>0</v>
      </c>
      <c r="AW231" s="75">
        <v>0</v>
      </c>
      <c r="AX231" s="75">
        <v>0</v>
      </c>
      <c r="AY231" s="84">
        <v>3</v>
      </c>
      <c r="AZ231" s="75">
        <v>0</v>
      </c>
      <c r="BA231" s="75">
        <v>2</v>
      </c>
      <c r="BB231" s="84">
        <v>0</v>
      </c>
      <c r="BC231" s="75">
        <v>0</v>
      </c>
      <c r="BD231" s="75">
        <v>0</v>
      </c>
      <c r="BE231" s="84">
        <v>1</v>
      </c>
      <c r="BF231" s="75">
        <v>0</v>
      </c>
      <c r="BG231" s="75">
        <v>0</v>
      </c>
      <c r="BH231" s="75">
        <v>1</v>
      </c>
      <c r="BM231" s="75">
        <f t="shared" si="26"/>
        <v>0</v>
      </c>
      <c r="BN231" s="75">
        <f t="shared" si="27"/>
        <v>0</v>
      </c>
      <c r="BO231" s="75">
        <f t="shared" si="31"/>
        <v>19</v>
      </c>
      <c r="BP231" s="75">
        <f t="shared" si="30"/>
        <v>19</v>
      </c>
      <c r="BQ231" s="80" t="s">
        <v>529</v>
      </c>
      <c r="BT231" s="110">
        <v>0</v>
      </c>
    </row>
    <row r="232" spans="1:74" x14ac:dyDescent="0.75">
      <c r="C232" s="270">
        <v>891</v>
      </c>
      <c r="D232" s="75" t="s">
        <v>357</v>
      </c>
      <c r="E232" s="75" t="s">
        <v>358</v>
      </c>
      <c r="F232" s="75" t="s">
        <v>359</v>
      </c>
      <c r="G232" s="75" t="s">
        <v>87</v>
      </c>
      <c r="H232" s="75">
        <v>18.343233000000001</v>
      </c>
      <c r="I232" s="75">
        <v>-64.687667000000005</v>
      </c>
      <c r="J232" s="81">
        <v>44903</v>
      </c>
      <c r="K232" s="75" t="s">
        <v>367</v>
      </c>
      <c r="L232" s="75" t="s">
        <v>360</v>
      </c>
      <c r="M232" s="75">
        <v>0</v>
      </c>
      <c r="N232" s="75">
        <v>2</v>
      </c>
      <c r="O232" s="75" t="s">
        <v>362</v>
      </c>
      <c r="P232" s="88">
        <f>SUM(TreatmentUsed!E3290:E3300)</f>
        <v>99</v>
      </c>
      <c r="Q232" s="75">
        <v>0</v>
      </c>
      <c r="R232" s="75">
        <v>0</v>
      </c>
      <c r="S232" s="75">
        <v>0</v>
      </c>
      <c r="T232" s="75">
        <v>0</v>
      </c>
      <c r="U232" s="75">
        <v>0</v>
      </c>
      <c r="V232" s="75">
        <v>0</v>
      </c>
      <c r="W232" s="75">
        <v>0</v>
      </c>
      <c r="X232" s="75">
        <v>0</v>
      </c>
      <c r="Y232" s="75">
        <v>0</v>
      </c>
      <c r="Z232" s="75">
        <v>0</v>
      </c>
      <c r="AA232" s="75">
        <v>0</v>
      </c>
      <c r="AB232" s="75">
        <v>0</v>
      </c>
      <c r="AC232" s="75">
        <v>0</v>
      </c>
      <c r="AD232" s="75">
        <v>0</v>
      </c>
      <c r="AE232" s="75">
        <v>0</v>
      </c>
      <c r="AF232" s="75">
        <v>0</v>
      </c>
      <c r="AG232" s="75">
        <v>0</v>
      </c>
      <c r="AH232" s="75">
        <v>0</v>
      </c>
      <c r="AI232" s="75">
        <v>0</v>
      </c>
      <c r="AJ232" s="75">
        <v>0</v>
      </c>
      <c r="AK232" s="75">
        <v>0</v>
      </c>
      <c r="AL232" s="75">
        <v>0</v>
      </c>
      <c r="AM232" s="75">
        <v>0</v>
      </c>
      <c r="AN232" s="75">
        <v>0</v>
      </c>
      <c r="AO232" s="75">
        <v>0</v>
      </c>
      <c r="AP232" s="75">
        <v>0</v>
      </c>
      <c r="AQ232" s="75">
        <v>1</v>
      </c>
      <c r="AR232" s="75">
        <v>0</v>
      </c>
      <c r="AS232" s="75">
        <v>2</v>
      </c>
      <c r="AT232" s="75">
        <v>0</v>
      </c>
      <c r="AU232" s="75">
        <v>0</v>
      </c>
      <c r="AV232" s="75">
        <v>0</v>
      </c>
      <c r="AW232" s="75">
        <v>0</v>
      </c>
      <c r="AX232" s="75">
        <v>0</v>
      </c>
      <c r="AY232" s="84">
        <v>5</v>
      </c>
      <c r="AZ232" s="75">
        <v>0</v>
      </c>
      <c r="BA232" s="84">
        <v>0</v>
      </c>
      <c r="BB232" s="84">
        <v>0</v>
      </c>
      <c r="BC232" s="75">
        <v>0</v>
      </c>
      <c r="BD232" s="75">
        <v>0</v>
      </c>
      <c r="BE232" s="75">
        <v>0</v>
      </c>
      <c r="BF232" s="75">
        <v>2</v>
      </c>
      <c r="BG232" s="75">
        <v>0</v>
      </c>
      <c r="BH232" s="75">
        <v>1</v>
      </c>
      <c r="BM232" s="75">
        <f t="shared" si="26"/>
        <v>0</v>
      </c>
      <c r="BN232" s="75">
        <f t="shared" si="27"/>
        <v>0</v>
      </c>
      <c r="BO232" s="75">
        <f t="shared" si="31"/>
        <v>11</v>
      </c>
      <c r="BP232" s="75">
        <f t="shared" si="30"/>
        <v>11</v>
      </c>
      <c r="BQ232" s="80" t="s">
        <v>529</v>
      </c>
      <c r="BT232" s="110">
        <v>0</v>
      </c>
    </row>
    <row r="233" spans="1:74" x14ac:dyDescent="0.75">
      <c r="C233" s="270">
        <v>892</v>
      </c>
      <c r="D233" s="75" t="s">
        <v>357</v>
      </c>
      <c r="E233" s="75" t="s">
        <v>358</v>
      </c>
      <c r="F233" s="75" t="s">
        <v>359</v>
      </c>
      <c r="G233" s="75" t="s">
        <v>28</v>
      </c>
      <c r="H233" s="75">
        <v>18.315639999999998</v>
      </c>
      <c r="I233" s="75">
        <v>-64.725899999999996</v>
      </c>
      <c r="J233" s="81">
        <v>44903</v>
      </c>
      <c r="K233" s="75" t="s">
        <v>367</v>
      </c>
      <c r="L233" s="75" t="s">
        <v>360</v>
      </c>
      <c r="M233" s="75">
        <v>0</v>
      </c>
      <c r="N233" s="75">
        <v>2</v>
      </c>
      <c r="O233" s="75" t="s">
        <v>362</v>
      </c>
      <c r="P233" s="88">
        <f>SUM(TreatmentUsed!E3301:E3312)</f>
        <v>74</v>
      </c>
      <c r="Q233" s="75">
        <v>0</v>
      </c>
      <c r="R233" s="75">
        <v>0</v>
      </c>
      <c r="S233" s="75">
        <v>0</v>
      </c>
      <c r="T233" s="75">
        <v>0</v>
      </c>
      <c r="U233" s="75">
        <v>0</v>
      </c>
      <c r="V233" s="75">
        <v>0</v>
      </c>
      <c r="W233" s="75">
        <v>0</v>
      </c>
      <c r="X233" s="75">
        <v>0</v>
      </c>
      <c r="Y233" s="75">
        <v>0</v>
      </c>
      <c r="Z233" s="75">
        <v>0</v>
      </c>
      <c r="AA233" s="75">
        <v>0</v>
      </c>
      <c r="AB233" s="75">
        <v>0</v>
      </c>
      <c r="AC233" s="75">
        <v>0</v>
      </c>
      <c r="AD233" s="75">
        <v>0</v>
      </c>
      <c r="AE233" s="75">
        <v>0</v>
      </c>
      <c r="AF233" s="75">
        <v>0</v>
      </c>
      <c r="AG233" s="75">
        <v>0</v>
      </c>
      <c r="AH233" s="75">
        <v>0</v>
      </c>
      <c r="AI233" s="75">
        <v>0</v>
      </c>
      <c r="AJ233" s="75">
        <v>0</v>
      </c>
      <c r="AK233" s="75">
        <v>0</v>
      </c>
      <c r="AL233" s="75">
        <v>0</v>
      </c>
      <c r="AM233" s="75">
        <v>0</v>
      </c>
      <c r="AN233" s="75">
        <v>0</v>
      </c>
      <c r="AO233" s="75">
        <v>1</v>
      </c>
      <c r="AP233" s="75">
        <v>0</v>
      </c>
      <c r="AQ233" s="75">
        <v>0</v>
      </c>
      <c r="AR233" s="84">
        <v>0</v>
      </c>
      <c r="AS233" s="84">
        <v>3</v>
      </c>
      <c r="AT233" s="75">
        <v>0</v>
      </c>
      <c r="AU233" s="75">
        <v>0</v>
      </c>
      <c r="AV233" s="75">
        <v>0</v>
      </c>
      <c r="AW233" s="75">
        <v>0</v>
      </c>
      <c r="AX233" s="75">
        <v>0</v>
      </c>
      <c r="AY233" s="75">
        <v>3</v>
      </c>
      <c r="AZ233" s="75">
        <v>1</v>
      </c>
      <c r="BA233" s="84">
        <v>1</v>
      </c>
      <c r="BB233" s="75">
        <v>0</v>
      </c>
      <c r="BC233" s="75">
        <v>1</v>
      </c>
      <c r="BD233" s="75">
        <v>0</v>
      </c>
      <c r="BE233" s="75">
        <v>0</v>
      </c>
      <c r="BF233" s="75">
        <v>2</v>
      </c>
      <c r="BG233" s="75">
        <v>0</v>
      </c>
      <c r="BH233" s="75">
        <v>0</v>
      </c>
      <c r="BM233" s="75">
        <f t="shared" si="26"/>
        <v>0</v>
      </c>
      <c r="BN233" s="75">
        <f t="shared" si="27"/>
        <v>0</v>
      </c>
      <c r="BO233" s="75">
        <f t="shared" si="31"/>
        <v>12</v>
      </c>
      <c r="BP233" s="84">
        <f t="shared" si="30"/>
        <v>12</v>
      </c>
      <c r="BR233" s="138">
        <v>4190</v>
      </c>
      <c r="BT233" s="110">
        <v>0</v>
      </c>
    </row>
    <row r="234" spans="1:74" x14ac:dyDescent="0.75">
      <c r="C234" s="270">
        <v>893</v>
      </c>
      <c r="D234" s="75" t="s">
        <v>357</v>
      </c>
      <c r="E234" s="75" t="s">
        <v>358</v>
      </c>
      <c r="F234" s="75" t="s">
        <v>359</v>
      </c>
      <c r="G234" s="75" t="s">
        <v>28</v>
      </c>
      <c r="H234" s="75">
        <v>18.315639999999998</v>
      </c>
      <c r="I234" s="75">
        <v>-64.725899999999996</v>
      </c>
      <c r="J234" s="81">
        <v>44903</v>
      </c>
      <c r="K234" s="75" t="s">
        <v>367</v>
      </c>
      <c r="L234" s="75" t="s">
        <v>360</v>
      </c>
      <c r="M234" s="75">
        <v>0</v>
      </c>
      <c r="N234" s="75">
        <v>2</v>
      </c>
      <c r="O234" s="75" t="s">
        <v>362</v>
      </c>
      <c r="P234" s="75">
        <v>0</v>
      </c>
      <c r="Q234" s="75">
        <v>0</v>
      </c>
      <c r="R234" s="75">
        <v>0</v>
      </c>
      <c r="S234" s="75">
        <v>0</v>
      </c>
      <c r="T234" s="75">
        <v>0</v>
      </c>
      <c r="U234" s="75">
        <v>0</v>
      </c>
      <c r="V234" s="75">
        <v>0</v>
      </c>
      <c r="W234" s="75">
        <v>0</v>
      </c>
      <c r="X234" s="75">
        <v>0</v>
      </c>
      <c r="Y234" s="75">
        <v>0</v>
      </c>
      <c r="Z234" s="75">
        <v>0</v>
      </c>
      <c r="AA234" s="75">
        <v>0</v>
      </c>
      <c r="AB234" s="75">
        <v>0</v>
      </c>
      <c r="AC234" s="75">
        <v>0</v>
      </c>
      <c r="AD234" s="75">
        <v>0</v>
      </c>
      <c r="AE234" s="75">
        <v>0</v>
      </c>
      <c r="AF234" s="75">
        <v>0</v>
      </c>
      <c r="AG234" s="75">
        <v>0</v>
      </c>
      <c r="AH234" s="75">
        <v>0</v>
      </c>
      <c r="AI234" s="75">
        <v>0</v>
      </c>
      <c r="AJ234" s="75">
        <v>0</v>
      </c>
      <c r="AK234" s="75">
        <v>0</v>
      </c>
      <c r="AL234" s="75">
        <v>0</v>
      </c>
      <c r="AM234" s="75">
        <v>0</v>
      </c>
      <c r="AN234" s="75">
        <v>0</v>
      </c>
      <c r="AO234" s="75">
        <v>0</v>
      </c>
      <c r="AP234" s="75">
        <v>0</v>
      </c>
      <c r="AQ234" s="75">
        <v>0</v>
      </c>
      <c r="AR234" s="75">
        <v>0</v>
      </c>
      <c r="AS234" s="75">
        <v>0</v>
      </c>
      <c r="AT234" s="75">
        <v>0</v>
      </c>
      <c r="AU234" s="75">
        <v>0</v>
      </c>
      <c r="AV234" s="75">
        <v>0</v>
      </c>
      <c r="AW234" s="75">
        <v>0</v>
      </c>
      <c r="AX234" s="75">
        <v>0</v>
      </c>
      <c r="AY234" s="75">
        <v>0</v>
      </c>
      <c r="AZ234" s="75">
        <v>0</v>
      </c>
      <c r="BA234" s="75">
        <v>0</v>
      </c>
      <c r="BB234" s="75">
        <v>0</v>
      </c>
      <c r="BC234" s="75">
        <v>0</v>
      </c>
      <c r="BD234" s="75">
        <v>0</v>
      </c>
      <c r="BE234" s="75">
        <v>0</v>
      </c>
      <c r="BF234" s="75">
        <v>0</v>
      </c>
      <c r="BG234" s="75">
        <v>0</v>
      </c>
      <c r="BH234" s="75">
        <v>0</v>
      </c>
      <c r="BM234" s="75">
        <f t="shared" si="26"/>
        <v>0</v>
      </c>
      <c r="BN234" s="75">
        <f t="shared" si="27"/>
        <v>0</v>
      </c>
      <c r="BO234" s="75">
        <v>0</v>
      </c>
      <c r="BP234" s="75">
        <f t="shared" si="30"/>
        <v>0</v>
      </c>
      <c r="BR234" s="138">
        <v>4133</v>
      </c>
      <c r="BT234" s="110">
        <v>0</v>
      </c>
    </row>
    <row r="235" spans="1:74" x14ac:dyDescent="0.75">
      <c r="C235" s="270">
        <v>894</v>
      </c>
      <c r="D235" s="75" t="s">
        <v>357</v>
      </c>
      <c r="E235" s="75" t="s">
        <v>358</v>
      </c>
      <c r="F235" s="75" t="s">
        <v>359</v>
      </c>
      <c r="G235" s="75" t="s">
        <v>91</v>
      </c>
      <c r="H235" s="75">
        <v>18.302265542188699</v>
      </c>
      <c r="I235" s="75">
        <v>-64.709759103599794</v>
      </c>
      <c r="J235" s="81">
        <v>44903</v>
      </c>
      <c r="K235" s="75" t="s">
        <v>367</v>
      </c>
      <c r="L235" s="75" t="s">
        <v>360</v>
      </c>
      <c r="M235" s="75">
        <v>0</v>
      </c>
      <c r="N235" s="75">
        <v>2</v>
      </c>
      <c r="O235" s="75" t="s">
        <v>362</v>
      </c>
      <c r="P235" s="88">
        <f>SUM(TreatmentUsed!E3313:E3315)</f>
        <v>10</v>
      </c>
      <c r="Q235" s="75">
        <v>0</v>
      </c>
      <c r="R235" s="75">
        <v>0</v>
      </c>
      <c r="S235" s="75">
        <v>0</v>
      </c>
      <c r="T235" s="75">
        <v>0</v>
      </c>
      <c r="U235" s="75">
        <v>0</v>
      </c>
      <c r="V235" s="75">
        <v>0</v>
      </c>
      <c r="W235" s="75">
        <v>0</v>
      </c>
      <c r="X235" s="75">
        <v>0</v>
      </c>
      <c r="Y235" s="75">
        <v>0</v>
      </c>
      <c r="Z235" s="75">
        <v>0</v>
      </c>
      <c r="AA235" s="75">
        <v>0</v>
      </c>
      <c r="AB235" s="75">
        <v>0</v>
      </c>
      <c r="AC235" s="75">
        <v>0</v>
      </c>
      <c r="AD235" s="75">
        <v>0</v>
      </c>
      <c r="AE235" s="75">
        <v>0</v>
      </c>
      <c r="AF235" s="75">
        <v>0</v>
      </c>
      <c r="AG235" s="75">
        <v>0</v>
      </c>
      <c r="AH235" s="75">
        <v>0</v>
      </c>
      <c r="AI235" s="75">
        <v>0</v>
      </c>
      <c r="AJ235" s="75">
        <v>0</v>
      </c>
      <c r="AK235" s="75">
        <v>0</v>
      </c>
      <c r="AL235" s="75">
        <v>0</v>
      </c>
      <c r="AM235" s="75">
        <v>0</v>
      </c>
      <c r="AN235" s="75">
        <v>0</v>
      </c>
      <c r="AO235" s="75">
        <v>0</v>
      </c>
      <c r="AP235" s="75">
        <v>0</v>
      </c>
      <c r="AQ235" s="75">
        <v>1</v>
      </c>
      <c r="AR235" s="75">
        <v>0</v>
      </c>
      <c r="AS235" s="75">
        <v>0</v>
      </c>
      <c r="AT235" s="75">
        <v>0</v>
      </c>
      <c r="AU235" s="75">
        <v>0</v>
      </c>
      <c r="AV235" s="75">
        <v>0</v>
      </c>
      <c r="AW235" s="75">
        <v>0</v>
      </c>
      <c r="AX235" s="75">
        <v>0</v>
      </c>
      <c r="AY235" s="75">
        <v>0</v>
      </c>
      <c r="AZ235" s="75">
        <v>0</v>
      </c>
      <c r="BA235" s="75">
        <v>0</v>
      </c>
      <c r="BB235" s="75">
        <v>0</v>
      </c>
      <c r="BC235" s="75">
        <v>0</v>
      </c>
      <c r="BD235" s="75">
        <v>0</v>
      </c>
      <c r="BE235" s="75">
        <v>0</v>
      </c>
      <c r="BF235" s="75">
        <v>2</v>
      </c>
      <c r="BG235" s="75">
        <v>0</v>
      </c>
      <c r="BH235" s="75">
        <v>0</v>
      </c>
      <c r="BM235" s="75">
        <f t="shared" si="26"/>
        <v>0</v>
      </c>
      <c r="BN235" s="75">
        <f t="shared" si="27"/>
        <v>0</v>
      </c>
      <c r="BO235" s="75">
        <f t="shared" ref="BO235:BO241" si="32">SUM(AO235:BH235)</f>
        <v>3</v>
      </c>
      <c r="BP235" s="75">
        <f t="shared" si="30"/>
        <v>3</v>
      </c>
      <c r="BT235" s="110">
        <v>0</v>
      </c>
    </row>
    <row r="236" spans="1:74" x14ac:dyDescent="0.75">
      <c r="C236" s="270">
        <v>895</v>
      </c>
      <c r="D236" s="75" t="s">
        <v>357</v>
      </c>
      <c r="E236" s="75" t="s">
        <v>358</v>
      </c>
      <c r="F236" s="75" t="s">
        <v>359</v>
      </c>
      <c r="G236" s="75" t="s">
        <v>48</v>
      </c>
      <c r="H236" s="75">
        <v>18.363399999999999</v>
      </c>
      <c r="I236" s="75">
        <v>-64.706067000000004</v>
      </c>
      <c r="J236" s="81">
        <v>44908</v>
      </c>
      <c r="K236" s="75" t="s">
        <v>367</v>
      </c>
      <c r="L236" s="75" t="s">
        <v>360</v>
      </c>
      <c r="M236" s="75">
        <v>0</v>
      </c>
      <c r="N236" s="75">
        <v>2</v>
      </c>
      <c r="O236" s="75" t="s">
        <v>362</v>
      </c>
      <c r="P236" s="88">
        <f>SUM(TreatmentUsed!E3317:E3327)</f>
        <v>134</v>
      </c>
      <c r="Q236" s="75">
        <v>0</v>
      </c>
      <c r="R236" s="75">
        <v>0</v>
      </c>
      <c r="S236" s="75">
        <v>0</v>
      </c>
      <c r="T236" s="75">
        <v>0</v>
      </c>
      <c r="U236" s="75">
        <v>0</v>
      </c>
      <c r="V236" s="75">
        <v>0</v>
      </c>
      <c r="W236" s="75">
        <v>0</v>
      </c>
      <c r="X236" s="75">
        <v>0</v>
      </c>
      <c r="Y236" s="75">
        <v>0</v>
      </c>
      <c r="Z236" s="75">
        <v>0</v>
      </c>
      <c r="AA236" s="75">
        <v>0</v>
      </c>
      <c r="AB236" s="75">
        <v>0</v>
      </c>
      <c r="AC236" s="75">
        <v>0</v>
      </c>
      <c r="AD236" s="75">
        <v>0</v>
      </c>
      <c r="AE236" s="75">
        <v>0</v>
      </c>
      <c r="AF236" s="75">
        <v>0</v>
      </c>
      <c r="AG236" s="75">
        <v>0</v>
      </c>
      <c r="AH236" s="75">
        <v>0</v>
      </c>
      <c r="AI236" s="75">
        <v>0</v>
      </c>
      <c r="AJ236" s="75">
        <v>0</v>
      </c>
      <c r="AK236" s="75">
        <v>0</v>
      </c>
      <c r="AL236" s="75">
        <v>0</v>
      </c>
      <c r="AM236" s="75">
        <v>0</v>
      </c>
      <c r="AN236" s="75">
        <v>0</v>
      </c>
      <c r="AO236" s="75">
        <v>0</v>
      </c>
      <c r="AP236" s="75">
        <v>0</v>
      </c>
      <c r="AQ236" s="75">
        <v>0</v>
      </c>
      <c r="AR236" s="75">
        <v>0</v>
      </c>
      <c r="AS236" s="75">
        <v>2</v>
      </c>
      <c r="AT236" s="75">
        <v>2</v>
      </c>
      <c r="AU236" s="75">
        <v>0</v>
      </c>
      <c r="AV236" s="75">
        <v>0</v>
      </c>
      <c r="AW236" s="75">
        <v>0</v>
      </c>
      <c r="AX236" s="75">
        <v>0</v>
      </c>
      <c r="AY236" s="84">
        <v>3</v>
      </c>
      <c r="AZ236" s="75">
        <v>0</v>
      </c>
      <c r="BA236" s="84">
        <v>4</v>
      </c>
      <c r="BB236" s="75">
        <v>0</v>
      </c>
      <c r="BC236" s="75">
        <v>0</v>
      </c>
      <c r="BD236" s="75">
        <v>0</v>
      </c>
      <c r="BE236" s="75">
        <v>0</v>
      </c>
      <c r="BF236" s="75">
        <v>1</v>
      </c>
      <c r="BG236" s="75">
        <v>0</v>
      </c>
      <c r="BH236" s="75">
        <v>0</v>
      </c>
      <c r="BM236" s="75">
        <f t="shared" si="26"/>
        <v>0</v>
      </c>
      <c r="BN236" s="75">
        <f t="shared" si="27"/>
        <v>0</v>
      </c>
      <c r="BO236" s="75">
        <f t="shared" si="32"/>
        <v>12</v>
      </c>
      <c r="BP236" s="84">
        <f t="shared" si="30"/>
        <v>12</v>
      </c>
      <c r="BT236" s="110">
        <v>0</v>
      </c>
    </row>
    <row r="237" spans="1:74" x14ac:dyDescent="0.75">
      <c r="C237" s="270">
        <v>896</v>
      </c>
      <c r="D237" s="75" t="s">
        <v>357</v>
      </c>
      <c r="E237" s="75" t="s">
        <v>358</v>
      </c>
      <c r="F237" s="75" t="s">
        <v>359</v>
      </c>
      <c r="G237" s="75" t="s">
        <v>44</v>
      </c>
      <c r="H237" s="75">
        <v>18.364650000000001</v>
      </c>
      <c r="I237" s="75">
        <v>-64.726183000000006</v>
      </c>
      <c r="J237" s="81">
        <v>44908</v>
      </c>
      <c r="K237" s="75" t="s">
        <v>367</v>
      </c>
      <c r="L237" s="75" t="s">
        <v>360</v>
      </c>
      <c r="M237" s="75">
        <v>0</v>
      </c>
      <c r="N237" s="75">
        <v>2</v>
      </c>
      <c r="O237" s="75" t="s">
        <v>362</v>
      </c>
      <c r="P237" s="88">
        <f>SUM(TreatmentUsed!E3328)</f>
        <v>9</v>
      </c>
      <c r="Q237" s="75">
        <v>0</v>
      </c>
      <c r="R237" s="75">
        <v>0</v>
      </c>
      <c r="S237" s="75">
        <v>0</v>
      </c>
      <c r="T237" s="75">
        <v>0</v>
      </c>
      <c r="U237" s="75">
        <v>0</v>
      </c>
      <c r="V237" s="75">
        <v>0</v>
      </c>
      <c r="W237" s="75">
        <v>0</v>
      </c>
      <c r="X237" s="75">
        <v>0</v>
      </c>
      <c r="Y237" s="75">
        <v>0</v>
      </c>
      <c r="Z237" s="75">
        <v>0</v>
      </c>
      <c r="AA237" s="75">
        <v>0</v>
      </c>
      <c r="AB237" s="75">
        <v>0</v>
      </c>
      <c r="AC237" s="75">
        <v>0</v>
      </c>
      <c r="AD237" s="75">
        <v>0</v>
      </c>
      <c r="AE237" s="75">
        <v>0</v>
      </c>
      <c r="AF237" s="75">
        <v>0</v>
      </c>
      <c r="AG237" s="75">
        <v>0</v>
      </c>
      <c r="AH237" s="75">
        <v>0</v>
      </c>
      <c r="AI237" s="75">
        <v>0</v>
      </c>
      <c r="AJ237" s="75">
        <v>0</v>
      </c>
      <c r="AK237" s="75">
        <v>0</v>
      </c>
      <c r="AL237" s="75">
        <v>0</v>
      </c>
      <c r="AM237" s="75">
        <v>0</v>
      </c>
      <c r="AN237" s="75">
        <v>0</v>
      </c>
      <c r="AO237" s="75">
        <v>0</v>
      </c>
      <c r="AP237" s="75">
        <v>0</v>
      </c>
      <c r="AQ237" s="75">
        <v>0</v>
      </c>
      <c r="AR237" s="75">
        <v>0</v>
      </c>
      <c r="AS237" s="75">
        <v>0</v>
      </c>
      <c r="AT237" s="75">
        <v>0</v>
      </c>
      <c r="AU237" s="75">
        <v>0</v>
      </c>
      <c r="AV237" s="75">
        <v>0</v>
      </c>
      <c r="AW237" s="75">
        <v>0</v>
      </c>
      <c r="AX237" s="75">
        <v>0</v>
      </c>
      <c r="AY237" s="75">
        <v>0</v>
      </c>
      <c r="AZ237" s="75">
        <v>0</v>
      </c>
      <c r="BA237" s="75">
        <v>0</v>
      </c>
      <c r="BB237" s="75">
        <v>0</v>
      </c>
      <c r="BC237" s="75">
        <v>1</v>
      </c>
      <c r="BD237" s="75">
        <v>0</v>
      </c>
      <c r="BE237" s="75">
        <v>0</v>
      </c>
      <c r="BF237" s="75">
        <v>0</v>
      </c>
      <c r="BG237" s="75">
        <v>0</v>
      </c>
      <c r="BH237" s="75">
        <v>0</v>
      </c>
      <c r="BM237" s="75">
        <f t="shared" si="26"/>
        <v>0</v>
      </c>
      <c r="BN237" s="75">
        <f t="shared" si="27"/>
        <v>0</v>
      </c>
      <c r="BO237" s="75">
        <f t="shared" si="32"/>
        <v>1</v>
      </c>
      <c r="BP237" s="75">
        <f t="shared" si="30"/>
        <v>1</v>
      </c>
      <c r="BT237" s="110">
        <v>0</v>
      </c>
    </row>
    <row r="238" spans="1:74" s="173" customFormat="1" x14ac:dyDescent="0.75">
      <c r="A238" s="171"/>
      <c r="B238" s="172"/>
      <c r="C238" s="273">
        <v>897</v>
      </c>
      <c r="D238" s="174" t="s">
        <v>357</v>
      </c>
      <c r="E238" s="174" t="s">
        <v>358</v>
      </c>
      <c r="F238" s="174" t="s">
        <v>359</v>
      </c>
      <c r="G238" s="174" t="s">
        <v>60</v>
      </c>
      <c r="H238" s="174">
        <v>18.367850000000001</v>
      </c>
      <c r="I238" s="174">
        <v>-64.732933000000003</v>
      </c>
      <c r="J238" s="175">
        <v>44908</v>
      </c>
      <c r="K238" s="174" t="s">
        <v>367</v>
      </c>
      <c r="L238" s="174" t="s">
        <v>360</v>
      </c>
      <c r="M238" s="174">
        <v>0</v>
      </c>
      <c r="N238" s="174">
        <v>2</v>
      </c>
      <c r="O238" s="174" t="s">
        <v>362</v>
      </c>
      <c r="P238" s="179">
        <f>SUM(TreatmentUsed!E3329:E3336)</f>
        <v>46</v>
      </c>
      <c r="Q238" s="174">
        <v>0</v>
      </c>
      <c r="R238" s="174">
        <v>0</v>
      </c>
      <c r="S238" s="174">
        <v>0</v>
      </c>
      <c r="T238" s="174">
        <v>0</v>
      </c>
      <c r="U238" s="174">
        <v>0</v>
      </c>
      <c r="V238" s="174">
        <v>0</v>
      </c>
      <c r="W238" s="174">
        <v>0</v>
      </c>
      <c r="X238" s="174">
        <v>0</v>
      </c>
      <c r="Y238" s="174">
        <v>0</v>
      </c>
      <c r="Z238" s="174">
        <v>0</v>
      </c>
      <c r="AA238" s="174">
        <v>0</v>
      </c>
      <c r="AB238" s="174">
        <v>0</v>
      </c>
      <c r="AC238" s="174">
        <v>0</v>
      </c>
      <c r="AD238" s="174">
        <v>0</v>
      </c>
      <c r="AE238" s="174">
        <v>0</v>
      </c>
      <c r="AF238" s="174">
        <v>0</v>
      </c>
      <c r="AG238" s="174">
        <v>0</v>
      </c>
      <c r="AH238" s="174">
        <v>0</v>
      </c>
      <c r="AI238" s="174">
        <v>0</v>
      </c>
      <c r="AJ238" s="174">
        <v>0</v>
      </c>
      <c r="AK238" s="174">
        <v>0</v>
      </c>
      <c r="AL238" s="174">
        <v>0</v>
      </c>
      <c r="AM238" s="174">
        <v>0</v>
      </c>
      <c r="AN238" s="174">
        <v>0</v>
      </c>
      <c r="AO238" s="174">
        <v>0</v>
      </c>
      <c r="AP238" s="174">
        <v>0</v>
      </c>
      <c r="AQ238" s="174">
        <v>0</v>
      </c>
      <c r="AR238" s="174">
        <v>0</v>
      </c>
      <c r="AS238" s="174">
        <v>0</v>
      </c>
      <c r="AT238" s="174">
        <v>0</v>
      </c>
      <c r="AU238" s="174">
        <v>0</v>
      </c>
      <c r="AV238" s="174">
        <v>0</v>
      </c>
      <c r="AW238" s="174">
        <v>0</v>
      </c>
      <c r="AX238" s="174">
        <v>0</v>
      </c>
      <c r="AY238" s="174">
        <v>3</v>
      </c>
      <c r="AZ238" s="174">
        <v>0</v>
      </c>
      <c r="BA238" s="176">
        <v>2</v>
      </c>
      <c r="BB238" s="174">
        <v>1</v>
      </c>
      <c r="BC238" s="174">
        <v>0</v>
      </c>
      <c r="BD238" s="174">
        <v>0</v>
      </c>
      <c r="BE238" s="174">
        <v>0</v>
      </c>
      <c r="BF238" s="174">
        <v>1</v>
      </c>
      <c r="BG238" s="174">
        <v>0</v>
      </c>
      <c r="BH238" s="174">
        <v>0</v>
      </c>
      <c r="BI238" s="174"/>
      <c r="BJ238" s="174"/>
      <c r="BK238" s="174"/>
      <c r="BL238" s="174"/>
      <c r="BM238" s="174">
        <f t="shared" si="26"/>
        <v>0</v>
      </c>
      <c r="BN238" s="174">
        <f t="shared" si="27"/>
        <v>0</v>
      </c>
      <c r="BO238" s="174">
        <f t="shared" si="32"/>
        <v>7</v>
      </c>
      <c r="BP238" s="176">
        <f t="shared" si="30"/>
        <v>7</v>
      </c>
      <c r="BQ238" s="177"/>
      <c r="BR238" s="250"/>
      <c r="BS238" s="178"/>
      <c r="BT238" s="178">
        <v>0</v>
      </c>
      <c r="BU238" s="174"/>
      <c r="BV238" s="174"/>
    </row>
    <row r="239" spans="1:74" x14ac:dyDescent="0.75">
      <c r="A239"/>
      <c r="B239"/>
      <c r="C239" s="270">
        <v>1098</v>
      </c>
      <c r="D239" s="75" t="s">
        <v>357</v>
      </c>
      <c r="E239" s="75" t="s">
        <v>358</v>
      </c>
      <c r="F239" s="75" t="s">
        <v>359</v>
      </c>
      <c r="G239" s="75" t="s">
        <v>23</v>
      </c>
      <c r="H239" s="75">
        <v>18.365749999999998</v>
      </c>
      <c r="I239" s="75">
        <v>-64.773619999999994</v>
      </c>
      <c r="J239" s="120">
        <v>44936</v>
      </c>
      <c r="K239" s="75" t="s">
        <v>367</v>
      </c>
      <c r="L239" s="75" t="s">
        <v>374</v>
      </c>
      <c r="M239" s="75">
        <v>0</v>
      </c>
      <c r="N239" s="75">
        <v>3</v>
      </c>
      <c r="O239" s="75" t="s">
        <v>362</v>
      </c>
      <c r="P239" s="88">
        <f>SUM(TreatmentUsed!E3337:E3341)</f>
        <v>13</v>
      </c>
      <c r="Q239" s="75">
        <v>0</v>
      </c>
      <c r="R239" s="75">
        <v>0</v>
      </c>
      <c r="S239" s="75">
        <v>0</v>
      </c>
      <c r="T239" s="75">
        <v>0</v>
      </c>
      <c r="U239" s="75">
        <v>0</v>
      </c>
      <c r="V239" s="75">
        <v>0</v>
      </c>
      <c r="W239" s="75">
        <v>0</v>
      </c>
      <c r="X239" s="75">
        <v>0</v>
      </c>
      <c r="Y239" s="75">
        <v>0</v>
      </c>
      <c r="Z239" s="75">
        <v>0</v>
      </c>
      <c r="AA239" s="75">
        <v>0</v>
      </c>
      <c r="AB239" s="75">
        <v>0</v>
      </c>
      <c r="AC239" s="75">
        <v>0</v>
      </c>
      <c r="AD239" s="75">
        <v>0</v>
      </c>
      <c r="AE239" s="75">
        <v>0</v>
      </c>
      <c r="AF239" s="75">
        <v>0</v>
      </c>
      <c r="AG239" s="75">
        <v>0</v>
      </c>
      <c r="AH239" s="75">
        <v>0</v>
      </c>
      <c r="AI239" s="75">
        <v>0</v>
      </c>
      <c r="AJ239" s="75">
        <v>0</v>
      </c>
      <c r="AK239" s="75">
        <v>0</v>
      </c>
      <c r="AL239" s="75">
        <v>0</v>
      </c>
      <c r="AM239" s="75">
        <v>0</v>
      </c>
      <c r="AN239" s="75">
        <v>0</v>
      </c>
      <c r="AO239" s="75">
        <v>0</v>
      </c>
      <c r="AP239" s="75">
        <v>0</v>
      </c>
      <c r="AQ239" s="75">
        <v>0</v>
      </c>
      <c r="AR239" s="75">
        <v>0</v>
      </c>
      <c r="AS239" s="75">
        <v>0</v>
      </c>
      <c r="AT239" s="75">
        <v>0</v>
      </c>
      <c r="AU239" s="75">
        <v>0</v>
      </c>
      <c r="AV239" s="75">
        <v>0</v>
      </c>
      <c r="AW239" s="75">
        <v>0</v>
      </c>
      <c r="AX239" s="75">
        <v>0</v>
      </c>
      <c r="AY239" s="75">
        <v>0</v>
      </c>
      <c r="AZ239" s="84">
        <v>3</v>
      </c>
      <c r="BA239" s="84">
        <v>1</v>
      </c>
      <c r="BB239" s="75">
        <v>0</v>
      </c>
      <c r="BC239" s="75">
        <v>1</v>
      </c>
      <c r="BD239" s="75">
        <v>0</v>
      </c>
      <c r="BE239" s="75">
        <v>0</v>
      </c>
      <c r="BF239" s="75">
        <v>0</v>
      </c>
      <c r="BG239" s="75">
        <v>0</v>
      </c>
      <c r="BH239" s="75">
        <v>0</v>
      </c>
      <c r="BL239" s="75">
        <v>0</v>
      </c>
      <c r="BM239" s="75">
        <f t="shared" si="26"/>
        <v>0</v>
      </c>
      <c r="BN239" s="75">
        <f t="shared" si="27"/>
        <v>0</v>
      </c>
      <c r="BO239" s="75">
        <f t="shared" si="32"/>
        <v>5</v>
      </c>
      <c r="BP239" s="75">
        <f t="shared" ref="BP239:BP245" si="33">SUM(BM239:BO239)</f>
        <v>5</v>
      </c>
      <c r="BQ239" s="80" t="s">
        <v>537</v>
      </c>
      <c r="BR239" s="138" t="s">
        <v>538</v>
      </c>
      <c r="BS239" s="110" t="s">
        <v>539</v>
      </c>
      <c r="BT239" s="110">
        <v>0</v>
      </c>
      <c r="BU239" s="75">
        <v>0</v>
      </c>
    </row>
    <row r="240" spans="1:74" x14ac:dyDescent="0.75">
      <c r="A240"/>
      <c r="B240"/>
      <c r="C240" s="270">
        <v>1131</v>
      </c>
      <c r="D240" s="75" t="s">
        <v>357</v>
      </c>
      <c r="E240" s="75" t="s">
        <v>358</v>
      </c>
      <c r="F240" s="75" t="s">
        <v>359</v>
      </c>
      <c r="G240" s="75" t="s">
        <v>23</v>
      </c>
      <c r="H240" s="75">
        <v>18.365749999999998</v>
      </c>
      <c r="I240" s="75">
        <v>-64.773619999999994</v>
      </c>
      <c r="J240" s="120">
        <v>44936</v>
      </c>
      <c r="K240" s="75" t="s">
        <v>367</v>
      </c>
      <c r="L240" s="75" t="s">
        <v>374</v>
      </c>
      <c r="M240" s="75">
        <v>0</v>
      </c>
      <c r="N240" s="75">
        <v>3</v>
      </c>
      <c r="O240" s="75" t="s">
        <v>362</v>
      </c>
      <c r="P240" s="88">
        <f>SUM(TreatmentUsed!E3342:E3367)</f>
        <v>212</v>
      </c>
      <c r="Q240" s="75">
        <v>0</v>
      </c>
      <c r="R240" s="75">
        <v>0</v>
      </c>
      <c r="S240" s="75">
        <v>0</v>
      </c>
      <c r="T240" s="75">
        <v>0</v>
      </c>
      <c r="U240" s="75">
        <v>0</v>
      </c>
      <c r="V240" s="75">
        <v>0</v>
      </c>
      <c r="W240" s="75">
        <v>0</v>
      </c>
      <c r="X240" s="75">
        <v>0</v>
      </c>
      <c r="Y240" s="75">
        <v>0</v>
      </c>
      <c r="Z240" s="75">
        <v>0</v>
      </c>
      <c r="AA240" s="75">
        <v>0</v>
      </c>
      <c r="AB240" s="75">
        <v>0</v>
      </c>
      <c r="AC240" s="75">
        <v>0</v>
      </c>
      <c r="AD240" s="75">
        <v>0</v>
      </c>
      <c r="AE240" s="75">
        <v>0</v>
      </c>
      <c r="AF240" s="75">
        <v>0</v>
      </c>
      <c r="AG240" s="75">
        <v>0</v>
      </c>
      <c r="AH240" s="75">
        <v>0</v>
      </c>
      <c r="AI240" s="75">
        <v>0</v>
      </c>
      <c r="AJ240" s="75">
        <v>0</v>
      </c>
      <c r="AK240" s="75">
        <v>0</v>
      </c>
      <c r="AL240" s="75">
        <v>0</v>
      </c>
      <c r="AM240" s="75">
        <v>0</v>
      </c>
      <c r="AN240" s="75">
        <v>0</v>
      </c>
      <c r="AO240" s="75">
        <v>0</v>
      </c>
      <c r="AP240" s="75">
        <v>0</v>
      </c>
      <c r="AQ240" s="75">
        <v>0</v>
      </c>
      <c r="AR240" s="75">
        <v>1</v>
      </c>
      <c r="AS240" s="75">
        <v>0</v>
      </c>
      <c r="AT240" s="75">
        <v>0</v>
      </c>
      <c r="AU240" s="75">
        <v>0</v>
      </c>
      <c r="AV240" s="75">
        <v>0</v>
      </c>
      <c r="AW240" s="75">
        <v>0</v>
      </c>
      <c r="AX240" s="75">
        <v>0</v>
      </c>
      <c r="AY240" s="75">
        <v>1</v>
      </c>
      <c r="AZ240" s="75">
        <v>6</v>
      </c>
      <c r="BA240" s="75">
        <v>16</v>
      </c>
      <c r="BB240" s="84">
        <v>0</v>
      </c>
      <c r="BC240" s="75">
        <v>1</v>
      </c>
      <c r="BD240" s="75">
        <v>0</v>
      </c>
      <c r="BE240" s="84">
        <v>0</v>
      </c>
      <c r="BF240" s="75">
        <v>0</v>
      </c>
      <c r="BG240" s="75">
        <v>0</v>
      </c>
      <c r="BH240" s="84">
        <v>1</v>
      </c>
      <c r="BL240" s="75">
        <v>0</v>
      </c>
      <c r="BM240" s="75">
        <f t="shared" si="26"/>
        <v>0</v>
      </c>
      <c r="BN240" s="75">
        <f t="shared" si="27"/>
        <v>0</v>
      </c>
      <c r="BO240" s="75">
        <f t="shared" si="32"/>
        <v>26</v>
      </c>
      <c r="BP240" s="84">
        <f t="shared" si="33"/>
        <v>26</v>
      </c>
      <c r="BQ240" s="80" t="s">
        <v>540</v>
      </c>
      <c r="BR240" s="138" t="s">
        <v>541</v>
      </c>
      <c r="BS240" s="110" t="s">
        <v>539</v>
      </c>
      <c r="BT240" s="110">
        <v>0</v>
      </c>
      <c r="BU240" s="75">
        <v>0</v>
      </c>
    </row>
    <row r="241" spans="1:73" x14ac:dyDescent="0.75">
      <c r="A241"/>
      <c r="B241"/>
      <c r="C241" s="270">
        <v>1099</v>
      </c>
      <c r="D241" s="75" t="s">
        <v>357</v>
      </c>
      <c r="E241" s="75" t="s">
        <v>358</v>
      </c>
      <c r="F241" s="75" t="s">
        <v>359</v>
      </c>
      <c r="G241" s="75" t="s">
        <v>23</v>
      </c>
      <c r="H241" s="75">
        <v>18.365749999999998</v>
      </c>
      <c r="I241" s="75">
        <v>-64.773619999999994</v>
      </c>
      <c r="J241" s="120">
        <v>44936</v>
      </c>
      <c r="K241" s="75" t="s">
        <v>367</v>
      </c>
      <c r="L241" s="75" t="s">
        <v>360</v>
      </c>
      <c r="M241" s="75">
        <v>1</v>
      </c>
      <c r="N241" s="75">
        <v>3</v>
      </c>
      <c r="O241" s="75" t="s">
        <v>362</v>
      </c>
      <c r="P241" s="88">
        <f>SUM(TreatmentUsed!E3368:E3373)</f>
        <v>88</v>
      </c>
      <c r="Q241" s="75">
        <v>0</v>
      </c>
      <c r="R241" s="75">
        <v>0</v>
      </c>
      <c r="S241" s="75">
        <v>0</v>
      </c>
      <c r="T241" s="75">
        <v>0</v>
      </c>
      <c r="U241" s="75">
        <v>0</v>
      </c>
      <c r="V241" s="75">
        <v>0</v>
      </c>
      <c r="W241" s="75">
        <v>0</v>
      </c>
      <c r="X241" s="75">
        <v>0</v>
      </c>
      <c r="Y241" s="75">
        <v>0</v>
      </c>
      <c r="Z241" s="75">
        <v>0</v>
      </c>
      <c r="AA241" s="75">
        <v>0</v>
      </c>
      <c r="AB241" s="75">
        <v>0</v>
      </c>
      <c r="AC241" s="75">
        <v>0</v>
      </c>
      <c r="AD241" s="75">
        <v>0</v>
      </c>
      <c r="AE241" s="75">
        <v>0</v>
      </c>
      <c r="AF241" s="75">
        <v>1</v>
      </c>
      <c r="AG241" s="75">
        <v>0</v>
      </c>
      <c r="AH241" s="75">
        <v>0</v>
      </c>
      <c r="AI241" s="75">
        <v>0</v>
      </c>
      <c r="AJ241" s="75">
        <v>0</v>
      </c>
      <c r="AK241" s="75">
        <v>0</v>
      </c>
      <c r="AL241" s="75">
        <v>0</v>
      </c>
      <c r="AM241" s="75">
        <v>0</v>
      </c>
      <c r="AN241" s="75">
        <v>0</v>
      </c>
      <c r="AO241" s="75">
        <v>0</v>
      </c>
      <c r="AP241" s="75">
        <v>0</v>
      </c>
      <c r="AQ241" s="75">
        <v>3</v>
      </c>
      <c r="AR241" s="75">
        <v>0</v>
      </c>
      <c r="AS241" s="75">
        <v>0</v>
      </c>
      <c r="AT241" s="75">
        <v>0</v>
      </c>
      <c r="AU241" s="75">
        <v>1</v>
      </c>
      <c r="AV241" s="75">
        <v>0</v>
      </c>
      <c r="AW241" s="75">
        <v>0</v>
      </c>
      <c r="AX241" s="75">
        <v>0</v>
      </c>
      <c r="AY241" s="75">
        <v>0</v>
      </c>
      <c r="AZ241" s="75">
        <v>0</v>
      </c>
      <c r="BA241" s="75">
        <v>1</v>
      </c>
      <c r="BB241" s="75">
        <v>0</v>
      </c>
      <c r="BC241" s="75">
        <v>0</v>
      </c>
      <c r="BD241" s="75">
        <v>0</v>
      </c>
      <c r="BE241" s="75">
        <v>0</v>
      </c>
      <c r="BF241" s="75">
        <v>1</v>
      </c>
      <c r="BG241" s="75">
        <v>0</v>
      </c>
      <c r="BH241" s="75">
        <v>0</v>
      </c>
      <c r="BL241" s="75">
        <v>0</v>
      </c>
      <c r="BM241" s="75">
        <f t="shared" si="26"/>
        <v>0</v>
      </c>
      <c r="BN241" s="75">
        <f t="shared" si="27"/>
        <v>1</v>
      </c>
      <c r="BO241" s="75">
        <f t="shared" si="32"/>
        <v>6</v>
      </c>
      <c r="BP241" s="75">
        <f t="shared" si="33"/>
        <v>7</v>
      </c>
      <c r="BQ241" t="s">
        <v>542</v>
      </c>
      <c r="BR241" s="138" t="s">
        <v>480</v>
      </c>
      <c r="BS241" s="110" t="s">
        <v>539</v>
      </c>
      <c r="BT241" s="110">
        <v>0</v>
      </c>
      <c r="BU241" s="75">
        <v>1</v>
      </c>
    </row>
    <row r="242" spans="1:73" x14ac:dyDescent="0.75">
      <c r="C242" s="270">
        <v>1100</v>
      </c>
      <c r="D242" s="75" t="s">
        <v>357</v>
      </c>
      <c r="E242" s="75" t="s">
        <v>358</v>
      </c>
      <c r="F242" s="75" t="s">
        <v>359</v>
      </c>
      <c r="G242" s="75" t="s">
        <v>39</v>
      </c>
      <c r="H242" s="75">
        <v>18.357482999999998</v>
      </c>
      <c r="I242" s="75">
        <v>-64.751949999999994</v>
      </c>
      <c r="J242" s="120">
        <v>44937</v>
      </c>
      <c r="K242" s="75" t="s">
        <v>361</v>
      </c>
      <c r="L242" s="75" t="s">
        <v>360</v>
      </c>
      <c r="M242" s="75">
        <v>0</v>
      </c>
      <c r="N242" s="75">
        <v>2</v>
      </c>
      <c r="O242" s="75" t="s">
        <v>362</v>
      </c>
      <c r="P242" s="88">
        <f>SUM(TreatmentUsed!E3374:E3376)</f>
        <v>4</v>
      </c>
      <c r="Q242" s="75">
        <v>0</v>
      </c>
      <c r="R242" s="75">
        <v>0</v>
      </c>
      <c r="S242" s="75">
        <v>0</v>
      </c>
      <c r="T242" s="75">
        <v>0</v>
      </c>
      <c r="U242" s="75">
        <v>0</v>
      </c>
      <c r="V242" s="84">
        <v>1</v>
      </c>
      <c r="W242" s="75">
        <v>0</v>
      </c>
      <c r="X242" s="75">
        <v>0</v>
      </c>
      <c r="Y242" s="75">
        <v>0</v>
      </c>
      <c r="Z242" s="75">
        <v>0</v>
      </c>
      <c r="AA242" s="75">
        <v>0</v>
      </c>
      <c r="AB242" s="75">
        <v>0</v>
      </c>
      <c r="AC242" s="75">
        <v>0</v>
      </c>
      <c r="AD242" s="75">
        <v>0</v>
      </c>
      <c r="AE242" s="75">
        <v>0</v>
      </c>
      <c r="AF242" s="75">
        <v>0</v>
      </c>
      <c r="AG242" s="75">
        <v>0</v>
      </c>
      <c r="AH242" s="75">
        <v>0</v>
      </c>
      <c r="AI242" s="75">
        <v>0</v>
      </c>
      <c r="AJ242" s="75">
        <v>0</v>
      </c>
      <c r="AK242" s="75">
        <v>0</v>
      </c>
      <c r="AL242" s="75">
        <v>0</v>
      </c>
      <c r="AM242" s="75">
        <v>0</v>
      </c>
      <c r="AN242" s="75">
        <v>0</v>
      </c>
      <c r="AO242" s="75">
        <v>0</v>
      </c>
      <c r="AP242" s="75">
        <v>0</v>
      </c>
      <c r="AQ242" s="75">
        <v>1</v>
      </c>
      <c r="AR242" s="75">
        <v>1</v>
      </c>
      <c r="AS242" s="75">
        <v>0</v>
      </c>
      <c r="AT242" s="75">
        <v>0</v>
      </c>
      <c r="AU242" s="75">
        <v>0</v>
      </c>
      <c r="AV242" s="75">
        <v>0</v>
      </c>
      <c r="AW242" s="84">
        <v>0</v>
      </c>
      <c r="AX242" s="75">
        <v>0</v>
      </c>
      <c r="AY242" s="75">
        <v>0</v>
      </c>
      <c r="AZ242" s="75">
        <v>0</v>
      </c>
      <c r="BA242" s="75">
        <v>0</v>
      </c>
      <c r="BB242" s="75">
        <v>0</v>
      </c>
      <c r="BC242" s="75">
        <v>0</v>
      </c>
      <c r="BD242" s="75">
        <v>0</v>
      </c>
      <c r="BE242" s="75">
        <v>0</v>
      </c>
      <c r="BF242" s="75">
        <v>0</v>
      </c>
      <c r="BG242" s="75">
        <v>0</v>
      </c>
      <c r="BH242" s="75">
        <v>1</v>
      </c>
      <c r="BL242" s="75">
        <v>0</v>
      </c>
      <c r="BM242" s="75">
        <f t="shared" si="26"/>
        <v>1</v>
      </c>
      <c r="BN242" s="75">
        <f t="shared" si="27"/>
        <v>0</v>
      </c>
      <c r="BO242" s="75">
        <f t="shared" ref="BO242:BO253" si="34">SUM(AO242:BH242)</f>
        <v>3</v>
      </c>
      <c r="BP242" s="75">
        <f t="shared" si="33"/>
        <v>4</v>
      </c>
      <c r="BQ242" s="80" t="s">
        <v>529</v>
      </c>
      <c r="BR242" s="138" t="s">
        <v>543</v>
      </c>
      <c r="BS242" s="110" t="s">
        <v>539</v>
      </c>
      <c r="BT242" s="110">
        <v>0</v>
      </c>
      <c r="BU242" s="75">
        <v>1</v>
      </c>
    </row>
    <row r="243" spans="1:73" x14ac:dyDescent="0.75">
      <c r="C243" s="270">
        <v>1101</v>
      </c>
      <c r="D243" s="75" t="s">
        <v>357</v>
      </c>
      <c r="E243" s="75" t="s">
        <v>358</v>
      </c>
      <c r="F243" s="75" t="s">
        <v>359</v>
      </c>
      <c r="G243" s="75" t="s">
        <v>39</v>
      </c>
      <c r="H243" s="75">
        <v>18.357482999999998</v>
      </c>
      <c r="I243" s="75">
        <v>-64.751949999999994</v>
      </c>
      <c r="J243" s="120">
        <v>44937</v>
      </c>
      <c r="K243" s="75" t="s">
        <v>361</v>
      </c>
      <c r="L243" s="75" t="s">
        <v>360</v>
      </c>
      <c r="M243" s="75">
        <v>0</v>
      </c>
      <c r="N243" s="75">
        <v>2</v>
      </c>
      <c r="O243" s="75" t="s">
        <v>362</v>
      </c>
      <c r="P243" s="88">
        <f>SUM(TreatmentUsed!E3377:E3397)</f>
        <v>134</v>
      </c>
      <c r="Q243" s="75">
        <v>60</v>
      </c>
      <c r="R243" s="75">
        <v>0</v>
      </c>
      <c r="S243" s="75">
        <v>0</v>
      </c>
      <c r="T243" s="75">
        <v>0</v>
      </c>
      <c r="U243" s="75">
        <v>0</v>
      </c>
      <c r="V243" s="75">
        <v>0</v>
      </c>
      <c r="W243" s="75">
        <v>0</v>
      </c>
      <c r="X243" s="75">
        <v>0</v>
      </c>
      <c r="Y243" s="75">
        <v>0</v>
      </c>
      <c r="Z243" s="75">
        <v>0</v>
      </c>
      <c r="AA243" s="75">
        <v>0</v>
      </c>
      <c r="AB243" s="75">
        <v>0</v>
      </c>
      <c r="AC243" s="75">
        <v>0</v>
      </c>
      <c r="AD243" s="75">
        <v>0</v>
      </c>
      <c r="AE243" s="75">
        <v>0</v>
      </c>
      <c r="AF243" s="75">
        <v>0</v>
      </c>
      <c r="AG243" s="75">
        <v>0</v>
      </c>
      <c r="AH243" s="75">
        <v>0</v>
      </c>
      <c r="AI243" s="75">
        <v>0</v>
      </c>
      <c r="AJ243" s="75">
        <v>0</v>
      </c>
      <c r="AK243" s="75">
        <v>0</v>
      </c>
      <c r="AL243" s="75">
        <v>0</v>
      </c>
      <c r="AM243" s="75">
        <v>0</v>
      </c>
      <c r="AN243" s="75">
        <v>0</v>
      </c>
      <c r="AO243" s="75">
        <v>1</v>
      </c>
      <c r="AP243" s="75">
        <v>0</v>
      </c>
      <c r="AQ243" s="75">
        <v>0</v>
      </c>
      <c r="AR243" s="75">
        <v>0</v>
      </c>
      <c r="AS243" s="75">
        <v>7</v>
      </c>
      <c r="AT243" s="75">
        <v>7</v>
      </c>
      <c r="AU243" s="75">
        <v>0</v>
      </c>
      <c r="AV243" s="75">
        <v>0</v>
      </c>
      <c r="AW243" s="75">
        <v>0</v>
      </c>
      <c r="AX243" s="75">
        <v>0</v>
      </c>
      <c r="AY243" s="75">
        <v>0</v>
      </c>
      <c r="AZ243" s="75">
        <v>0</v>
      </c>
      <c r="BA243" s="75">
        <v>2</v>
      </c>
      <c r="BB243" s="75">
        <v>0</v>
      </c>
      <c r="BC243" s="75">
        <v>4</v>
      </c>
      <c r="BD243" s="75">
        <v>0</v>
      </c>
      <c r="BE243" s="75">
        <v>0</v>
      </c>
      <c r="BF243" s="75">
        <v>0</v>
      </c>
      <c r="BG243" s="75">
        <v>0</v>
      </c>
      <c r="BH243" s="75">
        <v>0</v>
      </c>
      <c r="BL243" s="75">
        <v>0</v>
      </c>
      <c r="BM243" s="75">
        <f t="shared" si="26"/>
        <v>0</v>
      </c>
      <c r="BN243" s="75">
        <f t="shared" si="27"/>
        <v>0</v>
      </c>
      <c r="BO243" s="75">
        <f t="shared" si="34"/>
        <v>21</v>
      </c>
      <c r="BP243" s="75">
        <f t="shared" si="33"/>
        <v>21</v>
      </c>
      <c r="BQ243" s="80" t="s">
        <v>544</v>
      </c>
      <c r="BR243" s="138" t="s">
        <v>545</v>
      </c>
      <c r="BS243" s="110" t="s">
        <v>539</v>
      </c>
      <c r="BT243" s="110">
        <v>0</v>
      </c>
      <c r="BU243" s="75">
        <v>0</v>
      </c>
    </row>
    <row r="244" spans="1:73" x14ac:dyDescent="0.75">
      <c r="C244" s="270">
        <v>1102</v>
      </c>
      <c r="D244" s="75" t="s">
        <v>357</v>
      </c>
      <c r="E244" s="75" t="s">
        <v>358</v>
      </c>
      <c r="F244" s="75" t="s">
        <v>359</v>
      </c>
      <c r="G244" s="75" t="s">
        <v>23</v>
      </c>
      <c r="H244" s="75">
        <v>18.365749999999998</v>
      </c>
      <c r="I244" s="75">
        <v>-64.773619999999994</v>
      </c>
      <c r="J244" s="120">
        <v>44938</v>
      </c>
      <c r="K244" s="75" t="s">
        <v>361</v>
      </c>
      <c r="L244" s="75" t="s">
        <v>360</v>
      </c>
      <c r="M244" s="75">
        <v>0</v>
      </c>
      <c r="N244" s="75">
        <v>2</v>
      </c>
      <c r="O244" s="75" t="s">
        <v>362</v>
      </c>
      <c r="P244" s="88">
        <f>SUM(TreatmentUsed!E3398:E3401)</f>
        <v>29</v>
      </c>
      <c r="Q244" s="75">
        <v>0</v>
      </c>
      <c r="R244" s="75">
        <v>0</v>
      </c>
      <c r="S244" s="75">
        <v>0</v>
      </c>
      <c r="T244" s="75">
        <v>0</v>
      </c>
      <c r="U244" s="75">
        <v>0</v>
      </c>
      <c r="V244" s="75">
        <v>0</v>
      </c>
      <c r="W244" s="75">
        <v>0</v>
      </c>
      <c r="X244" s="75">
        <v>0</v>
      </c>
      <c r="Y244" s="75">
        <v>0</v>
      </c>
      <c r="Z244" s="75">
        <v>0</v>
      </c>
      <c r="AA244" s="75">
        <v>0</v>
      </c>
      <c r="AB244" s="75">
        <v>0</v>
      </c>
      <c r="AC244" s="75">
        <v>0</v>
      </c>
      <c r="AD244" s="75">
        <v>0</v>
      </c>
      <c r="AE244" s="75">
        <v>0</v>
      </c>
      <c r="AF244" s="75">
        <v>0</v>
      </c>
      <c r="AG244" s="75">
        <v>0</v>
      </c>
      <c r="AH244" s="75">
        <v>0</v>
      </c>
      <c r="AI244" s="75">
        <v>0</v>
      </c>
      <c r="AJ244" s="75">
        <v>0</v>
      </c>
      <c r="AK244" s="75">
        <v>0</v>
      </c>
      <c r="AL244" s="75">
        <v>0</v>
      </c>
      <c r="AM244" s="75">
        <v>0</v>
      </c>
      <c r="AN244" s="75">
        <v>0</v>
      </c>
      <c r="AO244" s="75">
        <v>0</v>
      </c>
      <c r="AP244" s="75">
        <v>0</v>
      </c>
      <c r="AQ244" s="75">
        <v>0</v>
      </c>
      <c r="AR244" s="75">
        <v>0</v>
      </c>
      <c r="AS244" s="75">
        <v>0</v>
      </c>
      <c r="AT244" s="75">
        <v>0</v>
      </c>
      <c r="AU244" s="75">
        <v>0</v>
      </c>
      <c r="AV244" s="75">
        <v>0</v>
      </c>
      <c r="AW244" s="75">
        <v>0</v>
      </c>
      <c r="AX244" s="75">
        <v>0</v>
      </c>
      <c r="AY244" s="75">
        <v>0</v>
      </c>
      <c r="AZ244" s="84">
        <v>0</v>
      </c>
      <c r="BA244" s="84">
        <v>4</v>
      </c>
      <c r="BB244" s="75">
        <v>0</v>
      </c>
      <c r="BC244" s="75">
        <v>0</v>
      </c>
      <c r="BD244" s="75">
        <v>0</v>
      </c>
      <c r="BE244" s="75">
        <v>0</v>
      </c>
      <c r="BF244" s="75">
        <v>0</v>
      </c>
      <c r="BG244" s="75">
        <v>0</v>
      </c>
      <c r="BH244" s="75">
        <v>0</v>
      </c>
      <c r="BL244" s="75">
        <v>0</v>
      </c>
      <c r="BM244" s="75">
        <f t="shared" si="26"/>
        <v>0</v>
      </c>
      <c r="BN244" s="75">
        <f t="shared" si="27"/>
        <v>0</v>
      </c>
      <c r="BO244" s="75">
        <f t="shared" si="34"/>
        <v>4</v>
      </c>
      <c r="BP244" s="75">
        <f t="shared" si="33"/>
        <v>4</v>
      </c>
      <c r="BR244" s="138" t="s">
        <v>363</v>
      </c>
      <c r="BS244" s="110" t="s">
        <v>539</v>
      </c>
      <c r="BT244" s="110">
        <v>0</v>
      </c>
      <c r="BU244" s="75">
        <v>0</v>
      </c>
    </row>
    <row r="245" spans="1:73" x14ac:dyDescent="0.75">
      <c r="C245" s="270">
        <v>1103</v>
      </c>
      <c r="D245" s="75" t="s">
        <v>357</v>
      </c>
      <c r="E245" s="75" t="s">
        <v>358</v>
      </c>
      <c r="F245" s="75" t="s">
        <v>359</v>
      </c>
      <c r="G245" s="75" t="s">
        <v>23</v>
      </c>
      <c r="H245" s="75">
        <v>18.365749999999998</v>
      </c>
      <c r="I245" s="75">
        <v>-64.773619999999994</v>
      </c>
      <c r="J245" s="120">
        <v>44938</v>
      </c>
      <c r="K245" s="75" t="s">
        <v>361</v>
      </c>
      <c r="L245" s="75" t="s">
        <v>360</v>
      </c>
      <c r="M245" s="75">
        <v>0</v>
      </c>
      <c r="N245" s="75">
        <v>2</v>
      </c>
      <c r="O245" s="75" t="s">
        <v>362</v>
      </c>
      <c r="P245" s="88">
        <f>SUM(TreatmentUsed!E3402:E3413)</f>
        <v>65</v>
      </c>
      <c r="Q245" s="75">
        <v>0</v>
      </c>
      <c r="R245" s="75">
        <v>0</v>
      </c>
      <c r="S245" s="75">
        <v>0</v>
      </c>
      <c r="T245" s="75">
        <v>0</v>
      </c>
      <c r="U245" s="75">
        <v>0</v>
      </c>
      <c r="V245" s="75">
        <v>0</v>
      </c>
      <c r="W245" s="75">
        <v>0</v>
      </c>
      <c r="X245" s="75">
        <v>0</v>
      </c>
      <c r="Y245" s="75">
        <v>0</v>
      </c>
      <c r="Z245" s="75">
        <v>0</v>
      </c>
      <c r="AA245" s="75">
        <v>0</v>
      </c>
      <c r="AB245" s="75">
        <v>0</v>
      </c>
      <c r="AC245" s="75">
        <v>0</v>
      </c>
      <c r="AD245" s="75">
        <v>0</v>
      </c>
      <c r="AE245" s="75">
        <v>0</v>
      </c>
      <c r="AF245" s="75">
        <v>0</v>
      </c>
      <c r="AG245" s="75">
        <v>0</v>
      </c>
      <c r="AH245" s="75">
        <v>0</v>
      </c>
      <c r="AI245" s="75">
        <v>0</v>
      </c>
      <c r="AJ245" s="75">
        <v>0</v>
      </c>
      <c r="AK245" s="75">
        <v>0</v>
      </c>
      <c r="AL245" s="75">
        <v>0</v>
      </c>
      <c r="AM245" s="75">
        <v>0</v>
      </c>
      <c r="AN245" s="75">
        <v>0</v>
      </c>
      <c r="AO245" s="75">
        <v>1</v>
      </c>
      <c r="AP245" s="75">
        <v>0</v>
      </c>
      <c r="AQ245" s="75">
        <v>0</v>
      </c>
      <c r="AR245" s="75">
        <v>0</v>
      </c>
      <c r="AS245" s="75">
        <v>0</v>
      </c>
      <c r="AT245" s="75">
        <v>0</v>
      </c>
      <c r="AU245" s="75">
        <v>0</v>
      </c>
      <c r="AV245" s="75">
        <v>0</v>
      </c>
      <c r="AW245" s="75">
        <v>0</v>
      </c>
      <c r="AX245" s="75">
        <v>0</v>
      </c>
      <c r="AY245" s="75">
        <v>0</v>
      </c>
      <c r="AZ245" s="84">
        <v>1</v>
      </c>
      <c r="BA245" s="84">
        <v>7</v>
      </c>
      <c r="BB245" s="75">
        <v>0</v>
      </c>
      <c r="BC245" s="84">
        <v>2</v>
      </c>
      <c r="BD245" s="75">
        <v>0</v>
      </c>
      <c r="BE245" s="75">
        <v>0</v>
      </c>
      <c r="BF245" s="84">
        <v>0</v>
      </c>
      <c r="BG245" s="75">
        <v>0</v>
      </c>
      <c r="BH245" s="84">
        <v>1</v>
      </c>
      <c r="BL245" s="75">
        <v>0</v>
      </c>
      <c r="BM245" s="75">
        <f t="shared" si="26"/>
        <v>0</v>
      </c>
      <c r="BN245" s="75">
        <f t="shared" si="27"/>
        <v>0</v>
      </c>
      <c r="BO245" s="75">
        <f t="shared" si="34"/>
        <v>12</v>
      </c>
      <c r="BP245" s="75">
        <f t="shared" si="33"/>
        <v>12</v>
      </c>
      <c r="BQ245" s="80" t="s">
        <v>546</v>
      </c>
      <c r="BR245" s="138" t="s">
        <v>363</v>
      </c>
      <c r="BS245" s="110" t="s">
        <v>539</v>
      </c>
      <c r="BT245" s="110">
        <v>0</v>
      </c>
      <c r="BU245" s="75">
        <v>0</v>
      </c>
    </row>
    <row r="246" spans="1:73" x14ac:dyDescent="0.75">
      <c r="C246" s="270">
        <v>1104</v>
      </c>
      <c r="D246" s="75" t="s">
        <v>357</v>
      </c>
      <c r="E246" s="75" t="s">
        <v>358</v>
      </c>
      <c r="F246" s="75" t="s">
        <v>359</v>
      </c>
      <c r="G246" s="75" t="s">
        <v>64</v>
      </c>
      <c r="H246" s="75">
        <v>18.368383000000001</v>
      </c>
      <c r="I246" s="75">
        <v>-64.751450000000006</v>
      </c>
      <c r="J246" s="120">
        <v>44938</v>
      </c>
      <c r="K246" s="75" t="s">
        <v>361</v>
      </c>
      <c r="L246" s="75" t="s">
        <v>360</v>
      </c>
      <c r="M246" s="75">
        <v>0</v>
      </c>
      <c r="N246" s="75">
        <v>2</v>
      </c>
      <c r="O246" s="75" t="s">
        <v>362</v>
      </c>
      <c r="P246" s="88">
        <f>SUM(TreatmentUsed!E3414:E3428)</f>
        <v>198</v>
      </c>
      <c r="Q246" s="75">
        <v>0</v>
      </c>
      <c r="R246" s="75">
        <v>0</v>
      </c>
      <c r="S246" s="75">
        <v>0</v>
      </c>
      <c r="T246" s="75">
        <v>0</v>
      </c>
      <c r="U246" s="75">
        <v>0</v>
      </c>
      <c r="V246" s="75">
        <v>0</v>
      </c>
      <c r="W246" s="75">
        <v>0</v>
      </c>
      <c r="X246" s="75">
        <v>0</v>
      </c>
      <c r="Y246" s="75">
        <v>0</v>
      </c>
      <c r="Z246" s="75">
        <v>0</v>
      </c>
      <c r="AA246" s="75">
        <v>0</v>
      </c>
      <c r="AB246" s="75">
        <v>0</v>
      </c>
      <c r="AC246" s="75">
        <v>0</v>
      </c>
      <c r="AD246" s="75">
        <v>0</v>
      </c>
      <c r="AE246" s="75">
        <v>0</v>
      </c>
      <c r="AF246" s="75">
        <v>0</v>
      </c>
      <c r="AG246" s="75">
        <v>0</v>
      </c>
      <c r="AH246" s="75">
        <v>0</v>
      </c>
      <c r="AI246" s="75">
        <v>0</v>
      </c>
      <c r="AJ246" s="75">
        <v>0</v>
      </c>
      <c r="AK246" s="75">
        <v>0</v>
      </c>
      <c r="AL246" s="75">
        <v>0</v>
      </c>
      <c r="AM246" s="75">
        <v>0</v>
      </c>
      <c r="AN246" s="75">
        <v>0</v>
      </c>
      <c r="AO246" s="75">
        <v>0</v>
      </c>
      <c r="AP246" s="75">
        <v>0</v>
      </c>
      <c r="AQ246" s="75">
        <v>3</v>
      </c>
      <c r="AR246" s="84">
        <v>1</v>
      </c>
      <c r="AS246" s="75">
        <v>1</v>
      </c>
      <c r="AT246" s="75">
        <v>0</v>
      </c>
      <c r="AU246" s="75">
        <v>0</v>
      </c>
      <c r="AV246" s="75">
        <v>0</v>
      </c>
      <c r="AW246" s="75">
        <v>0</v>
      </c>
      <c r="AX246" s="75">
        <v>0</v>
      </c>
      <c r="AY246" s="75">
        <v>1</v>
      </c>
      <c r="AZ246" s="75">
        <v>0</v>
      </c>
      <c r="BA246" s="75">
        <v>0</v>
      </c>
      <c r="BB246" s="75">
        <v>0</v>
      </c>
      <c r="BC246" s="75">
        <v>0</v>
      </c>
      <c r="BD246" s="75">
        <v>0</v>
      </c>
      <c r="BE246" s="75">
        <v>0</v>
      </c>
      <c r="BF246" s="75">
        <v>9</v>
      </c>
      <c r="BG246" s="75">
        <v>0</v>
      </c>
      <c r="BH246" s="75">
        <v>0</v>
      </c>
      <c r="BL246" s="75">
        <v>0</v>
      </c>
      <c r="BM246" s="75">
        <f t="shared" si="26"/>
        <v>0</v>
      </c>
      <c r="BN246" s="75">
        <f t="shared" si="27"/>
        <v>0</v>
      </c>
      <c r="BO246" s="75">
        <f t="shared" si="34"/>
        <v>15</v>
      </c>
      <c r="BP246" s="75">
        <f t="shared" ref="BP246:BP248" si="35">SUM(BM246:BO246)</f>
        <v>15</v>
      </c>
      <c r="BQ246" s="80" t="s">
        <v>363</v>
      </c>
      <c r="BR246" s="138" t="s">
        <v>509</v>
      </c>
      <c r="BS246" s="110" t="s">
        <v>539</v>
      </c>
      <c r="BT246" s="110">
        <v>0</v>
      </c>
      <c r="BU246" s="75">
        <v>0</v>
      </c>
    </row>
    <row r="247" spans="1:73" x14ac:dyDescent="0.75">
      <c r="C247" s="274">
        <v>1105</v>
      </c>
      <c r="D247" s="75" t="s">
        <v>357</v>
      </c>
      <c r="E247" s="75" t="s">
        <v>358</v>
      </c>
      <c r="F247" s="75" t="s">
        <v>359</v>
      </c>
      <c r="G247" s="75" t="s">
        <v>69</v>
      </c>
      <c r="H247" s="75">
        <v>18.343233000000001</v>
      </c>
      <c r="I247" s="75">
        <v>-64.687667000000005</v>
      </c>
      <c r="J247" s="120">
        <v>44943</v>
      </c>
      <c r="K247" s="75" t="s">
        <v>361</v>
      </c>
      <c r="L247" s="75" t="s">
        <v>360</v>
      </c>
      <c r="M247" s="75">
        <v>0</v>
      </c>
      <c r="N247" s="75">
        <v>3</v>
      </c>
      <c r="O247" s="75" t="s">
        <v>362</v>
      </c>
      <c r="P247" s="88">
        <f>SUM(TreatmentUsed!E3429:E3447)</f>
        <v>124</v>
      </c>
      <c r="Q247" s="75">
        <v>0</v>
      </c>
      <c r="R247" s="75">
        <v>0</v>
      </c>
      <c r="S247" s="75">
        <v>0</v>
      </c>
      <c r="T247" s="75">
        <v>0</v>
      </c>
      <c r="U247" s="75">
        <v>0</v>
      </c>
      <c r="V247" s="75">
        <v>0</v>
      </c>
      <c r="W247" s="75">
        <v>0</v>
      </c>
      <c r="X247" s="75">
        <v>0</v>
      </c>
      <c r="Y247" s="75">
        <v>0</v>
      </c>
      <c r="Z247" s="75">
        <v>0</v>
      </c>
      <c r="AA247" s="75">
        <v>0</v>
      </c>
      <c r="AB247" s="75">
        <v>0</v>
      </c>
      <c r="AC247" s="75">
        <v>0</v>
      </c>
      <c r="AD247" s="75">
        <v>0</v>
      </c>
      <c r="AE247" s="75">
        <v>0</v>
      </c>
      <c r="AF247" s="75">
        <v>0</v>
      </c>
      <c r="AG247" s="75">
        <v>0</v>
      </c>
      <c r="AH247" s="75">
        <v>0</v>
      </c>
      <c r="AI247" s="75">
        <v>0</v>
      </c>
      <c r="AJ247" s="75">
        <v>0</v>
      </c>
      <c r="AK247" s="75">
        <v>0</v>
      </c>
      <c r="AL247" s="75">
        <v>0</v>
      </c>
      <c r="AM247" s="75">
        <v>0</v>
      </c>
      <c r="AN247" s="75">
        <v>0</v>
      </c>
      <c r="AO247" s="75">
        <v>1</v>
      </c>
      <c r="AP247" s="75">
        <v>0</v>
      </c>
      <c r="AQ247" s="75">
        <v>0</v>
      </c>
      <c r="AR247" s="75">
        <v>1</v>
      </c>
      <c r="AS247" s="75">
        <v>0</v>
      </c>
      <c r="AT247" s="75">
        <v>0</v>
      </c>
      <c r="AU247" s="75">
        <v>0</v>
      </c>
      <c r="AV247" s="75">
        <v>0</v>
      </c>
      <c r="AW247" s="75">
        <v>0</v>
      </c>
      <c r="AX247" s="75">
        <v>0</v>
      </c>
      <c r="AY247" s="84">
        <v>8</v>
      </c>
      <c r="AZ247" s="75">
        <v>2</v>
      </c>
      <c r="BA247" s="84">
        <v>6</v>
      </c>
      <c r="BB247" s="75">
        <v>0</v>
      </c>
      <c r="BC247" s="75">
        <v>0</v>
      </c>
      <c r="BD247" s="84">
        <v>0</v>
      </c>
      <c r="BE247" s="75">
        <v>0</v>
      </c>
      <c r="BF247" s="75">
        <v>1</v>
      </c>
      <c r="BG247" s="75">
        <v>0</v>
      </c>
      <c r="BH247" s="75">
        <v>0</v>
      </c>
      <c r="BL247" s="75">
        <v>0</v>
      </c>
      <c r="BM247" s="75">
        <f t="shared" si="26"/>
        <v>0</v>
      </c>
      <c r="BN247" s="75">
        <f t="shared" si="27"/>
        <v>0</v>
      </c>
      <c r="BO247" s="75">
        <f t="shared" si="34"/>
        <v>19</v>
      </c>
      <c r="BP247" s="84">
        <f t="shared" si="35"/>
        <v>19</v>
      </c>
      <c r="BQ247" s="80" t="s">
        <v>547</v>
      </c>
      <c r="BR247" s="138" t="s">
        <v>548</v>
      </c>
      <c r="BS247" s="110" t="s">
        <v>539</v>
      </c>
      <c r="BT247" s="110">
        <v>0</v>
      </c>
      <c r="BU247" s="75">
        <v>1</v>
      </c>
    </row>
    <row r="248" spans="1:73" x14ac:dyDescent="0.75">
      <c r="C248" s="274">
        <v>1106</v>
      </c>
      <c r="D248" s="75" t="s">
        <v>357</v>
      </c>
      <c r="E248" s="75" t="s">
        <v>358</v>
      </c>
      <c r="F248" s="75" t="s">
        <v>359</v>
      </c>
      <c r="G248" s="75" t="s">
        <v>69</v>
      </c>
      <c r="H248" s="75">
        <v>18.343233000000001</v>
      </c>
      <c r="I248" s="75">
        <v>-64.687667000000005</v>
      </c>
      <c r="J248" s="120">
        <v>44943</v>
      </c>
      <c r="K248" s="75" t="s">
        <v>361</v>
      </c>
      <c r="L248" s="75" t="s">
        <v>360</v>
      </c>
      <c r="M248" s="75">
        <v>0</v>
      </c>
      <c r="N248" s="75">
        <v>3</v>
      </c>
      <c r="O248" s="75" t="s">
        <v>362</v>
      </c>
      <c r="P248" s="88">
        <f>SUM(TreatmentUsed!E3448:E3489)</f>
        <v>292</v>
      </c>
      <c r="Q248" s="75">
        <v>0</v>
      </c>
      <c r="R248" s="75">
        <v>0</v>
      </c>
      <c r="S248" s="75">
        <v>0</v>
      </c>
      <c r="T248" s="75">
        <v>0</v>
      </c>
      <c r="U248" s="75">
        <v>0</v>
      </c>
      <c r="V248" s="75">
        <v>0</v>
      </c>
      <c r="W248" s="75">
        <v>0</v>
      </c>
      <c r="X248" s="75">
        <v>0</v>
      </c>
      <c r="Y248" s="75">
        <v>0</v>
      </c>
      <c r="Z248" s="75">
        <v>0</v>
      </c>
      <c r="AA248" s="75">
        <v>0</v>
      </c>
      <c r="AB248" s="75">
        <v>0</v>
      </c>
      <c r="AC248" s="75">
        <v>0</v>
      </c>
      <c r="AD248" s="75">
        <v>0</v>
      </c>
      <c r="AE248" s="75">
        <v>0</v>
      </c>
      <c r="AF248" s="75">
        <v>0</v>
      </c>
      <c r="AG248" s="75">
        <v>0</v>
      </c>
      <c r="AH248" s="75">
        <v>0</v>
      </c>
      <c r="AI248" s="75">
        <v>0</v>
      </c>
      <c r="AJ248" s="75">
        <v>0</v>
      </c>
      <c r="AK248" s="75">
        <v>0</v>
      </c>
      <c r="AL248" s="75">
        <v>0</v>
      </c>
      <c r="AM248" s="75">
        <v>0</v>
      </c>
      <c r="AN248" s="75">
        <v>0</v>
      </c>
      <c r="AO248" s="75">
        <v>2</v>
      </c>
      <c r="AP248" s="75">
        <v>0</v>
      </c>
      <c r="AQ248" s="75">
        <v>0</v>
      </c>
      <c r="AR248" s="75">
        <v>3</v>
      </c>
      <c r="AS248" s="75">
        <v>0</v>
      </c>
      <c r="AT248" s="75">
        <v>0</v>
      </c>
      <c r="AU248" s="75">
        <v>0</v>
      </c>
      <c r="AV248" s="75">
        <v>0</v>
      </c>
      <c r="AW248" s="75">
        <v>0</v>
      </c>
      <c r="AX248" s="75">
        <v>0</v>
      </c>
      <c r="AY248" s="84">
        <v>10</v>
      </c>
      <c r="AZ248" s="84">
        <v>7</v>
      </c>
      <c r="BA248" s="75">
        <v>15</v>
      </c>
      <c r="BB248" s="75">
        <v>0</v>
      </c>
      <c r="BC248" s="75">
        <v>4</v>
      </c>
      <c r="BD248" s="75">
        <v>0</v>
      </c>
      <c r="BE248" s="75">
        <v>1</v>
      </c>
      <c r="BF248" s="75">
        <v>0</v>
      </c>
      <c r="BG248" s="75">
        <v>0</v>
      </c>
      <c r="BH248" s="75">
        <v>0</v>
      </c>
      <c r="BL248" s="75">
        <v>0</v>
      </c>
      <c r="BM248" s="75">
        <f t="shared" si="26"/>
        <v>0</v>
      </c>
      <c r="BN248" s="75">
        <f t="shared" si="27"/>
        <v>0</v>
      </c>
      <c r="BO248" s="75">
        <f t="shared" si="34"/>
        <v>42</v>
      </c>
      <c r="BP248" s="75">
        <f t="shared" si="35"/>
        <v>42</v>
      </c>
      <c r="BQ248" s="80" t="s">
        <v>363</v>
      </c>
      <c r="BR248" s="138" t="s">
        <v>363</v>
      </c>
      <c r="BS248" s="110" t="s">
        <v>539</v>
      </c>
      <c r="BT248" s="110">
        <v>0</v>
      </c>
      <c r="BU248" s="75">
        <v>0</v>
      </c>
    </row>
    <row r="249" spans="1:73" x14ac:dyDescent="0.75">
      <c r="C249" s="270">
        <v>1108</v>
      </c>
      <c r="D249" s="75" t="s">
        <v>357</v>
      </c>
      <c r="E249" s="75" t="s">
        <v>358</v>
      </c>
      <c r="F249" s="75" t="s">
        <v>359</v>
      </c>
      <c r="G249" s="75" t="s">
        <v>87</v>
      </c>
      <c r="H249" s="75">
        <v>18.343233000000001</v>
      </c>
      <c r="I249" s="75">
        <v>-64.687667000000005</v>
      </c>
      <c r="J249" s="120">
        <v>44943</v>
      </c>
      <c r="K249" s="75" t="s">
        <v>361</v>
      </c>
      <c r="L249" s="75" t="s">
        <v>360</v>
      </c>
      <c r="M249" s="75">
        <v>0</v>
      </c>
      <c r="N249" s="75">
        <v>3</v>
      </c>
      <c r="O249" s="75" t="s">
        <v>362</v>
      </c>
      <c r="P249" s="88">
        <f>SUM(TreatmentUsed!E3490)</f>
        <v>71</v>
      </c>
      <c r="Q249" s="75">
        <v>0</v>
      </c>
      <c r="R249" s="75">
        <v>0</v>
      </c>
      <c r="S249" s="75">
        <v>0</v>
      </c>
      <c r="T249" s="75">
        <v>0</v>
      </c>
      <c r="U249" s="75">
        <v>0</v>
      </c>
      <c r="V249" s="75">
        <v>0</v>
      </c>
      <c r="W249" s="75">
        <v>0</v>
      </c>
      <c r="X249" s="75">
        <v>0</v>
      </c>
      <c r="Y249" s="75">
        <v>0</v>
      </c>
      <c r="Z249" s="75">
        <v>0</v>
      </c>
      <c r="AA249" s="75">
        <v>0</v>
      </c>
      <c r="AB249" s="75">
        <v>0</v>
      </c>
      <c r="AC249" s="75">
        <v>0</v>
      </c>
      <c r="AD249" s="75">
        <v>0</v>
      </c>
      <c r="AE249" s="75">
        <v>0</v>
      </c>
      <c r="AF249" s="75">
        <v>0</v>
      </c>
      <c r="AG249" s="75">
        <v>0</v>
      </c>
      <c r="AH249" s="75">
        <v>0</v>
      </c>
      <c r="AI249" s="75">
        <v>0</v>
      </c>
      <c r="AJ249" s="75">
        <v>0</v>
      </c>
      <c r="AK249" s="75">
        <v>0</v>
      </c>
      <c r="AL249" s="75">
        <v>0</v>
      </c>
      <c r="AM249" s="75">
        <v>0</v>
      </c>
      <c r="AN249" s="75">
        <v>0</v>
      </c>
      <c r="AO249" s="75">
        <v>0</v>
      </c>
      <c r="AP249" s="75">
        <v>0</v>
      </c>
      <c r="AQ249" s="75">
        <v>1</v>
      </c>
      <c r="AR249" s="75">
        <v>0</v>
      </c>
      <c r="AS249" s="75">
        <v>0</v>
      </c>
      <c r="AT249" s="75">
        <v>0</v>
      </c>
      <c r="AU249" s="75">
        <v>0</v>
      </c>
      <c r="AV249" s="75">
        <v>0</v>
      </c>
      <c r="AW249" s="75">
        <v>0</v>
      </c>
      <c r="AX249" s="75">
        <v>0</v>
      </c>
      <c r="AY249" s="75">
        <v>0</v>
      </c>
      <c r="AZ249" s="75">
        <v>0</v>
      </c>
      <c r="BA249" s="75">
        <v>0</v>
      </c>
      <c r="BB249" s="75">
        <v>0</v>
      </c>
      <c r="BC249" s="75">
        <v>0</v>
      </c>
      <c r="BD249" s="75">
        <v>0</v>
      </c>
      <c r="BE249" s="75">
        <v>0</v>
      </c>
      <c r="BF249" s="75">
        <v>0</v>
      </c>
      <c r="BG249" s="75">
        <v>0</v>
      </c>
      <c r="BH249" s="75">
        <v>0</v>
      </c>
      <c r="BL249" s="75">
        <v>0</v>
      </c>
      <c r="BM249" s="75">
        <f t="shared" si="26"/>
        <v>0</v>
      </c>
      <c r="BN249" s="75">
        <f t="shared" si="27"/>
        <v>0</v>
      </c>
      <c r="BO249" s="75">
        <f t="shared" si="34"/>
        <v>1</v>
      </c>
      <c r="BP249" s="75">
        <f t="shared" ref="BP249:BP251" si="36">SUM(BM249:BO249)</f>
        <v>1</v>
      </c>
      <c r="BQ249" s="80" t="s">
        <v>549</v>
      </c>
      <c r="BR249" s="138" t="s">
        <v>363</v>
      </c>
      <c r="BS249" s="110" t="s">
        <v>539</v>
      </c>
      <c r="BT249" s="110">
        <v>0</v>
      </c>
      <c r="BU249" s="75">
        <v>2</v>
      </c>
    </row>
    <row r="250" spans="1:73" x14ac:dyDescent="0.75">
      <c r="C250" s="270">
        <v>1109</v>
      </c>
      <c r="D250" s="75" t="s">
        <v>357</v>
      </c>
      <c r="E250" s="75" t="s">
        <v>358</v>
      </c>
      <c r="F250" s="75" t="s">
        <v>359</v>
      </c>
      <c r="G250" s="75" t="s">
        <v>74</v>
      </c>
      <c r="H250" s="75">
        <v>18.342904000000001</v>
      </c>
      <c r="I250" s="75">
        <v>-64.676987999999994</v>
      </c>
      <c r="J250" s="120">
        <v>44943</v>
      </c>
      <c r="K250" s="75" t="s">
        <v>361</v>
      </c>
      <c r="L250" s="75" t="s">
        <v>360</v>
      </c>
      <c r="M250" s="75">
        <v>0</v>
      </c>
      <c r="N250" s="75">
        <v>3</v>
      </c>
      <c r="O250" s="75" t="s">
        <v>362</v>
      </c>
      <c r="P250" s="88">
        <f>SUM(TreatmentUsed!E3491:E3502)</f>
        <v>101</v>
      </c>
      <c r="Q250" s="75">
        <v>7</v>
      </c>
      <c r="R250" s="75">
        <v>0</v>
      </c>
      <c r="S250" s="75">
        <v>0</v>
      </c>
      <c r="T250" s="75">
        <v>0</v>
      </c>
      <c r="U250" s="75">
        <v>0</v>
      </c>
      <c r="V250" s="75">
        <v>0</v>
      </c>
      <c r="W250" s="75">
        <v>0</v>
      </c>
      <c r="X250" s="75">
        <v>0</v>
      </c>
      <c r="Y250" s="75">
        <v>0</v>
      </c>
      <c r="Z250" s="75">
        <v>0</v>
      </c>
      <c r="AA250" s="75">
        <v>0</v>
      </c>
      <c r="AB250" s="75">
        <v>0</v>
      </c>
      <c r="AC250" s="75">
        <v>0</v>
      </c>
      <c r="AD250" s="75">
        <v>0</v>
      </c>
      <c r="AE250" s="75">
        <v>0</v>
      </c>
      <c r="AF250" s="75">
        <v>0</v>
      </c>
      <c r="AG250" s="75">
        <v>0</v>
      </c>
      <c r="AH250" s="75">
        <v>0</v>
      </c>
      <c r="AI250" s="75">
        <v>0</v>
      </c>
      <c r="AJ250" s="75">
        <v>0</v>
      </c>
      <c r="AK250" s="75">
        <v>0</v>
      </c>
      <c r="AL250" s="75">
        <v>0</v>
      </c>
      <c r="AM250" s="75">
        <v>0</v>
      </c>
      <c r="AN250" s="75">
        <v>0</v>
      </c>
      <c r="AO250" s="75">
        <v>0</v>
      </c>
      <c r="AP250" s="75">
        <v>0</v>
      </c>
      <c r="AQ250" s="75">
        <v>1</v>
      </c>
      <c r="AR250" s="75">
        <v>0</v>
      </c>
      <c r="AS250" s="75">
        <v>1</v>
      </c>
      <c r="AT250" s="84">
        <v>1</v>
      </c>
      <c r="AU250" s="84">
        <v>4</v>
      </c>
      <c r="AV250" s="75">
        <v>0</v>
      </c>
      <c r="AW250" s="75">
        <v>0</v>
      </c>
      <c r="AX250" s="75">
        <v>0</v>
      </c>
      <c r="AY250" s="84">
        <v>1</v>
      </c>
      <c r="AZ250" s="75">
        <v>0</v>
      </c>
      <c r="BA250" s="84">
        <v>1</v>
      </c>
      <c r="BB250" s="75">
        <v>0</v>
      </c>
      <c r="BC250" s="75">
        <v>0</v>
      </c>
      <c r="BD250" s="75">
        <v>0</v>
      </c>
      <c r="BE250" s="75">
        <v>0</v>
      </c>
      <c r="BF250" s="84">
        <v>2</v>
      </c>
      <c r="BG250" s="75">
        <v>0</v>
      </c>
      <c r="BH250" s="84">
        <v>1</v>
      </c>
      <c r="BI250" s="75" t="s">
        <v>254</v>
      </c>
      <c r="BJ250" s="75" t="s">
        <v>254</v>
      </c>
      <c r="BK250" s="75" t="s">
        <v>254</v>
      </c>
      <c r="BL250" s="75">
        <v>0</v>
      </c>
      <c r="BM250" s="75">
        <f t="shared" si="26"/>
        <v>0</v>
      </c>
      <c r="BN250" s="75">
        <f t="shared" si="27"/>
        <v>0</v>
      </c>
      <c r="BO250" s="75">
        <f t="shared" si="34"/>
        <v>12</v>
      </c>
      <c r="BP250" s="84">
        <f t="shared" si="36"/>
        <v>12</v>
      </c>
      <c r="BQ250" s="80" t="s">
        <v>550</v>
      </c>
      <c r="BR250" s="138" t="s">
        <v>363</v>
      </c>
      <c r="BS250" s="110" t="s">
        <v>539</v>
      </c>
      <c r="BT250" s="110">
        <v>0</v>
      </c>
      <c r="BU250" s="75">
        <v>2</v>
      </c>
    </row>
    <row r="251" spans="1:73" x14ac:dyDescent="0.75">
      <c r="C251" s="270">
        <v>1110</v>
      </c>
      <c r="D251" s="75" t="s">
        <v>357</v>
      </c>
      <c r="E251" s="75" t="s">
        <v>358</v>
      </c>
      <c r="F251" s="75" t="s">
        <v>359</v>
      </c>
      <c r="G251" s="75" t="s">
        <v>69</v>
      </c>
      <c r="H251" s="75">
        <v>18.343233000000001</v>
      </c>
      <c r="I251" s="75">
        <v>-64.687667000000005</v>
      </c>
      <c r="J251" s="120">
        <v>44944</v>
      </c>
      <c r="K251" s="75" t="s">
        <v>361</v>
      </c>
      <c r="L251" s="75" t="s">
        <v>360</v>
      </c>
      <c r="M251" s="75">
        <v>0</v>
      </c>
      <c r="N251" s="75">
        <v>2</v>
      </c>
      <c r="O251" s="75" t="s">
        <v>362</v>
      </c>
      <c r="P251" s="88">
        <f>SUM(TreatmentUsed!E3503:E3541)</f>
        <v>304</v>
      </c>
      <c r="Q251" s="75">
        <v>0</v>
      </c>
      <c r="R251" s="75">
        <v>0</v>
      </c>
      <c r="S251" s="75">
        <v>0</v>
      </c>
      <c r="T251" s="75">
        <v>0</v>
      </c>
      <c r="U251" s="75">
        <v>0</v>
      </c>
      <c r="V251" s="75">
        <v>0</v>
      </c>
      <c r="W251" s="75">
        <v>0</v>
      </c>
      <c r="X251" s="75">
        <v>0</v>
      </c>
      <c r="Y251" s="75">
        <v>0</v>
      </c>
      <c r="Z251" s="75">
        <v>0</v>
      </c>
      <c r="AA251" s="75">
        <v>0</v>
      </c>
      <c r="AB251" s="75">
        <v>0</v>
      </c>
      <c r="AC251" s="75">
        <v>0</v>
      </c>
      <c r="AD251" s="75">
        <v>0</v>
      </c>
      <c r="AE251" s="75">
        <v>0</v>
      </c>
      <c r="AF251" s="75">
        <v>0</v>
      </c>
      <c r="AG251" s="75">
        <v>0</v>
      </c>
      <c r="AH251" s="75">
        <v>0</v>
      </c>
      <c r="AI251" s="75">
        <v>0</v>
      </c>
      <c r="AJ251" s="75">
        <v>0</v>
      </c>
      <c r="AK251" s="75">
        <v>0</v>
      </c>
      <c r="AL251" s="75">
        <v>0</v>
      </c>
      <c r="AM251" s="75">
        <v>0</v>
      </c>
      <c r="AN251" s="75">
        <v>0</v>
      </c>
      <c r="AO251" s="75">
        <v>0</v>
      </c>
      <c r="AP251" s="75">
        <v>0</v>
      </c>
      <c r="AQ251" s="75">
        <v>1</v>
      </c>
      <c r="AR251" s="84">
        <v>0</v>
      </c>
      <c r="AS251" s="75">
        <v>0</v>
      </c>
      <c r="AT251" s="75">
        <v>0</v>
      </c>
      <c r="AU251" s="75">
        <v>0</v>
      </c>
      <c r="AV251" s="75">
        <v>0</v>
      </c>
      <c r="AW251" s="75">
        <v>0</v>
      </c>
      <c r="AX251" s="75">
        <v>0</v>
      </c>
      <c r="AY251" s="84">
        <v>12</v>
      </c>
      <c r="AZ251" s="84">
        <v>9</v>
      </c>
      <c r="BA251" s="84">
        <v>16</v>
      </c>
      <c r="BB251" s="75">
        <v>0</v>
      </c>
      <c r="BC251" s="75">
        <v>0</v>
      </c>
      <c r="BD251" s="75">
        <v>0</v>
      </c>
      <c r="BE251" s="75">
        <v>0</v>
      </c>
      <c r="BF251" s="75">
        <v>1</v>
      </c>
      <c r="BG251" s="75">
        <v>0</v>
      </c>
      <c r="BH251" s="75">
        <v>0</v>
      </c>
      <c r="BI251" s="75" t="s">
        <v>254</v>
      </c>
      <c r="BJ251" s="75" t="s">
        <v>254</v>
      </c>
      <c r="BK251" s="75" t="s">
        <v>254</v>
      </c>
      <c r="BL251" s="75">
        <v>0</v>
      </c>
      <c r="BM251" s="75">
        <f t="shared" si="26"/>
        <v>0</v>
      </c>
      <c r="BN251" s="75">
        <f t="shared" si="27"/>
        <v>0</v>
      </c>
      <c r="BO251" s="75">
        <f t="shared" si="34"/>
        <v>39</v>
      </c>
      <c r="BP251" s="84">
        <f t="shared" si="36"/>
        <v>39</v>
      </c>
      <c r="BQ251" s="80" t="s">
        <v>551</v>
      </c>
      <c r="BR251" s="138" t="s">
        <v>363</v>
      </c>
      <c r="BS251" s="110" t="s">
        <v>539</v>
      </c>
      <c r="BT251" s="110">
        <v>0</v>
      </c>
      <c r="BU251" s="75">
        <v>2</v>
      </c>
    </row>
    <row r="252" spans="1:73" x14ac:dyDescent="0.75">
      <c r="C252" s="270">
        <v>1111</v>
      </c>
      <c r="D252" s="75" t="s">
        <v>357</v>
      </c>
      <c r="E252" s="75" t="s">
        <v>358</v>
      </c>
      <c r="F252" s="75" t="s">
        <v>359</v>
      </c>
      <c r="G252" s="75" t="s">
        <v>69</v>
      </c>
      <c r="H252" s="75">
        <v>18.343233000000001</v>
      </c>
      <c r="I252" s="75">
        <v>-64.687667000000005</v>
      </c>
      <c r="J252" s="120">
        <v>44944</v>
      </c>
      <c r="K252" s="75" t="s">
        <v>361</v>
      </c>
      <c r="L252" s="75" t="s">
        <v>360</v>
      </c>
      <c r="M252" s="75">
        <v>0</v>
      </c>
      <c r="N252" s="75">
        <v>2</v>
      </c>
      <c r="O252" s="75" t="s">
        <v>362</v>
      </c>
      <c r="P252" s="88">
        <f>SUM(TreatmentUsed!E3542:E3583)</f>
        <v>334</v>
      </c>
      <c r="Q252" s="75">
        <v>0</v>
      </c>
      <c r="R252" s="75">
        <v>0</v>
      </c>
      <c r="S252" s="75">
        <v>0</v>
      </c>
      <c r="T252" s="75">
        <v>0</v>
      </c>
      <c r="U252" s="75">
        <v>0</v>
      </c>
      <c r="V252" s="75">
        <v>0</v>
      </c>
      <c r="W252" s="75">
        <v>0</v>
      </c>
      <c r="X252" s="75">
        <v>0</v>
      </c>
      <c r="Y252" s="75">
        <v>0</v>
      </c>
      <c r="Z252" s="75">
        <v>0</v>
      </c>
      <c r="AA252" s="75">
        <v>0</v>
      </c>
      <c r="AB252" s="75">
        <v>0</v>
      </c>
      <c r="AC252" s="75">
        <v>0</v>
      </c>
      <c r="AD252" s="75">
        <v>0</v>
      </c>
      <c r="AE252" s="75">
        <v>0</v>
      </c>
      <c r="AF252" s="75">
        <v>0</v>
      </c>
      <c r="AG252" s="75">
        <v>0</v>
      </c>
      <c r="AH252" s="75">
        <v>0</v>
      </c>
      <c r="AI252" s="75">
        <v>0</v>
      </c>
      <c r="AJ252" s="75">
        <v>0</v>
      </c>
      <c r="AK252" s="75">
        <v>0</v>
      </c>
      <c r="AL252" s="75">
        <v>0</v>
      </c>
      <c r="AM252" s="75">
        <v>0</v>
      </c>
      <c r="AN252" s="75">
        <v>0</v>
      </c>
      <c r="AO252" s="75">
        <v>1</v>
      </c>
      <c r="AP252" s="75">
        <v>0</v>
      </c>
      <c r="AQ252" s="75">
        <v>0</v>
      </c>
      <c r="AR252" s="75">
        <v>0</v>
      </c>
      <c r="AS252" s="75">
        <v>0</v>
      </c>
      <c r="AT252" s="75">
        <v>0</v>
      </c>
      <c r="AU252" s="75">
        <v>0</v>
      </c>
      <c r="AV252" s="75">
        <v>0</v>
      </c>
      <c r="AW252" s="75">
        <v>0</v>
      </c>
      <c r="AX252" s="75">
        <v>0</v>
      </c>
      <c r="AY252" s="84">
        <v>9</v>
      </c>
      <c r="AZ252" s="84">
        <v>13</v>
      </c>
      <c r="BA252" s="84">
        <v>18</v>
      </c>
      <c r="BB252" s="75">
        <v>0</v>
      </c>
      <c r="BC252" s="75">
        <v>1</v>
      </c>
      <c r="BD252" s="75">
        <v>0</v>
      </c>
      <c r="BE252" s="75">
        <v>0</v>
      </c>
      <c r="BF252" s="75">
        <v>0</v>
      </c>
      <c r="BG252" s="75">
        <v>0</v>
      </c>
      <c r="BH252" s="75">
        <v>0</v>
      </c>
      <c r="BI252" s="75" t="s">
        <v>254</v>
      </c>
      <c r="BJ252" s="75" t="s">
        <v>254</v>
      </c>
      <c r="BK252" s="75" t="s">
        <v>254</v>
      </c>
      <c r="BL252" s="75">
        <v>0</v>
      </c>
      <c r="BM252" s="75">
        <f t="shared" si="26"/>
        <v>0</v>
      </c>
      <c r="BN252" s="75">
        <f t="shared" si="27"/>
        <v>0</v>
      </c>
      <c r="BO252" s="75">
        <f t="shared" si="34"/>
        <v>42</v>
      </c>
      <c r="BP252" s="75">
        <f t="shared" ref="BP252:BP256" si="37">SUM(BM252:BO252)</f>
        <v>42</v>
      </c>
      <c r="BR252" s="138" t="s">
        <v>363</v>
      </c>
      <c r="BS252" s="110" t="s">
        <v>539</v>
      </c>
      <c r="BT252" s="110">
        <v>0</v>
      </c>
      <c r="BU252" s="75">
        <v>0</v>
      </c>
    </row>
    <row r="253" spans="1:73" x14ac:dyDescent="0.75">
      <c r="C253" s="270">
        <v>1112</v>
      </c>
      <c r="D253" s="75" t="s">
        <v>357</v>
      </c>
      <c r="E253" s="75" t="s">
        <v>358</v>
      </c>
      <c r="F253" s="75" t="s">
        <v>359</v>
      </c>
      <c r="G253" s="75" t="s">
        <v>69</v>
      </c>
      <c r="H253" s="75">
        <v>18.343233000000001</v>
      </c>
      <c r="I253" s="75">
        <v>-64.687667000000005</v>
      </c>
      <c r="J253" s="120">
        <v>44944</v>
      </c>
      <c r="K253" s="75" t="s">
        <v>361</v>
      </c>
      <c r="L253" s="75" t="s">
        <v>360</v>
      </c>
      <c r="M253" s="75">
        <v>0</v>
      </c>
      <c r="N253" s="75">
        <v>2</v>
      </c>
      <c r="O253" s="75" t="s">
        <v>362</v>
      </c>
      <c r="P253" s="88">
        <f>SUM(TreatmentUsed!E3584:E3602)</f>
        <v>140</v>
      </c>
      <c r="Q253" s="75">
        <v>0</v>
      </c>
      <c r="R253" s="75">
        <v>0</v>
      </c>
      <c r="S253" s="75">
        <v>0</v>
      </c>
      <c r="T253" s="75">
        <v>0</v>
      </c>
      <c r="U253" s="75">
        <v>0</v>
      </c>
      <c r="V253" s="75">
        <v>0</v>
      </c>
      <c r="W253" s="75">
        <v>0</v>
      </c>
      <c r="X253" s="75">
        <v>0</v>
      </c>
      <c r="Y253" s="75">
        <v>0</v>
      </c>
      <c r="Z253" s="75">
        <v>0</v>
      </c>
      <c r="AA253" s="75">
        <v>0</v>
      </c>
      <c r="AB253" s="75">
        <v>0</v>
      </c>
      <c r="AC253" s="75">
        <v>0</v>
      </c>
      <c r="AD253" s="75">
        <v>0</v>
      </c>
      <c r="AE253" s="75">
        <v>0</v>
      </c>
      <c r="AF253" s="75">
        <v>0</v>
      </c>
      <c r="AG253" s="75">
        <v>0</v>
      </c>
      <c r="AH253" s="75">
        <v>0</v>
      </c>
      <c r="AI253" s="75">
        <v>0</v>
      </c>
      <c r="AJ253" s="75">
        <v>0</v>
      </c>
      <c r="AK253" s="75">
        <v>0</v>
      </c>
      <c r="AL253" s="75">
        <v>0</v>
      </c>
      <c r="AM253" s="75">
        <v>0</v>
      </c>
      <c r="AN253" s="75">
        <v>0</v>
      </c>
      <c r="AO253" s="75">
        <v>0</v>
      </c>
      <c r="AP253" s="75">
        <v>0</v>
      </c>
      <c r="AQ253" s="75">
        <v>0</v>
      </c>
      <c r="AR253" s="75">
        <v>0</v>
      </c>
      <c r="AS253" s="75">
        <v>0</v>
      </c>
      <c r="AT253" s="75">
        <v>0</v>
      </c>
      <c r="AU253" s="75">
        <v>0</v>
      </c>
      <c r="AV253" s="75">
        <v>0</v>
      </c>
      <c r="AW253" s="75">
        <v>0</v>
      </c>
      <c r="AX253" s="75">
        <v>0</v>
      </c>
      <c r="AY253" s="75">
        <v>9</v>
      </c>
      <c r="AZ253" s="84">
        <v>4</v>
      </c>
      <c r="BA253" s="84">
        <v>4</v>
      </c>
      <c r="BB253" s="75">
        <v>0</v>
      </c>
      <c r="BC253" s="75">
        <v>1</v>
      </c>
      <c r="BD253" s="75">
        <v>0</v>
      </c>
      <c r="BE253" s="75">
        <v>0</v>
      </c>
      <c r="BF253" s="75">
        <v>0</v>
      </c>
      <c r="BG253" s="75">
        <v>0</v>
      </c>
      <c r="BH253" s="75">
        <v>1</v>
      </c>
      <c r="BI253" s="75" t="s">
        <v>254</v>
      </c>
      <c r="BJ253" s="75" t="s">
        <v>254</v>
      </c>
      <c r="BK253" s="75" t="s">
        <v>254</v>
      </c>
      <c r="BL253" s="75">
        <v>0</v>
      </c>
      <c r="BM253" s="75">
        <f t="shared" si="26"/>
        <v>0</v>
      </c>
      <c r="BN253" s="75">
        <f t="shared" si="27"/>
        <v>0</v>
      </c>
      <c r="BO253" s="75">
        <f t="shared" si="34"/>
        <v>19</v>
      </c>
      <c r="BP253" s="84">
        <f t="shared" si="37"/>
        <v>19</v>
      </c>
      <c r="BQ253" s="80" t="s">
        <v>529</v>
      </c>
      <c r="BR253" s="138" t="s">
        <v>363</v>
      </c>
      <c r="BS253" s="110" t="s">
        <v>539</v>
      </c>
      <c r="BT253" s="110">
        <v>0</v>
      </c>
      <c r="BU253" s="75">
        <v>0</v>
      </c>
    </row>
    <row r="254" spans="1:73" x14ac:dyDescent="0.75">
      <c r="C254" s="270">
        <v>1113</v>
      </c>
      <c r="D254" s="75" t="s">
        <v>357</v>
      </c>
      <c r="E254" s="75" t="s">
        <v>358</v>
      </c>
      <c r="F254" s="75" t="s">
        <v>359</v>
      </c>
      <c r="G254" s="75" t="s">
        <v>69</v>
      </c>
      <c r="H254" s="75">
        <v>18.343233000000001</v>
      </c>
      <c r="I254" s="75">
        <v>-64.687667000000005</v>
      </c>
      <c r="J254" s="120">
        <v>44945</v>
      </c>
      <c r="K254" s="75" t="s">
        <v>361</v>
      </c>
      <c r="L254" s="75" t="s">
        <v>360</v>
      </c>
      <c r="M254" s="75">
        <v>0</v>
      </c>
      <c r="N254" s="75">
        <v>4</v>
      </c>
      <c r="O254" s="75" t="s">
        <v>362</v>
      </c>
      <c r="P254" s="88">
        <f>SUM(TreatmentUsed!E3603:E3656)</f>
        <v>441</v>
      </c>
      <c r="Q254" s="75">
        <v>0</v>
      </c>
      <c r="R254" s="75">
        <v>0</v>
      </c>
      <c r="S254" s="75">
        <v>0</v>
      </c>
      <c r="T254" s="75">
        <v>0</v>
      </c>
      <c r="U254" s="75">
        <v>0</v>
      </c>
      <c r="V254" s="75">
        <v>0</v>
      </c>
      <c r="W254" s="75">
        <v>0</v>
      </c>
      <c r="X254" s="75">
        <v>0</v>
      </c>
      <c r="Y254" s="75">
        <v>0</v>
      </c>
      <c r="Z254" s="75">
        <v>0</v>
      </c>
      <c r="AA254" s="75">
        <v>0</v>
      </c>
      <c r="AB254" s="75">
        <v>0</v>
      </c>
      <c r="AC254" s="75">
        <v>0</v>
      </c>
      <c r="AD254" s="75">
        <v>0</v>
      </c>
      <c r="AE254" s="75">
        <v>0</v>
      </c>
      <c r="AF254" s="75">
        <v>0</v>
      </c>
      <c r="AG254" s="75">
        <v>0</v>
      </c>
      <c r="AH254" s="75">
        <v>0</v>
      </c>
      <c r="AI254" s="75">
        <v>0</v>
      </c>
      <c r="AJ254" s="75">
        <v>0</v>
      </c>
      <c r="AK254" s="75">
        <v>0</v>
      </c>
      <c r="AL254" s="75">
        <v>0</v>
      </c>
      <c r="AM254" s="75">
        <v>0</v>
      </c>
      <c r="AN254" s="75">
        <v>0</v>
      </c>
      <c r="AO254" s="75">
        <v>0</v>
      </c>
      <c r="AP254" s="75">
        <v>0</v>
      </c>
      <c r="AQ254" s="75">
        <v>0</v>
      </c>
      <c r="AR254" s="75">
        <v>2</v>
      </c>
      <c r="AS254" s="75">
        <v>0</v>
      </c>
      <c r="AT254" s="75">
        <v>0</v>
      </c>
      <c r="AU254" s="75">
        <v>0</v>
      </c>
      <c r="AV254" s="75">
        <v>0</v>
      </c>
      <c r="AW254" s="75">
        <v>0</v>
      </c>
      <c r="AX254" s="75">
        <v>0</v>
      </c>
      <c r="AY254" s="84">
        <v>22</v>
      </c>
      <c r="AZ254" s="84">
        <v>13</v>
      </c>
      <c r="BA254" s="84">
        <v>16</v>
      </c>
      <c r="BB254" s="75">
        <v>0</v>
      </c>
      <c r="BC254" s="75">
        <v>0</v>
      </c>
      <c r="BD254" s="75">
        <v>0</v>
      </c>
      <c r="BE254" s="75">
        <v>0</v>
      </c>
      <c r="BF254" s="75">
        <v>1</v>
      </c>
      <c r="BG254" s="75">
        <v>0</v>
      </c>
      <c r="BH254" s="75">
        <v>0</v>
      </c>
      <c r="BI254" s="75" t="s">
        <v>254</v>
      </c>
      <c r="BJ254" s="75" t="s">
        <v>254</v>
      </c>
      <c r="BK254" s="75" t="s">
        <v>254</v>
      </c>
      <c r="BL254" s="75">
        <v>0</v>
      </c>
      <c r="BM254" s="75">
        <f t="shared" si="26"/>
        <v>0</v>
      </c>
      <c r="BN254" s="75">
        <f t="shared" si="27"/>
        <v>0</v>
      </c>
      <c r="BO254" s="75">
        <f t="shared" ref="BO254:BO255" si="38">SUM(AO254:BH254)</f>
        <v>54</v>
      </c>
      <c r="BP254" s="75">
        <f t="shared" si="37"/>
        <v>54</v>
      </c>
      <c r="BQ254" s="4" t="s">
        <v>552</v>
      </c>
      <c r="BR254" s="138" t="s">
        <v>363</v>
      </c>
      <c r="BS254" s="110" t="s">
        <v>539</v>
      </c>
      <c r="BT254" s="110">
        <v>0</v>
      </c>
      <c r="BU254" s="75">
        <v>0</v>
      </c>
    </row>
    <row r="255" spans="1:73" x14ac:dyDescent="0.75">
      <c r="C255" s="270">
        <v>1114</v>
      </c>
      <c r="D255" s="75" t="s">
        <v>357</v>
      </c>
      <c r="E255" s="75" t="s">
        <v>358</v>
      </c>
      <c r="F255" s="75" t="s">
        <v>359</v>
      </c>
      <c r="G255" s="75" t="s">
        <v>69</v>
      </c>
      <c r="H255" s="75">
        <v>18.343233000000001</v>
      </c>
      <c r="I255" s="75">
        <v>-64.687667000000005</v>
      </c>
      <c r="J255" s="120">
        <v>44945</v>
      </c>
      <c r="K255" s="75" t="s">
        <v>361</v>
      </c>
      <c r="L255" s="75" t="s">
        <v>360</v>
      </c>
      <c r="M255" s="75">
        <v>0</v>
      </c>
      <c r="N255" s="75">
        <v>4</v>
      </c>
      <c r="O255" s="75" t="s">
        <v>362</v>
      </c>
      <c r="P255" s="88">
        <f>SUM(TreatmentUsed!E3657:E3693)</f>
        <v>453</v>
      </c>
      <c r="Q255" s="75">
        <v>0</v>
      </c>
      <c r="R255" s="75">
        <v>0</v>
      </c>
      <c r="S255" s="75">
        <v>0</v>
      </c>
      <c r="T255" s="75">
        <v>0</v>
      </c>
      <c r="U255" s="75">
        <v>0</v>
      </c>
      <c r="V255" s="75">
        <v>0</v>
      </c>
      <c r="W255" s="75">
        <v>0</v>
      </c>
      <c r="X255" s="75">
        <v>0</v>
      </c>
      <c r="Y255" s="75">
        <v>0</v>
      </c>
      <c r="Z255" s="75">
        <v>0</v>
      </c>
      <c r="AA255" s="75">
        <v>0</v>
      </c>
      <c r="AB255" s="75">
        <v>0</v>
      </c>
      <c r="AC255" s="75">
        <v>0</v>
      </c>
      <c r="AD255" s="75">
        <v>0</v>
      </c>
      <c r="AE255" s="75">
        <v>0</v>
      </c>
      <c r="AF255" s="75">
        <v>0</v>
      </c>
      <c r="AG255" s="75">
        <v>0</v>
      </c>
      <c r="AH255" s="75">
        <v>0</v>
      </c>
      <c r="AI255" s="75">
        <v>0</v>
      </c>
      <c r="AJ255" s="75">
        <v>0</v>
      </c>
      <c r="AK255" s="75">
        <v>0</v>
      </c>
      <c r="AL255" s="75">
        <v>0</v>
      </c>
      <c r="AM255" s="75">
        <v>0</v>
      </c>
      <c r="AN255" s="75">
        <v>0</v>
      </c>
      <c r="AO255" s="75">
        <v>0</v>
      </c>
      <c r="AP255" s="75">
        <v>0</v>
      </c>
      <c r="AQ255" s="75">
        <v>0</v>
      </c>
      <c r="AR255" s="75">
        <v>3</v>
      </c>
      <c r="AS255" s="75">
        <v>0</v>
      </c>
      <c r="AT255" s="75">
        <v>0</v>
      </c>
      <c r="AU255" s="75">
        <v>1</v>
      </c>
      <c r="AV255" s="75">
        <v>0</v>
      </c>
      <c r="AW255" s="75">
        <v>0</v>
      </c>
      <c r="AX255" s="75">
        <v>0</v>
      </c>
      <c r="AY255" s="84">
        <v>14</v>
      </c>
      <c r="AZ255" s="84">
        <v>8</v>
      </c>
      <c r="BA255" s="84">
        <v>7</v>
      </c>
      <c r="BB255" s="75">
        <v>0</v>
      </c>
      <c r="BC255" s="75">
        <v>1</v>
      </c>
      <c r="BD255" s="75">
        <v>0</v>
      </c>
      <c r="BE255" s="75">
        <v>0</v>
      </c>
      <c r="BF255" s="75">
        <v>2</v>
      </c>
      <c r="BG255" s="75">
        <v>0</v>
      </c>
      <c r="BH255" s="75">
        <v>0</v>
      </c>
      <c r="BI255" s="75" t="s">
        <v>254</v>
      </c>
      <c r="BJ255" s="75" t="s">
        <v>254</v>
      </c>
      <c r="BK255" s="75" t="s">
        <v>254</v>
      </c>
      <c r="BL255" s="75">
        <v>0</v>
      </c>
      <c r="BM255" s="75">
        <f t="shared" ref="BM255:BM317" si="39">SUM(R255:AD255)</f>
        <v>0</v>
      </c>
      <c r="BN255" s="75">
        <f t="shared" ref="BN255:BN317" si="40">SUM(AE255:AN255)</f>
        <v>0</v>
      </c>
      <c r="BO255" s="75">
        <f t="shared" si="38"/>
        <v>36</v>
      </c>
      <c r="BP255" s="84">
        <f t="shared" si="37"/>
        <v>36</v>
      </c>
      <c r="BQ255" s="80" t="s">
        <v>363</v>
      </c>
      <c r="BR255" s="138" t="s">
        <v>363</v>
      </c>
      <c r="BS255" s="110" t="s">
        <v>539</v>
      </c>
      <c r="BT255" s="110">
        <v>0</v>
      </c>
      <c r="BU255" s="75">
        <v>0</v>
      </c>
    </row>
    <row r="256" spans="1:73" x14ac:dyDescent="0.75">
      <c r="C256" s="270">
        <v>1115</v>
      </c>
      <c r="D256" s="75" t="s">
        <v>357</v>
      </c>
      <c r="E256" s="75" t="s">
        <v>358</v>
      </c>
      <c r="F256" s="75" t="s">
        <v>359</v>
      </c>
      <c r="G256" s="75" t="s">
        <v>69</v>
      </c>
      <c r="H256" s="75">
        <v>18.343233000000001</v>
      </c>
      <c r="I256" s="75">
        <v>-64.687667000000005</v>
      </c>
      <c r="J256" s="81">
        <v>44950</v>
      </c>
      <c r="K256" s="75" t="s">
        <v>361</v>
      </c>
      <c r="L256" s="75" t="s">
        <v>360</v>
      </c>
      <c r="M256" s="75">
        <v>0</v>
      </c>
      <c r="N256" s="75">
        <v>4</v>
      </c>
      <c r="O256" s="75" t="s">
        <v>362</v>
      </c>
      <c r="P256" s="88">
        <f>SUM(TreatmentUsed!E3694:E3718)</f>
        <v>455</v>
      </c>
      <c r="Q256" s="75">
        <v>0</v>
      </c>
      <c r="R256" s="75">
        <v>0</v>
      </c>
      <c r="S256" s="75">
        <v>0</v>
      </c>
      <c r="T256" s="75">
        <v>0</v>
      </c>
      <c r="U256" s="75">
        <v>0</v>
      </c>
      <c r="V256" s="75">
        <v>0</v>
      </c>
      <c r="W256" s="75">
        <v>0</v>
      </c>
      <c r="X256" s="75">
        <v>0</v>
      </c>
      <c r="Y256" s="75">
        <v>0</v>
      </c>
      <c r="Z256" s="75">
        <v>0</v>
      </c>
      <c r="AA256" s="75">
        <v>0</v>
      </c>
      <c r="AB256" s="75">
        <v>0</v>
      </c>
      <c r="AC256" s="75">
        <v>0</v>
      </c>
      <c r="AD256" s="75">
        <v>0</v>
      </c>
      <c r="AE256" s="75">
        <v>0</v>
      </c>
      <c r="AF256" s="75">
        <v>0</v>
      </c>
      <c r="AG256" s="75">
        <v>0</v>
      </c>
      <c r="AH256" s="75">
        <v>0</v>
      </c>
      <c r="AI256" s="75">
        <v>0</v>
      </c>
      <c r="AJ256" s="75">
        <v>0</v>
      </c>
      <c r="AK256" s="75">
        <v>0</v>
      </c>
      <c r="AL256" s="75">
        <v>0</v>
      </c>
      <c r="AM256" s="75">
        <v>0</v>
      </c>
      <c r="AN256" s="75">
        <v>0</v>
      </c>
      <c r="AO256" s="75">
        <v>0</v>
      </c>
      <c r="AP256" s="75">
        <v>0</v>
      </c>
      <c r="AQ256" s="75">
        <v>1</v>
      </c>
      <c r="AR256" s="75">
        <v>5</v>
      </c>
      <c r="AS256" s="75">
        <v>0</v>
      </c>
      <c r="AT256" s="75">
        <v>0</v>
      </c>
      <c r="AU256" s="75">
        <v>0</v>
      </c>
      <c r="AV256" s="75">
        <v>0</v>
      </c>
      <c r="AW256" s="75">
        <v>0</v>
      </c>
      <c r="AX256" s="75">
        <v>1</v>
      </c>
      <c r="AY256" s="84">
        <v>5</v>
      </c>
      <c r="AZ256" s="84">
        <v>7</v>
      </c>
      <c r="BA256" s="84">
        <v>5</v>
      </c>
      <c r="BB256" s="75">
        <v>0</v>
      </c>
      <c r="BC256" s="75">
        <v>1</v>
      </c>
      <c r="BD256" s="75">
        <v>0</v>
      </c>
      <c r="BE256" s="75">
        <v>0</v>
      </c>
      <c r="BF256" s="75">
        <v>0</v>
      </c>
      <c r="BG256" s="75">
        <v>0</v>
      </c>
      <c r="BH256" s="75">
        <v>0</v>
      </c>
      <c r="BI256" s="75" t="s">
        <v>254</v>
      </c>
      <c r="BJ256" s="75" t="s">
        <v>254</v>
      </c>
      <c r="BK256" s="75" t="s">
        <v>254</v>
      </c>
      <c r="BL256" s="75">
        <v>0</v>
      </c>
      <c r="BM256" s="75">
        <f t="shared" si="39"/>
        <v>0</v>
      </c>
      <c r="BN256" s="75">
        <f t="shared" si="40"/>
        <v>0</v>
      </c>
      <c r="BO256" s="75">
        <f t="shared" ref="BO256:BO258" si="41">SUM(AO256:BH256)</f>
        <v>25</v>
      </c>
      <c r="BP256" s="75">
        <f t="shared" si="37"/>
        <v>25</v>
      </c>
      <c r="BQ256" s="80" t="s">
        <v>553</v>
      </c>
      <c r="BR256" s="138" t="s">
        <v>363</v>
      </c>
      <c r="BS256" s="110" t="s">
        <v>539</v>
      </c>
      <c r="BT256" s="110">
        <v>0</v>
      </c>
      <c r="BU256" s="75">
        <v>1</v>
      </c>
    </row>
    <row r="257" spans="1:74" x14ac:dyDescent="0.75">
      <c r="C257" s="270">
        <v>1116</v>
      </c>
      <c r="D257" s="75" t="s">
        <v>357</v>
      </c>
      <c r="E257" s="75" t="s">
        <v>358</v>
      </c>
      <c r="F257" s="75" t="s">
        <v>359</v>
      </c>
      <c r="G257" s="75" t="s">
        <v>69</v>
      </c>
      <c r="H257" s="75">
        <v>18.343233000000001</v>
      </c>
      <c r="I257" s="75">
        <v>-64.687667000000005</v>
      </c>
      <c r="J257" s="81">
        <v>44950</v>
      </c>
      <c r="K257" s="75" t="s">
        <v>361</v>
      </c>
      <c r="L257" s="75" t="s">
        <v>360</v>
      </c>
      <c r="M257" s="75">
        <v>0</v>
      </c>
      <c r="N257" s="75">
        <v>4</v>
      </c>
      <c r="O257" s="75" t="s">
        <v>362</v>
      </c>
      <c r="P257" s="88">
        <f>SUM(TreatmentUsed!E3719:E3746)</f>
        <v>233</v>
      </c>
      <c r="Q257" s="75">
        <v>0</v>
      </c>
      <c r="R257" s="75">
        <v>0</v>
      </c>
      <c r="S257" s="75">
        <v>0</v>
      </c>
      <c r="T257" s="75">
        <v>0</v>
      </c>
      <c r="U257" s="75">
        <v>0</v>
      </c>
      <c r="V257" s="75">
        <v>0</v>
      </c>
      <c r="W257" s="75">
        <v>0</v>
      </c>
      <c r="X257" s="75">
        <v>0</v>
      </c>
      <c r="Y257" s="75">
        <v>0</v>
      </c>
      <c r="Z257" s="75">
        <v>0</v>
      </c>
      <c r="AA257" s="75">
        <v>0</v>
      </c>
      <c r="AB257" s="75">
        <v>0</v>
      </c>
      <c r="AC257" s="75">
        <v>0</v>
      </c>
      <c r="AD257" s="75">
        <v>0</v>
      </c>
      <c r="AE257" s="75">
        <v>0</v>
      </c>
      <c r="AF257" s="75">
        <v>0</v>
      </c>
      <c r="AG257" s="75">
        <v>0</v>
      </c>
      <c r="AH257" s="75">
        <v>0</v>
      </c>
      <c r="AI257" s="75">
        <v>0</v>
      </c>
      <c r="AJ257" s="75">
        <v>0</v>
      </c>
      <c r="AK257" s="75">
        <v>0</v>
      </c>
      <c r="AL257" s="75">
        <v>0</v>
      </c>
      <c r="AM257" s="75">
        <v>0</v>
      </c>
      <c r="AN257" s="75">
        <v>0</v>
      </c>
      <c r="AO257" s="75">
        <v>0</v>
      </c>
      <c r="AP257" s="75">
        <v>0</v>
      </c>
      <c r="AQ257" s="75">
        <v>0</v>
      </c>
      <c r="AR257" s="75">
        <v>0</v>
      </c>
      <c r="AS257" s="75">
        <v>9</v>
      </c>
      <c r="AT257" s="75">
        <v>0</v>
      </c>
      <c r="AU257" s="75">
        <v>0</v>
      </c>
      <c r="AV257" s="75">
        <v>0</v>
      </c>
      <c r="AW257" s="75">
        <v>0</v>
      </c>
      <c r="AX257" s="75">
        <v>0</v>
      </c>
      <c r="AY257" s="75">
        <v>5</v>
      </c>
      <c r="AZ257" s="75">
        <v>0</v>
      </c>
      <c r="BA257" s="75">
        <v>2</v>
      </c>
      <c r="BB257" s="75">
        <v>0</v>
      </c>
      <c r="BC257" s="75">
        <v>5</v>
      </c>
      <c r="BD257" s="75">
        <v>0</v>
      </c>
      <c r="BE257" s="75">
        <v>0</v>
      </c>
      <c r="BF257" s="75">
        <v>7</v>
      </c>
      <c r="BG257" s="75">
        <v>0</v>
      </c>
      <c r="BH257" s="75">
        <v>0</v>
      </c>
      <c r="BI257" s="75" t="s">
        <v>254</v>
      </c>
      <c r="BJ257" s="75" t="s">
        <v>254</v>
      </c>
      <c r="BK257" s="75" t="s">
        <v>254</v>
      </c>
      <c r="BL257" s="75">
        <v>0</v>
      </c>
      <c r="BM257" s="75">
        <f t="shared" si="39"/>
        <v>0</v>
      </c>
      <c r="BN257" s="75">
        <f t="shared" si="40"/>
        <v>0</v>
      </c>
      <c r="BO257" s="75">
        <f t="shared" si="41"/>
        <v>28</v>
      </c>
      <c r="BP257" s="75">
        <f t="shared" ref="BP257:BP261" si="42">SUM(BM257:BO257)</f>
        <v>28</v>
      </c>
      <c r="BQ257" s="80" t="s">
        <v>363</v>
      </c>
      <c r="BR257" s="252" t="s">
        <v>554</v>
      </c>
      <c r="BS257" s="110" t="s">
        <v>539</v>
      </c>
      <c r="BT257" s="110">
        <v>0</v>
      </c>
      <c r="BU257" s="75">
        <v>0</v>
      </c>
    </row>
    <row r="258" spans="1:74" x14ac:dyDescent="0.75">
      <c r="C258" s="270">
        <v>1117</v>
      </c>
      <c r="D258" s="75" t="s">
        <v>357</v>
      </c>
      <c r="E258" s="75" t="s">
        <v>358</v>
      </c>
      <c r="F258" s="75" t="s">
        <v>359</v>
      </c>
      <c r="G258" s="75" t="s">
        <v>69</v>
      </c>
      <c r="H258" s="75">
        <v>18.343233000000001</v>
      </c>
      <c r="I258" s="75">
        <v>-64.687667000000005</v>
      </c>
      <c r="J258" s="81">
        <v>44950</v>
      </c>
      <c r="K258" s="75" t="s">
        <v>361</v>
      </c>
      <c r="L258" s="75" t="s">
        <v>360</v>
      </c>
      <c r="M258" s="75">
        <v>0</v>
      </c>
      <c r="N258" s="75">
        <v>4</v>
      </c>
      <c r="O258" s="75" t="s">
        <v>362</v>
      </c>
      <c r="P258" s="88">
        <f>SUM(TreatmentUsed!E3747:E3748)</f>
        <v>12</v>
      </c>
      <c r="Q258" s="75">
        <v>0</v>
      </c>
      <c r="R258" s="75">
        <v>0</v>
      </c>
      <c r="S258" s="75">
        <v>0</v>
      </c>
      <c r="T258" s="75">
        <v>0</v>
      </c>
      <c r="U258" s="75">
        <v>0</v>
      </c>
      <c r="V258" s="75">
        <v>0</v>
      </c>
      <c r="W258" s="75">
        <v>0</v>
      </c>
      <c r="X258" s="75">
        <v>0</v>
      </c>
      <c r="Y258" s="75">
        <v>0</v>
      </c>
      <c r="Z258" s="75">
        <v>0</v>
      </c>
      <c r="AA258" s="75">
        <v>0</v>
      </c>
      <c r="AB258" s="75">
        <v>0</v>
      </c>
      <c r="AC258" s="75">
        <v>0</v>
      </c>
      <c r="AD258" s="75">
        <v>0</v>
      </c>
      <c r="AE258" s="75">
        <v>0</v>
      </c>
      <c r="AF258" s="75">
        <v>0</v>
      </c>
      <c r="AG258" s="75">
        <v>0</v>
      </c>
      <c r="AH258" s="75">
        <v>0</v>
      </c>
      <c r="AI258" s="75">
        <v>0</v>
      </c>
      <c r="AJ258" s="75">
        <v>0</v>
      </c>
      <c r="AK258" s="75">
        <v>0</v>
      </c>
      <c r="AL258" s="75">
        <v>0</v>
      </c>
      <c r="AM258" s="75">
        <v>0</v>
      </c>
      <c r="AN258" s="75">
        <v>0</v>
      </c>
      <c r="AO258" s="75">
        <v>0</v>
      </c>
      <c r="AP258" s="75">
        <v>0</v>
      </c>
      <c r="AQ258" s="75">
        <v>0</v>
      </c>
      <c r="AR258" s="75">
        <v>0</v>
      </c>
      <c r="AS258" s="75">
        <v>1</v>
      </c>
      <c r="AT258" s="75">
        <v>0</v>
      </c>
      <c r="AU258" s="75">
        <v>0</v>
      </c>
      <c r="AV258" s="75">
        <v>0</v>
      </c>
      <c r="AW258" s="75">
        <v>0</v>
      </c>
      <c r="AX258" s="75">
        <v>0</v>
      </c>
      <c r="AY258" s="75">
        <v>0</v>
      </c>
      <c r="AZ258" s="75">
        <v>0</v>
      </c>
      <c r="BA258" s="75">
        <v>0</v>
      </c>
      <c r="BB258" s="75">
        <v>0</v>
      </c>
      <c r="BC258" s="75">
        <v>0</v>
      </c>
      <c r="BD258" s="75">
        <v>0</v>
      </c>
      <c r="BE258" s="75">
        <v>0</v>
      </c>
      <c r="BF258" s="75">
        <v>1</v>
      </c>
      <c r="BG258" s="75">
        <v>0</v>
      </c>
      <c r="BH258" s="75">
        <v>0</v>
      </c>
      <c r="BI258" s="75" t="s">
        <v>254</v>
      </c>
      <c r="BJ258" s="75" t="s">
        <v>254</v>
      </c>
      <c r="BK258" s="75" t="s">
        <v>254</v>
      </c>
      <c r="BL258" s="75">
        <v>0</v>
      </c>
      <c r="BM258" s="75">
        <f t="shared" si="39"/>
        <v>0</v>
      </c>
      <c r="BN258" s="75">
        <f t="shared" si="40"/>
        <v>0</v>
      </c>
      <c r="BO258" s="75">
        <f t="shared" si="41"/>
        <v>2</v>
      </c>
      <c r="BP258" s="75">
        <f t="shared" si="42"/>
        <v>2</v>
      </c>
      <c r="BQ258" s="80" t="s">
        <v>363</v>
      </c>
      <c r="BR258" s="252" t="s">
        <v>555</v>
      </c>
      <c r="BS258" s="110" t="s">
        <v>539</v>
      </c>
      <c r="BT258" s="110">
        <v>0</v>
      </c>
      <c r="BU258" s="75">
        <v>0</v>
      </c>
    </row>
    <row r="259" spans="1:74" x14ac:dyDescent="0.75">
      <c r="C259" s="270">
        <v>1118</v>
      </c>
      <c r="D259" s="75" t="s">
        <v>357</v>
      </c>
      <c r="E259" s="75" t="s">
        <v>358</v>
      </c>
      <c r="F259" s="75" t="s">
        <v>359</v>
      </c>
      <c r="G259" s="75" t="s">
        <v>96</v>
      </c>
      <c r="H259" s="119">
        <v>18.314226999999999</v>
      </c>
      <c r="I259" s="75">
        <v>-64.721965999999995</v>
      </c>
      <c r="J259" s="81">
        <v>44951</v>
      </c>
      <c r="K259" s="75" t="s">
        <v>361</v>
      </c>
      <c r="L259" s="75" t="s">
        <v>360</v>
      </c>
      <c r="M259" s="75">
        <v>0</v>
      </c>
      <c r="N259" s="75">
        <v>4</v>
      </c>
      <c r="O259" s="75" t="s">
        <v>362</v>
      </c>
      <c r="P259" s="88">
        <f>SUM(TreatmentUsed!E3749:E3771)</f>
        <v>201</v>
      </c>
      <c r="Q259" s="75">
        <v>0</v>
      </c>
      <c r="R259" s="75">
        <v>0</v>
      </c>
      <c r="S259" s="75">
        <v>0</v>
      </c>
      <c r="T259" s="75">
        <v>0</v>
      </c>
      <c r="U259" s="75">
        <v>0</v>
      </c>
      <c r="V259" s="75">
        <v>0</v>
      </c>
      <c r="W259" s="75">
        <v>0</v>
      </c>
      <c r="X259" s="75">
        <v>0</v>
      </c>
      <c r="Y259" s="75">
        <v>0</v>
      </c>
      <c r="Z259" s="75">
        <v>0</v>
      </c>
      <c r="AA259" s="75">
        <v>0</v>
      </c>
      <c r="AB259" s="75">
        <v>0</v>
      </c>
      <c r="AC259" s="75">
        <v>0</v>
      </c>
      <c r="AD259" s="75">
        <v>0</v>
      </c>
      <c r="AE259" s="75">
        <v>0</v>
      </c>
      <c r="AF259" s="75">
        <v>0</v>
      </c>
      <c r="AG259" s="75">
        <v>0</v>
      </c>
      <c r="AH259" s="75">
        <v>0</v>
      </c>
      <c r="AI259" s="75">
        <v>0</v>
      </c>
      <c r="AJ259" s="75">
        <v>0</v>
      </c>
      <c r="AK259" s="75">
        <v>0</v>
      </c>
      <c r="AL259" s="75">
        <v>0</v>
      </c>
      <c r="AM259" s="75">
        <v>0</v>
      </c>
      <c r="AN259" s="75">
        <v>0</v>
      </c>
      <c r="AO259" s="75">
        <v>1</v>
      </c>
      <c r="AP259" s="75">
        <v>0</v>
      </c>
      <c r="AQ259" s="75">
        <v>0</v>
      </c>
      <c r="AR259" s="75">
        <v>0</v>
      </c>
      <c r="AS259" s="75">
        <v>0</v>
      </c>
      <c r="AT259" s="75">
        <v>0</v>
      </c>
      <c r="AU259" s="75">
        <v>0</v>
      </c>
      <c r="AV259" s="75">
        <v>0</v>
      </c>
      <c r="AW259" s="75">
        <v>0</v>
      </c>
      <c r="AX259" s="75">
        <v>0</v>
      </c>
      <c r="AY259" s="84">
        <v>4</v>
      </c>
      <c r="AZ259" s="84">
        <v>9</v>
      </c>
      <c r="BA259" s="84">
        <v>7</v>
      </c>
      <c r="BB259" s="75">
        <v>0</v>
      </c>
      <c r="BC259" s="75">
        <v>0</v>
      </c>
      <c r="BD259" s="75">
        <v>0</v>
      </c>
      <c r="BE259" s="75">
        <v>0</v>
      </c>
      <c r="BF259" s="75">
        <v>1</v>
      </c>
      <c r="BG259" s="75">
        <v>0</v>
      </c>
      <c r="BH259" s="75">
        <v>0</v>
      </c>
      <c r="BI259" s="75" t="s">
        <v>254</v>
      </c>
      <c r="BJ259" s="75" t="s">
        <v>254</v>
      </c>
      <c r="BK259" s="75" t="s">
        <v>254</v>
      </c>
      <c r="BL259" s="75">
        <v>0</v>
      </c>
      <c r="BM259" s="75">
        <f t="shared" si="39"/>
        <v>0</v>
      </c>
      <c r="BN259" s="75">
        <f t="shared" si="40"/>
        <v>0</v>
      </c>
      <c r="BO259" s="75">
        <f t="shared" ref="BO259:BO262" si="43">SUM(AO259:BH259)</f>
        <v>22</v>
      </c>
      <c r="BP259" s="84">
        <f t="shared" si="42"/>
        <v>22</v>
      </c>
      <c r="BQ259" s="80" t="s">
        <v>556</v>
      </c>
      <c r="BR259" s="138" t="s">
        <v>557</v>
      </c>
      <c r="BS259" s="110" t="s">
        <v>539</v>
      </c>
      <c r="BT259" s="110">
        <v>0</v>
      </c>
      <c r="BU259" s="75">
        <v>0</v>
      </c>
    </row>
    <row r="260" spans="1:74" x14ac:dyDescent="0.75">
      <c r="C260" s="270">
        <v>1119</v>
      </c>
      <c r="D260" s="75" t="s">
        <v>357</v>
      </c>
      <c r="E260" s="75" t="s">
        <v>358</v>
      </c>
      <c r="F260" s="75" t="s">
        <v>359</v>
      </c>
      <c r="G260" s="75" t="s">
        <v>96</v>
      </c>
      <c r="H260" s="119">
        <v>18.314226999999999</v>
      </c>
      <c r="I260" s="75">
        <v>-64.721965999999995</v>
      </c>
      <c r="J260" s="81">
        <v>44951</v>
      </c>
      <c r="K260" s="75" t="s">
        <v>361</v>
      </c>
      <c r="L260" s="75" t="s">
        <v>360</v>
      </c>
      <c r="M260" s="75">
        <v>0</v>
      </c>
      <c r="N260" s="75">
        <v>4</v>
      </c>
      <c r="O260" s="75" t="s">
        <v>362</v>
      </c>
      <c r="P260" s="88">
        <f>SUM(TreatmentUsed!E3772:E3786)</f>
        <v>131</v>
      </c>
      <c r="Q260" s="75">
        <v>0</v>
      </c>
      <c r="R260" s="75">
        <v>0</v>
      </c>
      <c r="S260" s="75">
        <v>0</v>
      </c>
      <c r="T260" s="75">
        <v>0</v>
      </c>
      <c r="U260" s="75">
        <v>0</v>
      </c>
      <c r="V260" s="75">
        <v>0</v>
      </c>
      <c r="W260" s="75">
        <v>0</v>
      </c>
      <c r="X260" s="75">
        <v>0</v>
      </c>
      <c r="Y260" s="75">
        <v>0</v>
      </c>
      <c r="Z260" s="75">
        <v>0</v>
      </c>
      <c r="AA260" s="75">
        <v>0</v>
      </c>
      <c r="AB260" s="75">
        <v>0</v>
      </c>
      <c r="AC260" s="75">
        <v>0</v>
      </c>
      <c r="AD260" s="75">
        <v>0</v>
      </c>
      <c r="AE260" s="75">
        <v>0</v>
      </c>
      <c r="AF260" s="75">
        <v>0</v>
      </c>
      <c r="AG260" s="75">
        <v>0</v>
      </c>
      <c r="AH260" s="75">
        <v>0</v>
      </c>
      <c r="AI260" s="75">
        <v>0</v>
      </c>
      <c r="AJ260" s="75">
        <v>0</v>
      </c>
      <c r="AK260" s="75">
        <v>0</v>
      </c>
      <c r="AL260" s="75">
        <v>0</v>
      </c>
      <c r="AM260" s="75">
        <v>0</v>
      </c>
      <c r="AN260" s="75">
        <v>0</v>
      </c>
      <c r="AO260" s="75">
        <v>1</v>
      </c>
      <c r="AP260" s="75">
        <v>0</v>
      </c>
      <c r="AQ260" s="75">
        <v>0</v>
      </c>
      <c r="AR260" s="75">
        <v>0</v>
      </c>
      <c r="AS260" s="75">
        <v>0</v>
      </c>
      <c r="AT260" s="75">
        <v>0</v>
      </c>
      <c r="AU260" s="75">
        <v>0</v>
      </c>
      <c r="AV260" s="75">
        <v>0</v>
      </c>
      <c r="AW260" s="75">
        <v>0</v>
      </c>
      <c r="AX260" s="75">
        <v>0</v>
      </c>
      <c r="AY260" s="75">
        <v>2</v>
      </c>
      <c r="AZ260" s="84">
        <v>3</v>
      </c>
      <c r="BA260" s="84">
        <v>4</v>
      </c>
      <c r="BB260" s="75">
        <v>0</v>
      </c>
      <c r="BC260" s="75">
        <v>4</v>
      </c>
      <c r="BD260" s="75">
        <v>0</v>
      </c>
      <c r="BE260" s="75">
        <v>0</v>
      </c>
      <c r="BF260" s="75">
        <v>1</v>
      </c>
      <c r="BG260" s="75">
        <v>0</v>
      </c>
      <c r="BH260" s="75">
        <v>0</v>
      </c>
      <c r="BI260" s="75" t="s">
        <v>254</v>
      </c>
      <c r="BJ260" s="75" t="s">
        <v>254</v>
      </c>
      <c r="BK260" s="75" t="s">
        <v>254</v>
      </c>
      <c r="BL260" s="75">
        <v>0</v>
      </c>
      <c r="BM260" s="75">
        <f t="shared" si="39"/>
        <v>0</v>
      </c>
      <c r="BN260" s="75">
        <f t="shared" si="40"/>
        <v>0</v>
      </c>
      <c r="BO260" s="75">
        <f t="shared" si="43"/>
        <v>15</v>
      </c>
      <c r="BP260" s="75">
        <f t="shared" si="42"/>
        <v>15</v>
      </c>
      <c r="BQ260" s="80" t="s">
        <v>363</v>
      </c>
      <c r="BR260" s="138" t="s">
        <v>558</v>
      </c>
      <c r="BS260" s="110" t="s">
        <v>539</v>
      </c>
      <c r="BT260" s="110">
        <v>0</v>
      </c>
      <c r="BU260" s="75">
        <v>0</v>
      </c>
    </row>
    <row r="261" spans="1:74" x14ac:dyDescent="0.75">
      <c r="C261" s="270">
        <v>1120</v>
      </c>
      <c r="D261" s="75" t="s">
        <v>357</v>
      </c>
      <c r="E261" s="75" t="s">
        <v>358</v>
      </c>
      <c r="F261" s="75" t="s">
        <v>359</v>
      </c>
      <c r="G261" s="75" t="s">
        <v>96</v>
      </c>
      <c r="H261" s="119">
        <v>18.314226999999999</v>
      </c>
      <c r="I261" s="75">
        <v>-64.721965999999995</v>
      </c>
      <c r="J261" s="81">
        <v>44951</v>
      </c>
      <c r="K261" s="75" t="s">
        <v>361</v>
      </c>
      <c r="L261" s="75" t="s">
        <v>360</v>
      </c>
      <c r="M261" s="75">
        <v>0</v>
      </c>
      <c r="N261" s="84">
        <v>3</v>
      </c>
      <c r="O261" s="75" t="s">
        <v>362</v>
      </c>
      <c r="P261" s="88">
        <f>SUM(TreatmentUsed!E3787)</f>
        <v>3</v>
      </c>
      <c r="Q261" s="75">
        <v>0</v>
      </c>
      <c r="R261" s="75">
        <v>0</v>
      </c>
      <c r="S261" s="75">
        <v>0</v>
      </c>
      <c r="T261" s="75">
        <v>0</v>
      </c>
      <c r="U261" s="75">
        <v>0</v>
      </c>
      <c r="V261" s="75">
        <v>0</v>
      </c>
      <c r="W261" s="75">
        <v>0</v>
      </c>
      <c r="X261" s="75">
        <v>0</v>
      </c>
      <c r="Y261" s="75">
        <v>0</v>
      </c>
      <c r="Z261" s="75">
        <v>0</v>
      </c>
      <c r="AA261" s="75">
        <v>0</v>
      </c>
      <c r="AB261" s="75">
        <v>0</v>
      </c>
      <c r="AC261" s="75">
        <v>0</v>
      </c>
      <c r="AD261" s="75">
        <v>0</v>
      </c>
      <c r="AE261" s="75">
        <v>0</v>
      </c>
      <c r="AF261" s="75">
        <v>0</v>
      </c>
      <c r="AG261" s="75">
        <v>0</v>
      </c>
      <c r="AH261" s="75">
        <v>0</v>
      </c>
      <c r="AI261" s="75">
        <v>0</v>
      </c>
      <c r="AJ261" s="75">
        <v>0</v>
      </c>
      <c r="AK261" s="75">
        <v>0</v>
      </c>
      <c r="AL261" s="75">
        <v>0</v>
      </c>
      <c r="AM261" s="75">
        <v>0</v>
      </c>
      <c r="AN261" s="75">
        <v>0</v>
      </c>
      <c r="AO261" s="75">
        <v>0</v>
      </c>
      <c r="AP261" s="75">
        <v>0</v>
      </c>
      <c r="AQ261" s="75">
        <v>0</v>
      </c>
      <c r="AR261" s="75">
        <v>0</v>
      </c>
      <c r="AS261" s="75">
        <v>0</v>
      </c>
      <c r="AT261" s="75">
        <v>0</v>
      </c>
      <c r="AU261" s="75">
        <v>0</v>
      </c>
      <c r="AV261" s="75">
        <v>0</v>
      </c>
      <c r="AW261" s="75">
        <v>0</v>
      </c>
      <c r="AX261" s="75">
        <v>0</v>
      </c>
      <c r="AY261" s="75">
        <v>0</v>
      </c>
      <c r="AZ261" s="84">
        <v>0</v>
      </c>
      <c r="BA261" s="75">
        <v>1</v>
      </c>
      <c r="BB261" s="75">
        <v>0</v>
      </c>
      <c r="BC261" s="75">
        <v>0</v>
      </c>
      <c r="BD261" s="75">
        <v>0</v>
      </c>
      <c r="BE261" s="75">
        <v>0</v>
      </c>
      <c r="BF261" s="75">
        <v>0</v>
      </c>
      <c r="BG261" s="75">
        <v>0</v>
      </c>
      <c r="BH261" s="75">
        <v>0</v>
      </c>
      <c r="BI261" s="75" t="s">
        <v>254</v>
      </c>
      <c r="BJ261" s="75" t="s">
        <v>254</v>
      </c>
      <c r="BK261" s="75" t="s">
        <v>254</v>
      </c>
      <c r="BL261" s="75">
        <v>0</v>
      </c>
      <c r="BM261" s="75">
        <f t="shared" si="39"/>
        <v>0</v>
      </c>
      <c r="BN261" s="75">
        <f t="shared" si="40"/>
        <v>0</v>
      </c>
      <c r="BO261" s="75">
        <f t="shared" si="43"/>
        <v>1</v>
      </c>
      <c r="BP261" s="75">
        <f t="shared" si="42"/>
        <v>1</v>
      </c>
      <c r="BQ261" s="80" t="s">
        <v>559</v>
      </c>
      <c r="BR261" s="138" t="s">
        <v>363</v>
      </c>
      <c r="BS261" s="110" t="s">
        <v>539</v>
      </c>
      <c r="BT261" s="110">
        <v>0</v>
      </c>
      <c r="BU261" s="75">
        <v>0</v>
      </c>
    </row>
    <row r="262" spans="1:74" x14ac:dyDescent="0.75">
      <c r="C262" s="270">
        <v>1121</v>
      </c>
      <c r="D262" s="75" t="s">
        <v>357</v>
      </c>
      <c r="E262" s="75" t="s">
        <v>358</v>
      </c>
      <c r="F262" s="75" t="s">
        <v>359</v>
      </c>
      <c r="G262" s="75" t="s">
        <v>96</v>
      </c>
      <c r="H262" s="119">
        <v>18.314226999999999</v>
      </c>
      <c r="I262" s="75">
        <v>-64.721965999999995</v>
      </c>
      <c r="J262" s="81">
        <v>44951</v>
      </c>
      <c r="K262" s="75" t="s">
        <v>361</v>
      </c>
      <c r="L262" s="75" t="s">
        <v>360</v>
      </c>
      <c r="M262" s="75">
        <v>0</v>
      </c>
      <c r="N262" s="75">
        <v>2</v>
      </c>
      <c r="O262" s="75" t="s">
        <v>362</v>
      </c>
      <c r="P262" s="88">
        <f>SUM(TreatmentUsed!E3788:E3792)</f>
        <v>56</v>
      </c>
      <c r="Q262" s="75">
        <v>0</v>
      </c>
      <c r="R262" s="75">
        <v>0</v>
      </c>
      <c r="S262" s="75">
        <v>0</v>
      </c>
      <c r="T262" s="75">
        <v>0</v>
      </c>
      <c r="U262" s="75">
        <v>0</v>
      </c>
      <c r="V262" s="75">
        <v>0</v>
      </c>
      <c r="W262" s="75">
        <v>0</v>
      </c>
      <c r="X262" s="75">
        <v>0</v>
      </c>
      <c r="Y262" s="75">
        <v>0</v>
      </c>
      <c r="Z262" s="75">
        <v>0</v>
      </c>
      <c r="AA262" s="75">
        <v>0</v>
      </c>
      <c r="AB262" s="75">
        <v>0</v>
      </c>
      <c r="AC262" s="75">
        <v>0</v>
      </c>
      <c r="AD262" s="75">
        <v>0</v>
      </c>
      <c r="AE262" s="75">
        <v>0</v>
      </c>
      <c r="AF262" s="75">
        <v>0</v>
      </c>
      <c r="AG262" s="75">
        <v>0</v>
      </c>
      <c r="AH262" s="75">
        <v>0</v>
      </c>
      <c r="AI262" s="75">
        <v>0</v>
      </c>
      <c r="AJ262" s="75">
        <v>0</v>
      </c>
      <c r="AK262" s="75">
        <v>0</v>
      </c>
      <c r="AL262" s="75">
        <v>0</v>
      </c>
      <c r="AM262" s="75">
        <v>0</v>
      </c>
      <c r="AN262" s="75">
        <v>0</v>
      </c>
      <c r="AO262" s="75">
        <v>0</v>
      </c>
      <c r="AP262" s="75">
        <v>0</v>
      </c>
      <c r="AQ262" s="75">
        <v>1</v>
      </c>
      <c r="AR262" s="75">
        <v>0</v>
      </c>
      <c r="AS262" s="75">
        <v>1</v>
      </c>
      <c r="AT262" s="75">
        <v>0</v>
      </c>
      <c r="AU262" s="75">
        <v>1</v>
      </c>
      <c r="AV262" s="75">
        <v>0</v>
      </c>
      <c r="AW262" s="75">
        <v>0</v>
      </c>
      <c r="AX262" s="75">
        <v>0</v>
      </c>
      <c r="AY262" s="75">
        <v>1</v>
      </c>
      <c r="AZ262" s="75">
        <v>0</v>
      </c>
      <c r="BA262" s="75">
        <v>1</v>
      </c>
      <c r="BB262" s="75">
        <v>0</v>
      </c>
      <c r="BC262" s="75">
        <v>0</v>
      </c>
      <c r="BD262" s="75">
        <v>0</v>
      </c>
      <c r="BE262" s="75">
        <v>0</v>
      </c>
      <c r="BF262" s="75">
        <v>0</v>
      </c>
      <c r="BG262" s="75">
        <v>0</v>
      </c>
      <c r="BH262" s="75">
        <v>0</v>
      </c>
      <c r="BI262" s="75" t="s">
        <v>254</v>
      </c>
      <c r="BJ262" s="75" t="s">
        <v>254</v>
      </c>
      <c r="BK262" s="75" t="s">
        <v>254</v>
      </c>
      <c r="BL262" s="75">
        <v>1</v>
      </c>
      <c r="BM262" s="75">
        <f t="shared" si="39"/>
        <v>0</v>
      </c>
      <c r="BN262" s="75">
        <f t="shared" si="40"/>
        <v>0</v>
      </c>
      <c r="BO262" s="75">
        <f t="shared" si="43"/>
        <v>5</v>
      </c>
      <c r="BP262" s="75">
        <f t="shared" ref="BP262:BP263" si="44">SUM(BM262:BO262)</f>
        <v>5</v>
      </c>
      <c r="BQ262" s="80" t="s">
        <v>560</v>
      </c>
      <c r="BR262" s="138" t="s">
        <v>363</v>
      </c>
      <c r="BS262" s="110" t="s">
        <v>390</v>
      </c>
      <c r="BT262" s="110">
        <v>0</v>
      </c>
      <c r="BU262" s="75">
        <v>0</v>
      </c>
    </row>
    <row r="263" spans="1:74" x14ac:dyDescent="0.75">
      <c r="C263" s="270">
        <v>1124</v>
      </c>
      <c r="D263" s="75" t="s">
        <v>357</v>
      </c>
      <c r="E263" s="75" t="s">
        <v>358</v>
      </c>
      <c r="F263" s="75" t="s">
        <v>359</v>
      </c>
      <c r="G263" s="75" t="s">
        <v>87</v>
      </c>
      <c r="H263" s="75">
        <v>18.343233000000001</v>
      </c>
      <c r="I263" s="75">
        <v>-64.687667000000005</v>
      </c>
      <c r="J263" s="81">
        <v>44952</v>
      </c>
      <c r="K263" s="75" t="s">
        <v>361</v>
      </c>
      <c r="L263" s="75" t="s">
        <v>360</v>
      </c>
      <c r="M263" s="75">
        <v>0</v>
      </c>
      <c r="N263" s="75">
        <v>4</v>
      </c>
      <c r="O263" s="75" t="s">
        <v>362</v>
      </c>
      <c r="P263" s="88">
        <f>SUM(TreatmentUsed!E3793:E3837)</f>
        <v>404</v>
      </c>
      <c r="Q263" s="75">
        <v>0</v>
      </c>
      <c r="R263" s="75">
        <v>0</v>
      </c>
      <c r="S263" s="75">
        <v>0</v>
      </c>
      <c r="T263" s="75">
        <v>0</v>
      </c>
      <c r="U263" s="75">
        <v>0</v>
      </c>
      <c r="V263" s="75">
        <v>0</v>
      </c>
      <c r="W263" s="75">
        <v>0</v>
      </c>
      <c r="X263" s="75">
        <v>0</v>
      </c>
      <c r="Y263" s="75">
        <v>0</v>
      </c>
      <c r="Z263" s="75">
        <v>0</v>
      </c>
      <c r="AA263" s="75">
        <v>0</v>
      </c>
      <c r="AB263" s="75">
        <v>0</v>
      </c>
      <c r="AC263" s="75">
        <v>0</v>
      </c>
      <c r="AD263" s="75">
        <v>0</v>
      </c>
      <c r="AE263" s="75">
        <v>0</v>
      </c>
      <c r="AF263" s="75">
        <v>0</v>
      </c>
      <c r="AG263" s="75">
        <v>0</v>
      </c>
      <c r="AH263" s="75">
        <v>0</v>
      </c>
      <c r="AI263" s="75">
        <v>0</v>
      </c>
      <c r="AJ263" s="75">
        <v>0</v>
      </c>
      <c r="AK263" s="75">
        <v>0</v>
      </c>
      <c r="AL263" s="75">
        <v>0</v>
      </c>
      <c r="AM263" s="75">
        <v>0</v>
      </c>
      <c r="AN263" s="75">
        <v>0</v>
      </c>
      <c r="AO263" s="75">
        <v>0</v>
      </c>
      <c r="AP263" s="75">
        <v>0</v>
      </c>
      <c r="AQ263" s="75">
        <v>2</v>
      </c>
      <c r="AR263" s="75">
        <v>0</v>
      </c>
      <c r="AS263" s="75">
        <v>7</v>
      </c>
      <c r="AT263" s="84">
        <v>4</v>
      </c>
      <c r="AU263" s="75">
        <v>2</v>
      </c>
      <c r="AV263" s="75">
        <v>0</v>
      </c>
      <c r="AW263" s="75">
        <v>0</v>
      </c>
      <c r="AX263" s="75">
        <v>0</v>
      </c>
      <c r="AY263" s="84">
        <v>4</v>
      </c>
      <c r="AZ263" s="75">
        <v>0</v>
      </c>
      <c r="BA263" s="84">
        <v>8</v>
      </c>
      <c r="BB263" s="75">
        <v>0</v>
      </c>
      <c r="BC263" s="75">
        <v>4</v>
      </c>
      <c r="BD263" s="75">
        <v>0</v>
      </c>
      <c r="BE263" s="75">
        <v>0</v>
      </c>
      <c r="BF263" s="75">
        <v>14</v>
      </c>
      <c r="BG263" s="75">
        <v>0</v>
      </c>
      <c r="BH263" s="75">
        <v>0</v>
      </c>
      <c r="BI263" s="75" t="s">
        <v>254</v>
      </c>
      <c r="BJ263" s="75" t="s">
        <v>254</v>
      </c>
      <c r="BK263" s="75" t="s">
        <v>254</v>
      </c>
      <c r="BL263" s="75">
        <v>0</v>
      </c>
      <c r="BM263" s="75">
        <f t="shared" si="39"/>
        <v>0</v>
      </c>
      <c r="BN263" s="75">
        <f t="shared" si="40"/>
        <v>0</v>
      </c>
      <c r="BO263" s="75">
        <f t="shared" ref="BO263:BO273" si="45">SUM(AO263:BH263)</f>
        <v>45</v>
      </c>
      <c r="BP263" s="84">
        <f t="shared" si="44"/>
        <v>45</v>
      </c>
      <c r="BQ263" s="85" t="s">
        <v>363</v>
      </c>
      <c r="BR263" s="252" t="s">
        <v>363</v>
      </c>
      <c r="BS263" s="110" t="s">
        <v>539</v>
      </c>
      <c r="BT263" s="110">
        <v>0</v>
      </c>
      <c r="BU263" s="75">
        <v>0</v>
      </c>
    </row>
    <row r="264" spans="1:74" x14ac:dyDescent="0.75">
      <c r="C264" s="270">
        <v>1125</v>
      </c>
      <c r="D264" s="75" t="s">
        <v>357</v>
      </c>
      <c r="E264" s="75" t="s">
        <v>358</v>
      </c>
      <c r="F264" s="75" t="s">
        <v>359</v>
      </c>
      <c r="G264" s="75" t="s">
        <v>100</v>
      </c>
      <c r="H264">
        <v>18.344525365211499</v>
      </c>
      <c r="I264">
        <v>-64.693964686489494</v>
      </c>
      <c r="J264" s="81">
        <v>44952</v>
      </c>
      <c r="K264" s="75" t="s">
        <v>361</v>
      </c>
      <c r="L264" s="75" t="s">
        <v>360</v>
      </c>
      <c r="M264" s="75">
        <v>0</v>
      </c>
      <c r="N264" s="75">
        <v>4</v>
      </c>
      <c r="O264" s="75" t="s">
        <v>362</v>
      </c>
      <c r="P264" s="88">
        <f>SUM(TreatmentUsed!E3838:E3860)</f>
        <v>257</v>
      </c>
      <c r="Q264" s="75">
        <v>0</v>
      </c>
      <c r="R264" s="75">
        <v>0</v>
      </c>
      <c r="S264" s="75">
        <v>0</v>
      </c>
      <c r="T264" s="75">
        <v>0</v>
      </c>
      <c r="U264" s="75">
        <v>0</v>
      </c>
      <c r="V264" s="75">
        <v>0</v>
      </c>
      <c r="W264" s="75">
        <v>0</v>
      </c>
      <c r="X264" s="75">
        <v>0</v>
      </c>
      <c r="Y264" s="75">
        <v>0</v>
      </c>
      <c r="Z264" s="75">
        <v>0</v>
      </c>
      <c r="AA264" s="75">
        <v>0</v>
      </c>
      <c r="AB264" s="75">
        <v>0</v>
      </c>
      <c r="AC264" s="75">
        <v>0</v>
      </c>
      <c r="AD264" s="75">
        <v>0</v>
      </c>
      <c r="AE264" s="75">
        <v>0</v>
      </c>
      <c r="AF264" s="75">
        <v>0</v>
      </c>
      <c r="AG264" s="75">
        <v>0</v>
      </c>
      <c r="AH264" s="75">
        <v>0</v>
      </c>
      <c r="AI264" s="75">
        <v>0</v>
      </c>
      <c r="AJ264" s="75">
        <v>0</v>
      </c>
      <c r="AK264" s="75">
        <v>0</v>
      </c>
      <c r="AL264" s="75">
        <v>0</v>
      </c>
      <c r="AM264" s="75">
        <v>0</v>
      </c>
      <c r="AN264" s="75">
        <v>0</v>
      </c>
      <c r="AO264" s="75">
        <v>0</v>
      </c>
      <c r="AP264" s="75">
        <v>0</v>
      </c>
      <c r="AQ264" s="75">
        <v>2</v>
      </c>
      <c r="AR264" s="75">
        <v>0</v>
      </c>
      <c r="AS264" s="75">
        <v>4</v>
      </c>
      <c r="AT264" s="75">
        <v>2</v>
      </c>
      <c r="AU264" s="75">
        <v>0</v>
      </c>
      <c r="AV264" s="75">
        <v>0</v>
      </c>
      <c r="AW264" s="75">
        <v>0</v>
      </c>
      <c r="AX264" s="75">
        <v>0</v>
      </c>
      <c r="AY264" s="84">
        <v>4</v>
      </c>
      <c r="AZ264" s="75">
        <v>0</v>
      </c>
      <c r="BA264" s="84">
        <v>4</v>
      </c>
      <c r="BB264" s="75">
        <v>0</v>
      </c>
      <c r="BC264" s="75">
        <v>1</v>
      </c>
      <c r="BD264" s="75">
        <v>0</v>
      </c>
      <c r="BE264" s="75">
        <v>0</v>
      </c>
      <c r="BF264" s="75">
        <v>6</v>
      </c>
      <c r="BG264" s="75">
        <v>0</v>
      </c>
      <c r="BH264" s="75">
        <v>0</v>
      </c>
      <c r="BI264" s="75" t="s">
        <v>254</v>
      </c>
      <c r="BJ264" s="75" t="s">
        <v>254</v>
      </c>
      <c r="BK264" s="75" t="s">
        <v>254</v>
      </c>
      <c r="BL264" s="75">
        <v>0</v>
      </c>
      <c r="BM264" s="75">
        <f t="shared" si="39"/>
        <v>0</v>
      </c>
      <c r="BN264" s="75">
        <f t="shared" si="40"/>
        <v>0</v>
      </c>
      <c r="BO264" s="75">
        <f t="shared" si="45"/>
        <v>23</v>
      </c>
      <c r="BP264" s="75">
        <f t="shared" ref="BP264:BP279" si="46">SUM(BM264:BO264)</f>
        <v>23</v>
      </c>
      <c r="BQ264" s="85" t="s">
        <v>363</v>
      </c>
      <c r="BR264" s="252" t="s">
        <v>561</v>
      </c>
      <c r="BS264" s="110" t="s">
        <v>539</v>
      </c>
      <c r="BT264" s="110">
        <v>0</v>
      </c>
      <c r="BU264" s="75">
        <v>0</v>
      </c>
    </row>
    <row r="265" spans="1:74" s="205" customFormat="1" x14ac:dyDescent="0.75">
      <c r="A265" s="232"/>
      <c r="B265" s="235"/>
      <c r="C265" s="272">
        <v>1126</v>
      </c>
      <c r="D265" s="225" t="s">
        <v>357</v>
      </c>
      <c r="E265" s="225" t="s">
        <v>358</v>
      </c>
      <c r="F265" s="225" t="s">
        <v>359</v>
      </c>
      <c r="G265" s="225" t="s">
        <v>87</v>
      </c>
      <c r="H265" s="225">
        <v>18.343233000000001</v>
      </c>
      <c r="I265" s="225">
        <v>-64.687667000000005</v>
      </c>
      <c r="J265" s="238">
        <v>44971</v>
      </c>
      <c r="K265" s="225" t="s">
        <v>361</v>
      </c>
      <c r="L265" s="225" t="s">
        <v>360</v>
      </c>
      <c r="M265" s="225">
        <v>0</v>
      </c>
      <c r="N265" s="225">
        <v>2</v>
      </c>
      <c r="O265" s="225" t="s">
        <v>362</v>
      </c>
      <c r="P265" s="236">
        <f>SUM(TreatmentUsed!E3861:E3866)</f>
        <v>22</v>
      </c>
      <c r="Q265" s="225">
        <v>0</v>
      </c>
      <c r="R265" s="225">
        <v>0</v>
      </c>
      <c r="S265" s="225">
        <v>0</v>
      </c>
      <c r="T265" s="225">
        <v>0</v>
      </c>
      <c r="U265" s="225">
        <v>0</v>
      </c>
      <c r="V265" s="225">
        <v>0</v>
      </c>
      <c r="W265" s="225">
        <v>0</v>
      </c>
      <c r="X265" s="225">
        <v>0</v>
      </c>
      <c r="Y265" s="225">
        <v>0</v>
      </c>
      <c r="Z265" s="225">
        <v>0</v>
      </c>
      <c r="AA265" s="225">
        <v>0</v>
      </c>
      <c r="AB265" s="225">
        <v>0</v>
      </c>
      <c r="AC265" s="225">
        <v>0</v>
      </c>
      <c r="AD265" s="225">
        <v>0</v>
      </c>
      <c r="AE265" s="225">
        <v>0</v>
      </c>
      <c r="AF265" s="225">
        <v>0</v>
      </c>
      <c r="AG265" s="225">
        <v>0</v>
      </c>
      <c r="AH265" s="225">
        <v>0</v>
      </c>
      <c r="AI265" s="225">
        <v>0</v>
      </c>
      <c r="AJ265" s="225">
        <v>0</v>
      </c>
      <c r="AK265" s="225">
        <v>0</v>
      </c>
      <c r="AL265" s="225">
        <v>0</v>
      </c>
      <c r="AM265" s="225">
        <v>0</v>
      </c>
      <c r="AN265" s="225">
        <v>0</v>
      </c>
      <c r="AO265" s="225">
        <v>0</v>
      </c>
      <c r="AP265" s="225">
        <v>0</v>
      </c>
      <c r="AQ265" s="225">
        <v>1</v>
      </c>
      <c r="AR265" s="225">
        <v>0</v>
      </c>
      <c r="AS265" s="225">
        <v>2</v>
      </c>
      <c r="AT265" s="225">
        <v>0</v>
      </c>
      <c r="AU265" s="225">
        <v>0</v>
      </c>
      <c r="AV265" s="225">
        <v>0</v>
      </c>
      <c r="AW265" s="225">
        <v>0</v>
      </c>
      <c r="AX265" s="225">
        <v>0</v>
      </c>
      <c r="AY265" s="225">
        <v>1</v>
      </c>
      <c r="AZ265" s="225">
        <v>0</v>
      </c>
      <c r="BA265" s="225">
        <v>0</v>
      </c>
      <c r="BB265" s="225">
        <v>0</v>
      </c>
      <c r="BC265" s="225">
        <v>0</v>
      </c>
      <c r="BD265" s="225">
        <v>0</v>
      </c>
      <c r="BE265" s="225">
        <v>0</v>
      </c>
      <c r="BF265" s="225">
        <v>2</v>
      </c>
      <c r="BG265" s="225">
        <v>0</v>
      </c>
      <c r="BH265" s="225">
        <v>0</v>
      </c>
      <c r="BI265" s="225" t="s">
        <v>254</v>
      </c>
      <c r="BJ265" s="225" t="s">
        <v>254</v>
      </c>
      <c r="BK265" s="225" t="s">
        <v>254</v>
      </c>
      <c r="BL265" s="225">
        <v>0</v>
      </c>
      <c r="BM265" s="225">
        <f t="shared" si="39"/>
        <v>0</v>
      </c>
      <c r="BN265" s="225">
        <f t="shared" si="40"/>
        <v>0</v>
      </c>
      <c r="BO265" s="225">
        <f t="shared" si="45"/>
        <v>6</v>
      </c>
      <c r="BP265" s="225">
        <f t="shared" si="46"/>
        <v>6</v>
      </c>
      <c r="BQ265" s="229" t="s">
        <v>562</v>
      </c>
      <c r="BR265" s="249" t="s">
        <v>563</v>
      </c>
      <c r="BS265" s="230" t="s">
        <v>539</v>
      </c>
      <c r="BT265" s="230">
        <v>0</v>
      </c>
      <c r="BU265" s="225">
        <v>2</v>
      </c>
      <c r="BV265" s="225"/>
    </row>
    <row r="266" spans="1:74" x14ac:dyDescent="0.75">
      <c r="C266" s="270">
        <v>1127</v>
      </c>
      <c r="D266" s="75" t="s">
        <v>357</v>
      </c>
      <c r="E266" s="75" t="s">
        <v>358</v>
      </c>
      <c r="F266" s="75" t="s">
        <v>359</v>
      </c>
      <c r="G266" s="75" t="s">
        <v>87</v>
      </c>
      <c r="H266" s="75">
        <v>18.343233000000001</v>
      </c>
      <c r="I266" s="75">
        <v>-64.687667000000005</v>
      </c>
      <c r="J266" s="121">
        <v>44971</v>
      </c>
      <c r="K266" s="75" t="s">
        <v>361</v>
      </c>
      <c r="L266" s="75" t="s">
        <v>360</v>
      </c>
      <c r="M266" s="75">
        <v>0</v>
      </c>
      <c r="N266" s="84">
        <v>2</v>
      </c>
      <c r="O266" s="75" t="s">
        <v>362</v>
      </c>
      <c r="P266" s="88">
        <f>SUM(TreatmentUsed!E3867:E3875)</f>
        <v>92</v>
      </c>
      <c r="Q266" s="75">
        <v>0</v>
      </c>
      <c r="R266" s="75">
        <v>0</v>
      </c>
      <c r="S266" s="75">
        <v>0</v>
      </c>
      <c r="T266" s="75">
        <v>0</v>
      </c>
      <c r="U266" s="75">
        <v>0</v>
      </c>
      <c r="V266" s="75">
        <v>0</v>
      </c>
      <c r="W266" s="75">
        <v>0</v>
      </c>
      <c r="X266" s="75">
        <v>0</v>
      </c>
      <c r="Y266" s="75">
        <v>0</v>
      </c>
      <c r="Z266" s="75">
        <v>0</v>
      </c>
      <c r="AA266" s="75">
        <v>0</v>
      </c>
      <c r="AB266" s="75">
        <v>0</v>
      </c>
      <c r="AC266" s="75">
        <v>0</v>
      </c>
      <c r="AD266" s="75">
        <v>0</v>
      </c>
      <c r="AE266" s="75">
        <v>0</v>
      </c>
      <c r="AF266" s="75">
        <v>0</v>
      </c>
      <c r="AG266" s="75">
        <v>0</v>
      </c>
      <c r="AH266" s="75">
        <v>0</v>
      </c>
      <c r="AI266" s="75">
        <v>0</v>
      </c>
      <c r="AJ266" s="75">
        <v>0</v>
      </c>
      <c r="AK266" s="75">
        <v>0</v>
      </c>
      <c r="AL266" s="75">
        <v>0</v>
      </c>
      <c r="AM266" s="75">
        <v>0</v>
      </c>
      <c r="AN266" s="75">
        <v>0</v>
      </c>
      <c r="AO266" s="75">
        <v>1</v>
      </c>
      <c r="AP266" s="75">
        <v>0</v>
      </c>
      <c r="AQ266" s="75">
        <v>0</v>
      </c>
      <c r="AR266" s="75">
        <v>0</v>
      </c>
      <c r="AS266" s="75">
        <v>0</v>
      </c>
      <c r="AT266" s="75">
        <v>0</v>
      </c>
      <c r="AU266" s="75">
        <v>0</v>
      </c>
      <c r="AV266" s="75">
        <v>0</v>
      </c>
      <c r="AW266" s="75">
        <v>0</v>
      </c>
      <c r="AX266" s="75">
        <v>0</v>
      </c>
      <c r="AY266" s="84">
        <v>1</v>
      </c>
      <c r="AZ266" s="84">
        <v>2</v>
      </c>
      <c r="BA266" s="84">
        <v>5</v>
      </c>
      <c r="BB266" s="75">
        <v>0</v>
      </c>
      <c r="BC266" s="75">
        <v>0</v>
      </c>
      <c r="BD266" s="75">
        <v>0</v>
      </c>
      <c r="BE266" s="75">
        <v>0</v>
      </c>
      <c r="BF266" s="75">
        <v>0</v>
      </c>
      <c r="BG266" s="75">
        <v>0</v>
      </c>
      <c r="BH266" s="75">
        <v>0</v>
      </c>
      <c r="BI266" s="75" t="s">
        <v>254</v>
      </c>
      <c r="BJ266" s="75" t="s">
        <v>254</v>
      </c>
      <c r="BK266" s="75" t="s">
        <v>254</v>
      </c>
      <c r="BL266" s="75">
        <v>0</v>
      </c>
      <c r="BM266" s="75">
        <f t="shared" si="39"/>
        <v>0</v>
      </c>
      <c r="BN266" s="75">
        <f t="shared" si="40"/>
        <v>0</v>
      </c>
      <c r="BO266" s="75">
        <f t="shared" si="45"/>
        <v>9</v>
      </c>
      <c r="BP266" s="75">
        <f t="shared" si="46"/>
        <v>9</v>
      </c>
      <c r="BQ266" s="80" t="s">
        <v>363</v>
      </c>
      <c r="BR266" s="252" t="s">
        <v>363</v>
      </c>
      <c r="BS266" s="110" t="s">
        <v>539</v>
      </c>
      <c r="BT266" s="110">
        <v>0</v>
      </c>
      <c r="BU266" s="75">
        <v>0</v>
      </c>
    </row>
    <row r="267" spans="1:74" x14ac:dyDescent="0.75">
      <c r="C267" s="270">
        <v>1128</v>
      </c>
      <c r="D267" s="75" t="s">
        <v>357</v>
      </c>
      <c r="E267" s="75" t="s">
        <v>358</v>
      </c>
      <c r="F267" s="75" t="s">
        <v>359</v>
      </c>
      <c r="G267" s="75" t="s">
        <v>87</v>
      </c>
      <c r="H267" s="75">
        <v>18.343233000000001</v>
      </c>
      <c r="I267" s="75">
        <v>-64.687667000000005</v>
      </c>
      <c r="J267" s="121">
        <v>44971</v>
      </c>
      <c r="K267" s="75" t="s">
        <v>360</v>
      </c>
      <c r="L267" s="75" t="s">
        <v>360</v>
      </c>
      <c r="M267" s="75">
        <v>0</v>
      </c>
      <c r="N267" s="84">
        <v>2</v>
      </c>
      <c r="O267" s="75" t="s">
        <v>362</v>
      </c>
      <c r="P267" s="88">
        <f>SUM(TreatmentUsed!E3876:E3878)</f>
        <v>24</v>
      </c>
      <c r="Q267" s="75">
        <v>0</v>
      </c>
      <c r="R267" s="75">
        <v>0</v>
      </c>
      <c r="S267" s="75">
        <v>0</v>
      </c>
      <c r="T267" s="75">
        <v>0</v>
      </c>
      <c r="U267" s="75">
        <v>0</v>
      </c>
      <c r="V267" s="75">
        <v>0</v>
      </c>
      <c r="W267" s="75">
        <v>0</v>
      </c>
      <c r="X267" s="75">
        <v>0</v>
      </c>
      <c r="Y267" s="75">
        <v>0</v>
      </c>
      <c r="Z267" s="75">
        <v>0</v>
      </c>
      <c r="AA267" s="75">
        <v>0</v>
      </c>
      <c r="AB267" s="75">
        <v>0</v>
      </c>
      <c r="AC267" s="75">
        <v>0</v>
      </c>
      <c r="AD267" s="75">
        <v>0</v>
      </c>
      <c r="AE267" s="75">
        <v>0</v>
      </c>
      <c r="AF267" s="75">
        <v>0</v>
      </c>
      <c r="AG267" s="75">
        <v>0</v>
      </c>
      <c r="AH267" s="75">
        <v>0</v>
      </c>
      <c r="AI267" s="75">
        <v>0</v>
      </c>
      <c r="AJ267" s="75">
        <v>0</v>
      </c>
      <c r="AK267" s="75">
        <v>0</v>
      </c>
      <c r="AL267" s="75">
        <v>0</v>
      </c>
      <c r="AM267" s="75">
        <v>0</v>
      </c>
      <c r="AN267" s="75">
        <v>0</v>
      </c>
      <c r="AO267" s="75">
        <v>0</v>
      </c>
      <c r="AP267" s="75">
        <v>0</v>
      </c>
      <c r="AQ267" s="75">
        <v>1</v>
      </c>
      <c r="AR267" s="75">
        <v>0</v>
      </c>
      <c r="AS267" s="75">
        <v>0</v>
      </c>
      <c r="AT267" s="75">
        <v>0</v>
      </c>
      <c r="AU267" s="75">
        <v>0</v>
      </c>
      <c r="AV267" s="75">
        <v>0</v>
      </c>
      <c r="AW267" s="75">
        <v>0</v>
      </c>
      <c r="AX267" s="75">
        <v>0</v>
      </c>
      <c r="AY267" s="84">
        <v>0</v>
      </c>
      <c r="AZ267" s="84">
        <v>0</v>
      </c>
      <c r="BA267" s="84">
        <v>1</v>
      </c>
      <c r="BB267" s="75">
        <v>0</v>
      </c>
      <c r="BC267" s="75">
        <v>1</v>
      </c>
      <c r="BD267" s="75">
        <v>0</v>
      </c>
      <c r="BE267" s="75">
        <v>0</v>
      </c>
      <c r="BF267" s="75">
        <v>0</v>
      </c>
      <c r="BG267" s="75">
        <v>0</v>
      </c>
      <c r="BH267" s="75">
        <v>0</v>
      </c>
      <c r="BI267" s="75" t="s">
        <v>254</v>
      </c>
      <c r="BJ267" s="75" t="s">
        <v>254</v>
      </c>
      <c r="BK267" s="75" t="s">
        <v>254</v>
      </c>
      <c r="BL267" s="75">
        <v>0</v>
      </c>
      <c r="BM267" s="75">
        <f t="shared" ref="BM267" si="47">SUM(R267:AD267)</f>
        <v>0</v>
      </c>
      <c r="BN267" s="75">
        <f t="shared" ref="BN267" si="48">SUM(AE267:AN267)</f>
        <v>0</v>
      </c>
      <c r="BO267" s="75">
        <f t="shared" ref="BO267" si="49">SUM(AO267:BH267)</f>
        <v>3</v>
      </c>
      <c r="BP267" s="75">
        <f t="shared" si="46"/>
        <v>3</v>
      </c>
      <c r="BQ267" s="80" t="s">
        <v>564</v>
      </c>
      <c r="BR267" s="252" t="s">
        <v>565</v>
      </c>
      <c r="BS267" s="110" t="s">
        <v>539</v>
      </c>
      <c r="BT267" s="110">
        <v>0</v>
      </c>
      <c r="BU267" s="75">
        <v>2</v>
      </c>
    </row>
    <row r="268" spans="1:74" x14ac:dyDescent="0.75">
      <c r="C268" s="270">
        <v>1129</v>
      </c>
      <c r="D268" s="75" t="s">
        <v>357</v>
      </c>
      <c r="E268" s="75" t="s">
        <v>358</v>
      </c>
      <c r="F268" s="75" t="s">
        <v>359</v>
      </c>
      <c r="G268" s="75" t="s">
        <v>28</v>
      </c>
      <c r="H268" s="10">
        <v>18.315639999999998</v>
      </c>
      <c r="I268" s="10">
        <v>-64.725899999999996</v>
      </c>
      <c r="J268" s="121">
        <v>44971</v>
      </c>
      <c r="K268" s="75" t="s">
        <v>361</v>
      </c>
      <c r="L268" s="75" t="s">
        <v>360</v>
      </c>
      <c r="M268" s="75">
        <v>0</v>
      </c>
      <c r="N268" s="84">
        <v>2</v>
      </c>
      <c r="O268" s="75" t="s">
        <v>362</v>
      </c>
      <c r="P268" s="75">
        <f>SUM(TreatmentUsed!E3879:E3882)</f>
        <v>42</v>
      </c>
      <c r="Q268" s="75">
        <v>443</v>
      </c>
      <c r="R268" s="75">
        <v>0</v>
      </c>
      <c r="S268" s="75">
        <v>0</v>
      </c>
      <c r="T268" s="75">
        <v>0</v>
      </c>
      <c r="U268" s="75">
        <v>0</v>
      </c>
      <c r="V268" s="75">
        <v>0</v>
      </c>
      <c r="W268" s="75">
        <v>0</v>
      </c>
      <c r="X268" s="75">
        <v>0</v>
      </c>
      <c r="Y268" s="75">
        <v>0</v>
      </c>
      <c r="Z268" s="75">
        <v>0</v>
      </c>
      <c r="AA268" s="75">
        <v>0</v>
      </c>
      <c r="AB268" s="75">
        <v>0</v>
      </c>
      <c r="AC268" s="75">
        <v>0</v>
      </c>
      <c r="AD268" s="75">
        <v>0</v>
      </c>
      <c r="AE268" s="75">
        <v>0</v>
      </c>
      <c r="AF268" s="75">
        <v>0</v>
      </c>
      <c r="AG268" s="75">
        <v>0</v>
      </c>
      <c r="AH268" s="75">
        <v>0</v>
      </c>
      <c r="AI268" s="75">
        <v>0</v>
      </c>
      <c r="AJ268" s="75">
        <v>0</v>
      </c>
      <c r="AK268" s="75">
        <v>0</v>
      </c>
      <c r="AL268" s="75">
        <v>0</v>
      </c>
      <c r="AM268" s="75">
        <v>0</v>
      </c>
      <c r="AN268" s="75">
        <v>0</v>
      </c>
      <c r="AO268" s="75">
        <v>0</v>
      </c>
      <c r="AP268" s="75">
        <v>0</v>
      </c>
      <c r="AQ268" s="75">
        <v>0</v>
      </c>
      <c r="AR268" s="75">
        <v>0</v>
      </c>
      <c r="AS268" s="75">
        <v>0</v>
      </c>
      <c r="AT268" s="75">
        <v>0</v>
      </c>
      <c r="AU268" s="75">
        <v>0</v>
      </c>
      <c r="AV268" s="75">
        <v>0</v>
      </c>
      <c r="AW268" s="75">
        <v>0</v>
      </c>
      <c r="AX268" s="75">
        <v>0</v>
      </c>
      <c r="AY268" s="75">
        <v>0</v>
      </c>
      <c r="AZ268" s="75">
        <v>0</v>
      </c>
      <c r="BA268" s="75">
        <v>0</v>
      </c>
      <c r="BB268" s="75">
        <v>0</v>
      </c>
      <c r="BC268" s="75">
        <v>0</v>
      </c>
      <c r="BD268" s="75">
        <v>0</v>
      </c>
      <c r="BE268" s="75">
        <v>0</v>
      </c>
      <c r="BF268" s="75">
        <v>4</v>
      </c>
      <c r="BG268" s="75">
        <v>0</v>
      </c>
      <c r="BH268" s="75">
        <v>0</v>
      </c>
      <c r="BI268" s="75" t="s">
        <v>254</v>
      </c>
      <c r="BJ268" s="75" t="s">
        <v>254</v>
      </c>
      <c r="BK268" s="75" t="s">
        <v>254</v>
      </c>
      <c r="BL268" s="75">
        <v>0</v>
      </c>
      <c r="BM268" s="75">
        <f t="shared" si="39"/>
        <v>0</v>
      </c>
      <c r="BN268" s="75">
        <f t="shared" si="40"/>
        <v>0</v>
      </c>
      <c r="BO268" s="75">
        <f t="shared" si="45"/>
        <v>4</v>
      </c>
      <c r="BP268" s="75">
        <f t="shared" si="46"/>
        <v>4</v>
      </c>
      <c r="BQ268" s="80" t="s">
        <v>363</v>
      </c>
      <c r="BR268" s="138" t="s">
        <v>566</v>
      </c>
      <c r="BS268" s="110" t="s">
        <v>539</v>
      </c>
      <c r="BT268" s="110">
        <v>0</v>
      </c>
      <c r="BU268" s="75">
        <v>0</v>
      </c>
    </row>
    <row r="269" spans="1:74" x14ac:dyDescent="0.75">
      <c r="A269"/>
      <c r="B269"/>
      <c r="C269" s="270"/>
      <c r="D269" s="75" t="s">
        <v>357</v>
      </c>
      <c r="E269" s="75" t="s">
        <v>358</v>
      </c>
      <c r="F269" s="75" t="s">
        <v>359</v>
      </c>
      <c r="G269" s="75" t="s">
        <v>28</v>
      </c>
      <c r="H269">
        <v>18.315639999999998</v>
      </c>
      <c r="I269">
        <v>-64.725899999999996</v>
      </c>
      <c r="J269" s="121">
        <v>44971</v>
      </c>
      <c r="K269" s="75" t="s">
        <v>360</v>
      </c>
      <c r="M269" s="75">
        <v>0</v>
      </c>
      <c r="N269" s="75">
        <v>2</v>
      </c>
      <c r="O269" s="75" t="s">
        <v>362</v>
      </c>
      <c r="P269" s="75">
        <v>0</v>
      </c>
      <c r="Q269" s="75">
        <v>0</v>
      </c>
      <c r="R269" s="75">
        <v>0</v>
      </c>
      <c r="S269" s="75">
        <v>0</v>
      </c>
      <c r="T269" s="75">
        <v>0</v>
      </c>
      <c r="U269" s="75">
        <v>0</v>
      </c>
      <c r="V269" s="75">
        <v>0</v>
      </c>
      <c r="W269" s="75">
        <v>0</v>
      </c>
      <c r="X269" s="75">
        <v>0</v>
      </c>
      <c r="Y269" s="75">
        <v>0</v>
      </c>
      <c r="Z269" s="75">
        <v>0</v>
      </c>
      <c r="AA269" s="75">
        <v>0</v>
      </c>
      <c r="AB269" s="75">
        <v>0</v>
      </c>
      <c r="AC269" s="75">
        <v>0</v>
      </c>
      <c r="AD269" s="75">
        <v>0</v>
      </c>
      <c r="AE269" s="75">
        <v>0</v>
      </c>
      <c r="AF269" s="75">
        <v>0</v>
      </c>
      <c r="AG269" s="75">
        <v>0</v>
      </c>
      <c r="AH269" s="75">
        <v>0</v>
      </c>
      <c r="AI269" s="75">
        <v>0</v>
      </c>
      <c r="AJ269" s="75">
        <v>0</v>
      </c>
      <c r="AK269" s="75">
        <v>0</v>
      </c>
      <c r="AL269" s="75">
        <v>0</v>
      </c>
      <c r="AM269" s="75">
        <v>0</v>
      </c>
      <c r="AN269" s="75">
        <v>0</v>
      </c>
      <c r="AO269" s="75">
        <v>0</v>
      </c>
      <c r="AP269" s="75">
        <v>0</v>
      </c>
      <c r="AQ269" s="75">
        <v>0</v>
      </c>
      <c r="AR269" s="75">
        <v>0</v>
      </c>
      <c r="AS269" s="75">
        <v>0</v>
      </c>
      <c r="AT269" s="75">
        <v>0</v>
      </c>
      <c r="AU269" s="75">
        <v>0</v>
      </c>
      <c r="AV269" s="75">
        <v>0</v>
      </c>
      <c r="AW269" s="75">
        <v>0</v>
      </c>
      <c r="AX269" s="75">
        <v>0</v>
      </c>
      <c r="AY269" s="75">
        <v>0</v>
      </c>
      <c r="AZ269" s="75">
        <v>0</v>
      </c>
      <c r="BA269" s="75">
        <v>0</v>
      </c>
      <c r="BB269" s="75">
        <v>0</v>
      </c>
      <c r="BC269" s="75">
        <v>0</v>
      </c>
      <c r="BD269" s="75">
        <v>0</v>
      </c>
      <c r="BE269" s="75">
        <v>0</v>
      </c>
      <c r="BF269" s="75">
        <v>0</v>
      </c>
      <c r="BG269" s="75">
        <v>0</v>
      </c>
      <c r="BH269" s="75">
        <v>0</v>
      </c>
      <c r="BI269" s="75" t="s">
        <v>254</v>
      </c>
      <c r="BJ269" s="75" t="s">
        <v>254</v>
      </c>
      <c r="BK269" s="75" t="s">
        <v>254</v>
      </c>
      <c r="BL269" s="75">
        <v>0</v>
      </c>
      <c r="BM269" s="75">
        <f t="shared" si="39"/>
        <v>0</v>
      </c>
      <c r="BN269" s="75">
        <f t="shared" si="40"/>
        <v>0</v>
      </c>
      <c r="BO269" s="75">
        <f t="shared" si="45"/>
        <v>0</v>
      </c>
      <c r="BP269" s="75">
        <f t="shared" si="46"/>
        <v>0</v>
      </c>
      <c r="BQ269" s="80" t="s">
        <v>567</v>
      </c>
      <c r="BR269" s="138">
        <v>4190</v>
      </c>
      <c r="BS269" s="110" t="s">
        <v>539</v>
      </c>
      <c r="BT269" s="110">
        <v>0</v>
      </c>
      <c r="BU269" s="75">
        <v>0</v>
      </c>
    </row>
    <row r="270" spans="1:74" x14ac:dyDescent="0.75">
      <c r="C270" s="270">
        <v>1130</v>
      </c>
      <c r="D270" s="75" t="s">
        <v>357</v>
      </c>
      <c r="E270" s="75" t="s">
        <v>358</v>
      </c>
      <c r="F270" s="75" t="s">
        <v>359</v>
      </c>
      <c r="G270" s="75" t="s">
        <v>48</v>
      </c>
      <c r="H270" s="75">
        <v>18.363399999999999</v>
      </c>
      <c r="I270" s="75">
        <v>-64.706067000000004</v>
      </c>
      <c r="J270" s="121">
        <v>44972</v>
      </c>
      <c r="K270" s="75" t="s">
        <v>367</v>
      </c>
      <c r="L270" s="75" t="s">
        <v>360</v>
      </c>
      <c r="M270" s="75">
        <v>0</v>
      </c>
      <c r="N270" s="75">
        <v>2</v>
      </c>
      <c r="O270" s="75" t="s">
        <v>362</v>
      </c>
      <c r="P270" s="88">
        <f>SUM(TreatmentUsed!E3883:E3884)</f>
        <v>10</v>
      </c>
      <c r="Q270" s="75">
        <v>0</v>
      </c>
      <c r="R270" s="75">
        <v>0</v>
      </c>
      <c r="S270" s="75">
        <v>0</v>
      </c>
      <c r="T270" s="75">
        <v>0</v>
      </c>
      <c r="U270" s="75">
        <v>0</v>
      </c>
      <c r="V270" s="75">
        <v>0</v>
      </c>
      <c r="W270" s="75">
        <v>0</v>
      </c>
      <c r="X270" s="75">
        <v>0</v>
      </c>
      <c r="Y270" s="75">
        <v>0</v>
      </c>
      <c r="Z270" s="75">
        <v>0</v>
      </c>
      <c r="AA270" s="75">
        <v>0</v>
      </c>
      <c r="AB270" s="75">
        <v>0</v>
      </c>
      <c r="AC270" s="75">
        <v>0</v>
      </c>
      <c r="AD270" s="75">
        <v>0</v>
      </c>
      <c r="AE270" s="75">
        <v>0</v>
      </c>
      <c r="AF270" s="75">
        <v>0</v>
      </c>
      <c r="AG270" s="75">
        <v>0</v>
      </c>
      <c r="AH270" s="75">
        <v>0</v>
      </c>
      <c r="AI270" s="75">
        <v>0</v>
      </c>
      <c r="AJ270" s="75">
        <v>0</v>
      </c>
      <c r="AK270" s="75">
        <v>0</v>
      </c>
      <c r="AL270" s="75">
        <v>0</v>
      </c>
      <c r="AM270" s="75">
        <v>0</v>
      </c>
      <c r="AN270" s="75">
        <v>0</v>
      </c>
      <c r="AO270" s="75">
        <v>1</v>
      </c>
      <c r="AP270" s="75">
        <v>0</v>
      </c>
      <c r="AQ270" s="75">
        <v>0</v>
      </c>
      <c r="AR270" s="75">
        <v>0</v>
      </c>
      <c r="AS270" s="75">
        <v>1</v>
      </c>
      <c r="AT270" s="75">
        <v>0</v>
      </c>
      <c r="AU270" s="75">
        <v>0</v>
      </c>
      <c r="AV270" s="75">
        <v>0</v>
      </c>
      <c r="AW270" s="75">
        <v>0</v>
      </c>
      <c r="AX270" s="75">
        <v>0</v>
      </c>
      <c r="AY270" s="84">
        <v>0</v>
      </c>
      <c r="AZ270" s="75">
        <v>0</v>
      </c>
      <c r="BA270" s="75">
        <v>0</v>
      </c>
      <c r="BB270" s="75">
        <v>0</v>
      </c>
      <c r="BC270" s="75">
        <v>0</v>
      </c>
      <c r="BD270" s="75">
        <v>0</v>
      </c>
      <c r="BE270" s="75">
        <v>0</v>
      </c>
      <c r="BF270" s="75">
        <v>0</v>
      </c>
      <c r="BG270" s="75">
        <v>0</v>
      </c>
      <c r="BH270" s="75">
        <v>0</v>
      </c>
      <c r="BI270" s="75" t="s">
        <v>254</v>
      </c>
      <c r="BJ270" s="75" t="s">
        <v>254</v>
      </c>
      <c r="BK270" s="75" t="s">
        <v>254</v>
      </c>
      <c r="BL270" s="75">
        <v>0</v>
      </c>
      <c r="BM270" s="75">
        <f t="shared" si="39"/>
        <v>0</v>
      </c>
      <c r="BN270" s="75">
        <f t="shared" si="40"/>
        <v>0</v>
      </c>
      <c r="BO270" s="75">
        <f t="shared" si="45"/>
        <v>2</v>
      </c>
      <c r="BP270" s="84">
        <f t="shared" si="46"/>
        <v>2</v>
      </c>
      <c r="BQ270" s="85" t="s">
        <v>568</v>
      </c>
      <c r="BR270" s="252" t="s">
        <v>569</v>
      </c>
      <c r="BS270" s="110" t="s">
        <v>390</v>
      </c>
      <c r="BT270" s="110">
        <v>0</v>
      </c>
      <c r="BU270" s="75">
        <v>1</v>
      </c>
    </row>
    <row r="271" spans="1:74" x14ac:dyDescent="0.75">
      <c r="C271" s="270">
        <v>1132</v>
      </c>
      <c r="D271" s="75" t="s">
        <v>357</v>
      </c>
      <c r="E271" s="75" t="s">
        <v>358</v>
      </c>
      <c r="F271" s="75" t="s">
        <v>359</v>
      </c>
      <c r="G271" s="75" t="s">
        <v>44</v>
      </c>
      <c r="H271" s="75">
        <v>18.364650000000001</v>
      </c>
      <c r="I271" s="75">
        <v>-64.726183000000006</v>
      </c>
      <c r="J271" s="121">
        <v>44972</v>
      </c>
      <c r="K271" s="75" t="s">
        <v>361</v>
      </c>
      <c r="L271" s="75" t="s">
        <v>360</v>
      </c>
      <c r="M271" s="75">
        <v>0</v>
      </c>
      <c r="N271" s="75">
        <v>2</v>
      </c>
      <c r="O271" s="75" t="s">
        <v>362</v>
      </c>
      <c r="P271" s="88">
        <f>SUM(TreatmentUsed!E3885:E3887)</f>
        <v>110</v>
      </c>
      <c r="Q271" s="75">
        <v>0</v>
      </c>
      <c r="R271" s="75">
        <v>0</v>
      </c>
      <c r="S271" s="75">
        <v>0</v>
      </c>
      <c r="T271" s="75">
        <v>0</v>
      </c>
      <c r="U271" s="75">
        <v>0</v>
      </c>
      <c r="V271" s="75">
        <v>0</v>
      </c>
      <c r="W271" s="75">
        <v>0</v>
      </c>
      <c r="X271" s="75">
        <v>0</v>
      </c>
      <c r="Y271" s="75">
        <v>0</v>
      </c>
      <c r="Z271" s="75">
        <v>0</v>
      </c>
      <c r="AA271" s="75">
        <v>0</v>
      </c>
      <c r="AB271" s="75">
        <v>0</v>
      </c>
      <c r="AC271" s="75">
        <v>0</v>
      </c>
      <c r="AD271" s="75">
        <v>0</v>
      </c>
      <c r="AE271" s="75">
        <v>0</v>
      </c>
      <c r="AF271" s="75">
        <v>0</v>
      </c>
      <c r="AG271" s="75">
        <v>0</v>
      </c>
      <c r="AH271" s="75">
        <v>0</v>
      </c>
      <c r="AI271" s="75">
        <v>0</v>
      </c>
      <c r="AJ271" s="75">
        <v>0</v>
      </c>
      <c r="AK271" s="75">
        <v>0</v>
      </c>
      <c r="AL271" s="75">
        <v>0</v>
      </c>
      <c r="AM271" s="75">
        <v>0</v>
      </c>
      <c r="AN271" s="75">
        <v>0</v>
      </c>
      <c r="AO271" s="75">
        <v>0</v>
      </c>
      <c r="AP271" s="75">
        <v>0</v>
      </c>
      <c r="AQ271" s="75">
        <v>0</v>
      </c>
      <c r="AR271" s="84">
        <v>1</v>
      </c>
      <c r="AS271" s="75">
        <v>2</v>
      </c>
      <c r="AT271" s="75">
        <v>0</v>
      </c>
      <c r="AU271" s="84">
        <v>0</v>
      </c>
      <c r="AV271" s="75">
        <v>0</v>
      </c>
      <c r="AW271" s="75">
        <v>0</v>
      </c>
      <c r="AX271" s="75">
        <v>0</v>
      </c>
      <c r="AY271" s="75">
        <v>0</v>
      </c>
      <c r="AZ271" s="75">
        <v>0</v>
      </c>
      <c r="BA271" s="75">
        <v>0</v>
      </c>
      <c r="BB271" s="75">
        <v>0</v>
      </c>
      <c r="BC271" s="75">
        <v>0</v>
      </c>
      <c r="BD271" s="75">
        <v>0</v>
      </c>
      <c r="BE271" s="75">
        <v>0</v>
      </c>
      <c r="BF271" s="75">
        <v>0</v>
      </c>
      <c r="BG271" s="75">
        <v>0</v>
      </c>
      <c r="BH271" s="75">
        <v>0</v>
      </c>
      <c r="BI271" s="75" t="s">
        <v>254</v>
      </c>
      <c r="BJ271" s="75" t="s">
        <v>254</v>
      </c>
      <c r="BK271" s="75" t="s">
        <v>254</v>
      </c>
      <c r="BL271" s="75">
        <v>0</v>
      </c>
      <c r="BM271" s="75">
        <f t="shared" si="39"/>
        <v>0</v>
      </c>
      <c r="BN271" s="75">
        <f t="shared" si="40"/>
        <v>0</v>
      </c>
      <c r="BO271" s="75">
        <f t="shared" si="45"/>
        <v>3</v>
      </c>
      <c r="BP271" s="75">
        <f t="shared" si="46"/>
        <v>3</v>
      </c>
      <c r="BQ271" s="80" t="s">
        <v>570</v>
      </c>
      <c r="BR271" s="138" t="s">
        <v>363</v>
      </c>
      <c r="BS271" s="110" t="s">
        <v>390</v>
      </c>
      <c r="BT271" s="110">
        <v>0</v>
      </c>
      <c r="BU271" s="75">
        <v>0</v>
      </c>
    </row>
    <row r="272" spans="1:74" x14ac:dyDescent="0.75">
      <c r="C272" s="270">
        <v>1133</v>
      </c>
      <c r="D272" s="75" t="s">
        <v>357</v>
      </c>
      <c r="E272" s="75" t="s">
        <v>358</v>
      </c>
      <c r="F272" s="75" t="s">
        <v>359</v>
      </c>
      <c r="G272" s="75" t="s">
        <v>60</v>
      </c>
      <c r="H272" s="75">
        <v>18.367850000000001</v>
      </c>
      <c r="I272" s="75">
        <v>-64.732933000000003</v>
      </c>
      <c r="J272" s="121">
        <v>44972</v>
      </c>
      <c r="K272" s="75" t="s">
        <v>361</v>
      </c>
      <c r="L272" s="75" t="s">
        <v>360</v>
      </c>
      <c r="M272" s="75">
        <v>0</v>
      </c>
      <c r="N272" s="75">
        <v>2</v>
      </c>
      <c r="O272" s="75" t="s">
        <v>362</v>
      </c>
      <c r="P272" s="88">
        <v>23</v>
      </c>
      <c r="Q272" s="75">
        <v>0</v>
      </c>
      <c r="R272" s="75">
        <v>0</v>
      </c>
      <c r="S272" s="75">
        <v>0</v>
      </c>
      <c r="T272" s="75">
        <v>0</v>
      </c>
      <c r="U272" s="75">
        <v>0</v>
      </c>
      <c r="V272" s="75">
        <v>0</v>
      </c>
      <c r="W272" s="75">
        <v>0</v>
      </c>
      <c r="X272" s="75">
        <v>0</v>
      </c>
      <c r="Y272" s="75">
        <v>0</v>
      </c>
      <c r="Z272" s="75">
        <v>0</v>
      </c>
      <c r="AA272" s="75">
        <v>0</v>
      </c>
      <c r="AB272" s="75">
        <v>0</v>
      </c>
      <c r="AC272" s="75">
        <v>0</v>
      </c>
      <c r="AD272" s="75">
        <v>0</v>
      </c>
      <c r="AE272" s="75">
        <v>0</v>
      </c>
      <c r="AF272" s="75">
        <v>0</v>
      </c>
      <c r="AG272" s="75">
        <v>0</v>
      </c>
      <c r="AH272" s="75">
        <v>0</v>
      </c>
      <c r="AI272" s="75">
        <v>0</v>
      </c>
      <c r="AJ272" s="75">
        <v>0</v>
      </c>
      <c r="AK272" s="75">
        <v>0</v>
      </c>
      <c r="AL272" s="75">
        <v>0</v>
      </c>
      <c r="AM272" s="75">
        <v>0</v>
      </c>
      <c r="AN272" s="75">
        <v>0</v>
      </c>
      <c r="AO272" s="75">
        <v>0</v>
      </c>
      <c r="AP272" s="75">
        <v>0</v>
      </c>
      <c r="AQ272" s="75">
        <v>0</v>
      </c>
      <c r="AR272" s="75">
        <v>0</v>
      </c>
      <c r="AS272" s="75">
        <v>0</v>
      </c>
      <c r="AT272" s="75">
        <v>0</v>
      </c>
      <c r="AU272" s="75">
        <v>0</v>
      </c>
      <c r="AV272" s="75">
        <v>0</v>
      </c>
      <c r="AW272" s="75">
        <v>0</v>
      </c>
      <c r="AX272" s="75">
        <v>0</v>
      </c>
      <c r="AY272" s="75">
        <v>0</v>
      </c>
      <c r="AZ272" s="75">
        <v>0</v>
      </c>
      <c r="BA272" s="75">
        <v>0</v>
      </c>
      <c r="BB272" s="75">
        <v>0</v>
      </c>
      <c r="BC272" s="75">
        <v>1</v>
      </c>
      <c r="BD272" s="75">
        <v>0</v>
      </c>
      <c r="BE272" s="75">
        <v>0</v>
      </c>
      <c r="BF272" s="75">
        <v>0</v>
      </c>
      <c r="BG272" s="75">
        <v>0</v>
      </c>
      <c r="BH272" s="75">
        <v>0</v>
      </c>
      <c r="BI272" s="75" t="s">
        <v>254</v>
      </c>
      <c r="BJ272" s="75" t="s">
        <v>254</v>
      </c>
      <c r="BK272" s="75" t="s">
        <v>254</v>
      </c>
      <c r="BL272" s="75">
        <v>0</v>
      </c>
      <c r="BM272" s="75">
        <f t="shared" si="39"/>
        <v>0</v>
      </c>
      <c r="BN272" s="75">
        <f t="shared" si="40"/>
        <v>0</v>
      </c>
      <c r="BO272" s="75">
        <f t="shared" si="45"/>
        <v>1</v>
      </c>
      <c r="BP272" s="75">
        <f t="shared" si="46"/>
        <v>1</v>
      </c>
      <c r="BQ272" s="80" t="s">
        <v>363</v>
      </c>
      <c r="BR272" s="138" t="s">
        <v>363</v>
      </c>
      <c r="BS272" s="110" t="s">
        <v>539</v>
      </c>
      <c r="BT272" s="110">
        <v>0</v>
      </c>
      <c r="BU272" s="75">
        <v>0</v>
      </c>
    </row>
    <row r="273" spans="3:73" x14ac:dyDescent="0.75">
      <c r="C273" s="270">
        <v>1134</v>
      </c>
      <c r="D273" s="75" t="s">
        <v>357</v>
      </c>
      <c r="E273" s="75" t="s">
        <v>358</v>
      </c>
      <c r="F273" s="75" t="s">
        <v>359</v>
      </c>
      <c r="G273" s="75" t="s">
        <v>60</v>
      </c>
      <c r="H273" s="75">
        <v>18.367850000000001</v>
      </c>
      <c r="I273" s="75">
        <v>-64.732933000000003</v>
      </c>
      <c r="J273" s="121">
        <v>44972</v>
      </c>
      <c r="K273" s="75" t="s">
        <v>361</v>
      </c>
      <c r="L273" s="75" t="s">
        <v>360</v>
      </c>
      <c r="M273" s="75">
        <v>0</v>
      </c>
      <c r="N273" s="75">
        <v>2</v>
      </c>
      <c r="O273" s="75" t="s">
        <v>362</v>
      </c>
      <c r="P273" s="75">
        <v>4</v>
      </c>
      <c r="Q273" s="75">
        <v>0</v>
      </c>
      <c r="R273" s="75">
        <v>0</v>
      </c>
      <c r="S273" s="75">
        <v>0</v>
      </c>
      <c r="T273" s="75">
        <v>0</v>
      </c>
      <c r="U273" s="75">
        <v>0</v>
      </c>
      <c r="V273" s="75">
        <v>0</v>
      </c>
      <c r="W273" s="75">
        <v>0</v>
      </c>
      <c r="X273" s="75">
        <v>0</v>
      </c>
      <c r="Y273" s="75">
        <v>0</v>
      </c>
      <c r="Z273" s="75">
        <v>0</v>
      </c>
      <c r="AA273" s="75">
        <v>0</v>
      </c>
      <c r="AB273" s="75">
        <v>0</v>
      </c>
      <c r="AC273" s="75">
        <v>0</v>
      </c>
      <c r="AD273" s="75">
        <v>0</v>
      </c>
      <c r="AE273" s="75">
        <v>0</v>
      </c>
      <c r="AF273" s="75">
        <v>0</v>
      </c>
      <c r="AG273" s="75">
        <v>0</v>
      </c>
      <c r="AH273" s="75">
        <v>0</v>
      </c>
      <c r="AI273" s="75">
        <v>0</v>
      </c>
      <c r="AJ273" s="75">
        <v>0</v>
      </c>
      <c r="AK273" s="75">
        <v>0</v>
      </c>
      <c r="AL273" s="75">
        <v>0</v>
      </c>
      <c r="AM273" s="75">
        <v>0</v>
      </c>
      <c r="AN273" s="75">
        <v>0</v>
      </c>
      <c r="AO273" s="75">
        <v>0</v>
      </c>
      <c r="AP273" s="75">
        <v>0</v>
      </c>
      <c r="AQ273" s="75">
        <v>1</v>
      </c>
      <c r="AR273" s="75">
        <v>0</v>
      </c>
      <c r="AS273" s="75">
        <v>0</v>
      </c>
      <c r="AT273" s="75">
        <v>0</v>
      </c>
      <c r="AU273" s="75">
        <v>0</v>
      </c>
      <c r="AV273" s="75">
        <v>0</v>
      </c>
      <c r="AW273" s="75">
        <v>0</v>
      </c>
      <c r="AX273" s="75">
        <v>0</v>
      </c>
      <c r="AY273" s="75">
        <v>0</v>
      </c>
      <c r="AZ273" s="75">
        <v>0</v>
      </c>
      <c r="BA273" s="75">
        <v>0</v>
      </c>
      <c r="BB273" s="75">
        <v>0</v>
      </c>
      <c r="BC273" s="75">
        <v>0</v>
      </c>
      <c r="BD273" s="75">
        <v>0</v>
      </c>
      <c r="BE273" s="75">
        <v>0</v>
      </c>
      <c r="BF273" s="75">
        <v>0</v>
      </c>
      <c r="BG273" s="75">
        <v>0</v>
      </c>
      <c r="BH273" s="75">
        <v>0</v>
      </c>
      <c r="BI273" s="75" t="s">
        <v>254</v>
      </c>
      <c r="BJ273" s="75" t="s">
        <v>254</v>
      </c>
      <c r="BK273" s="75" t="s">
        <v>254</v>
      </c>
      <c r="BL273" s="75">
        <v>0</v>
      </c>
      <c r="BM273" s="75">
        <f t="shared" si="39"/>
        <v>0</v>
      </c>
      <c r="BN273" s="75">
        <f t="shared" si="40"/>
        <v>0</v>
      </c>
      <c r="BO273" s="75">
        <f t="shared" si="45"/>
        <v>1</v>
      </c>
      <c r="BP273" s="75">
        <f t="shared" si="46"/>
        <v>1</v>
      </c>
      <c r="BQ273" s="80" t="s">
        <v>571</v>
      </c>
      <c r="BR273" s="138" t="s">
        <v>363</v>
      </c>
      <c r="BS273" s="110" t="s">
        <v>539</v>
      </c>
      <c r="BT273" s="110">
        <v>0</v>
      </c>
      <c r="BU273" s="75">
        <v>1</v>
      </c>
    </row>
    <row r="274" spans="3:73" x14ac:dyDescent="0.75">
      <c r="C274" s="270">
        <v>1135</v>
      </c>
      <c r="D274" s="75" t="s">
        <v>357</v>
      </c>
      <c r="E274" s="75" t="s">
        <v>358</v>
      </c>
      <c r="F274" s="75" t="s">
        <v>359</v>
      </c>
      <c r="G274" s="75" t="s">
        <v>23</v>
      </c>
      <c r="H274" s="75">
        <v>18.365749999999998</v>
      </c>
      <c r="I274" s="75">
        <v>-64.773619999999994</v>
      </c>
      <c r="J274" s="121">
        <v>44973</v>
      </c>
      <c r="K274" s="75" t="s">
        <v>361</v>
      </c>
      <c r="L274" s="75" t="s">
        <v>360</v>
      </c>
      <c r="M274" s="75">
        <v>0</v>
      </c>
      <c r="N274" s="75">
        <v>4</v>
      </c>
      <c r="O274" s="75" t="s">
        <v>362</v>
      </c>
      <c r="P274" s="88">
        <f>SUM(TreatmentUsed!E3890:E3897)</f>
        <v>47</v>
      </c>
      <c r="Q274" s="75">
        <v>0</v>
      </c>
      <c r="R274" s="75">
        <v>0</v>
      </c>
      <c r="S274" s="75">
        <v>0</v>
      </c>
      <c r="T274" s="75">
        <v>0</v>
      </c>
      <c r="U274" s="75">
        <v>0</v>
      </c>
      <c r="V274" s="75">
        <v>0</v>
      </c>
      <c r="W274" s="75">
        <v>0</v>
      </c>
      <c r="X274" s="75">
        <v>0</v>
      </c>
      <c r="Y274" s="75">
        <v>0</v>
      </c>
      <c r="Z274" s="75">
        <v>0</v>
      </c>
      <c r="AA274" s="75">
        <v>0</v>
      </c>
      <c r="AB274" s="75">
        <v>0</v>
      </c>
      <c r="AC274" s="75">
        <v>0</v>
      </c>
      <c r="AD274" s="75">
        <v>0</v>
      </c>
      <c r="AE274" s="75">
        <v>0</v>
      </c>
      <c r="AF274" s="75">
        <v>0</v>
      </c>
      <c r="AG274" s="75">
        <v>0</v>
      </c>
      <c r="AH274" s="75">
        <v>0</v>
      </c>
      <c r="AI274" s="75">
        <v>0</v>
      </c>
      <c r="AJ274" s="75">
        <v>0</v>
      </c>
      <c r="AK274" s="75">
        <v>0</v>
      </c>
      <c r="AL274" s="75">
        <v>0</v>
      </c>
      <c r="AM274" s="75">
        <v>0</v>
      </c>
      <c r="AN274" s="75">
        <v>0</v>
      </c>
      <c r="AO274" s="75">
        <v>1</v>
      </c>
      <c r="AP274" s="75">
        <v>0</v>
      </c>
      <c r="AQ274" s="75">
        <v>0</v>
      </c>
      <c r="AR274" s="75">
        <v>0</v>
      </c>
      <c r="AS274" s="75">
        <v>0</v>
      </c>
      <c r="AT274" s="75">
        <v>0</v>
      </c>
      <c r="AU274" s="75">
        <v>0</v>
      </c>
      <c r="AV274" s="75">
        <v>0</v>
      </c>
      <c r="AW274" s="75">
        <v>0</v>
      </c>
      <c r="AX274" s="75">
        <v>0</v>
      </c>
      <c r="AY274" s="75">
        <v>0</v>
      </c>
      <c r="AZ274" s="75">
        <v>1</v>
      </c>
      <c r="BA274" s="75">
        <v>2</v>
      </c>
      <c r="BB274" s="75">
        <v>0</v>
      </c>
      <c r="BC274" s="75">
        <v>2</v>
      </c>
      <c r="BD274" s="75">
        <v>0</v>
      </c>
      <c r="BE274" s="75">
        <v>0</v>
      </c>
      <c r="BF274" s="75">
        <v>2</v>
      </c>
      <c r="BG274" s="75">
        <v>0</v>
      </c>
      <c r="BH274" s="75">
        <v>0</v>
      </c>
      <c r="BI274" s="75" t="s">
        <v>254</v>
      </c>
      <c r="BJ274" s="75" t="s">
        <v>254</v>
      </c>
      <c r="BK274" s="75" t="s">
        <v>254</v>
      </c>
      <c r="BL274" s="75">
        <v>0</v>
      </c>
      <c r="BM274" s="75">
        <f t="shared" si="39"/>
        <v>0</v>
      </c>
      <c r="BN274" s="75">
        <f t="shared" si="40"/>
        <v>0</v>
      </c>
      <c r="BO274" s="75">
        <f t="shared" ref="BO274:BO276" si="50">SUM(AO274:BH274)</f>
        <v>8</v>
      </c>
      <c r="BP274" s="75">
        <f t="shared" si="46"/>
        <v>8</v>
      </c>
      <c r="BQ274" s="80" t="s">
        <v>363</v>
      </c>
      <c r="BR274" s="138" t="s">
        <v>572</v>
      </c>
      <c r="BS274" s="110" t="s">
        <v>539</v>
      </c>
      <c r="BT274" s="110">
        <v>0</v>
      </c>
      <c r="BU274" s="75">
        <v>0</v>
      </c>
    </row>
    <row r="275" spans="3:73" x14ac:dyDescent="0.75">
      <c r="C275" s="270">
        <v>1141</v>
      </c>
      <c r="D275" s="75" t="s">
        <v>357</v>
      </c>
      <c r="E275" s="75" t="s">
        <v>358</v>
      </c>
      <c r="F275" s="75" t="s">
        <v>359</v>
      </c>
      <c r="G275" s="75" t="s">
        <v>23</v>
      </c>
      <c r="H275" s="75">
        <v>18.365749999999998</v>
      </c>
      <c r="I275" s="75">
        <v>-64.773619999999994</v>
      </c>
      <c r="J275" s="121">
        <v>44973</v>
      </c>
      <c r="K275" s="75" t="s">
        <v>361</v>
      </c>
      <c r="L275" s="75" t="s">
        <v>360</v>
      </c>
      <c r="M275" s="75">
        <v>0</v>
      </c>
      <c r="N275" s="75">
        <v>4</v>
      </c>
      <c r="O275" s="75" t="s">
        <v>362</v>
      </c>
      <c r="P275" s="75">
        <f>SUM(TreatmentUsed!E3898:E3908)</f>
        <v>68</v>
      </c>
      <c r="Q275" s="75">
        <v>0</v>
      </c>
      <c r="R275" s="75">
        <v>0</v>
      </c>
      <c r="S275" s="75">
        <v>0</v>
      </c>
      <c r="T275" s="75">
        <v>0</v>
      </c>
      <c r="U275" s="75">
        <v>0</v>
      </c>
      <c r="V275" s="75">
        <v>0</v>
      </c>
      <c r="W275" s="75">
        <v>0</v>
      </c>
      <c r="X275" s="75">
        <v>0</v>
      </c>
      <c r="Y275" s="75">
        <v>0</v>
      </c>
      <c r="Z275" s="75">
        <v>0</v>
      </c>
      <c r="AA275" s="75">
        <v>0</v>
      </c>
      <c r="AB275" s="75">
        <v>0</v>
      </c>
      <c r="AC275" s="75">
        <v>0</v>
      </c>
      <c r="AD275" s="75">
        <v>0</v>
      </c>
      <c r="AE275" s="75">
        <v>0</v>
      </c>
      <c r="AF275" s="75">
        <v>0</v>
      </c>
      <c r="AG275" s="75">
        <v>0</v>
      </c>
      <c r="AH275" s="75">
        <v>0</v>
      </c>
      <c r="AI275" s="75">
        <v>0</v>
      </c>
      <c r="AJ275" s="75">
        <v>0</v>
      </c>
      <c r="AK275" s="75">
        <v>0</v>
      </c>
      <c r="AL275" s="75">
        <v>0</v>
      </c>
      <c r="AM275" s="75">
        <v>0</v>
      </c>
      <c r="AN275" s="75">
        <v>0</v>
      </c>
      <c r="AO275" s="75">
        <v>0</v>
      </c>
      <c r="AP275" s="75">
        <v>0</v>
      </c>
      <c r="AQ275" s="75">
        <v>0</v>
      </c>
      <c r="AR275" s="75">
        <v>0</v>
      </c>
      <c r="AS275" s="75">
        <v>0</v>
      </c>
      <c r="AT275" s="75">
        <v>0</v>
      </c>
      <c r="AU275" s="75">
        <v>0</v>
      </c>
      <c r="AV275" s="75">
        <v>0</v>
      </c>
      <c r="AW275" s="75">
        <v>0</v>
      </c>
      <c r="AX275" s="75">
        <v>0</v>
      </c>
      <c r="AY275" s="75">
        <v>1</v>
      </c>
      <c r="AZ275" s="75">
        <v>1</v>
      </c>
      <c r="BA275" s="75">
        <v>3</v>
      </c>
      <c r="BB275" s="75">
        <v>0</v>
      </c>
      <c r="BC275" s="75">
        <v>1</v>
      </c>
      <c r="BD275" s="75">
        <v>0</v>
      </c>
      <c r="BE275" s="75">
        <v>0</v>
      </c>
      <c r="BF275" s="75">
        <v>5</v>
      </c>
      <c r="BG275" s="75">
        <v>0</v>
      </c>
      <c r="BH275" s="75">
        <v>0</v>
      </c>
      <c r="BI275" s="75" t="s">
        <v>254</v>
      </c>
      <c r="BJ275" s="75" t="s">
        <v>254</v>
      </c>
      <c r="BK275" s="75" t="s">
        <v>254</v>
      </c>
      <c r="BL275" s="75">
        <v>0</v>
      </c>
      <c r="BM275" s="75">
        <f t="shared" si="39"/>
        <v>0</v>
      </c>
      <c r="BN275" s="75">
        <f t="shared" si="40"/>
        <v>0</v>
      </c>
      <c r="BO275" s="75">
        <f t="shared" si="50"/>
        <v>11</v>
      </c>
      <c r="BP275" s="75">
        <f t="shared" si="46"/>
        <v>11</v>
      </c>
      <c r="BQ275" s="80" t="s">
        <v>363</v>
      </c>
      <c r="BR275" s="252">
        <v>902</v>
      </c>
      <c r="BS275" s="110" t="s">
        <v>539</v>
      </c>
      <c r="BT275" s="110">
        <v>0</v>
      </c>
      <c r="BU275" s="75">
        <v>0</v>
      </c>
    </row>
    <row r="276" spans="3:73" x14ac:dyDescent="0.75">
      <c r="C276" s="270">
        <v>1136</v>
      </c>
      <c r="D276" s="75" t="s">
        <v>357</v>
      </c>
      <c r="E276" s="75" t="s">
        <v>358</v>
      </c>
      <c r="F276" s="75" t="s">
        <v>359</v>
      </c>
      <c r="G276" s="75" t="s">
        <v>64</v>
      </c>
      <c r="H276" s="75">
        <v>18.368383000000001</v>
      </c>
      <c r="I276" s="75">
        <v>-64.751450000000006</v>
      </c>
      <c r="J276" s="121">
        <v>44973</v>
      </c>
      <c r="K276" s="75" t="s">
        <v>361</v>
      </c>
      <c r="L276" s="75" t="s">
        <v>360</v>
      </c>
      <c r="M276" s="75">
        <v>0</v>
      </c>
      <c r="N276" s="75">
        <v>4</v>
      </c>
      <c r="O276" s="75" t="s">
        <v>362</v>
      </c>
      <c r="P276" s="88">
        <f>SUM(TreatmentUsed!E3909)</f>
        <v>3</v>
      </c>
      <c r="Q276" s="75">
        <v>0</v>
      </c>
      <c r="R276" s="75">
        <v>0</v>
      </c>
      <c r="S276" s="75">
        <v>0</v>
      </c>
      <c r="T276" s="75">
        <v>0</v>
      </c>
      <c r="U276" s="75">
        <v>0</v>
      </c>
      <c r="V276" s="75">
        <v>0</v>
      </c>
      <c r="W276" s="75">
        <v>0</v>
      </c>
      <c r="X276" s="75">
        <v>0</v>
      </c>
      <c r="Y276" s="75">
        <v>0</v>
      </c>
      <c r="Z276" s="75">
        <v>0</v>
      </c>
      <c r="AA276" s="75">
        <v>0</v>
      </c>
      <c r="AB276" s="75">
        <v>0</v>
      </c>
      <c r="AC276" s="75">
        <v>0</v>
      </c>
      <c r="AD276" s="75">
        <v>0</v>
      </c>
      <c r="AE276" s="75">
        <v>0</v>
      </c>
      <c r="AF276" s="75">
        <v>0</v>
      </c>
      <c r="AG276" s="75">
        <v>0</v>
      </c>
      <c r="AH276" s="75">
        <v>0</v>
      </c>
      <c r="AI276" s="75">
        <v>0</v>
      </c>
      <c r="AJ276" s="75">
        <v>0</v>
      </c>
      <c r="AK276" s="75">
        <v>0</v>
      </c>
      <c r="AL276" s="75">
        <v>0</v>
      </c>
      <c r="AM276" s="75">
        <v>0</v>
      </c>
      <c r="AN276" s="75">
        <v>0</v>
      </c>
      <c r="AO276" s="75">
        <v>0</v>
      </c>
      <c r="AP276" s="75">
        <v>0</v>
      </c>
      <c r="AQ276" s="75">
        <v>0</v>
      </c>
      <c r="AR276" s="75">
        <v>0</v>
      </c>
      <c r="AS276" s="75">
        <v>0</v>
      </c>
      <c r="AT276" s="75">
        <v>0</v>
      </c>
      <c r="AU276" s="75">
        <v>0</v>
      </c>
      <c r="AV276" s="75">
        <v>0</v>
      </c>
      <c r="AW276" s="75">
        <v>0</v>
      </c>
      <c r="AX276" s="75">
        <v>0</v>
      </c>
      <c r="AY276" s="75">
        <v>0</v>
      </c>
      <c r="AZ276" s="75">
        <v>0</v>
      </c>
      <c r="BA276" s="75">
        <v>0</v>
      </c>
      <c r="BB276" s="75">
        <v>0</v>
      </c>
      <c r="BC276" s="75">
        <v>0</v>
      </c>
      <c r="BD276" s="75">
        <v>0</v>
      </c>
      <c r="BE276" s="75">
        <v>0</v>
      </c>
      <c r="BF276" s="75">
        <v>1</v>
      </c>
      <c r="BG276" s="75">
        <v>0</v>
      </c>
      <c r="BH276" s="75">
        <v>0</v>
      </c>
      <c r="BI276" s="75" t="s">
        <v>254</v>
      </c>
      <c r="BJ276" s="75" t="s">
        <v>254</v>
      </c>
      <c r="BK276" s="75" t="s">
        <v>254</v>
      </c>
      <c r="BL276" s="75">
        <v>0</v>
      </c>
      <c r="BM276" s="75">
        <f t="shared" si="39"/>
        <v>0</v>
      </c>
      <c r="BN276" s="75">
        <f t="shared" si="40"/>
        <v>0</v>
      </c>
      <c r="BO276" s="75">
        <f t="shared" si="50"/>
        <v>1</v>
      </c>
      <c r="BP276" s="75">
        <f t="shared" si="46"/>
        <v>1</v>
      </c>
      <c r="BQ276" s="80" t="s">
        <v>363</v>
      </c>
      <c r="BR276" s="138" t="s">
        <v>363</v>
      </c>
      <c r="BS276" s="110" t="s">
        <v>539</v>
      </c>
      <c r="BT276" s="110">
        <v>0</v>
      </c>
      <c r="BU276" s="75">
        <v>0</v>
      </c>
    </row>
    <row r="277" spans="3:73" x14ac:dyDescent="0.75">
      <c r="C277" s="270">
        <v>1137</v>
      </c>
      <c r="D277" s="75" t="s">
        <v>357</v>
      </c>
      <c r="E277" s="75" t="s">
        <v>358</v>
      </c>
      <c r="F277" s="75" t="s">
        <v>359</v>
      </c>
      <c r="G277" s="75" t="s">
        <v>64</v>
      </c>
      <c r="H277" s="75">
        <v>18.368383000000001</v>
      </c>
      <c r="I277" s="75">
        <v>-64.751450000000006</v>
      </c>
      <c r="J277" s="121">
        <v>44973</v>
      </c>
      <c r="K277" s="75" t="s">
        <v>361</v>
      </c>
      <c r="L277" s="75" t="s">
        <v>360</v>
      </c>
      <c r="M277" s="75">
        <v>0</v>
      </c>
      <c r="N277" s="75">
        <v>4</v>
      </c>
      <c r="O277" s="75" t="s">
        <v>362</v>
      </c>
      <c r="P277" s="88">
        <f>SUM(TreatmentUsed!E3910:E3912)</f>
        <v>58</v>
      </c>
      <c r="Q277" s="75">
        <v>225</v>
      </c>
      <c r="R277" s="75">
        <v>0</v>
      </c>
      <c r="S277" s="75">
        <v>0</v>
      </c>
      <c r="T277" s="75">
        <v>0</v>
      </c>
      <c r="U277" s="75">
        <v>0</v>
      </c>
      <c r="V277" s="75">
        <v>0</v>
      </c>
      <c r="W277" s="75">
        <v>0</v>
      </c>
      <c r="X277" s="75">
        <v>0</v>
      </c>
      <c r="Y277" s="75">
        <v>0</v>
      </c>
      <c r="Z277" s="75">
        <v>0</v>
      </c>
      <c r="AA277" s="75">
        <v>0</v>
      </c>
      <c r="AB277" s="75">
        <v>0</v>
      </c>
      <c r="AC277" s="75">
        <v>0</v>
      </c>
      <c r="AD277" s="75">
        <v>0</v>
      </c>
      <c r="AE277" s="75">
        <v>0</v>
      </c>
      <c r="AF277" s="84">
        <v>1</v>
      </c>
      <c r="AG277" s="75">
        <v>0</v>
      </c>
      <c r="AH277" s="75">
        <v>0</v>
      </c>
      <c r="AI277" s="75">
        <v>0</v>
      </c>
      <c r="AJ277" s="75">
        <v>0</v>
      </c>
      <c r="AK277" s="75">
        <v>0</v>
      </c>
      <c r="AL277" s="75">
        <v>0</v>
      </c>
      <c r="AM277" s="75">
        <v>0</v>
      </c>
      <c r="AN277" s="75">
        <v>0</v>
      </c>
      <c r="AO277" s="75">
        <v>0</v>
      </c>
      <c r="AP277" s="75">
        <v>0</v>
      </c>
      <c r="AQ277" s="75">
        <v>1</v>
      </c>
      <c r="AR277" s="75">
        <v>0</v>
      </c>
      <c r="AS277" s="75">
        <v>0</v>
      </c>
      <c r="AT277" s="75">
        <v>0</v>
      </c>
      <c r="AU277" s="75">
        <v>0</v>
      </c>
      <c r="AV277" s="75">
        <v>0</v>
      </c>
      <c r="AW277" s="75">
        <v>0</v>
      </c>
      <c r="AX277" s="75">
        <v>0</v>
      </c>
      <c r="AY277" s="75">
        <v>0</v>
      </c>
      <c r="AZ277" s="75">
        <v>0</v>
      </c>
      <c r="BA277" s="75">
        <v>0</v>
      </c>
      <c r="BB277" s="75">
        <v>0</v>
      </c>
      <c r="BC277" s="75">
        <v>0</v>
      </c>
      <c r="BD277" s="75">
        <v>0</v>
      </c>
      <c r="BE277" s="75">
        <v>0</v>
      </c>
      <c r="BF277" s="75">
        <v>1</v>
      </c>
      <c r="BG277" s="75">
        <v>0</v>
      </c>
      <c r="BH277" s="75">
        <v>0</v>
      </c>
      <c r="BI277" s="75" t="s">
        <v>254</v>
      </c>
      <c r="BJ277" s="75" t="s">
        <v>254</v>
      </c>
      <c r="BK277" s="75" t="s">
        <v>254</v>
      </c>
      <c r="BL277" s="75">
        <v>0</v>
      </c>
      <c r="BM277" s="75">
        <f>SUM(R277:AD277)</f>
        <v>0</v>
      </c>
      <c r="BN277" s="75">
        <f>SUM(AE277:AN277)</f>
        <v>1</v>
      </c>
      <c r="BO277" s="75">
        <f>SUM(AO277:BH277)</f>
        <v>2</v>
      </c>
      <c r="BP277" s="75">
        <f t="shared" si="46"/>
        <v>3</v>
      </c>
      <c r="BQ277" s="80" t="s">
        <v>573</v>
      </c>
      <c r="BR277" s="138" t="s">
        <v>363</v>
      </c>
      <c r="BS277" s="110" t="s">
        <v>539</v>
      </c>
      <c r="BT277" s="110">
        <v>0</v>
      </c>
      <c r="BU277" s="84">
        <v>1</v>
      </c>
    </row>
    <row r="278" spans="3:73" x14ac:dyDescent="0.75">
      <c r="C278" s="270">
        <v>1138</v>
      </c>
      <c r="D278" s="75" t="s">
        <v>357</v>
      </c>
      <c r="E278" s="75" t="s">
        <v>358</v>
      </c>
      <c r="F278" s="75" t="s">
        <v>359</v>
      </c>
      <c r="G278" s="75" t="s">
        <v>23</v>
      </c>
      <c r="H278" s="75">
        <v>18.365749999999998</v>
      </c>
      <c r="I278" s="75">
        <v>-64.773619999999994</v>
      </c>
      <c r="J278" s="121">
        <v>44978</v>
      </c>
      <c r="K278" s="75" t="s">
        <v>361</v>
      </c>
      <c r="L278" s="75" t="s">
        <v>360</v>
      </c>
      <c r="M278" s="75">
        <v>0</v>
      </c>
      <c r="N278" s="75">
        <v>2</v>
      </c>
      <c r="O278" s="75" t="s">
        <v>362</v>
      </c>
      <c r="P278" s="88">
        <f>SUM(TreatmentUsed!E3913:E3925)</f>
        <v>109</v>
      </c>
      <c r="Q278" s="75">
        <v>0</v>
      </c>
      <c r="R278" s="75">
        <v>0</v>
      </c>
      <c r="S278" s="75">
        <v>0</v>
      </c>
      <c r="T278" s="75">
        <v>0</v>
      </c>
      <c r="U278" s="75">
        <v>0</v>
      </c>
      <c r="V278" s="75">
        <v>0</v>
      </c>
      <c r="W278" s="75">
        <v>0</v>
      </c>
      <c r="X278" s="75">
        <v>0</v>
      </c>
      <c r="Y278" s="75">
        <v>0</v>
      </c>
      <c r="Z278" s="75">
        <v>0</v>
      </c>
      <c r="AA278" s="75">
        <v>0</v>
      </c>
      <c r="AB278" s="75">
        <v>0</v>
      </c>
      <c r="AC278" s="75">
        <v>0</v>
      </c>
      <c r="AD278" s="75">
        <v>0</v>
      </c>
      <c r="AE278" s="75">
        <v>0</v>
      </c>
      <c r="AF278" s="75">
        <v>0</v>
      </c>
      <c r="AG278" s="75">
        <v>0</v>
      </c>
      <c r="AH278" s="75">
        <v>0</v>
      </c>
      <c r="AI278" s="75">
        <v>0</v>
      </c>
      <c r="AJ278" s="75">
        <v>0</v>
      </c>
      <c r="AK278" s="75">
        <v>0</v>
      </c>
      <c r="AL278" s="75">
        <v>0</v>
      </c>
      <c r="AM278" s="75">
        <v>0</v>
      </c>
      <c r="AN278" s="75">
        <v>0</v>
      </c>
      <c r="AO278" s="75">
        <v>3</v>
      </c>
      <c r="AP278" s="75">
        <v>0</v>
      </c>
      <c r="AQ278" s="75">
        <v>0</v>
      </c>
      <c r="AR278" s="75">
        <v>0</v>
      </c>
      <c r="AS278" s="75">
        <v>0</v>
      </c>
      <c r="AT278" s="75">
        <v>0</v>
      </c>
      <c r="AU278" s="75">
        <v>0</v>
      </c>
      <c r="AV278" s="75">
        <v>0</v>
      </c>
      <c r="AW278" s="75">
        <v>0</v>
      </c>
      <c r="AX278" s="75">
        <v>0</v>
      </c>
      <c r="AY278" s="75">
        <v>0</v>
      </c>
      <c r="AZ278" s="84">
        <v>2</v>
      </c>
      <c r="BA278" s="84">
        <v>5</v>
      </c>
      <c r="BB278" s="75">
        <v>0</v>
      </c>
      <c r="BC278" s="75">
        <v>1</v>
      </c>
      <c r="BD278" s="75">
        <v>0</v>
      </c>
      <c r="BE278" s="75">
        <v>0</v>
      </c>
      <c r="BF278" s="75">
        <v>2</v>
      </c>
      <c r="BG278" s="75">
        <v>0</v>
      </c>
      <c r="BH278" s="75">
        <v>0</v>
      </c>
      <c r="BI278" s="75" t="s">
        <v>254</v>
      </c>
      <c r="BJ278" s="75" t="s">
        <v>254</v>
      </c>
      <c r="BK278" s="75" t="s">
        <v>254</v>
      </c>
      <c r="BL278" s="75">
        <v>0</v>
      </c>
      <c r="BM278" s="75">
        <f t="shared" si="39"/>
        <v>0</v>
      </c>
      <c r="BN278" s="75">
        <f t="shared" si="40"/>
        <v>0</v>
      </c>
      <c r="BO278" s="75">
        <f t="shared" ref="BO278:BO291" si="51">SUM(AO278:BH278)</f>
        <v>13</v>
      </c>
      <c r="BP278" s="75">
        <f t="shared" si="46"/>
        <v>13</v>
      </c>
      <c r="BQ278" s="80" t="s">
        <v>363</v>
      </c>
      <c r="BR278" s="138" t="s">
        <v>363</v>
      </c>
      <c r="BS278" s="110" t="s">
        <v>539</v>
      </c>
      <c r="BT278" s="110">
        <v>0</v>
      </c>
      <c r="BU278" s="84">
        <v>0</v>
      </c>
    </row>
    <row r="279" spans="3:73" x14ac:dyDescent="0.75">
      <c r="C279" s="270">
        <v>1139</v>
      </c>
      <c r="D279" s="75" t="s">
        <v>357</v>
      </c>
      <c r="E279" s="75" t="s">
        <v>358</v>
      </c>
      <c r="F279" s="75" t="s">
        <v>359</v>
      </c>
      <c r="G279" s="75" t="s">
        <v>23</v>
      </c>
      <c r="H279" s="75">
        <v>18.365749999999998</v>
      </c>
      <c r="I279" s="75">
        <v>-64.773619999999994</v>
      </c>
      <c r="J279" s="121">
        <v>44978</v>
      </c>
      <c r="K279" s="75" t="s">
        <v>361</v>
      </c>
      <c r="L279" s="75" t="s">
        <v>360</v>
      </c>
      <c r="M279" s="75">
        <v>0</v>
      </c>
      <c r="N279" s="75">
        <v>2</v>
      </c>
      <c r="O279" s="75" t="s">
        <v>362</v>
      </c>
      <c r="P279" s="75">
        <f>SUM(TreatmentUsed!E3926:E3931)</f>
        <v>8</v>
      </c>
      <c r="Q279" s="75">
        <v>0</v>
      </c>
      <c r="R279" s="75">
        <v>0</v>
      </c>
      <c r="S279" s="75">
        <v>0</v>
      </c>
      <c r="T279" s="75">
        <v>0</v>
      </c>
      <c r="U279" s="75">
        <v>0</v>
      </c>
      <c r="V279" s="75">
        <v>0</v>
      </c>
      <c r="W279" s="75">
        <v>0</v>
      </c>
      <c r="X279" s="75">
        <v>0</v>
      </c>
      <c r="Y279" s="75">
        <v>0</v>
      </c>
      <c r="Z279" s="75">
        <v>0</v>
      </c>
      <c r="AA279" s="75">
        <v>0</v>
      </c>
      <c r="AB279" s="75">
        <v>0</v>
      </c>
      <c r="AC279" s="75">
        <v>0</v>
      </c>
      <c r="AD279" s="75">
        <v>0</v>
      </c>
      <c r="AE279" s="75">
        <v>0</v>
      </c>
      <c r="AF279" s="75">
        <v>0</v>
      </c>
      <c r="AG279" s="75">
        <v>0</v>
      </c>
      <c r="AH279" s="75">
        <v>0</v>
      </c>
      <c r="AI279" s="75">
        <v>0</v>
      </c>
      <c r="AJ279" s="75">
        <v>0</v>
      </c>
      <c r="AK279" s="75">
        <v>0</v>
      </c>
      <c r="AL279" s="75">
        <v>0</v>
      </c>
      <c r="AM279" s="75">
        <v>0</v>
      </c>
      <c r="AN279" s="75">
        <v>0</v>
      </c>
      <c r="AO279" s="75">
        <v>0</v>
      </c>
      <c r="AP279" s="75">
        <v>0</v>
      </c>
      <c r="AQ279" s="75">
        <v>0</v>
      </c>
      <c r="AR279" s="75">
        <v>0</v>
      </c>
      <c r="AS279" s="75">
        <v>0</v>
      </c>
      <c r="AT279" s="75">
        <v>0</v>
      </c>
      <c r="AU279" s="75">
        <v>0</v>
      </c>
      <c r="AV279" s="75">
        <v>0</v>
      </c>
      <c r="AW279" s="75">
        <v>0</v>
      </c>
      <c r="AX279" s="75">
        <v>0</v>
      </c>
      <c r="AY279" s="75">
        <v>0</v>
      </c>
      <c r="AZ279" s="84">
        <v>2</v>
      </c>
      <c r="BA279" s="84">
        <v>1</v>
      </c>
      <c r="BB279" s="75">
        <v>0</v>
      </c>
      <c r="BC279" s="75">
        <v>2</v>
      </c>
      <c r="BD279" s="75">
        <v>0</v>
      </c>
      <c r="BE279" s="75">
        <v>0</v>
      </c>
      <c r="BF279" s="75">
        <v>1</v>
      </c>
      <c r="BG279" s="75">
        <v>0</v>
      </c>
      <c r="BH279" s="75">
        <v>0</v>
      </c>
      <c r="BI279" s="75" t="s">
        <v>254</v>
      </c>
      <c r="BJ279" s="75" t="s">
        <v>254</v>
      </c>
      <c r="BK279" s="75" t="s">
        <v>254</v>
      </c>
      <c r="BL279" s="75">
        <v>0</v>
      </c>
      <c r="BM279" s="75">
        <f t="shared" si="39"/>
        <v>0</v>
      </c>
      <c r="BN279" s="75">
        <f t="shared" si="40"/>
        <v>0</v>
      </c>
      <c r="BO279" s="75">
        <f t="shared" si="51"/>
        <v>6</v>
      </c>
      <c r="BP279" s="75">
        <f t="shared" si="46"/>
        <v>6</v>
      </c>
      <c r="BQ279" s="80" t="s">
        <v>363</v>
      </c>
      <c r="BR279" s="138" t="s">
        <v>363</v>
      </c>
      <c r="BS279" s="110" t="s">
        <v>539</v>
      </c>
      <c r="BT279" s="110">
        <v>0</v>
      </c>
      <c r="BU279" s="75">
        <v>0</v>
      </c>
    </row>
    <row r="280" spans="3:73" x14ac:dyDescent="0.75">
      <c r="C280" s="270">
        <v>1140</v>
      </c>
      <c r="D280" s="75" t="s">
        <v>357</v>
      </c>
      <c r="E280" s="75" t="s">
        <v>358</v>
      </c>
      <c r="F280" s="75" t="s">
        <v>359</v>
      </c>
      <c r="G280" s="75" t="s">
        <v>23</v>
      </c>
      <c r="H280" s="75">
        <v>18.365749999999998</v>
      </c>
      <c r="I280" s="75">
        <v>-64.773619999999994</v>
      </c>
      <c r="J280" s="121">
        <v>44978</v>
      </c>
      <c r="K280" s="75" t="s">
        <v>361</v>
      </c>
      <c r="L280" s="75" t="s">
        <v>360</v>
      </c>
      <c r="M280" s="75">
        <v>0</v>
      </c>
      <c r="N280" s="75">
        <v>2</v>
      </c>
      <c r="O280" s="75" t="s">
        <v>362</v>
      </c>
      <c r="P280" s="88">
        <f>SUM(TreatmentUsed!E3932)</f>
        <v>1</v>
      </c>
      <c r="Q280" s="75">
        <v>0</v>
      </c>
      <c r="R280" s="75">
        <v>0</v>
      </c>
      <c r="S280" s="75">
        <v>0</v>
      </c>
      <c r="T280" s="75">
        <v>0</v>
      </c>
      <c r="U280" s="75">
        <v>0</v>
      </c>
      <c r="V280" s="75">
        <v>0</v>
      </c>
      <c r="W280" s="75">
        <v>0</v>
      </c>
      <c r="X280" s="75">
        <v>0</v>
      </c>
      <c r="Y280" s="75">
        <v>0</v>
      </c>
      <c r="Z280" s="75">
        <v>0</v>
      </c>
      <c r="AA280" s="75">
        <v>0</v>
      </c>
      <c r="AB280" s="75">
        <v>0</v>
      </c>
      <c r="AC280" s="75">
        <v>0</v>
      </c>
      <c r="AD280" s="75">
        <v>0</v>
      </c>
      <c r="AE280" s="75">
        <v>0</v>
      </c>
      <c r="AF280" s="75">
        <v>0</v>
      </c>
      <c r="AG280" s="75">
        <v>0</v>
      </c>
      <c r="AH280" s="75">
        <v>0</v>
      </c>
      <c r="AI280" s="75">
        <v>0</v>
      </c>
      <c r="AJ280" s="75">
        <v>0</v>
      </c>
      <c r="AK280" s="75">
        <v>0</v>
      </c>
      <c r="AL280" s="75">
        <v>0</v>
      </c>
      <c r="AM280" s="75">
        <v>0</v>
      </c>
      <c r="AN280" s="75">
        <v>0</v>
      </c>
      <c r="AO280" s="75">
        <v>0</v>
      </c>
      <c r="AP280" s="75">
        <v>0</v>
      </c>
      <c r="AQ280" s="75">
        <v>1</v>
      </c>
      <c r="AR280" s="75">
        <v>0</v>
      </c>
      <c r="AS280" s="75">
        <v>0</v>
      </c>
      <c r="AT280" s="75">
        <v>0</v>
      </c>
      <c r="AU280" s="75">
        <v>0</v>
      </c>
      <c r="AV280" s="75">
        <v>0</v>
      </c>
      <c r="AW280" s="75">
        <v>0</v>
      </c>
      <c r="AX280" s="75">
        <v>0</v>
      </c>
      <c r="AY280" s="75">
        <v>0</v>
      </c>
      <c r="AZ280" s="75">
        <v>0</v>
      </c>
      <c r="BA280" s="75">
        <v>0</v>
      </c>
      <c r="BB280" s="75">
        <v>0</v>
      </c>
      <c r="BC280" s="75">
        <v>0</v>
      </c>
      <c r="BD280" s="75">
        <v>0</v>
      </c>
      <c r="BE280" s="75">
        <v>0</v>
      </c>
      <c r="BF280" s="75">
        <v>0</v>
      </c>
      <c r="BG280" s="75">
        <v>0</v>
      </c>
      <c r="BH280" s="75">
        <v>0</v>
      </c>
      <c r="BI280" s="75" t="s">
        <v>254</v>
      </c>
      <c r="BJ280" s="75" t="s">
        <v>254</v>
      </c>
      <c r="BK280" s="75" t="s">
        <v>254</v>
      </c>
      <c r="BL280" s="75">
        <v>0</v>
      </c>
      <c r="BM280" s="75">
        <f t="shared" si="39"/>
        <v>0</v>
      </c>
      <c r="BN280" s="75">
        <f t="shared" si="40"/>
        <v>0</v>
      </c>
      <c r="BO280" s="75">
        <f t="shared" si="51"/>
        <v>1</v>
      </c>
      <c r="BP280" s="75">
        <f t="shared" ref="BP280:BP289" si="52">SUM(BM280:BO280)</f>
        <v>1</v>
      </c>
      <c r="BQ280" s="80" t="s">
        <v>363</v>
      </c>
      <c r="BR280" s="138" t="s">
        <v>508</v>
      </c>
      <c r="BS280" s="110" t="s">
        <v>539</v>
      </c>
      <c r="BT280" s="110">
        <v>0</v>
      </c>
      <c r="BU280" s="75">
        <v>0</v>
      </c>
    </row>
    <row r="281" spans="3:73" x14ac:dyDescent="0.75">
      <c r="C281" s="270">
        <v>1142</v>
      </c>
      <c r="D281" s="75" t="s">
        <v>357</v>
      </c>
      <c r="E281" s="75" t="s">
        <v>358</v>
      </c>
      <c r="F281" s="75" t="s">
        <v>359</v>
      </c>
      <c r="G281" s="75" t="s">
        <v>69</v>
      </c>
      <c r="H281" s="75">
        <v>18.343233000000001</v>
      </c>
      <c r="I281" s="75">
        <v>-64.687667000000005</v>
      </c>
      <c r="J281" s="121">
        <v>44979</v>
      </c>
      <c r="K281" s="75" t="s">
        <v>361</v>
      </c>
      <c r="L281" s="75" t="s">
        <v>360</v>
      </c>
      <c r="M281" s="75">
        <v>0</v>
      </c>
      <c r="N281" s="75">
        <v>3</v>
      </c>
      <c r="O281" s="75" t="s">
        <v>362</v>
      </c>
      <c r="P281" s="88">
        <f>SUM(TreatmentUsed!E3933:E3976)</f>
        <v>346</v>
      </c>
      <c r="Q281" s="75">
        <v>0</v>
      </c>
      <c r="R281" s="75">
        <v>0</v>
      </c>
      <c r="S281" s="75">
        <v>0</v>
      </c>
      <c r="T281" s="75">
        <v>0</v>
      </c>
      <c r="U281" s="75">
        <v>0</v>
      </c>
      <c r="V281" s="75">
        <v>0</v>
      </c>
      <c r="W281" s="75">
        <v>0</v>
      </c>
      <c r="X281" s="75">
        <v>0</v>
      </c>
      <c r="Y281" s="75">
        <v>0</v>
      </c>
      <c r="Z281" s="75">
        <v>0</v>
      </c>
      <c r="AA281" s="75">
        <v>0</v>
      </c>
      <c r="AB281" s="75">
        <v>0</v>
      </c>
      <c r="AC281" s="75">
        <v>0</v>
      </c>
      <c r="AD281" s="75">
        <v>0</v>
      </c>
      <c r="AE281" s="75">
        <v>0</v>
      </c>
      <c r="AF281" s="75">
        <v>0</v>
      </c>
      <c r="AG281" s="75">
        <v>0</v>
      </c>
      <c r="AH281" s="75">
        <v>0</v>
      </c>
      <c r="AI281" s="75">
        <v>0</v>
      </c>
      <c r="AJ281" s="75">
        <v>0</v>
      </c>
      <c r="AK281" s="75">
        <v>0</v>
      </c>
      <c r="AL281" s="75">
        <v>0</v>
      </c>
      <c r="AM281" s="75">
        <v>0</v>
      </c>
      <c r="AN281" s="75">
        <v>0</v>
      </c>
      <c r="AO281" s="75">
        <v>0</v>
      </c>
      <c r="AP281" s="75">
        <v>0</v>
      </c>
      <c r="AQ281" s="75">
        <v>0</v>
      </c>
      <c r="AR281" s="75">
        <v>0</v>
      </c>
      <c r="AS281" s="75">
        <v>0</v>
      </c>
      <c r="AT281" s="75">
        <v>0</v>
      </c>
      <c r="AU281" s="75">
        <v>0</v>
      </c>
      <c r="AV281" s="75">
        <v>0</v>
      </c>
      <c r="AW281" s="75">
        <v>0</v>
      </c>
      <c r="AX281" s="75">
        <v>0</v>
      </c>
      <c r="AY281" s="84">
        <v>20</v>
      </c>
      <c r="AZ281" s="84">
        <v>10</v>
      </c>
      <c r="BA281" s="84">
        <v>10</v>
      </c>
      <c r="BB281" s="75">
        <v>0</v>
      </c>
      <c r="BC281" s="84">
        <v>2</v>
      </c>
      <c r="BD281" s="75">
        <v>0</v>
      </c>
      <c r="BE281" s="75">
        <v>1</v>
      </c>
      <c r="BF281" s="75">
        <v>0</v>
      </c>
      <c r="BG281" s="75">
        <v>0</v>
      </c>
      <c r="BH281" s="75">
        <v>0</v>
      </c>
      <c r="BI281" s="75" t="s">
        <v>254</v>
      </c>
      <c r="BJ281" s="75" t="s">
        <v>254</v>
      </c>
      <c r="BK281" s="75" t="s">
        <v>254</v>
      </c>
      <c r="BL281" s="75">
        <v>0</v>
      </c>
      <c r="BM281" s="75">
        <f t="shared" si="39"/>
        <v>0</v>
      </c>
      <c r="BN281" s="75">
        <f t="shared" si="40"/>
        <v>0</v>
      </c>
      <c r="BO281" s="84">
        <f t="shared" si="51"/>
        <v>43</v>
      </c>
      <c r="BP281" s="84">
        <f t="shared" si="52"/>
        <v>43</v>
      </c>
      <c r="BQ281" s="80" t="s">
        <v>363</v>
      </c>
      <c r="BR281" s="138" t="s">
        <v>363</v>
      </c>
      <c r="BS281" s="110" t="s">
        <v>539</v>
      </c>
      <c r="BT281" s="110">
        <v>0</v>
      </c>
      <c r="BU281" s="75">
        <v>0</v>
      </c>
    </row>
    <row r="282" spans="3:73" x14ac:dyDescent="0.75">
      <c r="C282" s="270">
        <v>1143</v>
      </c>
      <c r="D282" s="75" t="s">
        <v>357</v>
      </c>
      <c r="E282" s="75" t="s">
        <v>358</v>
      </c>
      <c r="F282" s="75" t="s">
        <v>359</v>
      </c>
      <c r="G282" s="75" t="s">
        <v>69</v>
      </c>
      <c r="H282" s="75">
        <v>18.343233000000001</v>
      </c>
      <c r="I282" s="75">
        <v>-64.687667000000005</v>
      </c>
      <c r="J282" s="121">
        <v>44979</v>
      </c>
      <c r="K282" s="75" t="s">
        <v>361</v>
      </c>
      <c r="L282" s="75" t="s">
        <v>360</v>
      </c>
      <c r="M282" s="75">
        <v>0</v>
      </c>
      <c r="N282" s="75">
        <v>3</v>
      </c>
      <c r="O282" s="75" t="s">
        <v>362</v>
      </c>
      <c r="P282" s="88">
        <f>SUM(TreatmentUsed!E3977:E3995)</f>
        <v>241</v>
      </c>
      <c r="Q282" s="75">
        <v>0</v>
      </c>
      <c r="R282" s="75">
        <v>0</v>
      </c>
      <c r="S282" s="75">
        <v>0</v>
      </c>
      <c r="T282" s="75">
        <v>0</v>
      </c>
      <c r="U282" s="75">
        <v>0</v>
      </c>
      <c r="V282" s="75">
        <v>0</v>
      </c>
      <c r="W282" s="75">
        <v>0</v>
      </c>
      <c r="X282" s="75">
        <v>0</v>
      </c>
      <c r="Y282" s="75">
        <v>0</v>
      </c>
      <c r="Z282" s="75">
        <v>0</v>
      </c>
      <c r="AA282" s="75">
        <v>0</v>
      </c>
      <c r="AB282" s="75">
        <v>0</v>
      </c>
      <c r="AC282" s="75">
        <v>0</v>
      </c>
      <c r="AD282" s="75">
        <v>0</v>
      </c>
      <c r="AE282" s="75">
        <v>0</v>
      </c>
      <c r="AF282" s="75">
        <v>0</v>
      </c>
      <c r="AG282" s="75">
        <v>0</v>
      </c>
      <c r="AH282" s="75">
        <v>0</v>
      </c>
      <c r="AI282" s="75">
        <v>0</v>
      </c>
      <c r="AJ282" s="75">
        <v>0</v>
      </c>
      <c r="AK282" s="75">
        <v>0</v>
      </c>
      <c r="AL282" s="75">
        <v>0</v>
      </c>
      <c r="AM282" s="75">
        <v>0</v>
      </c>
      <c r="AN282" s="75">
        <v>0</v>
      </c>
      <c r="AO282" s="75">
        <v>1</v>
      </c>
      <c r="AP282" s="75">
        <v>0</v>
      </c>
      <c r="AQ282" s="75">
        <v>0</v>
      </c>
      <c r="AR282" s="75">
        <v>0</v>
      </c>
      <c r="AS282" s="75">
        <v>3</v>
      </c>
      <c r="AT282" s="75">
        <v>0</v>
      </c>
      <c r="AU282" s="75">
        <v>0</v>
      </c>
      <c r="AV282" s="75">
        <v>0</v>
      </c>
      <c r="AW282" s="75">
        <v>0</v>
      </c>
      <c r="AX282" s="75">
        <v>0</v>
      </c>
      <c r="AY282" s="84">
        <v>9</v>
      </c>
      <c r="AZ282" s="75">
        <v>1</v>
      </c>
      <c r="BA282" s="84">
        <v>2</v>
      </c>
      <c r="BB282" s="75">
        <v>0</v>
      </c>
      <c r="BC282" s="75">
        <v>2</v>
      </c>
      <c r="BD282" s="75">
        <v>0</v>
      </c>
      <c r="BE282" s="84">
        <v>1</v>
      </c>
      <c r="BF282" s="75">
        <v>0</v>
      </c>
      <c r="BG282" s="75">
        <v>0</v>
      </c>
      <c r="BH282" s="75">
        <v>0</v>
      </c>
      <c r="BI282" s="75" t="s">
        <v>254</v>
      </c>
      <c r="BJ282" s="75" t="s">
        <v>254</v>
      </c>
      <c r="BK282" s="75" t="s">
        <v>254</v>
      </c>
      <c r="BL282" s="75">
        <v>0</v>
      </c>
      <c r="BM282" s="75">
        <f t="shared" si="39"/>
        <v>0</v>
      </c>
      <c r="BN282" s="75">
        <f t="shared" si="40"/>
        <v>0</v>
      </c>
      <c r="BO282" s="75">
        <f t="shared" si="51"/>
        <v>19</v>
      </c>
      <c r="BP282" s="75">
        <f t="shared" si="52"/>
        <v>19</v>
      </c>
      <c r="BQ282" s="80" t="s">
        <v>363</v>
      </c>
      <c r="BR282" s="138" t="s">
        <v>363</v>
      </c>
      <c r="BS282" s="110" t="s">
        <v>539</v>
      </c>
      <c r="BT282" s="110">
        <v>0</v>
      </c>
      <c r="BU282" s="75">
        <v>0</v>
      </c>
    </row>
    <row r="283" spans="3:73" x14ac:dyDescent="0.75">
      <c r="C283" s="270">
        <v>1144</v>
      </c>
      <c r="D283" s="75" t="s">
        <v>357</v>
      </c>
      <c r="E283" s="75" t="s">
        <v>358</v>
      </c>
      <c r="F283" s="75" t="s">
        <v>359</v>
      </c>
      <c r="G283" s="75" t="s">
        <v>69</v>
      </c>
      <c r="H283" s="75">
        <v>18.343233000000001</v>
      </c>
      <c r="I283" s="75">
        <v>-64.687667000000005</v>
      </c>
      <c r="J283" s="121">
        <v>44979</v>
      </c>
      <c r="K283" s="75" t="s">
        <v>361</v>
      </c>
      <c r="L283" s="75" t="s">
        <v>360</v>
      </c>
      <c r="M283" s="75">
        <v>0</v>
      </c>
      <c r="N283" s="75">
        <v>3</v>
      </c>
      <c r="O283" s="75" t="s">
        <v>362</v>
      </c>
      <c r="P283" s="88">
        <f>SUM(TreatmentUsed!E3996:E4022)</f>
        <v>281</v>
      </c>
      <c r="Q283" s="75">
        <v>245</v>
      </c>
      <c r="R283" s="75">
        <v>0</v>
      </c>
      <c r="S283" s="75">
        <v>0</v>
      </c>
      <c r="T283" s="75">
        <v>0</v>
      </c>
      <c r="U283" s="75">
        <v>0</v>
      </c>
      <c r="V283" s="75">
        <v>0</v>
      </c>
      <c r="W283" s="75">
        <v>0</v>
      </c>
      <c r="X283" s="75">
        <v>0</v>
      </c>
      <c r="Y283" s="75">
        <v>0</v>
      </c>
      <c r="Z283" s="75">
        <v>0</v>
      </c>
      <c r="AA283" s="75">
        <v>0</v>
      </c>
      <c r="AB283" s="75">
        <v>0</v>
      </c>
      <c r="AC283" s="75">
        <v>0</v>
      </c>
      <c r="AD283" s="75">
        <v>0</v>
      </c>
      <c r="AE283" s="75">
        <v>0</v>
      </c>
      <c r="AF283" s="75">
        <v>0</v>
      </c>
      <c r="AG283" s="75">
        <v>0</v>
      </c>
      <c r="AH283" s="75">
        <v>0</v>
      </c>
      <c r="AI283" s="75">
        <v>0</v>
      </c>
      <c r="AJ283" s="75">
        <v>0</v>
      </c>
      <c r="AK283" s="75">
        <v>0</v>
      </c>
      <c r="AL283" s="75">
        <v>0</v>
      </c>
      <c r="AM283" s="75">
        <v>0</v>
      </c>
      <c r="AN283" s="75">
        <v>0</v>
      </c>
      <c r="AO283" s="75">
        <v>0</v>
      </c>
      <c r="AP283" s="75">
        <v>0</v>
      </c>
      <c r="AQ283" s="75">
        <v>0</v>
      </c>
      <c r="AR283" s="75">
        <v>0</v>
      </c>
      <c r="AS283" s="75">
        <v>5</v>
      </c>
      <c r="AT283" s="75">
        <v>0</v>
      </c>
      <c r="AU283" s="75">
        <v>1</v>
      </c>
      <c r="AV283" s="75">
        <v>0</v>
      </c>
      <c r="AW283" s="75">
        <v>0</v>
      </c>
      <c r="AX283" s="75">
        <v>0</v>
      </c>
      <c r="AY283" s="84">
        <v>0</v>
      </c>
      <c r="AZ283" s="75">
        <v>0</v>
      </c>
      <c r="BA283" s="84">
        <v>3</v>
      </c>
      <c r="BB283" s="75">
        <v>0</v>
      </c>
      <c r="BC283" s="75">
        <v>0</v>
      </c>
      <c r="BD283" s="75">
        <v>0</v>
      </c>
      <c r="BE283" s="75">
        <v>0</v>
      </c>
      <c r="BF283" s="84">
        <v>18</v>
      </c>
      <c r="BG283" s="75">
        <v>0</v>
      </c>
      <c r="BH283" s="75">
        <v>0</v>
      </c>
      <c r="BI283" s="75" t="s">
        <v>254</v>
      </c>
      <c r="BJ283" s="75" t="s">
        <v>254</v>
      </c>
      <c r="BK283" s="75" t="s">
        <v>254</v>
      </c>
      <c r="BL283" s="75">
        <v>0</v>
      </c>
      <c r="BM283" s="75">
        <f t="shared" si="39"/>
        <v>0</v>
      </c>
      <c r="BN283" s="75">
        <f t="shared" si="40"/>
        <v>0</v>
      </c>
      <c r="BO283" s="75">
        <f t="shared" si="51"/>
        <v>27</v>
      </c>
      <c r="BP283" s="75">
        <f t="shared" si="52"/>
        <v>27</v>
      </c>
      <c r="BQ283" s="80" t="s">
        <v>363</v>
      </c>
      <c r="BR283" s="138" t="s">
        <v>363</v>
      </c>
      <c r="BS283" s="110" t="s">
        <v>539</v>
      </c>
      <c r="BT283" s="110">
        <v>0</v>
      </c>
      <c r="BU283" s="75">
        <v>0</v>
      </c>
    </row>
    <row r="284" spans="3:73" x14ac:dyDescent="0.75">
      <c r="C284" s="270">
        <v>1145</v>
      </c>
      <c r="D284" s="75" t="s">
        <v>357</v>
      </c>
      <c r="E284" s="75" t="s">
        <v>358</v>
      </c>
      <c r="F284" s="75" t="s">
        <v>359</v>
      </c>
      <c r="G284" s="75" t="s">
        <v>39</v>
      </c>
      <c r="H284" s="75">
        <v>18.357482999999998</v>
      </c>
      <c r="I284" s="75">
        <v>-64.751949999999994</v>
      </c>
      <c r="J284" s="121">
        <v>44980</v>
      </c>
      <c r="K284" s="75" t="s">
        <v>361</v>
      </c>
      <c r="L284" s="75" t="s">
        <v>360</v>
      </c>
      <c r="M284" s="75">
        <v>0</v>
      </c>
      <c r="N284" s="75">
        <v>2</v>
      </c>
      <c r="O284" s="75" t="s">
        <v>362</v>
      </c>
      <c r="P284" s="88">
        <f>SUM(TreatmentUsed!E4023:E4028)</f>
        <v>44</v>
      </c>
      <c r="Q284" s="75">
        <v>0</v>
      </c>
      <c r="R284" s="75">
        <v>0</v>
      </c>
      <c r="S284" s="75">
        <v>0</v>
      </c>
      <c r="T284" s="75">
        <v>0</v>
      </c>
      <c r="U284" s="75">
        <v>0</v>
      </c>
      <c r="V284" s="75">
        <v>0</v>
      </c>
      <c r="W284" s="75">
        <v>0</v>
      </c>
      <c r="X284" s="75">
        <v>0</v>
      </c>
      <c r="Y284" s="75">
        <v>0</v>
      </c>
      <c r="Z284" s="75">
        <v>0</v>
      </c>
      <c r="AA284" s="75">
        <v>0</v>
      </c>
      <c r="AB284" s="75">
        <v>0</v>
      </c>
      <c r="AC284" s="75">
        <v>0</v>
      </c>
      <c r="AD284" s="75">
        <v>0</v>
      </c>
      <c r="AE284" s="75">
        <v>0</v>
      </c>
      <c r="AF284" s="75">
        <v>0</v>
      </c>
      <c r="AG284" s="75">
        <v>0</v>
      </c>
      <c r="AH284" s="75">
        <v>0</v>
      </c>
      <c r="AI284" s="75">
        <v>0</v>
      </c>
      <c r="AJ284" s="75">
        <v>0</v>
      </c>
      <c r="AK284" s="75">
        <v>0</v>
      </c>
      <c r="AL284" s="75">
        <v>0</v>
      </c>
      <c r="AM284" s="75">
        <v>0</v>
      </c>
      <c r="AN284" s="75">
        <v>0</v>
      </c>
      <c r="AO284" s="75">
        <v>0</v>
      </c>
      <c r="AP284" s="75">
        <v>0</v>
      </c>
      <c r="AQ284" s="75">
        <v>1</v>
      </c>
      <c r="AR284" s="75">
        <v>0</v>
      </c>
      <c r="AS284" s="75">
        <v>0</v>
      </c>
      <c r="AT284" s="75">
        <v>0</v>
      </c>
      <c r="AU284" s="75">
        <v>1</v>
      </c>
      <c r="AV284" s="75">
        <v>0</v>
      </c>
      <c r="AW284" s="75">
        <v>0</v>
      </c>
      <c r="AX284" s="75">
        <v>0</v>
      </c>
      <c r="AY284" s="84">
        <v>0</v>
      </c>
      <c r="AZ284" s="84">
        <v>1</v>
      </c>
      <c r="BA284" s="84">
        <v>2</v>
      </c>
      <c r="BB284" s="75">
        <v>0</v>
      </c>
      <c r="BC284" s="75">
        <v>1</v>
      </c>
      <c r="BD284" s="75">
        <v>0</v>
      </c>
      <c r="BE284" s="75">
        <v>0</v>
      </c>
      <c r="BF284" s="75">
        <v>0</v>
      </c>
      <c r="BG284" s="75">
        <v>0</v>
      </c>
      <c r="BH284" s="75">
        <v>0</v>
      </c>
      <c r="BI284" s="75" t="s">
        <v>254</v>
      </c>
      <c r="BJ284" s="75" t="s">
        <v>254</v>
      </c>
      <c r="BK284" s="75" t="s">
        <v>254</v>
      </c>
      <c r="BL284" s="75">
        <v>0</v>
      </c>
      <c r="BM284" s="75">
        <f t="shared" si="39"/>
        <v>0</v>
      </c>
      <c r="BN284" s="75">
        <f t="shared" si="40"/>
        <v>0</v>
      </c>
      <c r="BO284" s="75">
        <f t="shared" si="51"/>
        <v>6</v>
      </c>
      <c r="BP284" s="75">
        <f t="shared" si="52"/>
        <v>6</v>
      </c>
      <c r="BQ284" s="80" t="s">
        <v>363</v>
      </c>
      <c r="BR284" s="252" t="s">
        <v>574</v>
      </c>
      <c r="BS284" s="110" t="s">
        <v>539</v>
      </c>
      <c r="BT284" s="110">
        <v>0</v>
      </c>
      <c r="BU284" s="75">
        <v>0</v>
      </c>
    </row>
    <row r="285" spans="3:73" x14ac:dyDescent="0.75">
      <c r="C285" s="270">
        <v>1146</v>
      </c>
      <c r="D285" s="75" t="s">
        <v>357</v>
      </c>
      <c r="E285" s="75" t="s">
        <v>358</v>
      </c>
      <c r="F285" s="75" t="s">
        <v>359</v>
      </c>
      <c r="G285" s="75" t="s">
        <v>64</v>
      </c>
      <c r="H285" s="75">
        <v>18.368383000000001</v>
      </c>
      <c r="I285" s="75">
        <v>-64.751450000000006</v>
      </c>
      <c r="J285" s="121">
        <v>44980</v>
      </c>
      <c r="K285" s="75" t="s">
        <v>361</v>
      </c>
      <c r="L285" s="75" t="s">
        <v>360</v>
      </c>
      <c r="M285" s="75">
        <v>0</v>
      </c>
      <c r="N285" s="75">
        <v>2</v>
      </c>
      <c r="O285" s="75" t="s">
        <v>362</v>
      </c>
      <c r="P285" s="75">
        <v>6</v>
      </c>
      <c r="Q285" s="75">
        <v>0</v>
      </c>
      <c r="R285" s="75">
        <v>0</v>
      </c>
      <c r="S285" s="75">
        <v>0</v>
      </c>
      <c r="T285" s="75">
        <v>0</v>
      </c>
      <c r="U285" s="75">
        <v>0</v>
      </c>
      <c r="V285" s="75">
        <v>0</v>
      </c>
      <c r="W285" s="75">
        <v>0</v>
      </c>
      <c r="X285" s="75">
        <v>0</v>
      </c>
      <c r="Y285" s="75">
        <v>0</v>
      </c>
      <c r="Z285" s="75">
        <v>0</v>
      </c>
      <c r="AA285" s="75">
        <v>0</v>
      </c>
      <c r="AB285" s="75">
        <v>0</v>
      </c>
      <c r="AC285" s="75">
        <v>0</v>
      </c>
      <c r="AD285" s="75">
        <v>0</v>
      </c>
      <c r="AE285" s="75">
        <v>0</v>
      </c>
      <c r="AF285" s="75">
        <v>0</v>
      </c>
      <c r="AG285" s="75">
        <v>0</v>
      </c>
      <c r="AH285" s="75">
        <v>0</v>
      </c>
      <c r="AI285" s="75">
        <v>0</v>
      </c>
      <c r="AJ285" s="75">
        <v>0</v>
      </c>
      <c r="AK285" s="75">
        <v>0</v>
      </c>
      <c r="AL285" s="75">
        <v>0</v>
      </c>
      <c r="AM285" s="75">
        <v>0</v>
      </c>
      <c r="AN285" s="75">
        <v>0</v>
      </c>
      <c r="AO285" s="75">
        <v>0</v>
      </c>
      <c r="AP285" s="75">
        <v>0</v>
      </c>
      <c r="AQ285" s="75">
        <v>0</v>
      </c>
      <c r="AR285" s="75">
        <v>0</v>
      </c>
      <c r="AS285" s="75">
        <v>0</v>
      </c>
      <c r="AT285" s="75">
        <v>0</v>
      </c>
      <c r="AU285" s="75">
        <v>0</v>
      </c>
      <c r="AV285" s="75">
        <v>0</v>
      </c>
      <c r="AW285" s="75">
        <v>0</v>
      </c>
      <c r="AX285" s="75">
        <v>0</v>
      </c>
      <c r="AY285" s="75">
        <v>0</v>
      </c>
      <c r="AZ285" s="84">
        <v>0</v>
      </c>
      <c r="BA285" s="84">
        <v>1</v>
      </c>
      <c r="BB285" s="75">
        <v>0</v>
      </c>
      <c r="BC285" s="75">
        <v>1</v>
      </c>
      <c r="BD285" s="75">
        <v>0</v>
      </c>
      <c r="BE285" s="75">
        <v>0</v>
      </c>
      <c r="BF285" s="75">
        <v>0</v>
      </c>
      <c r="BG285" s="75">
        <v>0</v>
      </c>
      <c r="BH285" s="75">
        <v>0</v>
      </c>
      <c r="BI285" s="75" t="s">
        <v>254</v>
      </c>
      <c r="BJ285" s="75" t="s">
        <v>254</v>
      </c>
      <c r="BK285" s="75" t="s">
        <v>254</v>
      </c>
      <c r="BL285" s="75">
        <v>0</v>
      </c>
      <c r="BM285" s="75">
        <f t="shared" si="39"/>
        <v>0</v>
      </c>
      <c r="BN285" s="75">
        <f t="shared" si="40"/>
        <v>0</v>
      </c>
      <c r="BO285" s="75">
        <f t="shared" si="51"/>
        <v>2</v>
      </c>
      <c r="BP285" s="75">
        <f t="shared" si="52"/>
        <v>2</v>
      </c>
      <c r="BQ285" s="80" t="s">
        <v>363</v>
      </c>
      <c r="BR285" s="138" t="s">
        <v>575</v>
      </c>
      <c r="BS285" s="110" t="s">
        <v>539</v>
      </c>
      <c r="BT285" s="110">
        <v>0</v>
      </c>
      <c r="BU285" s="75">
        <v>0</v>
      </c>
    </row>
    <row r="286" spans="3:73" x14ac:dyDescent="0.75">
      <c r="C286" s="270">
        <v>1147</v>
      </c>
      <c r="D286" s="75" t="s">
        <v>357</v>
      </c>
      <c r="E286" s="75" t="s">
        <v>358</v>
      </c>
      <c r="F286" s="75" t="s">
        <v>359</v>
      </c>
      <c r="G286" s="75" t="s">
        <v>69</v>
      </c>
      <c r="H286" s="75">
        <v>18.343233000000001</v>
      </c>
      <c r="I286" s="75">
        <v>-64.687667000000005</v>
      </c>
      <c r="J286" s="81">
        <v>44985</v>
      </c>
      <c r="K286" s="75" t="s">
        <v>367</v>
      </c>
      <c r="L286" s="75" t="s">
        <v>360</v>
      </c>
      <c r="M286" s="75">
        <v>0</v>
      </c>
      <c r="N286" s="75">
        <v>2</v>
      </c>
      <c r="O286" s="75" t="s">
        <v>362</v>
      </c>
      <c r="P286" s="88">
        <f>SUM(TreatmentUsed!E4031:E4045)</f>
        <v>59</v>
      </c>
      <c r="Q286" s="75">
        <v>0</v>
      </c>
      <c r="R286" s="75">
        <v>0</v>
      </c>
      <c r="S286" s="75">
        <v>0</v>
      </c>
      <c r="T286" s="75">
        <v>0</v>
      </c>
      <c r="U286" s="75">
        <v>0</v>
      </c>
      <c r="V286" s="75">
        <v>0</v>
      </c>
      <c r="W286" s="75">
        <v>0</v>
      </c>
      <c r="X286" s="75">
        <v>0</v>
      </c>
      <c r="Y286" s="75">
        <v>0</v>
      </c>
      <c r="Z286" s="75">
        <v>0</v>
      </c>
      <c r="AA286" s="75">
        <v>0</v>
      </c>
      <c r="AB286" s="75">
        <v>0</v>
      </c>
      <c r="AC286" s="75">
        <v>0</v>
      </c>
      <c r="AD286" s="75">
        <v>0</v>
      </c>
      <c r="AE286" s="75">
        <v>0</v>
      </c>
      <c r="AF286" s="75">
        <v>0</v>
      </c>
      <c r="AG286" s="75">
        <v>0</v>
      </c>
      <c r="AH286" s="75">
        <v>0</v>
      </c>
      <c r="AI286" s="75">
        <v>0</v>
      </c>
      <c r="AJ286" s="75">
        <v>0</v>
      </c>
      <c r="AK286" s="75">
        <v>0</v>
      </c>
      <c r="AL286" s="75">
        <v>0</v>
      </c>
      <c r="AM286" s="75">
        <v>0</v>
      </c>
      <c r="AN286" s="75">
        <v>0</v>
      </c>
      <c r="AO286" s="75">
        <v>0</v>
      </c>
      <c r="AP286" s="75">
        <v>0</v>
      </c>
      <c r="AQ286" s="75">
        <v>0</v>
      </c>
      <c r="AR286" s="75">
        <v>0</v>
      </c>
      <c r="AS286" s="75">
        <v>0</v>
      </c>
      <c r="AT286" s="75">
        <v>0</v>
      </c>
      <c r="AU286" s="75">
        <v>0</v>
      </c>
      <c r="AV286" s="75">
        <v>0</v>
      </c>
      <c r="AW286" s="75">
        <v>0</v>
      </c>
      <c r="AX286" s="75">
        <v>0</v>
      </c>
      <c r="AY286" s="75">
        <v>6</v>
      </c>
      <c r="AZ286" s="84">
        <v>2</v>
      </c>
      <c r="BA286" s="84">
        <v>4</v>
      </c>
      <c r="BB286" s="75">
        <v>0</v>
      </c>
      <c r="BC286" s="75">
        <v>1</v>
      </c>
      <c r="BD286" s="75">
        <v>0</v>
      </c>
      <c r="BE286" s="75">
        <v>0</v>
      </c>
      <c r="BF286" s="75">
        <v>1</v>
      </c>
      <c r="BG286" s="75">
        <v>0</v>
      </c>
      <c r="BH286" s="75">
        <v>1</v>
      </c>
      <c r="BI286" s="75" t="s">
        <v>254</v>
      </c>
      <c r="BJ286" s="75" t="s">
        <v>254</v>
      </c>
      <c r="BK286" s="75" t="s">
        <v>254</v>
      </c>
      <c r="BL286" s="75">
        <v>0</v>
      </c>
      <c r="BM286" s="75">
        <f t="shared" si="39"/>
        <v>0</v>
      </c>
      <c r="BN286" s="75">
        <f t="shared" si="40"/>
        <v>0</v>
      </c>
      <c r="BO286" s="84">
        <f t="shared" si="51"/>
        <v>15</v>
      </c>
      <c r="BP286" s="84">
        <f t="shared" si="52"/>
        <v>15</v>
      </c>
      <c r="BQ286" s="85" t="s">
        <v>485</v>
      </c>
      <c r="BR286" s="252" t="s">
        <v>576</v>
      </c>
      <c r="BS286" s="110" t="s">
        <v>539</v>
      </c>
      <c r="BT286" s="110">
        <v>0</v>
      </c>
      <c r="BU286" s="75">
        <v>0</v>
      </c>
    </row>
    <row r="287" spans="3:73" x14ac:dyDescent="0.75">
      <c r="C287" s="270">
        <v>1148</v>
      </c>
      <c r="D287" s="75" t="s">
        <v>357</v>
      </c>
      <c r="E287" s="75" t="s">
        <v>358</v>
      </c>
      <c r="F287" s="75" t="s">
        <v>359</v>
      </c>
      <c r="G287" s="75" t="s">
        <v>69</v>
      </c>
      <c r="H287" s="75">
        <v>18.343233000000001</v>
      </c>
      <c r="I287" s="75">
        <v>-64.687667000000005</v>
      </c>
      <c r="J287" s="81">
        <v>44985</v>
      </c>
      <c r="K287" s="75" t="s">
        <v>367</v>
      </c>
      <c r="L287" s="75" t="s">
        <v>360</v>
      </c>
      <c r="M287" s="75">
        <v>0</v>
      </c>
      <c r="N287" s="75">
        <v>2</v>
      </c>
      <c r="O287" s="75" t="s">
        <v>362</v>
      </c>
      <c r="P287" s="88">
        <f>SUM(TreatmentUsed!E4046:E4074)</f>
        <v>157</v>
      </c>
      <c r="Q287" s="75">
        <v>0</v>
      </c>
      <c r="R287" s="75">
        <v>0</v>
      </c>
      <c r="S287" s="75">
        <v>0</v>
      </c>
      <c r="T287" s="75">
        <v>0</v>
      </c>
      <c r="U287" s="75">
        <v>0</v>
      </c>
      <c r="V287" s="75">
        <v>0</v>
      </c>
      <c r="W287" s="75">
        <v>0</v>
      </c>
      <c r="X287" s="75">
        <v>0</v>
      </c>
      <c r="Y287" s="75">
        <v>0</v>
      </c>
      <c r="Z287" s="75">
        <v>0</v>
      </c>
      <c r="AA287" s="75">
        <v>0</v>
      </c>
      <c r="AB287" s="75">
        <v>0</v>
      </c>
      <c r="AC287" s="75">
        <v>0</v>
      </c>
      <c r="AD287" s="75">
        <v>0</v>
      </c>
      <c r="AE287" s="75">
        <v>0</v>
      </c>
      <c r="AF287" s="75">
        <v>0</v>
      </c>
      <c r="AG287" s="75">
        <v>0</v>
      </c>
      <c r="AH287" s="75">
        <v>0</v>
      </c>
      <c r="AI287" s="75">
        <v>0</v>
      </c>
      <c r="AJ287" s="75">
        <v>0</v>
      </c>
      <c r="AK287" s="75">
        <v>0</v>
      </c>
      <c r="AL287" s="75">
        <v>0</v>
      </c>
      <c r="AM287" s="75">
        <v>0</v>
      </c>
      <c r="AN287" s="75">
        <v>0</v>
      </c>
      <c r="AO287" s="75">
        <v>0</v>
      </c>
      <c r="AP287" s="75">
        <v>0</v>
      </c>
      <c r="AQ287" s="75">
        <v>0</v>
      </c>
      <c r="AR287" s="75">
        <v>2</v>
      </c>
      <c r="AS287" s="75">
        <v>0</v>
      </c>
      <c r="AT287" s="75">
        <v>0</v>
      </c>
      <c r="AU287" s="75">
        <v>0</v>
      </c>
      <c r="AV287" s="75">
        <v>0</v>
      </c>
      <c r="AW287" s="75">
        <v>0</v>
      </c>
      <c r="AX287" s="75">
        <v>1</v>
      </c>
      <c r="AY287" s="75">
        <v>9</v>
      </c>
      <c r="AZ287" s="75">
        <v>3</v>
      </c>
      <c r="BA287" s="84">
        <v>10</v>
      </c>
      <c r="BB287" s="84">
        <v>0</v>
      </c>
      <c r="BC287" s="75">
        <v>1</v>
      </c>
      <c r="BD287" s="75">
        <v>0</v>
      </c>
      <c r="BE287" s="75">
        <v>0</v>
      </c>
      <c r="BF287" s="75">
        <v>3</v>
      </c>
      <c r="BG287" s="75">
        <v>0</v>
      </c>
      <c r="BH287" s="75">
        <v>0</v>
      </c>
      <c r="BI287" s="75" t="s">
        <v>254</v>
      </c>
      <c r="BJ287" s="75" t="s">
        <v>254</v>
      </c>
      <c r="BK287" s="75" t="s">
        <v>254</v>
      </c>
      <c r="BL287" s="75">
        <v>0</v>
      </c>
      <c r="BM287" s="75">
        <f t="shared" si="39"/>
        <v>0</v>
      </c>
      <c r="BN287" s="75">
        <f t="shared" si="40"/>
        <v>0</v>
      </c>
      <c r="BO287" s="75">
        <f t="shared" si="51"/>
        <v>29</v>
      </c>
      <c r="BP287" s="75">
        <f t="shared" si="52"/>
        <v>29</v>
      </c>
      <c r="BQ287" s="80" t="s">
        <v>363</v>
      </c>
      <c r="BR287" s="138" t="s">
        <v>363</v>
      </c>
      <c r="BS287" s="110" t="s">
        <v>539</v>
      </c>
      <c r="BT287" s="110">
        <v>0</v>
      </c>
      <c r="BU287" s="75">
        <v>0</v>
      </c>
    </row>
    <row r="288" spans="3:73" x14ac:dyDescent="0.75">
      <c r="C288" s="270">
        <v>1149</v>
      </c>
      <c r="D288" s="75" t="s">
        <v>357</v>
      </c>
      <c r="E288" s="75" t="s">
        <v>358</v>
      </c>
      <c r="F288" s="75" t="s">
        <v>359</v>
      </c>
      <c r="G288" s="75" t="s">
        <v>69</v>
      </c>
      <c r="H288" s="75">
        <v>18.343233000000001</v>
      </c>
      <c r="I288" s="75">
        <v>-64.687667000000005</v>
      </c>
      <c r="J288" s="81">
        <v>44985</v>
      </c>
      <c r="K288" s="75" t="s">
        <v>367</v>
      </c>
      <c r="L288" s="75" t="s">
        <v>360</v>
      </c>
      <c r="M288" s="75">
        <v>0</v>
      </c>
      <c r="N288" s="75">
        <v>2</v>
      </c>
      <c r="O288" s="75" t="s">
        <v>362</v>
      </c>
      <c r="P288" s="88">
        <f>SUM(TreatmentUsed!E4075:E4109)</f>
        <v>194</v>
      </c>
      <c r="Q288" s="75">
        <v>0</v>
      </c>
      <c r="R288" s="75">
        <v>0</v>
      </c>
      <c r="S288" s="75">
        <v>0</v>
      </c>
      <c r="T288" s="75">
        <v>0</v>
      </c>
      <c r="U288" s="75">
        <v>0</v>
      </c>
      <c r="V288" s="75">
        <v>0</v>
      </c>
      <c r="W288" s="75">
        <v>0</v>
      </c>
      <c r="X288" s="75">
        <v>0</v>
      </c>
      <c r="Y288" s="75">
        <v>0</v>
      </c>
      <c r="Z288" s="75">
        <v>0</v>
      </c>
      <c r="AA288" s="75">
        <v>0</v>
      </c>
      <c r="AB288" s="75">
        <v>0</v>
      </c>
      <c r="AC288" s="75">
        <v>0</v>
      </c>
      <c r="AD288" s="75">
        <v>0</v>
      </c>
      <c r="AE288" s="75">
        <v>0</v>
      </c>
      <c r="AF288" s="75">
        <v>0</v>
      </c>
      <c r="AG288" s="75">
        <v>0</v>
      </c>
      <c r="AH288" s="75">
        <v>0</v>
      </c>
      <c r="AI288" s="75">
        <v>0</v>
      </c>
      <c r="AJ288" s="75">
        <v>0</v>
      </c>
      <c r="AK288" s="75">
        <v>0</v>
      </c>
      <c r="AL288" s="75">
        <v>0</v>
      </c>
      <c r="AM288" s="75">
        <v>0</v>
      </c>
      <c r="AN288" s="75">
        <v>0</v>
      </c>
      <c r="AO288" s="75">
        <v>0</v>
      </c>
      <c r="AP288" s="75">
        <v>0</v>
      </c>
      <c r="AQ288" s="75">
        <v>1</v>
      </c>
      <c r="AR288" s="75">
        <v>2</v>
      </c>
      <c r="AS288" s="75">
        <v>0</v>
      </c>
      <c r="AT288" s="75">
        <v>0</v>
      </c>
      <c r="AU288" s="75">
        <v>1</v>
      </c>
      <c r="AV288" s="75">
        <v>0</v>
      </c>
      <c r="AW288" s="75">
        <v>0</v>
      </c>
      <c r="AX288" s="75">
        <v>0</v>
      </c>
      <c r="AY288" s="84">
        <v>9</v>
      </c>
      <c r="AZ288" s="84">
        <v>4</v>
      </c>
      <c r="BA288" s="84">
        <v>10</v>
      </c>
      <c r="BB288" s="84">
        <v>0</v>
      </c>
      <c r="BC288" s="75">
        <v>0</v>
      </c>
      <c r="BD288" s="75">
        <v>0</v>
      </c>
      <c r="BE288" s="75">
        <v>0</v>
      </c>
      <c r="BF288" s="75">
        <v>8</v>
      </c>
      <c r="BG288" s="75">
        <v>0</v>
      </c>
      <c r="BH288" s="75">
        <v>0</v>
      </c>
      <c r="BI288" s="75" t="s">
        <v>254</v>
      </c>
      <c r="BJ288" s="75" t="s">
        <v>254</v>
      </c>
      <c r="BK288" s="75" t="s">
        <v>254</v>
      </c>
      <c r="BL288" s="75">
        <v>0</v>
      </c>
      <c r="BM288" s="75">
        <f t="shared" si="39"/>
        <v>0</v>
      </c>
      <c r="BN288" s="75">
        <f t="shared" si="40"/>
        <v>0</v>
      </c>
      <c r="BO288" s="75">
        <f t="shared" si="51"/>
        <v>35</v>
      </c>
      <c r="BP288" s="75">
        <f t="shared" si="52"/>
        <v>35</v>
      </c>
      <c r="BQ288" s="80" t="s">
        <v>363</v>
      </c>
      <c r="BR288" s="138" t="s">
        <v>577</v>
      </c>
      <c r="BS288" s="110" t="s">
        <v>539</v>
      </c>
      <c r="BT288" s="110">
        <v>0</v>
      </c>
      <c r="BU288" s="75">
        <v>0</v>
      </c>
    </row>
    <row r="289" spans="1:74" s="205" customFormat="1" x14ac:dyDescent="0.75">
      <c r="A289" s="232"/>
      <c r="B289" s="235"/>
      <c r="C289" s="272">
        <v>1169</v>
      </c>
      <c r="D289" s="225" t="s">
        <v>357</v>
      </c>
      <c r="E289" s="225" t="s">
        <v>358</v>
      </c>
      <c r="F289" s="225" t="s">
        <v>359</v>
      </c>
      <c r="G289" s="225" t="s">
        <v>69</v>
      </c>
      <c r="H289" s="225">
        <v>18.343233000000001</v>
      </c>
      <c r="I289" s="225">
        <v>-64.687667000000005</v>
      </c>
      <c r="J289" s="234">
        <v>44986</v>
      </c>
      <c r="K289" s="225" t="s">
        <v>361</v>
      </c>
      <c r="L289" s="225" t="s">
        <v>374</v>
      </c>
      <c r="M289" s="225">
        <v>0</v>
      </c>
      <c r="N289" s="225">
        <v>2</v>
      </c>
      <c r="O289" s="225" t="s">
        <v>362</v>
      </c>
      <c r="P289" s="236">
        <f>SUM(TreatmentUsed!E4110:E4112)</f>
        <v>17</v>
      </c>
      <c r="Q289" s="225">
        <v>0</v>
      </c>
      <c r="R289" s="225">
        <v>0</v>
      </c>
      <c r="S289" s="225">
        <v>0</v>
      </c>
      <c r="T289" s="225">
        <v>0</v>
      </c>
      <c r="U289" s="225">
        <v>0</v>
      </c>
      <c r="V289" s="225">
        <v>0</v>
      </c>
      <c r="W289" s="225">
        <v>0</v>
      </c>
      <c r="X289" s="225">
        <v>0</v>
      </c>
      <c r="Y289" s="225">
        <v>0</v>
      </c>
      <c r="Z289" s="225">
        <v>0</v>
      </c>
      <c r="AA289" s="225">
        <v>0</v>
      </c>
      <c r="AB289" s="225">
        <v>0</v>
      </c>
      <c r="AC289" s="225">
        <v>0</v>
      </c>
      <c r="AD289" s="225">
        <v>0</v>
      </c>
      <c r="AE289" s="225">
        <v>0</v>
      </c>
      <c r="AF289" s="225">
        <v>0</v>
      </c>
      <c r="AG289" s="225">
        <v>0</v>
      </c>
      <c r="AH289" s="225">
        <v>0</v>
      </c>
      <c r="AI289" s="225">
        <v>0</v>
      </c>
      <c r="AJ289" s="225">
        <v>0</v>
      </c>
      <c r="AK289" s="225">
        <v>0</v>
      </c>
      <c r="AL289" s="225">
        <v>0</v>
      </c>
      <c r="AM289" s="225">
        <v>0</v>
      </c>
      <c r="AN289" s="225">
        <v>0</v>
      </c>
      <c r="AO289" s="225">
        <v>0</v>
      </c>
      <c r="AP289" s="225">
        <v>0</v>
      </c>
      <c r="AQ289" s="225">
        <v>0</v>
      </c>
      <c r="AR289" s="225">
        <v>0</v>
      </c>
      <c r="AS289" s="225">
        <v>0</v>
      </c>
      <c r="AT289" s="225">
        <v>0</v>
      </c>
      <c r="AU289" s="225">
        <v>0</v>
      </c>
      <c r="AV289" s="225">
        <v>0</v>
      </c>
      <c r="AW289" s="225">
        <v>0</v>
      </c>
      <c r="AX289" s="225">
        <v>0</v>
      </c>
      <c r="AY289" s="225">
        <v>1</v>
      </c>
      <c r="AZ289" s="233">
        <v>0</v>
      </c>
      <c r="BA289" s="233">
        <v>2</v>
      </c>
      <c r="BB289" s="225">
        <v>0</v>
      </c>
      <c r="BC289" s="225">
        <v>0</v>
      </c>
      <c r="BD289" s="225">
        <v>0</v>
      </c>
      <c r="BE289" s="225">
        <v>0</v>
      </c>
      <c r="BF289" s="225">
        <v>0</v>
      </c>
      <c r="BG289" s="225">
        <v>0</v>
      </c>
      <c r="BH289" s="225">
        <v>0</v>
      </c>
      <c r="BI289" s="225" t="s">
        <v>254</v>
      </c>
      <c r="BJ289" s="225" t="s">
        <v>254</v>
      </c>
      <c r="BK289" s="225" t="s">
        <v>254</v>
      </c>
      <c r="BL289" s="225">
        <v>0</v>
      </c>
      <c r="BM289" s="225">
        <f t="shared" si="39"/>
        <v>0</v>
      </c>
      <c r="BN289" s="225">
        <f t="shared" si="40"/>
        <v>0</v>
      </c>
      <c r="BO289" s="225">
        <f t="shared" si="51"/>
        <v>3</v>
      </c>
      <c r="BP289" s="225">
        <f t="shared" si="52"/>
        <v>3</v>
      </c>
      <c r="BQ289" s="229"/>
      <c r="BR289" s="249" t="s">
        <v>363</v>
      </c>
      <c r="BS289" s="230" t="s">
        <v>539</v>
      </c>
      <c r="BT289" s="230">
        <v>0</v>
      </c>
      <c r="BU289" s="225">
        <v>0</v>
      </c>
      <c r="BV289" s="225"/>
    </row>
    <row r="290" spans="1:74" x14ac:dyDescent="0.75">
      <c r="C290" s="270">
        <v>1170</v>
      </c>
      <c r="D290" s="75" t="s">
        <v>357</v>
      </c>
      <c r="E290" s="75" t="s">
        <v>358</v>
      </c>
      <c r="F290" s="75" t="s">
        <v>359</v>
      </c>
      <c r="G290" s="75" t="s">
        <v>69</v>
      </c>
      <c r="H290" s="75">
        <v>18.343233000000001</v>
      </c>
      <c r="I290" s="75">
        <v>-64.687667000000005</v>
      </c>
      <c r="J290" s="81">
        <v>44986</v>
      </c>
      <c r="K290" s="75" t="s">
        <v>361</v>
      </c>
      <c r="L290" s="75" t="s">
        <v>374</v>
      </c>
      <c r="M290" s="75">
        <v>0</v>
      </c>
      <c r="N290" s="75">
        <v>2</v>
      </c>
      <c r="O290" s="75" t="s">
        <v>362</v>
      </c>
      <c r="P290" s="88">
        <f>SUM(TreatmentUsed!E4113:E4140)</f>
        <v>188</v>
      </c>
      <c r="Q290" s="75">
        <v>0</v>
      </c>
      <c r="R290" s="75">
        <v>0</v>
      </c>
      <c r="S290" s="75">
        <v>0</v>
      </c>
      <c r="T290" s="75">
        <v>0</v>
      </c>
      <c r="U290" s="75">
        <v>0</v>
      </c>
      <c r="V290" s="75">
        <v>0</v>
      </c>
      <c r="W290" s="75">
        <v>0</v>
      </c>
      <c r="X290" s="75">
        <v>0</v>
      </c>
      <c r="Y290" s="75">
        <v>0</v>
      </c>
      <c r="Z290" s="75">
        <v>0</v>
      </c>
      <c r="AA290" s="75">
        <v>0</v>
      </c>
      <c r="AB290" s="75">
        <v>0</v>
      </c>
      <c r="AC290" s="75">
        <v>0</v>
      </c>
      <c r="AD290" s="75">
        <v>0</v>
      </c>
      <c r="AE290" s="75">
        <v>0</v>
      </c>
      <c r="AF290" s="75">
        <v>0</v>
      </c>
      <c r="AG290" s="75">
        <v>0</v>
      </c>
      <c r="AH290" s="75">
        <v>0</v>
      </c>
      <c r="AI290" s="75">
        <v>0</v>
      </c>
      <c r="AJ290" s="75">
        <v>0</v>
      </c>
      <c r="AK290" s="75">
        <v>0</v>
      </c>
      <c r="AL290" s="75">
        <v>0</v>
      </c>
      <c r="AM290" s="75">
        <v>0</v>
      </c>
      <c r="AN290" s="75">
        <v>0</v>
      </c>
      <c r="AO290" s="75">
        <v>0</v>
      </c>
      <c r="AP290" s="75">
        <v>0</v>
      </c>
      <c r="AQ290" s="75">
        <v>1</v>
      </c>
      <c r="AR290" s="75">
        <v>0</v>
      </c>
      <c r="AS290" s="75">
        <v>5</v>
      </c>
      <c r="AT290" s="75">
        <v>1</v>
      </c>
      <c r="AU290" s="75">
        <v>1</v>
      </c>
      <c r="AV290" s="75">
        <v>0</v>
      </c>
      <c r="AW290" s="75">
        <v>0</v>
      </c>
      <c r="AX290" s="75">
        <v>0</v>
      </c>
      <c r="AY290" s="75">
        <v>3</v>
      </c>
      <c r="AZ290" s="75">
        <v>0</v>
      </c>
      <c r="BA290" s="75">
        <v>1</v>
      </c>
      <c r="BB290" s="75">
        <v>0</v>
      </c>
      <c r="BC290" s="75">
        <v>3</v>
      </c>
      <c r="BD290" s="75">
        <v>0</v>
      </c>
      <c r="BE290" s="75">
        <v>0</v>
      </c>
      <c r="BF290" s="75">
        <v>13</v>
      </c>
      <c r="BG290" s="75">
        <v>0</v>
      </c>
      <c r="BH290" s="75">
        <v>0</v>
      </c>
      <c r="BI290" s="75" t="s">
        <v>254</v>
      </c>
      <c r="BJ290" s="75" t="s">
        <v>254</v>
      </c>
      <c r="BK290" s="75" t="s">
        <v>254</v>
      </c>
      <c r="BL290" s="75">
        <v>0</v>
      </c>
      <c r="BM290" s="75">
        <f t="shared" si="39"/>
        <v>0</v>
      </c>
      <c r="BN290" s="75">
        <f t="shared" si="40"/>
        <v>0</v>
      </c>
      <c r="BO290" s="75">
        <f t="shared" si="51"/>
        <v>28</v>
      </c>
      <c r="BP290" s="75">
        <f t="shared" ref="BP290:BP295" si="53">SUM(BM290:BO290)</f>
        <v>28</v>
      </c>
      <c r="BR290" s="138" t="s">
        <v>578</v>
      </c>
      <c r="BS290" s="110" t="s">
        <v>539</v>
      </c>
      <c r="BT290" s="110">
        <v>0</v>
      </c>
      <c r="BU290" s="75">
        <v>0</v>
      </c>
    </row>
    <row r="291" spans="1:74" x14ac:dyDescent="0.75">
      <c r="C291" s="270">
        <v>1171</v>
      </c>
      <c r="D291" s="75" t="s">
        <v>357</v>
      </c>
      <c r="E291" s="75" t="s">
        <v>358</v>
      </c>
      <c r="F291" s="75" t="s">
        <v>359</v>
      </c>
      <c r="G291" s="75" t="s">
        <v>69</v>
      </c>
      <c r="H291" s="75">
        <v>18.343233000000001</v>
      </c>
      <c r="I291" s="75">
        <v>-64.687667000000005</v>
      </c>
      <c r="J291" s="81">
        <v>44986</v>
      </c>
      <c r="K291" s="75" t="s">
        <v>361</v>
      </c>
      <c r="L291" s="75" t="s">
        <v>374</v>
      </c>
      <c r="M291" s="75">
        <v>0</v>
      </c>
      <c r="N291" s="75">
        <v>2</v>
      </c>
      <c r="O291" s="75" t="s">
        <v>362</v>
      </c>
      <c r="P291" s="88">
        <f>SUM(TreatmentUsed!E4141:E4173)</f>
        <v>343</v>
      </c>
      <c r="Q291" s="75">
        <v>0</v>
      </c>
      <c r="R291" s="75">
        <v>0</v>
      </c>
      <c r="S291" s="75">
        <v>0</v>
      </c>
      <c r="T291" s="75">
        <v>0</v>
      </c>
      <c r="U291" s="75">
        <v>0</v>
      </c>
      <c r="V291" s="75">
        <v>0</v>
      </c>
      <c r="W291" s="75">
        <v>0</v>
      </c>
      <c r="X291" s="75">
        <v>0</v>
      </c>
      <c r="Y291" s="75">
        <v>0</v>
      </c>
      <c r="Z291" s="75">
        <v>0</v>
      </c>
      <c r="AA291" s="75">
        <v>0</v>
      </c>
      <c r="AB291" s="75">
        <v>0</v>
      </c>
      <c r="AC291" s="75">
        <v>0</v>
      </c>
      <c r="AD291" s="75">
        <v>0</v>
      </c>
      <c r="AE291" s="75">
        <v>0</v>
      </c>
      <c r="AF291" s="75">
        <v>0</v>
      </c>
      <c r="AG291" s="75">
        <v>0</v>
      </c>
      <c r="AH291" s="75">
        <v>0</v>
      </c>
      <c r="AI291" s="75">
        <v>0</v>
      </c>
      <c r="AJ291" s="75">
        <v>0</v>
      </c>
      <c r="AK291" s="75">
        <v>0</v>
      </c>
      <c r="AL291" s="75">
        <v>0</v>
      </c>
      <c r="AM291" s="75">
        <v>0</v>
      </c>
      <c r="AN291" s="75">
        <v>0</v>
      </c>
      <c r="AO291" s="75">
        <v>0</v>
      </c>
      <c r="AP291" s="75">
        <v>0</v>
      </c>
      <c r="AQ291" s="75">
        <v>0</v>
      </c>
      <c r="AR291" s="84">
        <v>0</v>
      </c>
      <c r="AS291" s="84">
        <v>9</v>
      </c>
      <c r="AT291" s="75">
        <v>8</v>
      </c>
      <c r="AU291" s="75">
        <v>0</v>
      </c>
      <c r="AV291" s="75">
        <v>0</v>
      </c>
      <c r="AW291" s="75">
        <v>0</v>
      </c>
      <c r="AX291" s="75">
        <v>0</v>
      </c>
      <c r="AY291" s="75">
        <v>6</v>
      </c>
      <c r="AZ291" s="75">
        <v>0</v>
      </c>
      <c r="BA291" s="84">
        <v>3</v>
      </c>
      <c r="BB291" s="75">
        <v>0</v>
      </c>
      <c r="BC291" s="75">
        <v>0</v>
      </c>
      <c r="BD291" s="75">
        <v>0</v>
      </c>
      <c r="BE291" s="75">
        <v>0</v>
      </c>
      <c r="BF291" s="75">
        <v>7</v>
      </c>
      <c r="BG291" s="75">
        <v>0</v>
      </c>
      <c r="BH291" s="75">
        <v>0</v>
      </c>
      <c r="BI291" s="75" t="s">
        <v>254</v>
      </c>
      <c r="BJ291" s="75" t="s">
        <v>254</v>
      </c>
      <c r="BK291" s="75" t="s">
        <v>254</v>
      </c>
      <c r="BL291" s="75">
        <v>0</v>
      </c>
      <c r="BM291" s="75">
        <f t="shared" si="39"/>
        <v>0</v>
      </c>
      <c r="BN291" s="75">
        <f t="shared" si="40"/>
        <v>0</v>
      </c>
      <c r="BO291" s="84">
        <f t="shared" si="51"/>
        <v>33</v>
      </c>
      <c r="BP291" s="84">
        <f t="shared" si="53"/>
        <v>33</v>
      </c>
      <c r="BR291" s="138" t="s">
        <v>579</v>
      </c>
      <c r="BS291" s="110" t="s">
        <v>539</v>
      </c>
      <c r="BT291" s="110">
        <v>0</v>
      </c>
      <c r="BU291" s="75">
        <v>0</v>
      </c>
    </row>
    <row r="292" spans="1:74" x14ac:dyDescent="0.75">
      <c r="C292" s="270">
        <v>1172</v>
      </c>
      <c r="D292" s="75" t="s">
        <v>357</v>
      </c>
      <c r="E292" s="75" t="s">
        <v>358</v>
      </c>
      <c r="F292" s="75" t="s">
        <v>359</v>
      </c>
      <c r="G292" s="75" t="s">
        <v>69</v>
      </c>
      <c r="H292" s="75">
        <v>18.343233000000001</v>
      </c>
      <c r="I292" s="75">
        <v>-64.687667000000005</v>
      </c>
      <c r="J292" s="81">
        <v>44987</v>
      </c>
      <c r="K292" s="75" t="s">
        <v>367</v>
      </c>
      <c r="L292" s="75" t="s">
        <v>374</v>
      </c>
      <c r="M292" s="75">
        <v>0</v>
      </c>
      <c r="N292" s="75">
        <v>3</v>
      </c>
      <c r="O292" s="75" t="s">
        <v>362</v>
      </c>
      <c r="P292" s="88">
        <f>SUM(TreatmentUsed!E4174:E4175)</f>
        <v>18</v>
      </c>
      <c r="Q292" s="75">
        <v>0</v>
      </c>
      <c r="R292" s="75">
        <v>0</v>
      </c>
      <c r="S292" s="75">
        <v>0</v>
      </c>
      <c r="T292" s="75">
        <v>0</v>
      </c>
      <c r="U292" s="75">
        <v>0</v>
      </c>
      <c r="V292" s="75">
        <v>0</v>
      </c>
      <c r="W292" s="75">
        <v>0</v>
      </c>
      <c r="X292" s="75">
        <v>0</v>
      </c>
      <c r="Y292" s="75">
        <v>0</v>
      </c>
      <c r="Z292" s="75">
        <v>0</v>
      </c>
      <c r="AA292" s="75">
        <v>0</v>
      </c>
      <c r="AB292" s="75">
        <v>0</v>
      </c>
      <c r="AC292" s="75">
        <v>0</v>
      </c>
      <c r="AD292" s="75">
        <v>0</v>
      </c>
      <c r="AE292" s="75">
        <v>0</v>
      </c>
      <c r="AF292" s="75">
        <v>0</v>
      </c>
      <c r="AG292" s="75">
        <v>0</v>
      </c>
      <c r="AH292" s="75">
        <v>0</v>
      </c>
      <c r="AI292" s="75">
        <v>0</v>
      </c>
      <c r="AJ292" s="75">
        <v>0</v>
      </c>
      <c r="AK292" s="75">
        <v>0</v>
      </c>
      <c r="AL292" s="75">
        <v>0</v>
      </c>
      <c r="AM292" s="75">
        <v>0</v>
      </c>
      <c r="AN292" s="75">
        <v>0</v>
      </c>
      <c r="AO292" s="75">
        <v>0</v>
      </c>
      <c r="AP292" s="75">
        <v>0</v>
      </c>
      <c r="AQ292" s="75">
        <v>0</v>
      </c>
      <c r="AR292" s="75">
        <v>0</v>
      </c>
      <c r="AS292" s="75">
        <v>0</v>
      </c>
      <c r="AT292" s="75">
        <v>0</v>
      </c>
      <c r="AU292" s="75">
        <v>0</v>
      </c>
      <c r="AV292" s="75">
        <v>0</v>
      </c>
      <c r="AW292" s="75">
        <v>0</v>
      </c>
      <c r="AX292" s="75">
        <v>0</v>
      </c>
      <c r="AY292" s="75">
        <v>1</v>
      </c>
      <c r="AZ292" s="75">
        <v>0</v>
      </c>
      <c r="BA292" s="75">
        <v>0</v>
      </c>
      <c r="BB292" s="75">
        <v>0</v>
      </c>
      <c r="BC292" s="75">
        <v>1</v>
      </c>
      <c r="BD292" s="75">
        <v>0</v>
      </c>
      <c r="BE292" s="75">
        <v>0</v>
      </c>
      <c r="BF292" s="75">
        <v>0</v>
      </c>
      <c r="BG292" s="75">
        <v>0</v>
      </c>
      <c r="BH292" s="75">
        <v>0</v>
      </c>
      <c r="BI292" s="75" t="s">
        <v>254</v>
      </c>
      <c r="BJ292" s="75" t="s">
        <v>254</v>
      </c>
      <c r="BK292" s="75" t="s">
        <v>254</v>
      </c>
      <c r="BL292" s="75">
        <v>1</v>
      </c>
      <c r="BM292" s="75">
        <f t="shared" si="39"/>
        <v>0</v>
      </c>
      <c r="BN292" s="75">
        <f t="shared" si="40"/>
        <v>0</v>
      </c>
      <c r="BO292" s="75">
        <f t="shared" ref="BO292:BO301" si="54">SUM(AO292:BH292)</f>
        <v>2</v>
      </c>
      <c r="BP292" s="75">
        <f t="shared" si="53"/>
        <v>2</v>
      </c>
      <c r="BQ292" s="85" t="s">
        <v>580</v>
      </c>
      <c r="BR292" s="138">
        <v>3993</v>
      </c>
      <c r="BS292" s="110" t="s">
        <v>539</v>
      </c>
      <c r="BT292" s="110">
        <v>0</v>
      </c>
      <c r="BU292" s="75">
        <v>0</v>
      </c>
    </row>
    <row r="293" spans="1:74" x14ac:dyDescent="0.75">
      <c r="C293" s="270">
        <v>1173</v>
      </c>
      <c r="D293" s="75" t="s">
        <v>357</v>
      </c>
      <c r="E293" s="75" t="s">
        <v>358</v>
      </c>
      <c r="F293" s="75" t="s">
        <v>359</v>
      </c>
      <c r="G293" s="75" t="s">
        <v>69</v>
      </c>
      <c r="H293" s="75">
        <v>18.343233000000001</v>
      </c>
      <c r="I293" s="75">
        <v>-64.687667000000005</v>
      </c>
      <c r="J293" s="81">
        <v>44987</v>
      </c>
      <c r="K293" s="75" t="s">
        <v>367</v>
      </c>
      <c r="L293" s="75" t="s">
        <v>374</v>
      </c>
      <c r="M293" s="75">
        <v>0</v>
      </c>
      <c r="N293" s="75">
        <v>3</v>
      </c>
      <c r="O293" s="75" t="s">
        <v>362</v>
      </c>
      <c r="P293" s="88">
        <f>SUM(TreatmentUsed!E4176:E4178)</f>
        <v>13</v>
      </c>
      <c r="Q293" s="75">
        <v>0</v>
      </c>
      <c r="R293" s="75">
        <v>0</v>
      </c>
      <c r="S293" s="75">
        <v>0</v>
      </c>
      <c r="T293" s="75">
        <v>0</v>
      </c>
      <c r="U293" s="75">
        <v>0</v>
      </c>
      <c r="V293" s="75">
        <v>0</v>
      </c>
      <c r="W293" s="75">
        <v>0</v>
      </c>
      <c r="X293" s="75">
        <v>0</v>
      </c>
      <c r="Y293" s="75">
        <v>0</v>
      </c>
      <c r="Z293" s="75">
        <v>0</v>
      </c>
      <c r="AA293" s="75">
        <v>0</v>
      </c>
      <c r="AB293" s="75">
        <v>0</v>
      </c>
      <c r="AC293" s="75">
        <v>0</v>
      </c>
      <c r="AD293" s="75">
        <v>0</v>
      </c>
      <c r="AE293" s="75">
        <v>0</v>
      </c>
      <c r="AF293" s="75">
        <v>0</v>
      </c>
      <c r="AG293" s="75">
        <v>0</v>
      </c>
      <c r="AH293" s="75">
        <v>0</v>
      </c>
      <c r="AI293" s="75">
        <v>0</v>
      </c>
      <c r="AJ293" s="75">
        <v>0</v>
      </c>
      <c r="AK293" s="75">
        <v>0</v>
      </c>
      <c r="AL293" s="75">
        <v>0</v>
      </c>
      <c r="AM293" s="75">
        <v>0</v>
      </c>
      <c r="AN293" s="75">
        <v>0</v>
      </c>
      <c r="AO293" s="75">
        <v>0</v>
      </c>
      <c r="AP293" s="75">
        <v>0</v>
      </c>
      <c r="AQ293" s="75">
        <v>0</v>
      </c>
      <c r="AR293" s="75">
        <v>0</v>
      </c>
      <c r="AS293" s="75">
        <v>0</v>
      </c>
      <c r="AT293" s="75">
        <v>0</v>
      </c>
      <c r="AU293" s="75">
        <v>0</v>
      </c>
      <c r="AV293" s="75">
        <v>0</v>
      </c>
      <c r="AW293" s="75">
        <v>0</v>
      </c>
      <c r="AX293" s="75">
        <v>0</v>
      </c>
      <c r="AY293" s="75">
        <v>0</v>
      </c>
      <c r="AZ293" s="75">
        <v>0</v>
      </c>
      <c r="BA293" s="75">
        <v>0</v>
      </c>
      <c r="BB293" s="75">
        <v>0</v>
      </c>
      <c r="BC293" s="75">
        <v>0</v>
      </c>
      <c r="BD293" s="75">
        <v>0</v>
      </c>
      <c r="BE293" s="75">
        <v>0</v>
      </c>
      <c r="BF293" s="75">
        <v>3</v>
      </c>
      <c r="BG293" s="75">
        <v>0</v>
      </c>
      <c r="BH293" s="75">
        <v>0</v>
      </c>
      <c r="BI293" s="75" t="s">
        <v>254</v>
      </c>
      <c r="BJ293" s="75" t="s">
        <v>254</v>
      </c>
      <c r="BK293" s="75" t="s">
        <v>254</v>
      </c>
      <c r="BL293" s="75">
        <v>0</v>
      </c>
      <c r="BM293" s="75">
        <f t="shared" si="39"/>
        <v>0</v>
      </c>
      <c r="BN293" s="75">
        <f t="shared" si="40"/>
        <v>0</v>
      </c>
      <c r="BO293" s="75">
        <f t="shared" si="54"/>
        <v>3</v>
      </c>
      <c r="BP293" s="75">
        <f t="shared" si="53"/>
        <v>3</v>
      </c>
      <c r="BR293" s="138" t="s">
        <v>581</v>
      </c>
      <c r="BS293" s="110" t="s">
        <v>539</v>
      </c>
      <c r="BT293" s="110">
        <v>0</v>
      </c>
      <c r="BU293" s="75">
        <v>0</v>
      </c>
    </row>
    <row r="294" spans="1:74" x14ac:dyDescent="0.75">
      <c r="C294" s="270">
        <v>1174</v>
      </c>
      <c r="D294" s="75" t="s">
        <v>357</v>
      </c>
      <c r="E294" s="75" t="s">
        <v>358</v>
      </c>
      <c r="F294" s="75" t="s">
        <v>359</v>
      </c>
      <c r="G294" s="75" t="s">
        <v>100</v>
      </c>
      <c r="H294">
        <v>18.344525365211499</v>
      </c>
      <c r="I294">
        <v>-64.693964686489494</v>
      </c>
      <c r="J294" s="81">
        <v>44987</v>
      </c>
      <c r="K294" s="75" t="s">
        <v>367</v>
      </c>
      <c r="L294" s="75" t="s">
        <v>374</v>
      </c>
      <c r="M294" s="75">
        <v>0</v>
      </c>
      <c r="N294" s="75">
        <v>3</v>
      </c>
      <c r="O294" s="75" t="s">
        <v>362</v>
      </c>
      <c r="P294" s="88">
        <f>SUM(TreatmentUsed!E4179:E4206)</f>
        <v>174</v>
      </c>
      <c r="Q294" s="75">
        <v>0</v>
      </c>
      <c r="R294" s="75">
        <v>0</v>
      </c>
      <c r="S294" s="75">
        <v>0</v>
      </c>
      <c r="T294" s="75">
        <v>0</v>
      </c>
      <c r="U294" s="75">
        <v>0</v>
      </c>
      <c r="V294" s="75">
        <v>0</v>
      </c>
      <c r="W294" s="75">
        <v>0</v>
      </c>
      <c r="X294" s="75">
        <v>0</v>
      </c>
      <c r="Y294" s="75">
        <v>0</v>
      </c>
      <c r="Z294" s="75">
        <v>0</v>
      </c>
      <c r="AA294" s="75">
        <v>0</v>
      </c>
      <c r="AB294" s="75">
        <v>0</v>
      </c>
      <c r="AC294" s="75">
        <v>0</v>
      </c>
      <c r="AD294" s="75">
        <v>0</v>
      </c>
      <c r="AE294" s="75">
        <v>0</v>
      </c>
      <c r="AF294" s="75">
        <v>0</v>
      </c>
      <c r="AG294" s="75">
        <v>0</v>
      </c>
      <c r="AH294" s="75">
        <v>0</v>
      </c>
      <c r="AI294" s="75">
        <v>0</v>
      </c>
      <c r="AJ294" s="75">
        <v>0</v>
      </c>
      <c r="AK294" s="75">
        <v>0</v>
      </c>
      <c r="AL294" s="75">
        <v>0</v>
      </c>
      <c r="AM294" s="75">
        <v>0</v>
      </c>
      <c r="AN294" s="75">
        <v>0</v>
      </c>
      <c r="AO294" s="75">
        <v>0</v>
      </c>
      <c r="AP294" s="75">
        <v>0</v>
      </c>
      <c r="AQ294" s="75">
        <v>2</v>
      </c>
      <c r="AR294" s="75">
        <v>1</v>
      </c>
      <c r="AS294" s="84">
        <v>5</v>
      </c>
      <c r="AT294" s="84">
        <v>2</v>
      </c>
      <c r="AU294" s="84">
        <v>0</v>
      </c>
      <c r="AV294" s="75">
        <v>0</v>
      </c>
      <c r="AW294" s="75">
        <v>0</v>
      </c>
      <c r="AX294" s="75">
        <v>0</v>
      </c>
      <c r="AY294" s="75">
        <v>1</v>
      </c>
      <c r="AZ294" s="75">
        <v>0</v>
      </c>
      <c r="BA294" s="84">
        <v>0</v>
      </c>
      <c r="BB294" s="75">
        <v>0</v>
      </c>
      <c r="BC294" s="75">
        <v>0</v>
      </c>
      <c r="BD294" s="75">
        <v>0</v>
      </c>
      <c r="BE294" s="75">
        <v>0</v>
      </c>
      <c r="BF294" s="84">
        <v>17</v>
      </c>
      <c r="BG294" s="75">
        <v>0</v>
      </c>
      <c r="BH294" s="75">
        <v>0</v>
      </c>
      <c r="BI294" s="75" t="s">
        <v>254</v>
      </c>
      <c r="BJ294" s="75" t="s">
        <v>254</v>
      </c>
      <c r="BK294" s="75" t="s">
        <v>254</v>
      </c>
      <c r="BL294" s="75">
        <v>1</v>
      </c>
      <c r="BM294" s="75">
        <f t="shared" si="39"/>
        <v>0</v>
      </c>
      <c r="BN294" s="75">
        <f t="shared" si="40"/>
        <v>0</v>
      </c>
      <c r="BO294" s="75">
        <f t="shared" si="54"/>
        <v>28</v>
      </c>
      <c r="BP294" s="75">
        <f t="shared" si="53"/>
        <v>28</v>
      </c>
      <c r="BQ294" s="85" t="s">
        <v>582</v>
      </c>
      <c r="BR294" s="138" t="s">
        <v>583</v>
      </c>
      <c r="BS294" s="110" t="s">
        <v>539</v>
      </c>
      <c r="BT294" s="110">
        <v>0</v>
      </c>
      <c r="BU294" s="75">
        <v>0</v>
      </c>
    </row>
    <row r="295" spans="1:74" x14ac:dyDescent="0.75">
      <c r="C295" s="270">
        <v>1175</v>
      </c>
      <c r="D295" s="75" t="s">
        <v>357</v>
      </c>
      <c r="E295" s="75" t="s">
        <v>358</v>
      </c>
      <c r="F295" s="75" t="s">
        <v>359</v>
      </c>
      <c r="G295" s="75" t="s">
        <v>91</v>
      </c>
      <c r="H295" s="75">
        <v>18.302265542188699</v>
      </c>
      <c r="I295" s="75">
        <v>-64.709759103599794</v>
      </c>
      <c r="J295" s="81">
        <v>44987</v>
      </c>
      <c r="K295" s="75" t="s">
        <v>367</v>
      </c>
      <c r="L295" s="75" t="s">
        <v>374</v>
      </c>
      <c r="M295" s="75">
        <v>0</v>
      </c>
      <c r="N295" s="75">
        <v>3</v>
      </c>
      <c r="O295" s="75" t="s">
        <v>362</v>
      </c>
      <c r="P295" s="88">
        <f>SUM(TreatmentUsed!E4207:E4216)</f>
        <v>116</v>
      </c>
      <c r="Q295" s="75">
        <v>0</v>
      </c>
      <c r="R295" s="75">
        <v>0</v>
      </c>
      <c r="S295" s="75">
        <v>0</v>
      </c>
      <c r="T295" s="75">
        <v>0</v>
      </c>
      <c r="U295" s="75">
        <v>0</v>
      </c>
      <c r="V295" s="75">
        <v>0</v>
      </c>
      <c r="W295" s="75">
        <v>0</v>
      </c>
      <c r="X295" s="75">
        <v>0</v>
      </c>
      <c r="Y295" s="75">
        <v>0</v>
      </c>
      <c r="Z295" s="75">
        <v>0</v>
      </c>
      <c r="AA295" s="75">
        <v>0</v>
      </c>
      <c r="AB295" s="75">
        <v>0</v>
      </c>
      <c r="AC295" s="75">
        <v>0</v>
      </c>
      <c r="AD295" s="75">
        <v>0</v>
      </c>
      <c r="AE295" s="75">
        <v>0</v>
      </c>
      <c r="AF295" s="75">
        <v>0</v>
      </c>
      <c r="AG295" s="75">
        <v>0</v>
      </c>
      <c r="AH295" s="75">
        <v>0</v>
      </c>
      <c r="AI295" s="75">
        <v>0</v>
      </c>
      <c r="AJ295" s="75">
        <v>0</v>
      </c>
      <c r="AK295" s="75">
        <v>0</v>
      </c>
      <c r="AL295" s="75">
        <v>0</v>
      </c>
      <c r="AM295" s="75">
        <v>0</v>
      </c>
      <c r="AN295" s="75">
        <v>0</v>
      </c>
      <c r="AO295" s="75">
        <v>2</v>
      </c>
      <c r="AP295" s="75">
        <v>0</v>
      </c>
      <c r="AQ295" s="75">
        <v>1</v>
      </c>
      <c r="AR295" s="75">
        <v>0</v>
      </c>
      <c r="AS295" s="75">
        <v>0</v>
      </c>
      <c r="AT295" s="75">
        <v>0</v>
      </c>
      <c r="AU295" s="75">
        <v>0</v>
      </c>
      <c r="AV295" s="75">
        <v>0</v>
      </c>
      <c r="AW295" s="75">
        <v>0</v>
      </c>
      <c r="AX295" s="75">
        <v>0</v>
      </c>
      <c r="AY295" s="75">
        <v>0</v>
      </c>
      <c r="AZ295" s="84">
        <v>0</v>
      </c>
      <c r="BA295" s="75">
        <v>2</v>
      </c>
      <c r="BB295" s="75">
        <v>0</v>
      </c>
      <c r="BC295" s="75">
        <v>1</v>
      </c>
      <c r="BD295" s="75">
        <v>0</v>
      </c>
      <c r="BE295" s="75">
        <v>0</v>
      </c>
      <c r="BF295" s="75">
        <v>4</v>
      </c>
      <c r="BG295" s="75">
        <v>0</v>
      </c>
      <c r="BH295" s="75">
        <v>0</v>
      </c>
      <c r="BI295" s="75" t="s">
        <v>254</v>
      </c>
      <c r="BJ295" s="75" t="s">
        <v>254</v>
      </c>
      <c r="BK295" s="75" t="s">
        <v>254</v>
      </c>
      <c r="BL295" s="75">
        <v>0</v>
      </c>
      <c r="BM295" s="75">
        <f t="shared" si="39"/>
        <v>0</v>
      </c>
      <c r="BN295" s="75">
        <f t="shared" si="40"/>
        <v>0</v>
      </c>
      <c r="BO295" s="84">
        <f t="shared" si="54"/>
        <v>10</v>
      </c>
      <c r="BP295" s="84">
        <f t="shared" si="53"/>
        <v>10</v>
      </c>
      <c r="BQ295" s="85" t="s">
        <v>584</v>
      </c>
      <c r="BS295" s="110" t="s">
        <v>539</v>
      </c>
      <c r="BT295" s="110">
        <v>0</v>
      </c>
      <c r="BU295" s="75">
        <v>0</v>
      </c>
    </row>
    <row r="296" spans="1:74" x14ac:dyDescent="0.75">
      <c r="C296" s="270">
        <v>1150</v>
      </c>
      <c r="D296" s="75" t="s">
        <v>357</v>
      </c>
      <c r="E296" s="75" t="s">
        <v>358</v>
      </c>
      <c r="F296" s="75" t="s">
        <v>359</v>
      </c>
      <c r="G296" s="75" t="s">
        <v>96</v>
      </c>
      <c r="H296">
        <v>18.309038942679699</v>
      </c>
      <c r="I296">
        <v>-64.723371360450898</v>
      </c>
      <c r="J296" s="81">
        <v>44992</v>
      </c>
      <c r="K296" s="75" t="s">
        <v>361</v>
      </c>
      <c r="L296" s="75" t="s">
        <v>360</v>
      </c>
      <c r="M296" s="75">
        <v>0</v>
      </c>
      <c r="N296" s="75">
        <v>2</v>
      </c>
      <c r="O296" s="75" t="s">
        <v>362</v>
      </c>
      <c r="P296" s="88">
        <f>SUM(TreatmentUsed!E4217:E4226)</f>
        <v>58</v>
      </c>
      <c r="Q296" s="75">
        <v>0</v>
      </c>
      <c r="R296" s="75">
        <v>0</v>
      </c>
      <c r="S296" s="75">
        <v>0</v>
      </c>
      <c r="T296" s="75">
        <v>0</v>
      </c>
      <c r="U296" s="75">
        <v>0</v>
      </c>
      <c r="V296" s="75">
        <v>0</v>
      </c>
      <c r="W296" s="75">
        <v>0</v>
      </c>
      <c r="X296" s="75">
        <v>0</v>
      </c>
      <c r="Y296" s="75">
        <v>0</v>
      </c>
      <c r="Z296" s="75">
        <v>0</v>
      </c>
      <c r="AA296" s="75">
        <v>0</v>
      </c>
      <c r="AB296" s="75">
        <v>0</v>
      </c>
      <c r="AC296" s="75">
        <v>0</v>
      </c>
      <c r="AD296" s="75">
        <v>0</v>
      </c>
      <c r="AE296" s="75">
        <v>0</v>
      </c>
      <c r="AF296" s="75">
        <v>0</v>
      </c>
      <c r="AG296" s="75">
        <v>0</v>
      </c>
      <c r="AH296" s="75">
        <v>0</v>
      </c>
      <c r="AI296" s="75">
        <v>0</v>
      </c>
      <c r="AJ296" s="75">
        <v>0</v>
      </c>
      <c r="AK296" s="75">
        <v>0</v>
      </c>
      <c r="AL296" s="75">
        <v>0</v>
      </c>
      <c r="AM296" s="75">
        <v>0</v>
      </c>
      <c r="AN296" s="75">
        <v>0</v>
      </c>
      <c r="AO296" s="75">
        <v>0</v>
      </c>
      <c r="AP296" s="75">
        <v>0</v>
      </c>
      <c r="AQ296" s="75">
        <v>0</v>
      </c>
      <c r="AR296" s="75">
        <v>0</v>
      </c>
      <c r="AS296" s="75">
        <v>0</v>
      </c>
      <c r="AT296" s="75">
        <v>0</v>
      </c>
      <c r="AU296" s="75">
        <v>0</v>
      </c>
      <c r="AV296" s="75">
        <v>0</v>
      </c>
      <c r="AW296" s="75">
        <v>0</v>
      </c>
      <c r="AX296" s="75">
        <v>0</v>
      </c>
      <c r="AY296" s="84">
        <v>2</v>
      </c>
      <c r="AZ296" s="84">
        <v>3</v>
      </c>
      <c r="BA296" s="75">
        <v>1</v>
      </c>
      <c r="BB296" s="75">
        <v>0</v>
      </c>
      <c r="BC296" s="75">
        <v>0</v>
      </c>
      <c r="BD296" s="75">
        <v>0</v>
      </c>
      <c r="BE296" s="75">
        <v>1</v>
      </c>
      <c r="BF296" s="75">
        <v>3</v>
      </c>
      <c r="BG296" s="75">
        <v>0</v>
      </c>
      <c r="BH296" s="75">
        <v>0</v>
      </c>
      <c r="BI296" s="75" t="s">
        <v>254</v>
      </c>
      <c r="BJ296" s="75" t="s">
        <v>254</v>
      </c>
      <c r="BK296" s="75" t="s">
        <v>254</v>
      </c>
      <c r="BL296" s="84">
        <v>0</v>
      </c>
      <c r="BM296" s="75">
        <f t="shared" si="39"/>
        <v>0</v>
      </c>
      <c r="BN296" s="75">
        <f t="shared" si="40"/>
        <v>0</v>
      </c>
      <c r="BO296" s="75">
        <f t="shared" si="54"/>
        <v>10</v>
      </c>
      <c r="BP296" s="75">
        <f>SUM(BM296:BO296)</f>
        <v>10</v>
      </c>
      <c r="BQ296" s="80" t="s">
        <v>363</v>
      </c>
      <c r="BR296" s="138" t="s">
        <v>585</v>
      </c>
      <c r="BS296" s="117" t="s">
        <v>539</v>
      </c>
      <c r="BT296" s="117">
        <v>0</v>
      </c>
      <c r="BU296" s="84">
        <v>0</v>
      </c>
    </row>
    <row r="297" spans="1:74" x14ac:dyDescent="0.75">
      <c r="C297" s="270">
        <v>1151</v>
      </c>
      <c r="D297" s="75" t="s">
        <v>357</v>
      </c>
      <c r="E297" s="75" t="s">
        <v>358</v>
      </c>
      <c r="F297" s="75" t="s">
        <v>359</v>
      </c>
      <c r="G297" s="75" t="s">
        <v>96</v>
      </c>
      <c r="H297">
        <v>18.309038942679699</v>
      </c>
      <c r="I297">
        <v>-64.723371360450898</v>
      </c>
      <c r="J297" s="81">
        <v>44992</v>
      </c>
      <c r="K297" s="75" t="s">
        <v>361</v>
      </c>
      <c r="L297" s="75" t="s">
        <v>360</v>
      </c>
      <c r="M297" s="75">
        <v>0</v>
      </c>
      <c r="N297" s="75">
        <v>2</v>
      </c>
      <c r="O297" s="75" t="s">
        <v>362</v>
      </c>
      <c r="P297" s="88">
        <f>SUM(TreatmentUsed!E4227:E4236)</f>
        <v>92</v>
      </c>
      <c r="Q297" s="75">
        <v>0</v>
      </c>
      <c r="R297" s="75">
        <v>0</v>
      </c>
      <c r="S297" s="75">
        <v>0</v>
      </c>
      <c r="T297" s="75">
        <v>0</v>
      </c>
      <c r="U297" s="75">
        <v>0</v>
      </c>
      <c r="V297" s="75">
        <v>0</v>
      </c>
      <c r="W297" s="75">
        <v>0</v>
      </c>
      <c r="X297" s="75">
        <v>0</v>
      </c>
      <c r="Y297" s="75">
        <v>0</v>
      </c>
      <c r="Z297" s="75">
        <v>0</v>
      </c>
      <c r="AA297" s="75">
        <v>0</v>
      </c>
      <c r="AB297" s="75">
        <v>0</v>
      </c>
      <c r="AC297" s="75">
        <v>0</v>
      </c>
      <c r="AD297" s="75">
        <v>0</v>
      </c>
      <c r="AE297" s="75">
        <v>0</v>
      </c>
      <c r="AF297" s="75">
        <v>0</v>
      </c>
      <c r="AG297" s="75">
        <v>0</v>
      </c>
      <c r="AH297" s="75">
        <v>0</v>
      </c>
      <c r="AI297" s="75">
        <v>0</v>
      </c>
      <c r="AJ297" s="75">
        <v>0</v>
      </c>
      <c r="AK297" s="75">
        <v>0</v>
      </c>
      <c r="AL297" s="75">
        <v>0</v>
      </c>
      <c r="AM297" s="75">
        <v>0</v>
      </c>
      <c r="AN297" s="75">
        <v>0</v>
      </c>
      <c r="AO297" s="75">
        <v>0</v>
      </c>
      <c r="AP297" s="75">
        <v>0</v>
      </c>
      <c r="AQ297" s="75">
        <v>0</v>
      </c>
      <c r="AR297" s="75">
        <v>0</v>
      </c>
      <c r="AS297" s="75">
        <v>0</v>
      </c>
      <c r="AT297" s="75">
        <v>0</v>
      </c>
      <c r="AU297" s="75">
        <v>0</v>
      </c>
      <c r="AV297" s="75">
        <v>0</v>
      </c>
      <c r="AW297" s="75">
        <v>0</v>
      </c>
      <c r="AX297" s="75">
        <v>0</v>
      </c>
      <c r="AY297" s="84">
        <v>2</v>
      </c>
      <c r="AZ297" s="84">
        <v>3</v>
      </c>
      <c r="BA297" s="75">
        <v>5</v>
      </c>
      <c r="BB297" s="75">
        <v>0</v>
      </c>
      <c r="BC297" s="75">
        <v>0</v>
      </c>
      <c r="BD297" s="75">
        <v>0</v>
      </c>
      <c r="BE297" s="75">
        <v>0</v>
      </c>
      <c r="BF297" s="75">
        <v>0</v>
      </c>
      <c r="BG297" s="75">
        <v>0</v>
      </c>
      <c r="BH297" s="75">
        <v>0</v>
      </c>
      <c r="BI297" s="75" t="s">
        <v>254</v>
      </c>
      <c r="BJ297" s="75" t="s">
        <v>254</v>
      </c>
      <c r="BK297" s="75" t="s">
        <v>254</v>
      </c>
      <c r="BL297" s="84">
        <v>2</v>
      </c>
      <c r="BM297" s="75">
        <f t="shared" si="39"/>
        <v>0</v>
      </c>
      <c r="BN297" s="75">
        <f t="shared" si="40"/>
        <v>0</v>
      </c>
      <c r="BO297" s="75">
        <f t="shared" si="54"/>
        <v>10</v>
      </c>
      <c r="BP297" s="75">
        <f t="shared" ref="BP297:BP309" si="55">SUM(BM297:BO297)</f>
        <v>10</v>
      </c>
      <c r="BQ297" s="84" t="s">
        <v>586</v>
      </c>
      <c r="BR297" s="257" t="s">
        <v>363</v>
      </c>
      <c r="BS297" s="117" t="s">
        <v>539</v>
      </c>
      <c r="BT297" s="117">
        <v>0</v>
      </c>
      <c r="BU297" s="84">
        <v>0</v>
      </c>
    </row>
    <row r="298" spans="1:74" x14ac:dyDescent="0.75">
      <c r="C298" s="270">
        <v>1152</v>
      </c>
      <c r="D298" s="75" t="s">
        <v>357</v>
      </c>
      <c r="E298" s="75" t="s">
        <v>358</v>
      </c>
      <c r="F298" s="75" t="s">
        <v>359</v>
      </c>
      <c r="G298" s="75" t="s">
        <v>28</v>
      </c>
      <c r="H298">
        <v>18.315639999999998</v>
      </c>
      <c r="I298">
        <v>-64.725899999999996</v>
      </c>
      <c r="J298" s="81">
        <v>44992</v>
      </c>
      <c r="K298" s="75" t="s">
        <v>361</v>
      </c>
      <c r="L298" s="75" t="s">
        <v>360</v>
      </c>
      <c r="M298" s="75">
        <v>0</v>
      </c>
      <c r="N298" s="75">
        <v>2</v>
      </c>
      <c r="O298" s="75" t="s">
        <v>362</v>
      </c>
      <c r="P298" s="88">
        <f>SUM(TreatmentUsed!E4237:E4241)</f>
        <v>35</v>
      </c>
      <c r="Q298" s="75">
        <v>0</v>
      </c>
      <c r="R298" s="75">
        <v>0</v>
      </c>
      <c r="S298" s="75">
        <v>0</v>
      </c>
      <c r="T298" s="75">
        <v>0</v>
      </c>
      <c r="U298" s="75">
        <v>0</v>
      </c>
      <c r="V298" s="75">
        <v>0</v>
      </c>
      <c r="W298" s="75">
        <v>0</v>
      </c>
      <c r="X298" s="75">
        <v>0</v>
      </c>
      <c r="Y298" s="75">
        <v>0</v>
      </c>
      <c r="Z298" s="75">
        <v>0</v>
      </c>
      <c r="AA298" s="75">
        <v>0</v>
      </c>
      <c r="AB298" s="75">
        <v>0</v>
      </c>
      <c r="AC298" s="75">
        <v>0</v>
      </c>
      <c r="AD298" s="75">
        <v>0</v>
      </c>
      <c r="AE298" s="75">
        <v>0</v>
      </c>
      <c r="AF298" s="75">
        <v>0</v>
      </c>
      <c r="AG298" s="75">
        <v>0</v>
      </c>
      <c r="AH298" s="75">
        <v>0</v>
      </c>
      <c r="AI298" s="75">
        <v>0</v>
      </c>
      <c r="AJ298" s="75">
        <v>0</v>
      </c>
      <c r="AK298" s="75">
        <v>0</v>
      </c>
      <c r="AL298" s="75">
        <v>0</v>
      </c>
      <c r="AM298" s="75">
        <v>0</v>
      </c>
      <c r="AN298" s="75">
        <v>0</v>
      </c>
      <c r="AO298" s="75">
        <v>0</v>
      </c>
      <c r="AP298" s="75">
        <v>0</v>
      </c>
      <c r="AQ298" s="75">
        <v>1</v>
      </c>
      <c r="AR298" s="75">
        <v>0</v>
      </c>
      <c r="AS298" s="75">
        <v>3</v>
      </c>
      <c r="AT298" s="75">
        <v>0</v>
      </c>
      <c r="AU298" s="75">
        <v>0</v>
      </c>
      <c r="AV298" s="75">
        <v>0</v>
      </c>
      <c r="AW298" s="75">
        <v>0</v>
      </c>
      <c r="AX298" s="75">
        <v>0</v>
      </c>
      <c r="AY298" s="75">
        <v>0</v>
      </c>
      <c r="AZ298" s="75">
        <v>0</v>
      </c>
      <c r="BA298" s="75">
        <v>0</v>
      </c>
      <c r="BB298" s="75">
        <v>0</v>
      </c>
      <c r="BC298" s="75">
        <v>0</v>
      </c>
      <c r="BD298" s="75">
        <v>0</v>
      </c>
      <c r="BE298" s="75">
        <v>0</v>
      </c>
      <c r="BF298" s="75">
        <v>1</v>
      </c>
      <c r="BG298" s="75">
        <v>0</v>
      </c>
      <c r="BH298" s="75">
        <v>0</v>
      </c>
      <c r="BI298" s="75" t="s">
        <v>254</v>
      </c>
      <c r="BJ298" s="75" t="s">
        <v>254</v>
      </c>
      <c r="BK298" s="75" t="s">
        <v>254</v>
      </c>
      <c r="BL298" s="84">
        <v>0</v>
      </c>
      <c r="BM298" s="75">
        <f t="shared" si="39"/>
        <v>0</v>
      </c>
      <c r="BN298" s="75">
        <f t="shared" si="40"/>
        <v>0</v>
      </c>
      <c r="BO298" s="75">
        <f t="shared" si="54"/>
        <v>5</v>
      </c>
      <c r="BP298" s="75">
        <f t="shared" si="55"/>
        <v>5</v>
      </c>
      <c r="BQ298" s="80" t="s">
        <v>363</v>
      </c>
      <c r="BR298" s="138" t="s">
        <v>587</v>
      </c>
      <c r="BS298" s="117" t="s">
        <v>539</v>
      </c>
      <c r="BT298" s="117">
        <v>0</v>
      </c>
      <c r="BU298" s="84">
        <v>0</v>
      </c>
    </row>
    <row r="299" spans="1:74" x14ac:dyDescent="0.75">
      <c r="C299" s="270">
        <v>1153</v>
      </c>
      <c r="D299" s="75" t="s">
        <v>357</v>
      </c>
      <c r="E299" s="75" t="s">
        <v>358</v>
      </c>
      <c r="F299" s="75" t="s">
        <v>359</v>
      </c>
      <c r="G299" s="75" t="s">
        <v>48</v>
      </c>
      <c r="H299">
        <v>18.363399999999999</v>
      </c>
      <c r="I299">
        <v>-64.706067000000004</v>
      </c>
      <c r="J299" s="81">
        <v>44993</v>
      </c>
      <c r="K299" s="75" t="s">
        <v>367</v>
      </c>
      <c r="L299" s="75" t="s">
        <v>360</v>
      </c>
      <c r="M299" s="75">
        <v>0</v>
      </c>
      <c r="N299" s="75">
        <v>2</v>
      </c>
      <c r="O299" s="75" t="s">
        <v>362</v>
      </c>
      <c r="P299" s="88">
        <f>SUM(TreatmentUsed!E4242)</f>
        <v>17</v>
      </c>
      <c r="Q299" s="75">
        <v>0</v>
      </c>
      <c r="R299" s="75">
        <v>0</v>
      </c>
      <c r="S299" s="75">
        <v>0</v>
      </c>
      <c r="T299" s="75">
        <v>0</v>
      </c>
      <c r="U299" s="75">
        <v>0</v>
      </c>
      <c r="V299" s="75">
        <v>0</v>
      </c>
      <c r="W299" s="75">
        <v>0</v>
      </c>
      <c r="X299" s="75">
        <v>0</v>
      </c>
      <c r="Y299" s="75">
        <v>0</v>
      </c>
      <c r="Z299" s="75">
        <v>0</v>
      </c>
      <c r="AA299" s="75">
        <v>0</v>
      </c>
      <c r="AB299" s="75">
        <v>0</v>
      </c>
      <c r="AC299" s="75">
        <v>0</v>
      </c>
      <c r="AD299" s="75">
        <v>0</v>
      </c>
      <c r="AE299" s="75">
        <v>0</v>
      </c>
      <c r="AF299" s="75">
        <v>0</v>
      </c>
      <c r="AG299" s="75">
        <v>0</v>
      </c>
      <c r="AH299" s="75">
        <v>0</v>
      </c>
      <c r="AI299" s="75">
        <v>0</v>
      </c>
      <c r="AJ299" s="75">
        <v>0</v>
      </c>
      <c r="AK299" s="75">
        <v>0</v>
      </c>
      <c r="AL299" s="75">
        <v>0</v>
      </c>
      <c r="AM299" s="75">
        <v>0</v>
      </c>
      <c r="AN299" s="75">
        <v>0</v>
      </c>
      <c r="AO299" s="75">
        <v>0</v>
      </c>
      <c r="AP299" s="75">
        <v>0</v>
      </c>
      <c r="AQ299" s="75">
        <v>0</v>
      </c>
      <c r="AR299" s="75">
        <v>0</v>
      </c>
      <c r="AS299" s="75">
        <v>0</v>
      </c>
      <c r="AT299" s="75">
        <v>0</v>
      </c>
      <c r="AU299" s="75">
        <v>0</v>
      </c>
      <c r="AV299" s="75">
        <v>0</v>
      </c>
      <c r="AW299" s="75">
        <v>0</v>
      </c>
      <c r="AX299" s="75">
        <v>0</v>
      </c>
      <c r="AY299" s="75">
        <v>1</v>
      </c>
      <c r="AZ299" s="75">
        <v>0</v>
      </c>
      <c r="BA299" s="75">
        <v>0</v>
      </c>
      <c r="BB299" s="75">
        <v>0</v>
      </c>
      <c r="BC299" s="75">
        <v>0</v>
      </c>
      <c r="BD299" s="75">
        <v>0</v>
      </c>
      <c r="BE299" s="75">
        <v>0</v>
      </c>
      <c r="BF299" s="75">
        <v>0</v>
      </c>
      <c r="BG299" s="75">
        <v>0</v>
      </c>
      <c r="BH299" s="75">
        <v>0</v>
      </c>
      <c r="BI299" s="75" t="s">
        <v>254</v>
      </c>
      <c r="BJ299" s="75" t="s">
        <v>254</v>
      </c>
      <c r="BK299" s="75" t="s">
        <v>254</v>
      </c>
      <c r="BL299" s="84">
        <v>0</v>
      </c>
      <c r="BM299" s="75">
        <f t="shared" si="39"/>
        <v>0</v>
      </c>
      <c r="BN299" s="75">
        <f t="shared" si="40"/>
        <v>0</v>
      </c>
      <c r="BO299" s="75">
        <f t="shared" si="54"/>
        <v>1</v>
      </c>
      <c r="BP299" s="75">
        <f t="shared" si="55"/>
        <v>1</v>
      </c>
      <c r="BQ299" s="80" t="s">
        <v>363</v>
      </c>
      <c r="BR299" s="138" t="s">
        <v>363</v>
      </c>
      <c r="BS299" s="117" t="s">
        <v>539</v>
      </c>
      <c r="BT299" s="117">
        <v>0</v>
      </c>
      <c r="BU299" s="84">
        <v>0</v>
      </c>
    </row>
    <row r="300" spans="1:74" x14ac:dyDescent="0.75">
      <c r="C300" s="270">
        <v>1154</v>
      </c>
      <c r="D300" s="75" t="s">
        <v>357</v>
      </c>
      <c r="E300" s="75" t="s">
        <v>358</v>
      </c>
      <c r="F300" s="75" t="s">
        <v>359</v>
      </c>
      <c r="G300" s="75" t="s">
        <v>44</v>
      </c>
      <c r="H300">
        <v>18.364650000000001</v>
      </c>
      <c r="I300">
        <v>-64.726183000000006</v>
      </c>
      <c r="J300" s="81">
        <v>44994</v>
      </c>
      <c r="K300" s="75" t="s">
        <v>361</v>
      </c>
      <c r="L300" s="75" t="s">
        <v>360</v>
      </c>
      <c r="M300" s="75">
        <v>0</v>
      </c>
      <c r="N300" s="75">
        <v>2</v>
      </c>
      <c r="O300" s="75" t="s">
        <v>362</v>
      </c>
      <c r="P300" s="88">
        <f>SUM(TreatmentUsed!E4243:E4245)</f>
        <v>37</v>
      </c>
      <c r="Q300" s="75">
        <v>0</v>
      </c>
      <c r="R300" s="75">
        <v>0</v>
      </c>
      <c r="S300" s="75">
        <v>0</v>
      </c>
      <c r="T300" s="75">
        <v>0</v>
      </c>
      <c r="U300" s="75">
        <v>0</v>
      </c>
      <c r="V300" s="75">
        <v>0</v>
      </c>
      <c r="W300" s="75">
        <v>0</v>
      </c>
      <c r="X300" s="75">
        <v>0</v>
      </c>
      <c r="Y300" s="75">
        <v>0</v>
      </c>
      <c r="Z300" s="75">
        <v>0</v>
      </c>
      <c r="AA300" s="75">
        <v>0</v>
      </c>
      <c r="AB300" s="75">
        <v>0</v>
      </c>
      <c r="AC300" s="75">
        <v>0</v>
      </c>
      <c r="AD300" s="75">
        <v>0</v>
      </c>
      <c r="AE300" s="75">
        <v>0</v>
      </c>
      <c r="AF300" s="75">
        <v>0</v>
      </c>
      <c r="AG300" s="75">
        <v>0</v>
      </c>
      <c r="AH300" s="75">
        <v>0</v>
      </c>
      <c r="AI300" s="75">
        <v>0</v>
      </c>
      <c r="AJ300" s="75">
        <v>0</v>
      </c>
      <c r="AK300" s="75">
        <v>0</v>
      </c>
      <c r="AL300" s="75">
        <v>0</v>
      </c>
      <c r="AM300" s="75">
        <v>0</v>
      </c>
      <c r="AN300" s="75">
        <v>0</v>
      </c>
      <c r="AO300" s="75">
        <v>0</v>
      </c>
      <c r="AP300" s="75">
        <v>0</v>
      </c>
      <c r="AQ300" s="75">
        <v>0</v>
      </c>
      <c r="AR300" s="75">
        <v>1</v>
      </c>
      <c r="AS300" s="75">
        <v>0</v>
      </c>
      <c r="AT300" s="75">
        <v>0</v>
      </c>
      <c r="AU300" s="75">
        <v>0</v>
      </c>
      <c r="AV300" s="75">
        <v>0</v>
      </c>
      <c r="AW300" s="75">
        <v>0</v>
      </c>
      <c r="AX300" s="75">
        <v>0</v>
      </c>
      <c r="AY300" s="75">
        <v>0</v>
      </c>
      <c r="AZ300" s="84">
        <v>0</v>
      </c>
      <c r="BA300" s="84">
        <v>1</v>
      </c>
      <c r="BB300" s="75">
        <v>0</v>
      </c>
      <c r="BC300" s="75">
        <v>1</v>
      </c>
      <c r="BD300" s="75">
        <v>0</v>
      </c>
      <c r="BE300" s="75">
        <v>0</v>
      </c>
      <c r="BF300" s="75">
        <v>0</v>
      </c>
      <c r="BG300" s="75">
        <v>0</v>
      </c>
      <c r="BH300" s="75">
        <v>0</v>
      </c>
      <c r="BI300" s="75" t="s">
        <v>254</v>
      </c>
      <c r="BJ300" s="75" t="s">
        <v>254</v>
      </c>
      <c r="BK300" s="75" t="s">
        <v>254</v>
      </c>
      <c r="BL300" s="84">
        <v>2</v>
      </c>
      <c r="BM300" s="75">
        <f t="shared" si="39"/>
        <v>0</v>
      </c>
      <c r="BN300" s="75">
        <f t="shared" si="40"/>
        <v>0</v>
      </c>
      <c r="BO300" s="75">
        <f t="shared" si="54"/>
        <v>3</v>
      </c>
      <c r="BP300" s="75">
        <f t="shared" si="55"/>
        <v>3</v>
      </c>
      <c r="BQ300" s="85" t="s">
        <v>588</v>
      </c>
      <c r="BR300" s="252" t="s">
        <v>589</v>
      </c>
      <c r="BS300" s="117" t="s">
        <v>539</v>
      </c>
      <c r="BT300" s="117">
        <v>0</v>
      </c>
      <c r="BU300" s="84">
        <v>0</v>
      </c>
    </row>
    <row r="301" spans="1:74" x14ac:dyDescent="0.75">
      <c r="C301" s="270">
        <v>1155</v>
      </c>
      <c r="D301" s="75" t="s">
        <v>357</v>
      </c>
      <c r="E301" s="75" t="s">
        <v>358</v>
      </c>
      <c r="F301" s="75" t="s">
        <v>359</v>
      </c>
      <c r="G301" s="75" t="s">
        <v>60</v>
      </c>
      <c r="H301">
        <v>18.367850000000001</v>
      </c>
      <c r="I301">
        <v>-64.732933000000003</v>
      </c>
      <c r="J301" s="81">
        <v>44994</v>
      </c>
      <c r="K301" s="75" t="s">
        <v>361</v>
      </c>
      <c r="L301" s="75" t="s">
        <v>360</v>
      </c>
      <c r="M301" s="75">
        <v>0</v>
      </c>
      <c r="N301" s="75">
        <v>2</v>
      </c>
      <c r="O301" s="75" t="s">
        <v>362</v>
      </c>
      <c r="P301" s="88">
        <f>SUM(TreatmentUsed!E4246)</f>
        <v>8</v>
      </c>
      <c r="Q301" s="75">
        <v>315</v>
      </c>
      <c r="R301" s="75">
        <v>0</v>
      </c>
      <c r="S301" s="75">
        <v>0</v>
      </c>
      <c r="T301" s="75">
        <v>0</v>
      </c>
      <c r="U301" s="75">
        <v>0</v>
      </c>
      <c r="V301" s="75">
        <v>0</v>
      </c>
      <c r="W301" s="75">
        <v>0</v>
      </c>
      <c r="X301" s="75">
        <v>0</v>
      </c>
      <c r="Y301" s="75">
        <v>0</v>
      </c>
      <c r="Z301" s="75">
        <v>0</v>
      </c>
      <c r="AA301" s="75">
        <v>0</v>
      </c>
      <c r="AB301" s="75">
        <v>0</v>
      </c>
      <c r="AC301" s="75">
        <v>0</v>
      </c>
      <c r="AD301" s="75">
        <v>0</v>
      </c>
      <c r="AE301" s="75">
        <v>0</v>
      </c>
      <c r="AF301" s="75">
        <v>0</v>
      </c>
      <c r="AG301" s="75">
        <v>0</v>
      </c>
      <c r="AH301" s="75">
        <v>0</v>
      </c>
      <c r="AI301" s="75">
        <v>0</v>
      </c>
      <c r="AJ301" s="75">
        <v>0</v>
      </c>
      <c r="AK301" s="75">
        <v>0</v>
      </c>
      <c r="AL301" s="75">
        <v>0</v>
      </c>
      <c r="AM301" s="75">
        <v>0</v>
      </c>
      <c r="AN301" s="75">
        <v>0</v>
      </c>
      <c r="AO301" s="75">
        <v>0</v>
      </c>
      <c r="AP301" s="75">
        <v>0</v>
      </c>
      <c r="AQ301" s="75">
        <v>0</v>
      </c>
      <c r="AR301" s="75">
        <v>0</v>
      </c>
      <c r="AS301" s="75">
        <v>0</v>
      </c>
      <c r="AT301" s="75">
        <v>0</v>
      </c>
      <c r="AU301" s="75">
        <v>0</v>
      </c>
      <c r="AV301" s="75">
        <v>0</v>
      </c>
      <c r="AW301" s="75">
        <v>0</v>
      </c>
      <c r="AX301" s="75">
        <v>0</v>
      </c>
      <c r="AY301" s="75">
        <v>0</v>
      </c>
      <c r="AZ301" s="75">
        <v>0</v>
      </c>
      <c r="BA301" s="75">
        <v>0</v>
      </c>
      <c r="BB301" s="75">
        <v>0</v>
      </c>
      <c r="BC301" s="75">
        <v>0</v>
      </c>
      <c r="BD301" s="75">
        <v>0</v>
      </c>
      <c r="BE301" s="75">
        <v>0</v>
      </c>
      <c r="BF301" s="75">
        <v>1</v>
      </c>
      <c r="BG301" s="75">
        <v>0</v>
      </c>
      <c r="BH301" s="75">
        <v>0</v>
      </c>
      <c r="BI301" s="75" t="s">
        <v>254</v>
      </c>
      <c r="BJ301" s="75" t="s">
        <v>254</v>
      </c>
      <c r="BK301" s="75" t="s">
        <v>254</v>
      </c>
      <c r="BL301" s="84">
        <v>2</v>
      </c>
      <c r="BM301" s="75">
        <f t="shared" si="39"/>
        <v>0</v>
      </c>
      <c r="BN301" s="75">
        <f t="shared" si="40"/>
        <v>0</v>
      </c>
      <c r="BO301" s="75">
        <f t="shared" si="54"/>
        <v>1</v>
      </c>
      <c r="BP301" s="75">
        <f t="shared" si="55"/>
        <v>1</v>
      </c>
      <c r="BQ301" s="80" t="s">
        <v>590</v>
      </c>
      <c r="BR301" s="138" t="s">
        <v>363</v>
      </c>
      <c r="BS301" s="117" t="s">
        <v>539</v>
      </c>
      <c r="BT301" s="117">
        <v>0</v>
      </c>
      <c r="BU301" s="84">
        <v>0</v>
      </c>
    </row>
    <row r="302" spans="1:74" x14ac:dyDescent="0.75">
      <c r="C302" s="270">
        <v>1156</v>
      </c>
      <c r="D302" s="75" t="s">
        <v>357</v>
      </c>
      <c r="E302" s="75" t="s">
        <v>358</v>
      </c>
      <c r="F302" s="75" t="s">
        <v>359</v>
      </c>
      <c r="G302" s="75" t="s">
        <v>74</v>
      </c>
      <c r="H302" s="75">
        <v>18.342904000000001</v>
      </c>
      <c r="I302" s="75">
        <v>-64.676987999999994</v>
      </c>
      <c r="J302" s="81">
        <v>44999</v>
      </c>
      <c r="K302" s="75" t="s">
        <v>367</v>
      </c>
      <c r="L302" s="75" t="s">
        <v>360</v>
      </c>
      <c r="M302" s="75">
        <v>0</v>
      </c>
      <c r="N302" s="75">
        <v>2</v>
      </c>
      <c r="O302" s="75" t="s">
        <v>362</v>
      </c>
      <c r="P302" s="88">
        <f>SUM(TreatmentUsed!E4247:E4250)</f>
        <v>71</v>
      </c>
      <c r="Q302" s="75">
        <v>0</v>
      </c>
      <c r="R302" s="75">
        <v>0</v>
      </c>
      <c r="S302" s="75">
        <v>0</v>
      </c>
      <c r="T302" s="75">
        <v>0</v>
      </c>
      <c r="U302" s="75">
        <v>0</v>
      </c>
      <c r="V302" s="75">
        <v>0</v>
      </c>
      <c r="W302" s="75">
        <v>0</v>
      </c>
      <c r="X302" s="75">
        <v>0</v>
      </c>
      <c r="Y302" s="75">
        <v>0</v>
      </c>
      <c r="Z302" s="75">
        <v>0</v>
      </c>
      <c r="AA302" s="75">
        <v>0</v>
      </c>
      <c r="AB302" s="75">
        <v>0</v>
      </c>
      <c r="AC302" s="75">
        <v>0</v>
      </c>
      <c r="AD302" s="75">
        <v>0</v>
      </c>
      <c r="AE302" s="75">
        <v>0</v>
      </c>
      <c r="AF302" s="75">
        <v>0</v>
      </c>
      <c r="AG302" s="75">
        <v>0</v>
      </c>
      <c r="AH302" s="75">
        <v>0</v>
      </c>
      <c r="AI302" s="75">
        <v>0</v>
      </c>
      <c r="AJ302" s="75">
        <v>0</v>
      </c>
      <c r="AK302" s="75">
        <v>0</v>
      </c>
      <c r="AL302" s="75">
        <v>0</v>
      </c>
      <c r="AM302" s="75">
        <v>0</v>
      </c>
      <c r="AN302" s="75">
        <v>0</v>
      </c>
      <c r="AO302" s="75">
        <v>0</v>
      </c>
      <c r="AP302" s="75">
        <v>0</v>
      </c>
      <c r="AQ302" s="75">
        <v>1</v>
      </c>
      <c r="AR302" s="75">
        <v>0</v>
      </c>
      <c r="AS302" s="75">
        <v>0</v>
      </c>
      <c r="AT302" s="75">
        <v>0</v>
      </c>
      <c r="AU302" s="75">
        <v>0</v>
      </c>
      <c r="AV302" s="75">
        <v>0</v>
      </c>
      <c r="AW302" s="75">
        <v>0</v>
      </c>
      <c r="AX302" s="75">
        <v>0</v>
      </c>
      <c r="AY302" s="75">
        <v>0</v>
      </c>
      <c r="AZ302" s="84">
        <v>1</v>
      </c>
      <c r="BA302" s="84">
        <v>1</v>
      </c>
      <c r="BB302" s="75">
        <v>0</v>
      </c>
      <c r="BC302" s="75">
        <v>0</v>
      </c>
      <c r="BD302" s="75">
        <v>0</v>
      </c>
      <c r="BE302" s="75">
        <v>0</v>
      </c>
      <c r="BF302" s="75">
        <v>1</v>
      </c>
      <c r="BG302" s="75">
        <v>0</v>
      </c>
      <c r="BH302" s="75">
        <v>0</v>
      </c>
      <c r="BI302" s="75" t="s">
        <v>254</v>
      </c>
      <c r="BJ302" s="75" t="s">
        <v>254</v>
      </c>
      <c r="BK302" s="75" t="s">
        <v>254</v>
      </c>
      <c r="BL302" s="84">
        <v>0</v>
      </c>
      <c r="BM302" s="75">
        <f t="shared" si="39"/>
        <v>0</v>
      </c>
      <c r="BN302" s="75">
        <f t="shared" si="40"/>
        <v>0</v>
      </c>
      <c r="BO302" s="75">
        <f t="shared" ref="BO302:BO319" si="56">SUM(AO302:BH302)</f>
        <v>4</v>
      </c>
      <c r="BP302" s="75">
        <f t="shared" si="55"/>
        <v>4</v>
      </c>
      <c r="BQ302" s="80" t="s">
        <v>363</v>
      </c>
      <c r="BR302" s="138" t="s">
        <v>363</v>
      </c>
      <c r="BS302" s="117" t="s">
        <v>539</v>
      </c>
      <c r="BT302" s="117">
        <v>0</v>
      </c>
      <c r="BU302" s="84">
        <v>0</v>
      </c>
    </row>
    <row r="303" spans="1:74" x14ac:dyDescent="0.75">
      <c r="C303" s="270">
        <v>1157</v>
      </c>
      <c r="D303" s="75" t="s">
        <v>357</v>
      </c>
      <c r="E303" s="75" t="s">
        <v>358</v>
      </c>
      <c r="F303" s="75" t="s">
        <v>359</v>
      </c>
      <c r="G303" s="75" t="s">
        <v>87</v>
      </c>
      <c r="H303" s="75">
        <v>18.343233000000001</v>
      </c>
      <c r="I303" s="75">
        <v>-64.687667000000005</v>
      </c>
      <c r="J303" s="81">
        <v>44999</v>
      </c>
      <c r="K303" s="75" t="s">
        <v>367</v>
      </c>
      <c r="L303" s="75" t="s">
        <v>360</v>
      </c>
      <c r="M303" s="75">
        <v>0</v>
      </c>
      <c r="N303" s="75">
        <v>2</v>
      </c>
      <c r="O303" s="75" t="s">
        <v>362</v>
      </c>
      <c r="P303" s="88">
        <f>SUM(TreatmentUsed!E4251:E4255)</f>
        <v>55</v>
      </c>
      <c r="Q303" s="75">
        <v>0</v>
      </c>
      <c r="R303" s="75">
        <v>0</v>
      </c>
      <c r="S303" s="75">
        <v>0</v>
      </c>
      <c r="T303" s="75">
        <v>0</v>
      </c>
      <c r="U303" s="75">
        <v>0</v>
      </c>
      <c r="V303" s="75">
        <v>0</v>
      </c>
      <c r="W303" s="75">
        <v>0</v>
      </c>
      <c r="X303" s="75">
        <v>0</v>
      </c>
      <c r="Y303" s="75">
        <v>0</v>
      </c>
      <c r="Z303" s="75">
        <v>0</v>
      </c>
      <c r="AA303" s="75">
        <v>0</v>
      </c>
      <c r="AB303" s="75">
        <v>0</v>
      </c>
      <c r="AC303" s="75">
        <v>0</v>
      </c>
      <c r="AD303" s="75">
        <v>0</v>
      </c>
      <c r="AE303" s="75">
        <v>0</v>
      </c>
      <c r="AF303" s="75">
        <v>0</v>
      </c>
      <c r="AG303" s="75">
        <v>0</v>
      </c>
      <c r="AH303" s="75">
        <v>0</v>
      </c>
      <c r="AI303" s="75">
        <v>0</v>
      </c>
      <c r="AJ303" s="75">
        <v>0</v>
      </c>
      <c r="AK303" s="75">
        <v>0</v>
      </c>
      <c r="AL303" s="75">
        <v>0</v>
      </c>
      <c r="AM303" s="75">
        <v>0</v>
      </c>
      <c r="AN303" s="75">
        <v>0</v>
      </c>
      <c r="AO303" s="75">
        <v>0</v>
      </c>
      <c r="AP303" s="75">
        <v>0</v>
      </c>
      <c r="AQ303" s="75">
        <v>3</v>
      </c>
      <c r="AR303" s="75">
        <v>0</v>
      </c>
      <c r="AS303" s="75">
        <v>0</v>
      </c>
      <c r="AT303" s="75">
        <v>0</v>
      </c>
      <c r="AU303" s="75">
        <v>0</v>
      </c>
      <c r="AV303" s="75">
        <v>0</v>
      </c>
      <c r="AW303" s="75">
        <v>0</v>
      </c>
      <c r="AX303" s="75">
        <v>0</v>
      </c>
      <c r="AY303" s="75">
        <v>0</v>
      </c>
      <c r="AZ303" s="75">
        <v>0</v>
      </c>
      <c r="BA303" s="75">
        <v>0</v>
      </c>
      <c r="BB303" s="75">
        <v>0</v>
      </c>
      <c r="BC303" s="75">
        <v>0</v>
      </c>
      <c r="BD303" s="75">
        <v>0</v>
      </c>
      <c r="BE303" s="75">
        <v>0</v>
      </c>
      <c r="BF303" s="75">
        <v>2</v>
      </c>
      <c r="BG303" s="75">
        <v>0</v>
      </c>
      <c r="BH303" s="75">
        <v>0</v>
      </c>
      <c r="BI303" s="75" t="s">
        <v>254</v>
      </c>
      <c r="BJ303" s="75" t="s">
        <v>254</v>
      </c>
      <c r="BK303" s="75" t="s">
        <v>254</v>
      </c>
      <c r="BL303" s="84">
        <v>0</v>
      </c>
      <c r="BM303" s="75">
        <f t="shared" si="39"/>
        <v>0</v>
      </c>
      <c r="BN303" s="75">
        <f t="shared" si="40"/>
        <v>0</v>
      </c>
      <c r="BO303" s="75">
        <f t="shared" si="56"/>
        <v>5</v>
      </c>
      <c r="BP303" s="75">
        <f t="shared" si="55"/>
        <v>5</v>
      </c>
      <c r="BQ303" s="80" t="s">
        <v>363</v>
      </c>
      <c r="BR303" s="252" t="s">
        <v>591</v>
      </c>
      <c r="BS303" s="117" t="s">
        <v>539</v>
      </c>
      <c r="BT303" s="117">
        <v>0</v>
      </c>
      <c r="BU303" s="84">
        <v>0</v>
      </c>
    </row>
    <row r="304" spans="1:74" x14ac:dyDescent="0.75">
      <c r="C304" s="270">
        <v>1158</v>
      </c>
      <c r="D304" s="75" t="s">
        <v>357</v>
      </c>
      <c r="E304" s="75" t="s">
        <v>358</v>
      </c>
      <c r="F304" s="75" t="s">
        <v>359</v>
      </c>
      <c r="G304" s="75" t="s">
        <v>52</v>
      </c>
      <c r="H304" s="75">
        <v>18.317682999999999</v>
      </c>
      <c r="I304" s="75">
        <v>-64.741200000000006</v>
      </c>
      <c r="J304" s="81">
        <v>44999</v>
      </c>
      <c r="K304" s="75" t="s">
        <v>367</v>
      </c>
      <c r="L304" s="75" t="s">
        <v>360</v>
      </c>
      <c r="M304" s="75">
        <v>0</v>
      </c>
      <c r="N304" s="75">
        <v>2</v>
      </c>
      <c r="O304" s="75" t="s">
        <v>362</v>
      </c>
      <c r="P304" s="88">
        <f>SUM(TreatmentUsed!E4256:E4268)</f>
        <v>115</v>
      </c>
      <c r="Q304" s="75">
        <v>0</v>
      </c>
      <c r="R304" s="75">
        <v>0</v>
      </c>
      <c r="S304" s="75">
        <v>0</v>
      </c>
      <c r="T304" s="75">
        <v>0</v>
      </c>
      <c r="U304" s="75">
        <v>0</v>
      </c>
      <c r="V304" s="75">
        <v>0</v>
      </c>
      <c r="W304" s="75">
        <v>0</v>
      </c>
      <c r="X304" s="75">
        <v>0</v>
      </c>
      <c r="Y304" s="75">
        <v>0</v>
      </c>
      <c r="Z304" s="75">
        <v>0</v>
      </c>
      <c r="AA304" s="75">
        <v>0</v>
      </c>
      <c r="AB304" s="75">
        <v>0</v>
      </c>
      <c r="AC304" s="75">
        <v>0</v>
      </c>
      <c r="AD304" s="75">
        <v>0</v>
      </c>
      <c r="AE304" s="75">
        <v>0</v>
      </c>
      <c r="AF304" s="75">
        <v>0</v>
      </c>
      <c r="AG304" s="75">
        <v>0</v>
      </c>
      <c r="AH304" s="75">
        <v>0</v>
      </c>
      <c r="AI304" s="75">
        <v>0</v>
      </c>
      <c r="AJ304" s="75">
        <v>0</v>
      </c>
      <c r="AK304" s="75">
        <v>0</v>
      </c>
      <c r="AL304" s="75">
        <v>0</v>
      </c>
      <c r="AM304" s="75">
        <v>0</v>
      </c>
      <c r="AN304" s="75">
        <v>0</v>
      </c>
      <c r="AO304" s="75">
        <v>0</v>
      </c>
      <c r="AP304" s="75">
        <v>0</v>
      </c>
      <c r="AQ304" s="75">
        <v>0</v>
      </c>
      <c r="AR304" s="75">
        <v>0</v>
      </c>
      <c r="AS304" s="75">
        <v>1</v>
      </c>
      <c r="AT304" s="75">
        <v>0</v>
      </c>
      <c r="AU304" s="75">
        <v>0</v>
      </c>
      <c r="AV304" s="75">
        <v>0</v>
      </c>
      <c r="AW304" s="75">
        <v>0</v>
      </c>
      <c r="AX304" s="75">
        <v>0</v>
      </c>
      <c r="AY304" s="84">
        <v>1</v>
      </c>
      <c r="AZ304" s="75">
        <v>1</v>
      </c>
      <c r="BA304" s="84">
        <v>2</v>
      </c>
      <c r="BB304" s="75">
        <v>0</v>
      </c>
      <c r="BC304" s="75">
        <v>0</v>
      </c>
      <c r="BD304" s="75">
        <v>0</v>
      </c>
      <c r="BE304" s="75">
        <v>0</v>
      </c>
      <c r="BF304" s="75">
        <v>8</v>
      </c>
      <c r="BG304" s="75">
        <v>0</v>
      </c>
      <c r="BH304" s="75">
        <v>0</v>
      </c>
      <c r="BI304" s="75" t="s">
        <v>254</v>
      </c>
      <c r="BJ304" s="75" t="s">
        <v>254</v>
      </c>
      <c r="BK304" s="75" t="s">
        <v>254</v>
      </c>
      <c r="BL304" s="84">
        <v>0</v>
      </c>
      <c r="BM304" s="75">
        <f t="shared" si="39"/>
        <v>0</v>
      </c>
      <c r="BN304" s="75">
        <f t="shared" si="40"/>
        <v>0</v>
      </c>
      <c r="BO304" s="75">
        <f t="shared" si="56"/>
        <v>13</v>
      </c>
      <c r="BP304" s="75">
        <f t="shared" si="55"/>
        <v>13</v>
      </c>
      <c r="BQ304" s="85" t="s">
        <v>592</v>
      </c>
      <c r="BR304" s="138" t="s">
        <v>363</v>
      </c>
      <c r="BS304" s="117" t="s">
        <v>539</v>
      </c>
      <c r="BT304" s="117">
        <v>1</v>
      </c>
      <c r="BU304" s="84">
        <v>0</v>
      </c>
    </row>
    <row r="305" spans="1:74" x14ac:dyDescent="0.75">
      <c r="C305" s="270">
        <v>1159</v>
      </c>
      <c r="D305" s="75" t="s">
        <v>357</v>
      </c>
      <c r="E305" s="75" t="s">
        <v>358</v>
      </c>
      <c r="F305" s="75" t="s">
        <v>359</v>
      </c>
      <c r="G305" s="75" t="s">
        <v>52</v>
      </c>
      <c r="H305" s="75">
        <v>18.317682999999999</v>
      </c>
      <c r="I305" s="75">
        <v>-64.741200000000006</v>
      </c>
      <c r="J305" s="81">
        <v>44999</v>
      </c>
      <c r="K305" s="75" t="s">
        <v>367</v>
      </c>
      <c r="L305" s="75" t="s">
        <v>360</v>
      </c>
      <c r="M305" s="75">
        <v>0</v>
      </c>
      <c r="N305" s="75">
        <v>2</v>
      </c>
      <c r="O305" s="75" t="s">
        <v>362</v>
      </c>
      <c r="P305" s="88">
        <f>SUM(TreatmentUsed!E4269)</f>
        <v>18</v>
      </c>
      <c r="Q305" s="75">
        <v>0</v>
      </c>
      <c r="R305" s="75">
        <v>0</v>
      </c>
      <c r="S305" s="75">
        <v>0</v>
      </c>
      <c r="T305" s="75">
        <v>0</v>
      </c>
      <c r="U305" s="75">
        <v>0</v>
      </c>
      <c r="V305" s="75">
        <v>0</v>
      </c>
      <c r="W305" s="75">
        <v>0</v>
      </c>
      <c r="X305" s="75">
        <v>0</v>
      </c>
      <c r="Y305" s="75">
        <v>0</v>
      </c>
      <c r="Z305" s="75">
        <v>0</v>
      </c>
      <c r="AA305" s="75">
        <v>0</v>
      </c>
      <c r="AB305" s="75">
        <v>0</v>
      </c>
      <c r="AC305" s="75">
        <v>0</v>
      </c>
      <c r="AD305" s="75">
        <v>0</v>
      </c>
      <c r="AE305" s="75">
        <v>0</v>
      </c>
      <c r="AF305" s="75">
        <v>0</v>
      </c>
      <c r="AG305" s="75">
        <v>0</v>
      </c>
      <c r="AH305" s="75">
        <v>0</v>
      </c>
      <c r="AI305" s="75">
        <v>0</v>
      </c>
      <c r="AJ305" s="75">
        <v>0</v>
      </c>
      <c r="AK305" s="75">
        <v>0</v>
      </c>
      <c r="AL305" s="75">
        <v>0</v>
      </c>
      <c r="AM305" s="75">
        <v>0</v>
      </c>
      <c r="AN305" s="75">
        <v>0</v>
      </c>
      <c r="AO305" s="75">
        <v>0</v>
      </c>
      <c r="AP305" s="75">
        <v>0</v>
      </c>
      <c r="AQ305" s="75">
        <v>0</v>
      </c>
      <c r="AR305" s="75">
        <v>0</v>
      </c>
      <c r="AS305" s="75">
        <v>0</v>
      </c>
      <c r="AT305" s="75">
        <v>0</v>
      </c>
      <c r="AU305" s="75">
        <v>0</v>
      </c>
      <c r="AV305" s="75">
        <v>0</v>
      </c>
      <c r="AW305" s="75">
        <v>0</v>
      </c>
      <c r="AX305" s="75">
        <v>0</v>
      </c>
      <c r="AY305" s="75">
        <v>0</v>
      </c>
      <c r="AZ305" s="75">
        <v>0</v>
      </c>
      <c r="BA305" s="75">
        <v>1</v>
      </c>
      <c r="BB305" s="75">
        <v>0</v>
      </c>
      <c r="BC305" s="75">
        <v>0</v>
      </c>
      <c r="BD305" s="75">
        <v>0</v>
      </c>
      <c r="BE305" s="75">
        <v>0</v>
      </c>
      <c r="BF305" s="75">
        <v>0</v>
      </c>
      <c r="BG305" s="75">
        <v>0</v>
      </c>
      <c r="BH305" s="75">
        <v>0</v>
      </c>
      <c r="BI305" s="75" t="s">
        <v>254</v>
      </c>
      <c r="BJ305" s="75" t="s">
        <v>254</v>
      </c>
      <c r="BK305" s="75" t="s">
        <v>254</v>
      </c>
      <c r="BL305" s="84">
        <v>0</v>
      </c>
      <c r="BM305" s="75">
        <f t="shared" si="39"/>
        <v>0</v>
      </c>
      <c r="BN305" s="75">
        <f t="shared" si="40"/>
        <v>0</v>
      </c>
      <c r="BO305" s="75">
        <f t="shared" si="56"/>
        <v>1</v>
      </c>
      <c r="BP305" s="75">
        <f t="shared" si="55"/>
        <v>1</v>
      </c>
      <c r="BQ305" s="80" t="s">
        <v>363</v>
      </c>
      <c r="BR305" s="138" t="s">
        <v>363</v>
      </c>
      <c r="BS305" s="117" t="s">
        <v>539</v>
      </c>
      <c r="BT305" s="117">
        <v>0</v>
      </c>
      <c r="BU305" s="84">
        <v>0</v>
      </c>
    </row>
    <row r="306" spans="1:74" x14ac:dyDescent="0.75">
      <c r="C306" s="270">
        <v>1160</v>
      </c>
      <c r="D306" s="75" t="s">
        <v>357</v>
      </c>
      <c r="E306" s="75" t="s">
        <v>358</v>
      </c>
      <c r="F306" s="75" t="s">
        <v>359</v>
      </c>
      <c r="G306" s="75" t="s">
        <v>33</v>
      </c>
      <c r="H306">
        <v>18.319544</v>
      </c>
      <c r="I306">
        <v>-64.751997000000003</v>
      </c>
      <c r="J306" s="81">
        <v>44999</v>
      </c>
      <c r="K306" s="75" t="s">
        <v>367</v>
      </c>
      <c r="L306" s="75" t="s">
        <v>360</v>
      </c>
      <c r="M306" s="75">
        <v>0</v>
      </c>
      <c r="N306" s="75">
        <v>2</v>
      </c>
      <c r="O306" s="75" t="s">
        <v>362</v>
      </c>
      <c r="P306" s="88">
        <f>SUM(TreatmentUsed!E4270:E4274)</f>
        <v>176</v>
      </c>
      <c r="Q306" s="75">
        <v>0</v>
      </c>
      <c r="R306" s="75">
        <v>0</v>
      </c>
      <c r="S306" s="75">
        <v>0</v>
      </c>
      <c r="T306" s="75">
        <v>0</v>
      </c>
      <c r="U306" s="75">
        <v>0</v>
      </c>
      <c r="V306" s="75">
        <v>0</v>
      </c>
      <c r="W306" s="75">
        <v>0</v>
      </c>
      <c r="X306" s="75">
        <v>0</v>
      </c>
      <c r="Y306" s="75">
        <v>0</v>
      </c>
      <c r="Z306" s="75">
        <v>0</v>
      </c>
      <c r="AA306" s="75">
        <v>0</v>
      </c>
      <c r="AB306" s="75">
        <v>0</v>
      </c>
      <c r="AC306" s="75">
        <v>0</v>
      </c>
      <c r="AD306" s="75">
        <v>0</v>
      </c>
      <c r="AE306" s="75">
        <v>0</v>
      </c>
      <c r="AF306" s="75">
        <v>0</v>
      </c>
      <c r="AG306" s="75">
        <v>0</v>
      </c>
      <c r="AH306" s="75">
        <v>0</v>
      </c>
      <c r="AI306" s="75">
        <v>0</v>
      </c>
      <c r="AJ306" s="75">
        <v>0</v>
      </c>
      <c r="AK306" s="75">
        <v>0</v>
      </c>
      <c r="AL306" s="75">
        <v>0</v>
      </c>
      <c r="AM306" s="75">
        <v>0</v>
      </c>
      <c r="AN306" s="75">
        <v>0</v>
      </c>
      <c r="AO306" s="75">
        <v>0</v>
      </c>
      <c r="AP306" s="75">
        <v>0</v>
      </c>
      <c r="AQ306" s="75">
        <v>0</v>
      </c>
      <c r="AR306" s="75">
        <v>0</v>
      </c>
      <c r="AS306" s="75">
        <v>0</v>
      </c>
      <c r="AT306" s="75">
        <v>0</v>
      </c>
      <c r="AU306" s="75">
        <v>0</v>
      </c>
      <c r="AV306" s="75">
        <v>0</v>
      </c>
      <c r="AW306" s="75">
        <v>0</v>
      </c>
      <c r="AX306" s="75">
        <v>0</v>
      </c>
      <c r="AY306" s="75">
        <v>1</v>
      </c>
      <c r="AZ306" s="75">
        <v>0</v>
      </c>
      <c r="BA306" s="84">
        <v>2</v>
      </c>
      <c r="BB306" s="75">
        <v>0</v>
      </c>
      <c r="BC306" s="75">
        <v>0</v>
      </c>
      <c r="BD306" s="75">
        <v>0</v>
      </c>
      <c r="BE306" s="75">
        <v>0</v>
      </c>
      <c r="BF306" s="75">
        <v>2</v>
      </c>
      <c r="BG306" s="75">
        <v>0</v>
      </c>
      <c r="BH306" s="75">
        <v>0</v>
      </c>
      <c r="BI306" s="75" t="s">
        <v>254</v>
      </c>
      <c r="BJ306" s="75" t="s">
        <v>254</v>
      </c>
      <c r="BK306" s="75" t="s">
        <v>254</v>
      </c>
      <c r="BL306" s="84">
        <v>0</v>
      </c>
      <c r="BM306" s="75">
        <f t="shared" si="39"/>
        <v>0</v>
      </c>
      <c r="BN306" s="75">
        <f t="shared" si="40"/>
        <v>0</v>
      </c>
      <c r="BO306" s="75">
        <f t="shared" si="56"/>
        <v>5</v>
      </c>
      <c r="BP306" s="75">
        <f t="shared" si="55"/>
        <v>5</v>
      </c>
      <c r="BQ306" s="85" t="s">
        <v>593</v>
      </c>
      <c r="BR306" s="138" t="s">
        <v>594</v>
      </c>
      <c r="BS306" s="117" t="s">
        <v>390</v>
      </c>
      <c r="BT306" s="117">
        <v>0</v>
      </c>
      <c r="BU306" s="84">
        <v>0</v>
      </c>
    </row>
    <row r="307" spans="1:74" x14ac:dyDescent="0.75">
      <c r="C307" s="270">
        <v>1161</v>
      </c>
      <c r="D307" s="75" t="s">
        <v>357</v>
      </c>
      <c r="E307" s="75" t="s">
        <v>358</v>
      </c>
      <c r="F307" s="75" t="s">
        <v>359</v>
      </c>
      <c r="G307" s="75" t="s">
        <v>112</v>
      </c>
      <c r="H307">
        <v>18.347826000000001</v>
      </c>
      <c r="I307">
        <v>-64.691346999999993</v>
      </c>
      <c r="J307" s="81">
        <v>45000</v>
      </c>
      <c r="K307" s="75" t="s">
        <v>367</v>
      </c>
      <c r="L307" s="75" t="s">
        <v>360</v>
      </c>
      <c r="M307" s="75">
        <v>1</v>
      </c>
      <c r="N307" s="75">
        <v>2</v>
      </c>
      <c r="O307" s="75" t="s">
        <v>362</v>
      </c>
      <c r="P307" s="88">
        <f>SUM(TreatmentUsed!E4275)</f>
        <v>11</v>
      </c>
      <c r="Q307" s="75">
        <v>0</v>
      </c>
      <c r="R307" s="75">
        <v>0</v>
      </c>
      <c r="S307" s="75">
        <v>0</v>
      </c>
      <c r="T307" s="75">
        <v>0</v>
      </c>
      <c r="U307" s="75">
        <v>0</v>
      </c>
      <c r="V307" s="75">
        <v>0</v>
      </c>
      <c r="W307" s="75">
        <v>0</v>
      </c>
      <c r="X307" s="75">
        <v>0</v>
      </c>
      <c r="Y307" s="75">
        <v>0</v>
      </c>
      <c r="Z307" s="75">
        <v>0</v>
      </c>
      <c r="AA307" s="75">
        <v>0</v>
      </c>
      <c r="AB307" s="75">
        <v>0</v>
      </c>
      <c r="AC307" s="75">
        <v>0</v>
      </c>
      <c r="AD307" s="75">
        <v>0</v>
      </c>
      <c r="AE307" s="75">
        <v>0</v>
      </c>
      <c r="AF307" s="75">
        <v>0</v>
      </c>
      <c r="AG307" s="75">
        <v>0</v>
      </c>
      <c r="AH307" s="75">
        <v>0</v>
      </c>
      <c r="AI307" s="75">
        <v>0</v>
      </c>
      <c r="AJ307" s="75">
        <v>0</v>
      </c>
      <c r="AK307" s="75">
        <v>0</v>
      </c>
      <c r="AL307" s="75">
        <v>0</v>
      </c>
      <c r="AM307" s="75">
        <v>0</v>
      </c>
      <c r="AN307" s="75">
        <v>0</v>
      </c>
      <c r="AO307" s="75">
        <v>0</v>
      </c>
      <c r="AP307" s="75">
        <v>0</v>
      </c>
      <c r="AQ307" s="75">
        <v>0</v>
      </c>
      <c r="AR307" s="75">
        <v>0</v>
      </c>
      <c r="AS307" s="75">
        <v>0</v>
      </c>
      <c r="AT307" s="75">
        <v>0</v>
      </c>
      <c r="AU307" s="75">
        <v>0</v>
      </c>
      <c r="AV307" s="75">
        <v>0</v>
      </c>
      <c r="AW307" s="75">
        <v>0</v>
      </c>
      <c r="AX307" s="75">
        <v>0</v>
      </c>
      <c r="AY307" s="75">
        <v>0</v>
      </c>
      <c r="AZ307" s="75">
        <v>0</v>
      </c>
      <c r="BA307" s="75">
        <v>0</v>
      </c>
      <c r="BB307" s="75">
        <v>0</v>
      </c>
      <c r="BC307" s="75">
        <v>0</v>
      </c>
      <c r="BD307" s="75">
        <v>0</v>
      </c>
      <c r="BE307" s="75">
        <v>0</v>
      </c>
      <c r="BF307" s="75">
        <v>0</v>
      </c>
      <c r="BG307" s="75">
        <v>0</v>
      </c>
      <c r="BH307" s="75">
        <v>1</v>
      </c>
      <c r="BI307" s="75" t="s">
        <v>254</v>
      </c>
      <c r="BJ307" s="75" t="s">
        <v>254</v>
      </c>
      <c r="BK307" s="75" t="s">
        <v>254</v>
      </c>
      <c r="BL307" s="84">
        <v>2</v>
      </c>
      <c r="BM307" s="75">
        <f t="shared" si="39"/>
        <v>0</v>
      </c>
      <c r="BN307" s="75">
        <f t="shared" si="40"/>
        <v>0</v>
      </c>
      <c r="BO307" s="75">
        <f t="shared" si="56"/>
        <v>1</v>
      </c>
      <c r="BP307" s="75">
        <f t="shared" si="55"/>
        <v>1</v>
      </c>
      <c r="BQ307" s="85" t="s">
        <v>595</v>
      </c>
      <c r="BR307" s="138" t="s">
        <v>363</v>
      </c>
      <c r="BS307" s="117" t="s">
        <v>390</v>
      </c>
      <c r="BT307" s="117">
        <v>0</v>
      </c>
      <c r="BU307" s="84">
        <v>1</v>
      </c>
    </row>
    <row r="308" spans="1:74" x14ac:dyDescent="0.75">
      <c r="C308" s="270">
        <v>1162</v>
      </c>
      <c r="D308" s="75" t="s">
        <v>357</v>
      </c>
      <c r="E308" s="75" t="s">
        <v>358</v>
      </c>
      <c r="F308" s="75" t="s">
        <v>359</v>
      </c>
      <c r="G308" s="75" t="s">
        <v>104</v>
      </c>
      <c r="H308">
        <v>18.350866</v>
      </c>
      <c r="I308">
        <v>-64.691781000000006</v>
      </c>
      <c r="J308" s="81">
        <v>45000</v>
      </c>
      <c r="K308" s="75" t="s">
        <v>367</v>
      </c>
      <c r="L308" s="75" t="s">
        <v>360</v>
      </c>
      <c r="M308" s="75">
        <v>0</v>
      </c>
      <c r="N308" s="75">
        <v>2</v>
      </c>
      <c r="O308" s="75" t="s">
        <v>362</v>
      </c>
      <c r="P308" s="88">
        <f>SUM(TreatmentUsed!E4276:E4277)</f>
        <v>93</v>
      </c>
      <c r="Q308" s="75">
        <v>0</v>
      </c>
      <c r="R308" s="75">
        <v>0</v>
      </c>
      <c r="S308" s="75">
        <v>0</v>
      </c>
      <c r="T308" s="75">
        <v>0</v>
      </c>
      <c r="U308" s="75">
        <v>0</v>
      </c>
      <c r="V308" s="75">
        <v>0</v>
      </c>
      <c r="W308" s="75">
        <v>0</v>
      </c>
      <c r="X308" s="75">
        <v>0</v>
      </c>
      <c r="Y308" s="75">
        <v>0</v>
      </c>
      <c r="Z308" s="75">
        <v>0</v>
      </c>
      <c r="AA308" s="75">
        <v>0</v>
      </c>
      <c r="AB308" s="75">
        <v>0</v>
      </c>
      <c r="AC308" s="75">
        <v>0</v>
      </c>
      <c r="AD308" s="75">
        <v>0</v>
      </c>
      <c r="AE308" s="75">
        <v>0</v>
      </c>
      <c r="AF308" s="75">
        <v>0</v>
      </c>
      <c r="AG308" s="75">
        <v>0</v>
      </c>
      <c r="AH308" s="75">
        <v>0</v>
      </c>
      <c r="AI308" s="75">
        <v>0</v>
      </c>
      <c r="AJ308" s="75">
        <v>0</v>
      </c>
      <c r="AK308" s="75">
        <v>0</v>
      </c>
      <c r="AL308" s="75">
        <v>0</v>
      </c>
      <c r="AM308" s="75">
        <v>0</v>
      </c>
      <c r="AN308" s="75">
        <v>0</v>
      </c>
      <c r="AO308" s="75">
        <v>0</v>
      </c>
      <c r="AP308" s="75">
        <v>0</v>
      </c>
      <c r="AQ308" s="75">
        <v>0</v>
      </c>
      <c r="AR308" s="75">
        <v>0</v>
      </c>
      <c r="AS308" s="75">
        <v>1</v>
      </c>
      <c r="AT308" s="75">
        <v>0</v>
      </c>
      <c r="AU308" s="75">
        <v>0</v>
      </c>
      <c r="AV308" s="75">
        <v>0</v>
      </c>
      <c r="AW308" s="75">
        <v>0</v>
      </c>
      <c r="AX308" s="75">
        <v>0</v>
      </c>
      <c r="AY308" s="75">
        <v>0</v>
      </c>
      <c r="AZ308" s="75">
        <v>0</v>
      </c>
      <c r="BA308" s="75">
        <v>0</v>
      </c>
      <c r="BB308" s="75">
        <v>0</v>
      </c>
      <c r="BC308" s="75">
        <v>0</v>
      </c>
      <c r="BD308" s="75">
        <v>0</v>
      </c>
      <c r="BE308" s="75">
        <v>0</v>
      </c>
      <c r="BF308" s="75">
        <v>1</v>
      </c>
      <c r="BG308" s="75">
        <v>0</v>
      </c>
      <c r="BH308" s="75">
        <v>0</v>
      </c>
      <c r="BI308" s="75" t="s">
        <v>254</v>
      </c>
      <c r="BJ308" s="75" t="s">
        <v>254</v>
      </c>
      <c r="BK308" s="75" t="s">
        <v>254</v>
      </c>
      <c r="BL308" s="84">
        <v>0</v>
      </c>
      <c r="BM308" s="75">
        <f t="shared" si="39"/>
        <v>0</v>
      </c>
      <c r="BN308" s="75">
        <f t="shared" si="40"/>
        <v>0</v>
      </c>
      <c r="BO308" s="75">
        <f t="shared" si="56"/>
        <v>2</v>
      </c>
      <c r="BP308" s="75">
        <f t="shared" si="55"/>
        <v>2</v>
      </c>
      <c r="BQ308" s="85" t="s">
        <v>596</v>
      </c>
      <c r="BR308" s="138" t="s">
        <v>363</v>
      </c>
      <c r="BS308" s="117" t="s">
        <v>390</v>
      </c>
      <c r="BT308" s="117">
        <v>0</v>
      </c>
      <c r="BU308" s="84">
        <v>0</v>
      </c>
    </row>
    <row r="309" spans="1:74" x14ac:dyDescent="0.75">
      <c r="C309" s="270">
        <v>1163</v>
      </c>
      <c r="D309" s="75" t="s">
        <v>357</v>
      </c>
      <c r="E309" s="75" t="s">
        <v>358</v>
      </c>
      <c r="F309" s="75" t="s">
        <v>359</v>
      </c>
      <c r="G309" s="75" t="s">
        <v>116</v>
      </c>
      <c r="H309">
        <v>18.3506</v>
      </c>
      <c r="I309">
        <v>-64.699183000000005</v>
      </c>
      <c r="J309" s="81">
        <v>45000</v>
      </c>
      <c r="K309" s="75" t="s">
        <v>367</v>
      </c>
      <c r="L309" s="75" t="s">
        <v>360</v>
      </c>
      <c r="M309" s="75">
        <v>1</v>
      </c>
      <c r="N309" s="75">
        <v>2</v>
      </c>
      <c r="O309" s="75" t="s">
        <v>362</v>
      </c>
      <c r="P309" s="88">
        <f>SUM(TreatmentUsed!E4278:E4281)</f>
        <v>116</v>
      </c>
      <c r="Q309" s="75">
        <v>230</v>
      </c>
      <c r="R309" s="75">
        <v>0</v>
      </c>
      <c r="S309" s="75">
        <v>0</v>
      </c>
      <c r="T309" s="75">
        <v>0</v>
      </c>
      <c r="U309" s="75">
        <v>0</v>
      </c>
      <c r="V309" s="75">
        <v>0</v>
      </c>
      <c r="W309" s="75">
        <v>0</v>
      </c>
      <c r="X309" s="75">
        <v>0</v>
      </c>
      <c r="Y309" s="75">
        <v>0</v>
      </c>
      <c r="Z309" s="75">
        <v>0</v>
      </c>
      <c r="AA309" s="75">
        <v>0</v>
      </c>
      <c r="AB309" s="75">
        <v>0</v>
      </c>
      <c r="AC309" s="75">
        <v>0</v>
      </c>
      <c r="AD309" s="75">
        <v>0</v>
      </c>
      <c r="AE309" s="75">
        <v>0</v>
      </c>
      <c r="AF309" s="75">
        <v>0</v>
      </c>
      <c r="AG309" s="75">
        <v>0</v>
      </c>
      <c r="AH309" s="75">
        <v>0</v>
      </c>
      <c r="AI309" s="75">
        <v>0</v>
      </c>
      <c r="AJ309" s="75">
        <v>0</v>
      </c>
      <c r="AK309" s="75">
        <v>0</v>
      </c>
      <c r="AL309" s="75">
        <v>0</v>
      </c>
      <c r="AM309" s="75">
        <v>0</v>
      </c>
      <c r="AN309" s="75">
        <v>0</v>
      </c>
      <c r="AO309" s="75">
        <v>0</v>
      </c>
      <c r="AP309" s="75">
        <v>0</v>
      </c>
      <c r="AQ309" s="75">
        <v>0</v>
      </c>
      <c r="AR309" s="75">
        <v>0</v>
      </c>
      <c r="AS309" s="75">
        <v>1</v>
      </c>
      <c r="AT309" s="75">
        <v>1</v>
      </c>
      <c r="AU309" s="75">
        <v>1</v>
      </c>
      <c r="AV309" s="75">
        <v>0</v>
      </c>
      <c r="AW309" s="75">
        <v>0</v>
      </c>
      <c r="AX309" s="75">
        <v>0</v>
      </c>
      <c r="AY309" s="75">
        <v>0</v>
      </c>
      <c r="AZ309" s="75">
        <v>0</v>
      </c>
      <c r="BA309" s="75">
        <v>0</v>
      </c>
      <c r="BB309" s="75">
        <v>0</v>
      </c>
      <c r="BC309" s="75">
        <v>0</v>
      </c>
      <c r="BD309" s="75">
        <v>0</v>
      </c>
      <c r="BE309" s="75">
        <v>0</v>
      </c>
      <c r="BF309" s="75">
        <v>1</v>
      </c>
      <c r="BG309" s="75">
        <v>0</v>
      </c>
      <c r="BH309" s="75">
        <v>0</v>
      </c>
      <c r="BI309" s="75" t="s">
        <v>254</v>
      </c>
      <c r="BJ309" s="75" t="s">
        <v>254</v>
      </c>
      <c r="BK309" s="75" t="s">
        <v>254</v>
      </c>
      <c r="BL309" s="84">
        <v>0</v>
      </c>
      <c r="BM309" s="75">
        <f t="shared" si="39"/>
        <v>0</v>
      </c>
      <c r="BN309" s="75">
        <f t="shared" si="40"/>
        <v>0</v>
      </c>
      <c r="BO309" s="75">
        <f t="shared" ref="BO309:BO310" si="57">SUM(AO309:BH309)</f>
        <v>4</v>
      </c>
      <c r="BP309" s="75">
        <f t="shared" si="55"/>
        <v>4</v>
      </c>
      <c r="BQ309" s="80" t="s">
        <v>597</v>
      </c>
      <c r="BR309" s="138" t="s">
        <v>363</v>
      </c>
      <c r="BS309" s="117" t="s">
        <v>539</v>
      </c>
      <c r="BT309" s="117">
        <v>0</v>
      </c>
      <c r="BU309" s="84">
        <v>0</v>
      </c>
    </row>
    <row r="310" spans="1:74" x14ac:dyDescent="0.75">
      <c r="C310" s="270">
        <v>1164</v>
      </c>
      <c r="D310" s="75" t="s">
        <v>357</v>
      </c>
      <c r="E310" s="75" t="s">
        <v>358</v>
      </c>
      <c r="F310" s="75" t="s">
        <v>359</v>
      </c>
      <c r="G310" s="75" t="s">
        <v>116</v>
      </c>
      <c r="H310">
        <v>18.3506</v>
      </c>
      <c r="I310">
        <v>-64.699183000000005</v>
      </c>
      <c r="J310" s="81">
        <v>45006</v>
      </c>
      <c r="K310" s="75" t="s">
        <v>367</v>
      </c>
      <c r="L310" s="75" t="s">
        <v>360</v>
      </c>
      <c r="M310" s="84">
        <v>5</v>
      </c>
      <c r="N310" s="75">
        <v>2</v>
      </c>
      <c r="O310" s="75" t="s">
        <v>362</v>
      </c>
      <c r="P310" s="88">
        <f>SUM(TreatmentUsed!E4282:E4292)</f>
        <v>140</v>
      </c>
      <c r="Q310" s="75">
        <v>0</v>
      </c>
      <c r="R310" s="75">
        <v>0</v>
      </c>
      <c r="S310" s="75">
        <v>0</v>
      </c>
      <c r="T310" s="75">
        <v>0</v>
      </c>
      <c r="U310" s="75">
        <v>0</v>
      </c>
      <c r="V310" s="75">
        <v>0</v>
      </c>
      <c r="W310" s="75">
        <v>0</v>
      </c>
      <c r="X310" s="75">
        <v>0</v>
      </c>
      <c r="Y310" s="75">
        <v>0</v>
      </c>
      <c r="Z310" s="75">
        <v>0</v>
      </c>
      <c r="AA310" s="75">
        <v>0</v>
      </c>
      <c r="AB310" s="75">
        <v>0</v>
      </c>
      <c r="AC310" s="75">
        <v>0</v>
      </c>
      <c r="AD310" s="75">
        <v>0</v>
      </c>
      <c r="AE310" s="75">
        <v>0</v>
      </c>
      <c r="AF310" s="75">
        <v>0</v>
      </c>
      <c r="AG310" s="75">
        <v>0</v>
      </c>
      <c r="AH310" s="75">
        <v>0</v>
      </c>
      <c r="AI310" s="75">
        <v>0</v>
      </c>
      <c r="AJ310" s="75">
        <v>0</v>
      </c>
      <c r="AK310" s="75">
        <v>0</v>
      </c>
      <c r="AL310" s="75">
        <v>0</v>
      </c>
      <c r="AM310" s="75">
        <v>0</v>
      </c>
      <c r="AN310" s="75">
        <v>0</v>
      </c>
      <c r="AO310" s="75">
        <v>0</v>
      </c>
      <c r="AP310" s="75">
        <v>0</v>
      </c>
      <c r="AQ310" s="75">
        <v>0</v>
      </c>
      <c r="AR310" s="84">
        <v>1</v>
      </c>
      <c r="AS310" s="84">
        <v>0</v>
      </c>
      <c r="AT310" s="75">
        <v>0</v>
      </c>
      <c r="AU310" s="75">
        <v>0</v>
      </c>
      <c r="AV310" s="75">
        <v>0</v>
      </c>
      <c r="AW310" s="75">
        <v>0</v>
      </c>
      <c r="AX310" s="75">
        <v>0</v>
      </c>
      <c r="AY310" s="84">
        <v>4</v>
      </c>
      <c r="AZ310" s="75">
        <v>1</v>
      </c>
      <c r="BA310" s="84">
        <v>1</v>
      </c>
      <c r="BB310" s="75">
        <v>0</v>
      </c>
      <c r="BC310" s="75">
        <v>0</v>
      </c>
      <c r="BD310" s="75">
        <v>0</v>
      </c>
      <c r="BE310" s="75">
        <v>0</v>
      </c>
      <c r="BF310" s="84">
        <v>4</v>
      </c>
      <c r="BG310" s="75">
        <v>0</v>
      </c>
      <c r="BH310" s="75">
        <v>0</v>
      </c>
      <c r="BI310" s="75" t="s">
        <v>254</v>
      </c>
      <c r="BJ310" s="75" t="s">
        <v>254</v>
      </c>
      <c r="BK310" s="75" t="s">
        <v>254</v>
      </c>
      <c r="BL310" s="84">
        <v>0</v>
      </c>
      <c r="BM310" s="75">
        <f t="shared" si="39"/>
        <v>0</v>
      </c>
      <c r="BN310" s="75">
        <v>1</v>
      </c>
      <c r="BO310" s="75">
        <f t="shared" si="57"/>
        <v>11</v>
      </c>
      <c r="BP310" s="75">
        <f>SUM(BM310:BO310)</f>
        <v>12</v>
      </c>
      <c r="BQ310" s="80" t="s">
        <v>598</v>
      </c>
      <c r="BR310" s="252" t="s">
        <v>363</v>
      </c>
      <c r="BS310" s="117" t="s">
        <v>539</v>
      </c>
      <c r="BT310" s="117">
        <v>0</v>
      </c>
      <c r="BU310" s="84">
        <v>0</v>
      </c>
    </row>
    <row r="311" spans="1:74" x14ac:dyDescent="0.75">
      <c r="C311" s="270">
        <v>1165</v>
      </c>
      <c r="D311" s="75" t="s">
        <v>357</v>
      </c>
      <c r="E311" s="75" t="s">
        <v>358</v>
      </c>
      <c r="F311" s="75" t="s">
        <v>359</v>
      </c>
      <c r="G311" s="75" t="s">
        <v>116</v>
      </c>
      <c r="H311">
        <v>18.3506</v>
      </c>
      <c r="I311">
        <v>-64.699183000000005</v>
      </c>
      <c r="J311" s="81">
        <v>45006</v>
      </c>
      <c r="K311" s="75" t="s">
        <v>367</v>
      </c>
      <c r="L311" s="75" t="s">
        <v>360</v>
      </c>
      <c r="M311" s="75">
        <v>3</v>
      </c>
      <c r="N311" s="75">
        <v>2</v>
      </c>
      <c r="O311" s="75" t="s">
        <v>362</v>
      </c>
      <c r="P311" s="88">
        <f>SUM(TreatmentUsed!E4293:E4313)</f>
        <v>273</v>
      </c>
      <c r="Q311" s="75">
        <v>0</v>
      </c>
      <c r="R311" s="75">
        <v>0</v>
      </c>
      <c r="S311" s="75">
        <v>0</v>
      </c>
      <c r="T311" s="75">
        <v>0</v>
      </c>
      <c r="U311" s="75">
        <v>0</v>
      </c>
      <c r="V311" s="75">
        <v>0</v>
      </c>
      <c r="W311" s="75">
        <v>0</v>
      </c>
      <c r="X311" s="75">
        <v>0</v>
      </c>
      <c r="Y311" s="75">
        <v>0</v>
      </c>
      <c r="Z311" s="75">
        <v>0</v>
      </c>
      <c r="AA311" s="75">
        <v>0</v>
      </c>
      <c r="AB311" s="75">
        <v>0</v>
      </c>
      <c r="AC311" s="75">
        <v>0</v>
      </c>
      <c r="AD311" s="75">
        <v>0</v>
      </c>
      <c r="AE311" s="75">
        <v>0</v>
      </c>
      <c r="AF311" s="75">
        <v>0</v>
      </c>
      <c r="AG311" s="75">
        <v>0</v>
      </c>
      <c r="AH311" s="75">
        <v>0</v>
      </c>
      <c r="AI311" s="75">
        <v>0</v>
      </c>
      <c r="AJ311" s="75">
        <v>0</v>
      </c>
      <c r="AK311" s="75">
        <v>0</v>
      </c>
      <c r="AL311" s="75">
        <v>0</v>
      </c>
      <c r="AM311" s="75">
        <v>0</v>
      </c>
      <c r="AN311" s="75">
        <v>0</v>
      </c>
      <c r="AO311" s="75">
        <v>0</v>
      </c>
      <c r="AP311" s="75">
        <v>0</v>
      </c>
      <c r="AQ311" s="75">
        <v>0</v>
      </c>
      <c r="AR311" s="75">
        <v>2</v>
      </c>
      <c r="AS311" s="75">
        <v>0</v>
      </c>
      <c r="AT311" s="75">
        <v>0</v>
      </c>
      <c r="AU311" s="75">
        <v>1</v>
      </c>
      <c r="AV311" s="75">
        <v>0</v>
      </c>
      <c r="AW311" s="75">
        <v>0</v>
      </c>
      <c r="AX311" s="75">
        <v>0</v>
      </c>
      <c r="AY311" s="84">
        <v>10</v>
      </c>
      <c r="AZ311" s="75">
        <v>2</v>
      </c>
      <c r="BA311" s="84">
        <v>3</v>
      </c>
      <c r="BB311" s="84">
        <v>0</v>
      </c>
      <c r="BC311" s="75">
        <v>3</v>
      </c>
      <c r="BD311" s="75">
        <v>0</v>
      </c>
      <c r="BE311" s="75">
        <v>0</v>
      </c>
      <c r="BF311" s="75">
        <v>0</v>
      </c>
      <c r="BG311" s="75">
        <v>0</v>
      </c>
      <c r="BH311" s="75">
        <v>0</v>
      </c>
      <c r="BI311" s="75" t="s">
        <v>254</v>
      </c>
      <c r="BJ311" s="75" t="s">
        <v>254</v>
      </c>
      <c r="BK311" s="75" t="s">
        <v>254</v>
      </c>
      <c r="BL311" s="84">
        <v>3</v>
      </c>
      <c r="BM311" s="75">
        <f t="shared" si="39"/>
        <v>0</v>
      </c>
      <c r="BN311" s="75">
        <f t="shared" si="40"/>
        <v>0</v>
      </c>
      <c r="BO311" s="75">
        <f t="shared" ref="BO311:BO313" si="58">SUM(AO311:BH311)</f>
        <v>21</v>
      </c>
      <c r="BP311" s="75">
        <f t="shared" ref="BP311:BP319" si="59">SUM(BM311:BO311)</f>
        <v>21</v>
      </c>
      <c r="BQ311" s="85" t="s">
        <v>599</v>
      </c>
      <c r="BR311" s="252" t="s">
        <v>363</v>
      </c>
      <c r="BS311" s="117" t="s">
        <v>539</v>
      </c>
      <c r="BT311" s="117">
        <v>1</v>
      </c>
      <c r="BU311" s="84">
        <v>1</v>
      </c>
    </row>
    <row r="312" spans="1:74" x14ac:dyDescent="0.75">
      <c r="A312"/>
      <c r="B312"/>
      <c r="C312" s="270">
        <v>1166</v>
      </c>
      <c r="D312" s="75" t="s">
        <v>357</v>
      </c>
      <c r="E312" s="75" t="s">
        <v>358</v>
      </c>
      <c r="F312" s="75" t="s">
        <v>359</v>
      </c>
      <c r="G312" s="75" t="s">
        <v>116</v>
      </c>
      <c r="H312">
        <v>18.3506</v>
      </c>
      <c r="I312">
        <v>-64.699183000000005</v>
      </c>
      <c r="J312" s="81">
        <v>45007</v>
      </c>
      <c r="K312" s="75" t="s">
        <v>374</v>
      </c>
      <c r="L312" s="75" t="s">
        <v>360</v>
      </c>
      <c r="M312" s="75">
        <v>4</v>
      </c>
      <c r="N312" s="75">
        <v>2</v>
      </c>
      <c r="O312" s="75" t="s">
        <v>362</v>
      </c>
      <c r="P312" s="88">
        <f>SUM(TreatmentUsed!E4314:E4323)</f>
        <v>242</v>
      </c>
      <c r="Q312" s="75">
        <v>0</v>
      </c>
      <c r="R312" s="75">
        <v>0</v>
      </c>
      <c r="S312" s="75">
        <v>0</v>
      </c>
      <c r="T312" s="75">
        <v>0</v>
      </c>
      <c r="U312" s="75">
        <v>0</v>
      </c>
      <c r="V312" s="75">
        <v>0</v>
      </c>
      <c r="W312" s="75">
        <v>0</v>
      </c>
      <c r="X312" s="75">
        <v>0</v>
      </c>
      <c r="Y312" s="75">
        <v>0</v>
      </c>
      <c r="Z312" s="75">
        <v>0</v>
      </c>
      <c r="AA312" s="75">
        <v>0</v>
      </c>
      <c r="AB312" s="75">
        <v>0</v>
      </c>
      <c r="AC312" s="75">
        <v>0</v>
      </c>
      <c r="AD312" s="75">
        <v>0</v>
      </c>
      <c r="AE312" s="75">
        <v>0</v>
      </c>
      <c r="AF312" s="75">
        <v>0</v>
      </c>
      <c r="AG312" s="75">
        <v>0</v>
      </c>
      <c r="AH312" s="75">
        <v>0</v>
      </c>
      <c r="AI312" s="75">
        <v>0</v>
      </c>
      <c r="AJ312" s="75">
        <v>0</v>
      </c>
      <c r="AK312" s="75">
        <v>0</v>
      </c>
      <c r="AL312" s="75">
        <v>0</v>
      </c>
      <c r="AM312" s="75">
        <v>0</v>
      </c>
      <c r="AN312" s="75">
        <v>0</v>
      </c>
      <c r="AO312" s="75">
        <v>0</v>
      </c>
      <c r="AP312" s="75">
        <v>0</v>
      </c>
      <c r="AQ312" s="75">
        <v>0</v>
      </c>
      <c r="AR312" s="75">
        <v>1</v>
      </c>
      <c r="AS312" s="75">
        <v>0</v>
      </c>
      <c r="AT312" s="75">
        <v>0</v>
      </c>
      <c r="AU312" s="75">
        <v>0</v>
      </c>
      <c r="AV312" s="75">
        <v>0</v>
      </c>
      <c r="AW312" s="75">
        <v>0</v>
      </c>
      <c r="AX312" s="75">
        <v>0</v>
      </c>
      <c r="AY312" s="84">
        <v>3</v>
      </c>
      <c r="AZ312" s="75">
        <v>1</v>
      </c>
      <c r="BA312" s="84">
        <v>2</v>
      </c>
      <c r="BB312" s="75">
        <v>0</v>
      </c>
      <c r="BC312" s="84">
        <v>4</v>
      </c>
      <c r="BD312" s="75">
        <v>0</v>
      </c>
      <c r="BE312" s="75">
        <v>0</v>
      </c>
      <c r="BF312" s="75">
        <v>0</v>
      </c>
      <c r="BG312" s="75">
        <v>0</v>
      </c>
      <c r="BH312" s="75">
        <v>0</v>
      </c>
      <c r="BI312" s="75" t="s">
        <v>254</v>
      </c>
      <c r="BJ312" s="75" t="s">
        <v>254</v>
      </c>
      <c r="BK312" s="75" t="s">
        <v>254</v>
      </c>
      <c r="BL312" s="84">
        <v>0</v>
      </c>
      <c r="BM312" s="75">
        <f t="shared" si="39"/>
        <v>0</v>
      </c>
      <c r="BN312" s="75">
        <f t="shared" si="40"/>
        <v>0</v>
      </c>
      <c r="BO312" s="75">
        <f>SUM(AO312:BH312)</f>
        <v>11</v>
      </c>
      <c r="BP312" s="75">
        <f t="shared" si="59"/>
        <v>11</v>
      </c>
      <c r="BQ312" s="84" t="s">
        <v>600</v>
      </c>
      <c r="BR312" s="156" t="s">
        <v>363</v>
      </c>
      <c r="BS312" s="110" t="s">
        <v>539</v>
      </c>
      <c r="BT312" s="117">
        <v>0</v>
      </c>
      <c r="BU312" s="84">
        <v>2</v>
      </c>
    </row>
    <row r="313" spans="1:74" x14ac:dyDescent="0.75">
      <c r="C313" s="270">
        <v>1176</v>
      </c>
      <c r="D313" s="75" t="s">
        <v>357</v>
      </c>
      <c r="E313" s="75" t="s">
        <v>358</v>
      </c>
      <c r="F313" s="75" t="s">
        <v>359</v>
      </c>
      <c r="G313" s="75" t="s">
        <v>116</v>
      </c>
      <c r="H313">
        <v>18.3506</v>
      </c>
      <c r="I313">
        <v>-64.699183000000005</v>
      </c>
      <c r="J313" s="81">
        <v>45007</v>
      </c>
      <c r="K313" s="75" t="s">
        <v>367</v>
      </c>
      <c r="L313" s="75" t="s">
        <v>360</v>
      </c>
      <c r="M313" s="75">
        <v>3</v>
      </c>
      <c r="N313" s="75">
        <v>2</v>
      </c>
      <c r="O313" s="75" t="s">
        <v>362</v>
      </c>
      <c r="P313" s="88">
        <f>SUM(TreatmentUsed!E4324:E4331)</f>
        <v>296</v>
      </c>
      <c r="Q313" s="75">
        <v>0</v>
      </c>
      <c r="R313" s="75">
        <v>0</v>
      </c>
      <c r="S313" s="75">
        <v>0</v>
      </c>
      <c r="T313" s="75">
        <v>0</v>
      </c>
      <c r="U313" s="75">
        <v>0</v>
      </c>
      <c r="V313" s="75">
        <v>0</v>
      </c>
      <c r="W313" s="75">
        <v>0</v>
      </c>
      <c r="X313" s="75">
        <v>1</v>
      </c>
      <c r="Y313" s="75">
        <v>0</v>
      </c>
      <c r="Z313" s="75">
        <v>0</v>
      </c>
      <c r="AA313" s="75">
        <v>0</v>
      </c>
      <c r="AB313" s="75">
        <v>0</v>
      </c>
      <c r="AC313" s="75">
        <v>0</v>
      </c>
      <c r="AD313" s="75">
        <v>0</v>
      </c>
      <c r="AE313" s="75">
        <v>0</v>
      </c>
      <c r="AF313" s="75">
        <v>0</v>
      </c>
      <c r="AG313" s="75">
        <v>0</v>
      </c>
      <c r="AH313" s="75">
        <v>0</v>
      </c>
      <c r="AI313" s="75">
        <v>0</v>
      </c>
      <c r="AJ313" s="75">
        <v>0</v>
      </c>
      <c r="AK313" s="75">
        <v>0</v>
      </c>
      <c r="AL313" s="75">
        <v>0</v>
      </c>
      <c r="AM313" s="75">
        <v>0</v>
      </c>
      <c r="AN313" s="75">
        <v>0</v>
      </c>
      <c r="AO313" s="75">
        <v>0</v>
      </c>
      <c r="AP313" s="75">
        <v>0</v>
      </c>
      <c r="AQ313" s="75">
        <v>0</v>
      </c>
      <c r="AR313" s="75">
        <v>1</v>
      </c>
      <c r="AS313" s="75">
        <v>1</v>
      </c>
      <c r="AT313" s="75">
        <v>0</v>
      </c>
      <c r="AU313" s="75">
        <v>1</v>
      </c>
      <c r="AV313" s="75">
        <v>0</v>
      </c>
      <c r="AW313" s="75">
        <v>0</v>
      </c>
      <c r="AX313" s="75">
        <v>0</v>
      </c>
      <c r="AY313" s="75">
        <v>1</v>
      </c>
      <c r="AZ313" s="75">
        <v>0</v>
      </c>
      <c r="BA313" s="84">
        <v>0</v>
      </c>
      <c r="BB313" s="75">
        <v>0</v>
      </c>
      <c r="BC313" s="75">
        <v>4</v>
      </c>
      <c r="BD313" s="75">
        <v>0</v>
      </c>
      <c r="BE313" s="75">
        <v>0</v>
      </c>
      <c r="BF313" s="75">
        <v>0</v>
      </c>
      <c r="BG313" s="75">
        <v>0</v>
      </c>
      <c r="BH313" s="75">
        <v>0</v>
      </c>
      <c r="BI313" s="75" t="s">
        <v>254</v>
      </c>
      <c r="BJ313" s="75" t="s">
        <v>254</v>
      </c>
      <c r="BK313" s="75" t="s">
        <v>254</v>
      </c>
      <c r="BL313" s="84">
        <v>0</v>
      </c>
      <c r="BM313" s="75">
        <f t="shared" si="39"/>
        <v>1</v>
      </c>
      <c r="BN313" s="75">
        <f t="shared" si="40"/>
        <v>0</v>
      </c>
      <c r="BO313" s="84">
        <f t="shared" si="58"/>
        <v>8</v>
      </c>
      <c r="BP313" s="84">
        <f t="shared" si="59"/>
        <v>9</v>
      </c>
      <c r="BQ313" s="85" t="s">
        <v>601</v>
      </c>
      <c r="BR313" s="252" t="s">
        <v>363</v>
      </c>
      <c r="BS313" s="117" t="s">
        <v>539</v>
      </c>
      <c r="BT313" s="117">
        <v>0</v>
      </c>
      <c r="BU313" s="84">
        <v>1</v>
      </c>
    </row>
    <row r="314" spans="1:74" x14ac:dyDescent="0.75">
      <c r="A314"/>
      <c r="B314"/>
      <c r="C314" s="270">
        <v>1180</v>
      </c>
      <c r="D314" s="75" t="s">
        <v>357</v>
      </c>
      <c r="E314" s="75" t="s">
        <v>358</v>
      </c>
      <c r="F314" s="75" t="s">
        <v>359</v>
      </c>
      <c r="G314" s="75" t="s">
        <v>96</v>
      </c>
      <c r="H314" s="119">
        <v>18.314226999999999</v>
      </c>
      <c r="I314" s="75">
        <v>-64.721965999999995</v>
      </c>
      <c r="J314" s="81">
        <v>45007</v>
      </c>
      <c r="K314" s="75" t="s">
        <v>374</v>
      </c>
      <c r="L314" s="75" t="s">
        <v>360</v>
      </c>
      <c r="M314" s="75">
        <v>0</v>
      </c>
      <c r="N314" s="75">
        <v>2</v>
      </c>
      <c r="O314" s="75" t="s">
        <v>362</v>
      </c>
      <c r="P314" s="75">
        <f>SUM(TreatmentUsed!E4332)</f>
        <v>58</v>
      </c>
      <c r="Q314" s="75">
        <v>0</v>
      </c>
      <c r="R314" s="75">
        <v>0</v>
      </c>
      <c r="S314" s="75">
        <v>0</v>
      </c>
      <c r="T314" s="75">
        <v>0</v>
      </c>
      <c r="U314" s="75">
        <v>0</v>
      </c>
      <c r="V314" s="75">
        <v>0</v>
      </c>
      <c r="W314" s="75">
        <v>0</v>
      </c>
      <c r="X314" s="75">
        <v>0</v>
      </c>
      <c r="Y314" s="75">
        <v>0</v>
      </c>
      <c r="Z314" s="75">
        <v>0</v>
      </c>
      <c r="AA314" s="75">
        <v>0</v>
      </c>
      <c r="AB314" s="75">
        <v>0</v>
      </c>
      <c r="AC314" s="75">
        <v>0</v>
      </c>
      <c r="AD314" s="75">
        <v>0</v>
      </c>
      <c r="AE314" s="75">
        <v>0</v>
      </c>
      <c r="AF314" s="75">
        <v>0</v>
      </c>
      <c r="AG314" s="75">
        <v>0</v>
      </c>
      <c r="AH314" s="75">
        <v>0</v>
      </c>
      <c r="AI314" s="75">
        <v>0</v>
      </c>
      <c r="AJ314" s="75">
        <v>0</v>
      </c>
      <c r="AK314" s="75">
        <v>0</v>
      </c>
      <c r="AL314" s="75">
        <v>0</v>
      </c>
      <c r="AM314" s="75">
        <v>0</v>
      </c>
      <c r="AN314" s="75">
        <v>0</v>
      </c>
      <c r="AO314" s="75">
        <v>0</v>
      </c>
      <c r="AP314" s="75">
        <v>0</v>
      </c>
      <c r="AQ314" s="75">
        <v>1</v>
      </c>
      <c r="AR314" s="75">
        <v>0</v>
      </c>
      <c r="AS314" s="75">
        <v>0</v>
      </c>
      <c r="AT314" s="75">
        <v>0</v>
      </c>
      <c r="AU314" s="75">
        <v>0</v>
      </c>
      <c r="AV314" s="75">
        <v>0</v>
      </c>
      <c r="AW314" s="75">
        <v>0</v>
      </c>
      <c r="AX314" s="75">
        <v>0</v>
      </c>
      <c r="AY314" s="75">
        <v>0</v>
      </c>
      <c r="AZ314" s="75">
        <v>0</v>
      </c>
      <c r="BA314" s="75">
        <v>0</v>
      </c>
      <c r="BB314" s="75">
        <v>0</v>
      </c>
      <c r="BC314" s="75">
        <v>0</v>
      </c>
      <c r="BD314" s="75">
        <v>0</v>
      </c>
      <c r="BE314" s="75">
        <v>0</v>
      </c>
      <c r="BF314" s="75">
        <v>0</v>
      </c>
      <c r="BG314" s="75">
        <v>0</v>
      </c>
      <c r="BH314" s="75">
        <v>0</v>
      </c>
      <c r="BI314" s="75" t="s">
        <v>254</v>
      </c>
      <c r="BJ314" s="75" t="s">
        <v>254</v>
      </c>
      <c r="BK314" s="75" t="s">
        <v>254</v>
      </c>
      <c r="BL314" s="75">
        <v>0</v>
      </c>
      <c r="BM314" s="75">
        <f t="shared" si="39"/>
        <v>0</v>
      </c>
      <c r="BN314" s="75">
        <f t="shared" si="40"/>
        <v>0</v>
      </c>
      <c r="BO314" s="75">
        <f>SUM(AO314:BH314)</f>
        <v>1</v>
      </c>
      <c r="BP314" s="75">
        <f t="shared" si="59"/>
        <v>1</v>
      </c>
      <c r="BQ314" s="80" t="s">
        <v>602</v>
      </c>
      <c r="BR314" s="252" t="s">
        <v>363</v>
      </c>
      <c r="BS314" s="110" t="s">
        <v>539</v>
      </c>
      <c r="BT314" s="110">
        <v>0</v>
      </c>
      <c r="BU314" s="75">
        <v>1</v>
      </c>
    </row>
    <row r="315" spans="1:74" x14ac:dyDescent="0.75">
      <c r="C315" s="270">
        <v>1177</v>
      </c>
      <c r="D315" s="75" t="s">
        <v>357</v>
      </c>
      <c r="E315" s="75" t="s">
        <v>358</v>
      </c>
      <c r="F315" s="75" t="s">
        <v>359</v>
      </c>
      <c r="G315" s="75" t="s">
        <v>116</v>
      </c>
      <c r="H315">
        <v>18.3506</v>
      </c>
      <c r="I315">
        <v>-64.699183000000005</v>
      </c>
      <c r="J315" s="81">
        <v>45008</v>
      </c>
      <c r="K315" s="75" t="s">
        <v>367</v>
      </c>
      <c r="L315" s="75" t="s">
        <v>360</v>
      </c>
      <c r="M315" s="84">
        <v>7</v>
      </c>
      <c r="N315" s="75">
        <v>2</v>
      </c>
      <c r="O315" s="75" t="s">
        <v>362</v>
      </c>
      <c r="P315" s="88">
        <f>SUM(TreatmentUsed!E4333:E4348)</f>
        <v>230</v>
      </c>
      <c r="Q315" s="75">
        <v>0</v>
      </c>
      <c r="R315" s="75">
        <v>0</v>
      </c>
      <c r="S315" s="75">
        <v>0</v>
      </c>
      <c r="T315" s="75">
        <v>0</v>
      </c>
      <c r="U315" s="75">
        <v>0</v>
      </c>
      <c r="V315" s="75">
        <v>1</v>
      </c>
      <c r="W315" s="75">
        <v>0</v>
      </c>
      <c r="X315" s="75">
        <v>0</v>
      </c>
      <c r="Y315" s="75">
        <v>0</v>
      </c>
      <c r="Z315" s="75">
        <v>0</v>
      </c>
      <c r="AA315" s="75">
        <v>0</v>
      </c>
      <c r="AB315" s="75">
        <v>0</v>
      </c>
      <c r="AC315" s="75">
        <v>0</v>
      </c>
      <c r="AD315" s="75">
        <v>0</v>
      </c>
      <c r="AE315" s="75">
        <v>0</v>
      </c>
      <c r="AF315" s="75">
        <v>0</v>
      </c>
      <c r="AG315" s="75">
        <v>0</v>
      </c>
      <c r="AH315" s="75">
        <v>0</v>
      </c>
      <c r="AI315" s="75">
        <v>0</v>
      </c>
      <c r="AJ315" s="75">
        <v>0</v>
      </c>
      <c r="AK315" s="75">
        <v>0</v>
      </c>
      <c r="AL315" s="75">
        <v>0</v>
      </c>
      <c r="AM315" s="75">
        <v>0</v>
      </c>
      <c r="AN315" s="75">
        <v>0</v>
      </c>
      <c r="AO315" s="75">
        <v>0</v>
      </c>
      <c r="AP315" s="75">
        <v>0</v>
      </c>
      <c r="AQ315" s="75">
        <v>0</v>
      </c>
      <c r="AR315" s="84">
        <v>5</v>
      </c>
      <c r="AS315" s="75">
        <v>0</v>
      </c>
      <c r="AT315" s="75">
        <v>0</v>
      </c>
      <c r="AU315" s="75">
        <v>3</v>
      </c>
      <c r="AV315" s="75">
        <v>0</v>
      </c>
      <c r="AW315" s="75">
        <v>0</v>
      </c>
      <c r="AX315" s="75">
        <v>0</v>
      </c>
      <c r="AY315" s="84">
        <v>1</v>
      </c>
      <c r="AZ315" s="75">
        <v>1</v>
      </c>
      <c r="BA315" s="84">
        <v>1</v>
      </c>
      <c r="BB315" s="75">
        <v>0</v>
      </c>
      <c r="BC315" s="75">
        <v>5</v>
      </c>
      <c r="BD315" s="75">
        <v>0</v>
      </c>
      <c r="BE315" s="75">
        <v>0</v>
      </c>
      <c r="BF315" s="75">
        <v>0</v>
      </c>
      <c r="BG315" s="75">
        <v>0</v>
      </c>
      <c r="BH315" s="75">
        <v>0</v>
      </c>
      <c r="BI315" s="75" t="s">
        <v>254</v>
      </c>
      <c r="BJ315" s="75" t="s">
        <v>254</v>
      </c>
      <c r="BK315" s="75" t="s">
        <v>254</v>
      </c>
      <c r="BL315" s="84">
        <v>0</v>
      </c>
      <c r="BM315" s="75">
        <f t="shared" si="39"/>
        <v>1</v>
      </c>
      <c r="BN315" s="75">
        <f t="shared" si="40"/>
        <v>0</v>
      </c>
      <c r="BO315" s="84">
        <f>SUM(AO315:BH315)</f>
        <v>16</v>
      </c>
      <c r="BP315" s="84">
        <f t="shared" si="59"/>
        <v>17</v>
      </c>
      <c r="BQ315" s="84" t="s">
        <v>603</v>
      </c>
      <c r="BR315" s="252" t="s">
        <v>363</v>
      </c>
      <c r="BS315" s="117" t="s">
        <v>539</v>
      </c>
      <c r="BT315" s="117">
        <v>0</v>
      </c>
      <c r="BU315" s="84">
        <v>0</v>
      </c>
    </row>
    <row r="316" spans="1:74" x14ac:dyDescent="0.75">
      <c r="C316" s="270">
        <v>1178</v>
      </c>
      <c r="D316" s="75" t="s">
        <v>357</v>
      </c>
      <c r="E316" s="75" t="s">
        <v>358</v>
      </c>
      <c r="F316" s="75" t="s">
        <v>359</v>
      </c>
      <c r="G316" s="75" t="s">
        <v>116</v>
      </c>
      <c r="H316">
        <v>18.3506</v>
      </c>
      <c r="I316">
        <v>-64.699183000000005</v>
      </c>
      <c r="J316" s="81">
        <v>45008</v>
      </c>
      <c r="K316" s="75" t="s">
        <v>367</v>
      </c>
      <c r="L316" s="75" t="s">
        <v>360</v>
      </c>
      <c r="M316" s="84">
        <v>4</v>
      </c>
      <c r="N316" s="75">
        <v>2</v>
      </c>
      <c r="O316" s="75" t="s">
        <v>362</v>
      </c>
      <c r="P316" s="88">
        <f>SUM(TreatmentUsed!E4349:E4358)</f>
        <v>129</v>
      </c>
      <c r="Q316" s="75">
        <v>0</v>
      </c>
      <c r="R316" s="75">
        <v>0</v>
      </c>
      <c r="S316" s="75">
        <v>0</v>
      </c>
      <c r="T316" s="75">
        <v>0</v>
      </c>
      <c r="U316" s="75">
        <v>0</v>
      </c>
      <c r="V316" s="75">
        <v>0</v>
      </c>
      <c r="W316" s="75">
        <v>0</v>
      </c>
      <c r="X316" s="75">
        <v>0</v>
      </c>
      <c r="Y316" s="75">
        <v>0</v>
      </c>
      <c r="Z316" s="75">
        <v>0</v>
      </c>
      <c r="AA316" s="75">
        <v>0</v>
      </c>
      <c r="AB316" s="75">
        <v>0</v>
      </c>
      <c r="AC316" s="75">
        <v>0</v>
      </c>
      <c r="AD316" s="75">
        <v>0</v>
      </c>
      <c r="AE316" s="75">
        <v>0</v>
      </c>
      <c r="AF316" s="75">
        <v>0</v>
      </c>
      <c r="AG316" s="75">
        <v>0</v>
      </c>
      <c r="AH316" s="75">
        <v>0</v>
      </c>
      <c r="AI316" s="75">
        <v>0</v>
      </c>
      <c r="AJ316" s="75">
        <v>0</v>
      </c>
      <c r="AK316" s="75">
        <v>0</v>
      </c>
      <c r="AL316" s="75">
        <v>0</v>
      </c>
      <c r="AM316" s="75">
        <v>0</v>
      </c>
      <c r="AN316" s="75">
        <v>0</v>
      </c>
      <c r="AO316" s="75">
        <v>0</v>
      </c>
      <c r="AP316" s="75">
        <v>1</v>
      </c>
      <c r="AQ316" s="75">
        <v>0</v>
      </c>
      <c r="AR316" s="75">
        <v>6</v>
      </c>
      <c r="AS316" s="75">
        <v>0</v>
      </c>
      <c r="AT316" s="75">
        <v>0</v>
      </c>
      <c r="AU316" s="75">
        <v>0</v>
      </c>
      <c r="AV316" s="75">
        <v>0</v>
      </c>
      <c r="AW316" s="75">
        <v>0</v>
      </c>
      <c r="AX316" s="75">
        <v>0</v>
      </c>
      <c r="AY316" s="75">
        <v>0</v>
      </c>
      <c r="AZ316" s="75">
        <v>0</v>
      </c>
      <c r="BA316" s="75">
        <v>1</v>
      </c>
      <c r="BB316" s="75">
        <v>0</v>
      </c>
      <c r="BC316" s="84">
        <v>1</v>
      </c>
      <c r="BD316" s="75">
        <v>0</v>
      </c>
      <c r="BE316" s="75">
        <v>0</v>
      </c>
      <c r="BF316" s="75">
        <v>1</v>
      </c>
      <c r="BG316" s="75">
        <v>0</v>
      </c>
      <c r="BH316" s="75">
        <v>0</v>
      </c>
      <c r="BI316" s="75" t="s">
        <v>254</v>
      </c>
      <c r="BJ316" s="75" t="s">
        <v>254</v>
      </c>
      <c r="BK316" s="75" t="s">
        <v>254</v>
      </c>
      <c r="BL316" s="84">
        <v>0</v>
      </c>
      <c r="BM316" s="75">
        <f t="shared" si="39"/>
        <v>0</v>
      </c>
      <c r="BN316" s="75">
        <f t="shared" si="40"/>
        <v>0</v>
      </c>
      <c r="BO316" s="84">
        <f t="shared" si="56"/>
        <v>10</v>
      </c>
      <c r="BP316" s="84">
        <f t="shared" si="59"/>
        <v>10</v>
      </c>
      <c r="BQ316" s="84" t="s">
        <v>604</v>
      </c>
      <c r="BR316" s="138" t="s">
        <v>363</v>
      </c>
      <c r="BS316" s="117" t="s">
        <v>539</v>
      </c>
      <c r="BT316" s="117">
        <v>0</v>
      </c>
      <c r="BU316" s="84">
        <v>0</v>
      </c>
    </row>
    <row r="317" spans="1:74" s="173" customFormat="1" x14ac:dyDescent="0.75">
      <c r="A317" s="171"/>
      <c r="B317" s="172"/>
      <c r="C317" s="273">
        <v>1179</v>
      </c>
      <c r="D317" s="174" t="s">
        <v>357</v>
      </c>
      <c r="E317" s="174" t="s">
        <v>358</v>
      </c>
      <c r="F317" s="174" t="s">
        <v>359</v>
      </c>
      <c r="G317" s="174" t="s">
        <v>116</v>
      </c>
      <c r="H317" s="173">
        <v>18.3506</v>
      </c>
      <c r="I317" s="173">
        <v>-64.699183000000005</v>
      </c>
      <c r="J317" s="175">
        <v>45008</v>
      </c>
      <c r="K317" s="174" t="s">
        <v>367</v>
      </c>
      <c r="L317" s="174" t="s">
        <v>360</v>
      </c>
      <c r="M317" s="174">
        <v>2</v>
      </c>
      <c r="N317" s="174">
        <v>2</v>
      </c>
      <c r="O317" s="174" t="s">
        <v>362</v>
      </c>
      <c r="P317" s="179">
        <f>SUM(TreatmentUsed!E4359:E4371)</f>
        <v>94</v>
      </c>
      <c r="Q317" s="174">
        <v>448</v>
      </c>
      <c r="R317" s="174">
        <v>0</v>
      </c>
      <c r="S317" s="174">
        <v>0</v>
      </c>
      <c r="T317" s="174">
        <v>0</v>
      </c>
      <c r="U317" s="174">
        <v>0</v>
      </c>
      <c r="V317" s="174">
        <v>0</v>
      </c>
      <c r="W317" s="174">
        <v>0</v>
      </c>
      <c r="X317" s="174">
        <v>0</v>
      </c>
      <c r="Y317" s="174">
        <v>0</v>
      </c>
      <c r="Z317" s="174">
        <v>0</v>
      </c>
      <c r="AA317" s="174">
        <v>0</v>
      </c>
      <c r="AB317" s="174">
        <v>0</v>
      </c>
      <c r="AC317" s="174">
        <v>0</v>
      </c>
      <c r="AD317" s="174">
        <v>0</v>
      </c>
      <c r="AE317" s="174">
        <v>0</v>
      </c>
      <c r="AF317" s="174">
        <v>0</v>
      </c>
      <c r="AG317" s="174">
        <v>0</v>
      </c>
      <c r="AH317" s="174">
        <v>0</v>
      </c>
      <c r="AI317" s="174">
        <v>0</v>
      </c>
      <c r="AJ317" s="174">
        <v>0</v>
      </c>
      <c r="AK317" s="174">
        <v>0</v>
      </c>
      <c r="AL317" s="174">
        <v>0</v>
      </c>
      <c r="AM317" s="174">
        <v>0</v>
      </c>
      <c r="AN317" s="174">
        <v>0</v>
      </c>
      <c r="AO317" s="174">
        <v>0</v>
      </c>
      <c r="AP317" s="174">
        <v>0</v>
      </c>
      <c r="AQ317" s="174">
        <v>0</v>
      </c>
      <c r="AR317" s="174">
        <v>1</v>
      </c>
      <c r="AS317" s="174">
        <v>0</v>
      </c>
      <c r="AT317" s="174">
        <v>0</v>
      </c>
      <c r="AU317" s="176">
        <v>2</v>
      </c>
      <c r="AV317" s="174">
        <v>0</v>
      </c>
      <c r="AW317" s="174">
        <v>0</v>
      </c>
      <c r="AX317" s="174">
        <v>1</v>
      </c>
      <c r="AY317" s="176">
        <v>1</v>
      </c>
      <c r="AZ317" s="176">
        <v>3</v>
      </c>
      <c r="BA317" s="176">
        <v>1</v>
      </c>
      <c r="BB317" s="174">
        <v>0</v>
      </c>
      <c r="BC317" s="174">
        <v>4</v>
      </c>
      <c r="BD317" s="174">
        <v>0</v>
      </c>
      <c r="BE317" s="174">
        <v>0</v>
      </c>
      <c r="BF317" s="174">
        <v>0</v>
      </c>
      <c r="BG317" s="174">
        <v>0</v>
      </c>
      <c r="BH317" s="174">
        <v>0</v>
      </c>
      <c r="BI317" s="174" t="s">
        <v>254</v>
      </c>
      <c r="BJ317" s="174" t="s">
        <v>254</v>
      </c>
      <c r="BK317" s="174" t="s">
        <v>254</v>
      </c>
      <c r="BL317" s="176">
        <v>0</v>
      </c>
      <c r="BM317" s="174">
        <f t="shared" si="39"/>
        <v>0</v>
      </c>
      <c r="BN317" s="174">
        <f t="shared" si="40"/>
        <v>0</v>
      </c>
      <c r="BO317" s="176">
        <f t="shared" si="56"/>
        <v>13</v>
      </c>
      <c r="BP317" s="176">
        <f t="shared" si="59"/>
        <v>13</v>
      </c>
      <c r="BQ317" s="176" t="s">
        <v>605</v>
      </c>
      <c r="BR317" s="258">
        <v>975</v>
      </c>
      <c r="BS317" s="180" t="s">
        <v>539</v>
      </c>
      <c r="BT317" s="180">
        <v>0</v>
      </c>
      <c r="BU317" s="176">
        <v>0</v>
      </c>
      <c r="BV317" s="174"/>
    </row>
    <row r="318" spans="1:74" x14ac:dyDescent="0.75">
      <c r="C318">
        <v>1247</v>
      </c>
      <c r="D318" s="75" t="s">
        <v>357</v>
      </c>
      <c r="E318" s="75" t="s">
        <v>358</v>
      </c>
      <c r="F318" s="75" t="s">
        <v>359</v>
      </c>
      <c r="G318" s="75" t="s">
        <v>116</v>
      </c>
      <c r="H318">
        <v>18.3506</v>
      </c>
      <c r="I318">
        <v>-64.699183000000005</v>
      </c>
      <c r="J318" s="81">
        <v>45021</v>
      </c>
      <c r="K318" s="75" t="s">
        <v>367</v>
      </c>
      <c r="L318" s="75" t="s">
        <v>374</v>
      </c>
      <c r="M318" s="75">
        <v>3</v>
      </c>
      <c r="N318" s="75">
        <v>3</v>
      </c>
      <c r="O318" s="75" t="s">
        <v>362</v>
      </c>
      <c r="P318" s="88">
        <f>SUM(TreatmentUsed!E4372:E4388)</f>
        <v>240</v>
      </c>
      <c r="Q318" s="75">
        <v>0</v>
      </c>
      <c r="R318" s="75">
        <v>0</v>
      </c>
      <c r="S318" s="75">
        <v>0</v>
      </c>
      <c r="T318" s="75">
        <v>0</v>
      </c>
      <c r="U318" s="75">
        <v>0</v>
      </c>
      <c r="V318" s="75">
        <v>0</v>
      </c>
      <c r="W318" s="75">
        <v>0</v>
      </c>
      <c r="X318" s="75">
        <v>0</v>
      </c>
      <c r="Y318" s="75">
        <v>0</v>
      </c>
      <c r="Z318" s="75">
        <v>0</v>
      </c>
      <c r="AA318" s="75">
        <v>0</v>
      </c>
      <c r="AB318" s="75">
        <v>0</v>
      </c>
      <c r="AC318" s="75">
        <v>0</v>
      </c>
      <c r="AD318" s="75">
        <v>0</v>
      </c>
      <c r="AE318" s="75">
        <v>0</v>
      </c>
      <c r="AF318" s="75">
        <v>0</v>
      </c>
      <c r="AG318" s="75">
        <v>0</v>
      </c>
      <c r="AH318" s="75">
        <v>0</v>
      </c>
      <c r="AI318" s="75">
        <v>0</v>
      </c>
      <c r="AJ318" s="75">
        <v>0</v>
      </c>
      <c r="AK318" s="75">
        <v>0</v>
      </c>
      <c r="AL318" s="75">
        <v>0</v>
      </c>
      <c r="AM318" s="75">
        <v>0</v>
      </c>
      <c r="AN318" s="75">
        <v>0</v>
      </c>
      <c r="AO318" s="75">
        <v>0</v>
      </c>
      <c r="AP318" s="75">
        <v>0</v>
      </c>
      <c r="AQ318" s="75">
        <v>0</v>
      </c>
      <c r="AR318" s="84">
        <v>2</v>
      </c>
      <c r="AS318" s="75">
        <v>0</v>
      </c>
      <c r="AT318" s="75">
        <v>0</v>
      </c>
      <c r="AU318" s="75">
        <v>1</v>
      </c>
      <c r="AV318" s="75">
        <v>0</v>
      </c>
      <c r="AW318" s="75">
        <v>0</v>
      </c>
      <c r="AX318" s="75">
        <v>0</v>
      </c>
      <c r="AY318" s="84">
        <v>6</v>
      </c>
      <c r="AZ318" s="75">
        <v>3</v>
      </c>
      <c r="BA318" s="84">
        <v>1</v>
      </c>
      <c r="BB318" s="75">
        <v>0</v>
      </c>
      <c r="BC318" s="84">
        <v>3</v>
      </c>
      <c r="BD318" s="75">
        <v>0</v>
      </c>
      <c r="BE318" s="75">
        <v>0</v>
      </c>
      <c r="BF318" s="75">
        <v>0</v>
      </c>
      <c r="BG318" s="75">
        <v>0</v>
      </c>
      <c r="BH318" s="75">
        <v>1</v>
      </c>
      <c r="BI318" s="75" t="s">
        <v>254</v>
      </c>
      <c r="BJ318" s="75" t="s">
        <v>254</v>
      </c>
      <c r="BK318" s="75" t="s">
        <v>254</v>
      </c>
      <c r="BL318" s="75">
        <v>0</v>
      </c>
      <c r="BM318" s="75">
        <f>SUM(R318:AD318)</f>
        <v>0</v>
      </c>
      <c r="BN318" s="75">
        <f t="shared" ref="BN318:BN319" si="60">SUM(AE318:AN318)</f>
        <v>0</v>
      </c>
      <c r="BO318" s="84">
        <f t="shared" si="56"/>
        <v>17</v>
      </c>
      <c r="BP318" s="75">
        <f t="shared" si="59"/>
        <v>17</v>
      </c>
      <c r="BQ318" s="119" t="s">
        <v>606</v>
      </c>
      <c r="BR318" s="138">
        <v>914</v>
      </c>
      <c r="BS318" s="110" t="s">
        <v>539</v>
      </c>
      <c r="BT318" s="110">
        <v>0</v>
      </c>
      <c r="BU318" s="75">
        <v>0</v>
      </c>
    </row>
    <row r="319" spans="1:74" x14ac:dyDescent="0.75">
      <c r="C319">
        <v>1248</v>
      </c>
      <c r="D319" s="75" t="s">
        <v>357</v>
      </c>
      <c r="E319" s="75" t="s">
        <v>358</v>
      </c>
      <c r="F319" s="75" t="s">
        <v>359</v>
      </c>
      <c r="G319" s="75" t="s">
        <v>116</v>
      </c>
      <c r="H319">
        <v>18.3506</v>
      </c>
      <c r="I319">
        <v>-64.699183000000005</v>
      </c>
      <c r="J319" s="81">
        <v>45021</v>
      </c>
      <c r="K319" s="75" t="s">
        <v>367</v>
      </c>
      <c r="L319" s="75" t="s">
        <v>374</v>
      </c>
      <c r="M319" s="75">
        <v>0</v>
      </c>
      <c r="N319" s="75">
        <v>2</v>
      </c>
      <c r="O319" s="75" t="s">
        <v>362</v>
      </c>
      <c r="P319" s="88">
        <f>SUM(TreatmentUsed!E4389:E4404)</f>
        <v>327</v>
      </c>
      <c r="Q319" s="75">
        <v>0</v>
      </c>
      <c r="R319" s="75">
        <v>0</v>
      </c>
      <c r="S319" s="75">
        <v>0</v>
      </c>
      <c r="T319" s="75">
        <v>0</v>
      </c>
      <c r="U319" s="75">
        <v>0</v>
      </c>
      <c r="V319" s="75">
        <v>0</v>
      </c>
      <c r="W319" s="75">
        <v>0</v>
      </c>
      <c r="X319" s="75">
        <v>0</v>
      </c>
      <c r="Y319" s="75">
        <v>0</v>
      </c>
      <c r="Z319" s="75">
        <v>0</v>
      </c>
      <c r="AA319" s="75">
        <v>0</v>
      </c>
      <c r="AB319" s="75">
        <v>0</v>
      </c>
      <c r="AC319" s="75">
        <v>0</v>
      </c>
      <c r="AD319" s="75">
        <v>0</v>
      </c>
      <c r="AE319" s="75">
        <v>0</v>
      </c>
      <c r="AF319" s="75">
        <v>0</v>
      </c>
      <c r="AG319" s="75">
        <v>0</v>
      </c>
      <c r="AH319" s="75">
        <v>0</v>
      </c>
      <c r="AI319" s="75">
        <v>0</v>
      </c>
      <c r="AJ319" s="75">
        <v>0</v>
      </c>
      <c r="AK319" s="75">
        <v>0</v>
      </c>
      <c r="AL319" s="75">
        <v>0</v>
      </c>
      <c r="AM319" s="75">
        <v>0</v>
      </c>
      <c r="AN319" s="75">
        <v>0</v>
      </c>
      <c r="AO319" s="75">
        <v>0</v>
      </c>
      <c r="AP319" s="75">
        <v>0</v>
      </c>
      <c r="AQ319" s="75">
        <v>0</v>
      </c>
      <c r="AR319" s="84">
        <v>2</v>
      </c>
      <c r="AS319" s="84">
        <v>1</v>
      </c>
      <c r="AT319" s="75">
        <v>0</v>
      </c>
      <c r="AU319" s="75">
        <v>2</v>
      </c>
      <c r="AV319" s="75">
        <v>0</v>
      </c>
      <c r="AW319" s="75">
        <v>0</v>
      </c>
      <c r="AX319" s="75">
        <v>0</v>
      </c>
      <c r="AY319" s="84">
        <v>6</v>
      </c>
      <c r="AZ319" s="84">
        <v>1</v>
      </c>
      <c r="BA319" s="75">
        <v>2</v>
      </c>
      <c r="BB319" s="75">
        <v>0</v>
      </c>
      <c r="BC319" s="75">
        <v>2</v>
      </c>
      <c r="BD319" s="75">
        <v>0</v>
      </c>
      <c r="BE319" s="75">
        <v>0</v>
      </c>
      <c r="BF319" s="75">
        <v>0</v>
      </c>
      <c r="BG319" s="75">
        <v>0</v>
      </c>
      <c r="BH319" s="75">
        <v>0</v>
      </c>
      <c r="BI319" s="75" t="s">
        <v>254</v>
      </c>
      <c r="BJ319" s="75" t="s">
        <v>254</v>
      </c>
      <c r="BK319" s="75" t="s">
        <v>254</v>
      </c>
      <c r="BL319" s="75">
        <v>0</v>
      </c>
      <c r="BM319" s="75">
        <f t="shared" ref="BM319" si="61">SUM(R319:AD319)</f>
        <v>0</v>
      </c>
      <c r="BN319" s="75">
        <f t="shared" si="60"/>
        <v>0</v>
      </c>
      <c r="BO319" s="84">
        <f t="shared" si="56"/>
        <v>16</v>
      </c>
      <c r="BP319" s="75">
        <f t="shared" si="59"/>
        <v>16</v>
      </c>
      <c r="BQ319" s="75" t="s">
        <v>363</v>
      </c>
      <c r="BS319" s="110" t="s">
        <v>539</v>
      </c>
      <c r="BT319" s="110">
        <v>0</v>
      </c>
      <c r="BU319" s="75">
        <v>0</v>
      </c>
    </row>
    <row r="320" spans="1:74" x14ac:dyDescent="0.75">
      <c r="C320">
        <v>1249</v>
      </c>
      <c r="D320" s="75" t="s">
        <v>357</v>
      </c>
      <c r="E320" s="75" t="s">
        <v>358</v>
      </c>
      <c r="F320" s="75" t="s">
        <v>359</v>
      </c>
      <c r="G320" s="75" t="s">
        <v>116</v>
      </c>
      <c r="H320">
        <v>18.3506</v>
      </c>
      <c r="I320">
        <v>-64.699183000000005</v>
      </c>
      <c r="J320" s="81">
        <v>45021</v>
      </c>
      <c r="K320" s="75" t="s">
        <v>367</v>
      </c>
      <c r="L320" s="75" t="s">
        <v>374</v>
      </c>
      <c r="M320" s="75">
        <v>0</v>
      </c>
      <c r="N320" s="75">
        <v>2</v>
      </c>
      <c r="O320" s="75" t="s">
        <v>362</v>
      </c>
      <c r="P320" s="88">
        <f>SUM(TreatmentUsed!E4405:E4409)</f>
        <v>65</v>
      </c>
      <c r="Q320" s="75">
        <v>0</v>
      </c>
      <c r="R320" s="75">
        <v>0</v>
      </c>
      <c r="S320" s="75">
        <v>0</v>
      </c>
      <c r="T320" s="75">
        <v>0</v>
      </c>
      <c r="U320" s="75">
        <v>0</v>
      </c>
      <c r="V320" s="75">
        <v>0</v>
      </c>
      <c r="W320" s="75">
        <v>0</v>
      </c>
      <c r="X320" s="75">
        <v>0</v>
      </c>
      <c r="Y320" s="75">
        <v>0</v>
      </c>
      <c r="Z320" s="75">
        <v>0</v>
      </c>
      <c r="AA320" s="75">
        <v>0</v>
      </c>
      <c r="AB320" s="75">
        <v>0</v>
      </c>
      <c r="AC320" s="75">
        <v>0</v>
      </c>
      <c r="AD320" s="75">
        <v>0</v>
      </c>
      <c r="AE320" s="75">
        <v>0</v>
      </c>
      <c r="AF320" s="75">
        <v>0</v>
      </c>
      <c r="AG320" s="75">
        <v>0</v>
      </c>
      <c r="AH320" s="75">
        <v>0</v>
      </c>
      <c r="AI320" s="75">
        <v>0</v>
      </c>
      <c r="AJ320" s="75">
        <v>0</v>
      </c>
      <c r="AK320" s="75">
        <v>0</v>
      </c>
      <c r="AL320" s="75">
        <v>0</v>
      </c>
      <c r="AM320" s="75">
        <v>0</v>
      </c>
      <c r="AN320" s="75">
        <v>0</v>
      </c>
      <c r="AO320" s="75">
        <v>0</v>
      </c>
      <c r="AP320" s="75">
        <v>0</v>
      </c>
      <c r="AQ320" s="75">
        <v>0</v>
      </c>
      <c r="AR320" s="75">
        <v>0</v>
      </c>
      <c r="AS320" s="75">
        <v>0</v>
      </c>
      <c r="AT320" s="75">
        <v>0</v>
      </c>
      <c r="AU320" s="75">
        <v>2</v>
      </c>
      <c r="AV320" s="75">
        <v>0</v>
      </c>
      <c r="AW320" s="75">
        <v>0</v>
      </c>
      <c r="AX320" s="75">
        <v>0</v>
      </c>
      <c r="AY320" s="84">
        <v>3</v>
      </c>
      <c r="AZ320" s="84">
        <v>0</v>
      </c>
      <c r="BA320" s="84">
        <v>0</v>
      </c>
      <c r="BB320" s="75">
        <v>0</v>
      </c>
      <c r="BC320" s="75">
        <v>0</v>
      </c>
      <c r="BD320" s="75">
        <v>0</v>
      </c>
      <c r="BE320" s="75">
        <v>0</v>
      </c>
      <c r="BF320" s="75">
        <v>0</v>
      </c>
      <c r="BG320" s="75">
        <v>0</v>
      </c>
      <c r="BH320" s="75">
        <v>0</v>
      </c>
      <c r="BI320" s="75" t="s">
        <v>254</v>
      </c>
      <c r="BJ320" s="75" t="s">
        <v>254</v>
      </c>
      <c r="BK320" s="75" t="s">
        <v>254</v>
      </c>
      <c r="BL320" s="75">
        <v>0</v>
      </c>
      <c r="BM320" s="75">
        <f>SUM(R320:AD320)</f>
        <v>0</v>
      </c>
      <c r="BN320" s="75">
        <f>SUM(AE320:AN320)</f>
        <v>0</v>
      </c>
      <c r="BO320" s="84">
        <f>SUM(AO320:BH320)</f>
        <v>5</v>
      </c>
      <c r="BP320" s="75">
        <f>SUM(BM320:BO320)</f>
        <v>5</v>
      </c>
      <c r="BQ320" s="75" t="s">
        <v>363</v>
      </c>
      <c r="BS320" s="110" t="s">
        <v>539</v>
      </c>
      <c r="BT320" s="110">
        <v>0</v>
      </c>
      <c r="BU320" s="75">
        <v>0</v>
      </c>
    </row>
    <row r="321" spans="3:73" x14ac:dyDescent="0.75">
      <c r="C321">
        <v>1250</v>
      </c>
      <c r="D321" s="75" t="s">
        <v>357</v>
      </c>
      <c r="E321" s="75" t="s">
        <v>358</v>
      </c>
      <c r="F321" s="75" t="s">
        <v>359</v>
      </c>
      <c r="G321" s="75" t="s">
        <v>116</v>
      </c>
      <c r="H321">
        <v>18.3506</v>
      </c>
      <c r="I321">
        <v>-64.699183000000005</v>
      </c>
      <c r="J321" s="81">
        <v>45027</v>
      </c>
      <c r="K321" s="75" t="s">
        <v>367</v>
      </c>
      <c r="L321" s="75" t="s">
        <v>374</v>
      </c>
      <c r="M321" s="75">
        <v>1</v>
      </c>
      <c r="N321" s="75">
        <v>3</v>
      </c>
      <c r="O321" s="75" t="s">
        <v>362</v>
      </c>
      <c r="P321" s="88">
        <f>SUM(TreatmentUsed!E4410:E4440)</f>
        <v>562</v>
      </c>
      <c r="Q321" s="75">
        <v>0</v>
      </c>
      <c r="R321" s="75">
        <v>0</v>
      </c>
      <c r="S321" s="75">
        <v>0</v>
      </c>
      <c r="T321" s="75">
        <v>0</v>
      </c>
      <c r="U321" s="75">
        <v>0</v>
      </c>
      <c r="V321" s="75">
        <v>0</v>
      </c>
      <c r="W321" s="75">
        <v>0</v>
      </c>
      <c r="X321" s="75">
        <v>0</v>
      </c>
      <c r="Y321" s="75">
        <v>0</v>
      </c>
      <c r="Z321" s="75">
        <v>0</v>
      </c>
      <c r="AA321" s="75">
        <v>0</v>
      </c>
      <c r="AB321" s="75">
        <v>0</v>
      </c>
      <c r="AC321" s="75">
        <v>0</v>
      </c>
      <c r="AD321" s="75">
        <v>0</v>
      </c>
      <c r="AE321" s="75">
        <v>0</v>
      </c>
      <c r="AF321" s="75">
        <v>0</v>
      </c>
      <c r="AG321" s="75">
        <v>0</v>
      </c>
      <c r="AH321" s="75">
        <v>0</v>
      </c>
      <c r="AI321" s="75">
        <v>0</v>
      </c>
      <c r="AJ321" s="75">
        <v>0</v>
      </c>
      <c r="AK321" s="75">
        <v>0</v>
      </c>
      <c r="AL321" s="75">
        <v>0</v>
      </c>
      <c r="AM321" s="75">
        <v>0</v>
      </c>
      <c r="AN321" s="75">
        <v>0</v>
      </c>
      <c r="AO321" s="75">
        <v>0</v>
      </c>
      <c r="AP321" s="75">
        <v>0</v>
      </c>
      <c r="AQ321" s="75">
        <v>0</v>
      </c>
      <c r="AR321" s="75">
        <v>2</v>
      </c>
      <c r="AS321" s="75">
        <v>1</v>
      </c>
      <c r="AT321" s="75">
        <v>0</v>
      </c>
      <c r="AU321" s="75">
        <v>1</v>
      </c>
      <c r="AV321" s="75">
        <v>0</v>
      </c>
      <c r="AW321" s="75">
        <v>0</v>
      </c>
      <c r="AX321" s="75">
        <v>0</v>
      </c>
      <c r="AY321" s="84">
        <v>20</v>
      </c>
      <c r="AZ321" s="75">
        <v>1</v>
      </c>
      <c r="BA321" s="84">
        <v>1</v>
      </c>
      <c r="BB321" s="75">
        <v>0</v>
      </c>
      <c r="BC321" s="75">
        <v>5</v>
      </c>
      <c r="BD321" s="75">
        <v>0</v>
      </c>
      <c r="BE321" s="75">
        <v>0</v>
      </c>
      <c r="BF321" s="84">
        <v>0</v>
      </c>
      <c r="BG321" s="75">
        <v>0</v>
      </c>
      <c r="BH321" s="75">
        <v>0</v>
      </c>
      <c r="BI321" s="75" t="s">
        <v>254</v>
      </c>
      <c r="BJ321" s="75" t="s">
        <v>254</v>
      </c>
      <c r="BK321" s="75" t="s">
        <v>254</v>
      </c>
      <c r="BL321" s="75">
        <v>0</v>
      </c>
      <c r="BM321" s="75">
        <f>SUM(R321:AD321)</f>
        <v>0</v>
      </c>
      <c r="BN321" s="75">
        <f>SUM(AE321:AN321)</f>
        <v>0</v>
      </c>
      <c r="BO321" s="75">
        <f>SUM(AO321:BH321)</f>
        <v>31</v>
      </c>
      <c r="BP321" s="75">
        <f>SUM(BM321:BO321)</f>
        <v>31</v>
      </c>
      <c r="BQ321" s="80" t="s">
        <v>607</v>
      </c>
      <c r="BS321" s="110" t="s">
        <v>539</v>
      </c>
      <c r="BT321" s="110">
        <v>0</v>
      </c>
      <c r="BU321" s="75">
        <v>0</v>
      </c>
    </row>
    <row r="322" spans="3:73" x14ac:dyDescent="0.75">
      <c r="C322">
        <v>1251</v>
      </c>
      <c r="D322" s="75" t="s">
        <v>357</v>
      </c>
      <c r="E322" s="75" t="s">
        <v>358</v>
      </c>
      <c r="F322" s="75" t="s">
        <v>359</v>
      </c>
      <c r="G322" s="75" t="s">
        <v>116</v>
      </c>
      <c r="H322">
        <v>18.3506</v>
      </c>
      <c r="I322">
        <v>-64.699183000000005</v>
      </c>
      <c r="J322" s="81">
        <v>45027</v>
      </c>
      <c r="K322" s="75" t="s">
        <v>367</v>
      </c>
      <c r="L322" s="75" t="s">
        <v>374</v>
      </c>
      <c r="M322" s="75">
        <v>0</v>
      </c>
      <c r="N322" s="75">
        <v>3</v>
      </c>
      <c r="O322" s="75" t="s">
        <v>362</v>
      </c>
      <c r="P322" s="88">
        <f>SUM(TreatmentUsed!E4441:E4450)</f>
        <v>137</v>
      </c>
      <c r="Q322" s="75">
        <v>0</v>
      </c>
      <c r="R322" s="75">
        <v>0</v>
      </c>
      <c r="S322" s="75">
        <v>0</v>
      </c>
      <c r="T322" s="75">
        <v>0</v>
      </c>
      <c r="U322" s="75">
        <v>0</v>
      </c>
      <c r="V322" s="75">
        <v>0</v>
      </c>
      <c r="W322" s="75">
        <v>0</v>
      </c>
      <c r="X322" s="75">
        <v>0</v>
      </c>
      <c r="Y322" s="75">
        <v>0</v>
      </c>
      <c r="Z322" s="75">
        <v>0</v>
      </c>
      <c r="AA322" s="75">
        <v>0</v>
      </c>
      <c r="AB322" s="75">
        <v>0</v>
      </c>
      <c r="AC322" s="75">
        <v>0</v>
      </c>
      <c r="AD322" s="75">
        <v>0</v>
      </c>
      <c r="AE322" s="75">
        <v>0</v>
      </c>
      <c r="AF322" s="75">
        <v>0</v>
      </c>
      <c r="AG322" s="75">
        <v>0</v>
      </c>
      <c r="AH322" s="75">
        <v>0</v>
      </c>
      <c r="AI322" s="75">
        <v>0</v>
      </c>
      <c r="AJ322" s="75">
        <v>0</v>
      </c>
      <c r="AK322" s="75">
        <v>0</v>
      </c>
      <c r="AL322" s="75">
        <v>0</v>
      </c>
      <c r="AM322" s="75">
        <v>0</v>
      </c>
      <c r="AN322" s="75">
        <v>0</v>
      </c>
      <c r="AO322" s="75">
        <v>0</v>
      </c>
      <c r="AP322" s="75">
        <v>0</v>
      </c>
      <c r="AQ322" s="75">
        <v>0</v>
      </c>
      <c r="AR322" s="75">
        <v>0</v>
      </c>
      <c r="AS322" s="75">
        <v>0</v>
      </c>
      <c r="AT322" s="75">
        <v>0</v>
      </c>
      <c r="AU322" s="75">
        <v>2</v>
      </c>
      <c r="AV322" s="75">
        <v>0</v>
      </c>
      <c r="AW322" s="75">
        <v>0</v>
      </c>
      <c r="AX322" s="75">
        <v>0</v>
      </c>
      <c r="AY322" s="84">
        <v>5</v>
      </c>
      <c r="AZ322" s="75">
        <v>0</v>
      </c>
      <c r="BA322" s="84">
        <v>0</v>
      </c>
      <c r="BB322" s="75">
        <v>0</v>
      </c>
      <c r="BC322" s="84">
        <v>1</v>
      </c>
      <c r="BD322" s="75">
        <v>0</v>
      </c>
      <c r="BE322" s="75">
        <v>0</v>
      </c>
      <c r="BF322" s="75">
        <v>2</v>
      </c>
      <c r="BG322" s="75">
        <v>0</v>
      </c>
      <c r="BH322" s="75">
        <v>0</v>
      </c>
      <c r="BI322" s="75" t="s">
        <v>254</v>
      </c>
      <c r="BJ322" s="75" t="s">
        <v>254</v>
      </c>
      <c r="BK322" s="75" t="s">
        <v>254</v>
      </c>
      <c r="BL322" s="75">
        <v>0</v>
      </c>
      <c r="BM322" s="75">
        <f t="shared" ref="BM322:BM326" si="62">SUM(R322:AD322)</f>
        <v>0</v>
      </c>
      <c r="BN322" s="75">
        <f t="shared" ref="BN322:BN326" si="63">SUM(AE322:AN322)</f>
        <v>0</v>
      </c>
      <c r="BO322" s="84">
        <f t="shared" ref="BO322:BO326" si="64">SUM(AO322:BH322)</f>
        <v>10</v>
      </c>
      <c r="BP322" s="75">
        <f t="shared" ref="BP322:BP326" si="65">SUM(BM322:BO322)</f>
        <v>10</v>
      </c>
      <c r="BQ322" s="241" t="s">
        <v>363</v>
      </c>
      <c r="BS322" s="110" t="s">
        <v>539</v>
      </c>
      <c r="BT322" s="110">
        <v>0</v>
      </c>
      <c r="BU322" s="75">
        <v>0</v>
      </c>
    </row>
    <row r="323" spans="3:73" x14ac:dyDescent="0.75">
      <c r="C323">
        <v>1252</v>
      </c>
      <c r="D323" s="75" t="s">
        <v>357</v>
      </c>
      <c r="E323" s="75" t="s">
        <v>358</v>
      </c>
      <c r="F323" s="75" t="s">
        <v>359</v>
      </c>
      <c r="G323" s="75" t="s">
        <v>23</v>
      </c>
      <c r="H323">
        <v>18.365749999999998</v>
      </c>
      <c r="I323">
        <v>-64.773619999999994</v>
      </c>
      <c r="J323" s="81">
        <v>45028</v>
      </c>
      <c r="K323" s="75" t="s">
        <v>367</v>
      </c>
      <c r="L323" s="75" t="s">
        <v>374</v>
      </c>
      <c r="M323" s="75">
        <v>0</v>
      </c>
      <c r="N323" s="75">
        <v>2</v>
      </c>
      <c r="O323" s="75" t="s">
        <v>362</v>
      </c>
      <c r="P323" s="88">
        <f>SUM(TreatmentUsed!E4451:E4456)</f>
        <v>79</v>
      </c>
      <c r="Q323" s="75">
        <v>0</v>
      </c>
      <c r="R323" s="75">
        <v>0</v>
      </c>
      <c r="S323" s="75">
        <v>0</v>
      </c>
      <c r="T323" s="75">
        <v>0</v>
      </c>
      <c r="U323" s="75">
        <v>0</v>
      </c>
      <c r="V323" s="75">
        <v>0</v>
      </c>
      <c r="W323" s="75">
        <v>0</v>
      </c>
      <c r="X323" s="75">
        <v>0</v>
      </c>
      <c r="Y323" s="75">
        <v>0</v>
      </c>
      <c r="Z323" s="75">
        <v>0</v>
      </c>
      <c r="AA323" s="75">
        <v>0</v>
      </c>
      <c r="AB323" s="75">
        <v>0</v>
      </c>
      <c r="AC323" s="75">
        <v>0</v>
      </c>
      <c r="AD323" s="75">
        <v>0</v>
      </c>
      <c r="AE323" s="75">
        <v>0</v>
      </c>
      <c r="AF323" s="75">
        <v>0</v>
      </c>
      <c r="AG323" s="75">
        <v>0</v>
      </c>
      <c r="AH323" s="75">
        <v>0</v>
      </c>
      <c r="AI323" s="75">
        <v>0</v>
      </c>
      <c r="AJ323" s="75">
        <v>0</v>
      </c>
      <c r="AK323" s="75">
        <v>0</v>
      </c>
      <c r="AL323" s="75">
        <v>0</v>
      </c>
      <c r="AM323" s="75">
        <v>0</v>
      </c>
      <c r="AN323" s="75">
        <v>0</v>
      </c>
      <c r="AO323" s="75">
        <v>0</v>
      </c>
      <c r="AP323" s="75">
        <v>0</v>
      </c>
      <c r="AQ323" s="75">
        <v>0</v>
      </c>
      <c r="AR323" s="75">
        <v>1</v>
      </c>
      <c r="AS323" s="75">
        <v>0</v>
      </c>
      <c r="AT323" s="75">
        <v>0</v>
      </c>
      <c r="AU323" s="75">
        <v>1</v>
      </c>
      <c r="AV323" s="75">
        <v>0</v>
      </c>
      <c r="AW323" s="75">
        <v>0</v>
      </c>
      <c r="AX323" s="75">
        <v>0</v>
      </c>
      <c r="AY323" s="84">
        <v>3</v>
      </c>
      <c r="AZ323" s="75">
        <v>0</v>
      </c>
      <c r="BA323" s="84">
        <v>0</v>
      </c>
      <c r="BB323" s="84">
        <v>0</v>
      </c>
      <c r="BC323" s="75">
        <v>0</v>
      </c>
      <c r="BD323" s="75">
        <v>0</v>
      </c>
      <c r="BE323" s="84">
        <v>1</v>
      </c>
      <c r="BF323" s="75">
        <v>0</v>
      </c>
      <c r="BG323" s="75">
        <v>0</v>
      </c>
      <c r="BH323" s="75">
        <v>0</v>
      </c>
      <c r="BI323" s="75" t="s">
        <v>254</v>
      </c>
      <c r="BJ323" s="75" t="s">
        <v>254</v>
      </c>
      <c r="BK323" s="75" t="s">
        <v>254</v>
      </c>
      <c r="BL323" s="75">
        <v>0</v>
      </c>
      <c r="BM323" s="75">
        <f t="shared" si="62"/>
        <v>0</v>
      </c>
      <c r="BN323" s="75">
        <f t="shared" si="63"/>
        <v>0</v>
      </c>
      <c r="BO323" s="75">
        <f t="shared" si="64"/>
        <v>6</v>
      </c>
      <c r="BP323" s="75">
        <f t="shared" si="65"/>
        <v>6</v>
      </c>
      <c r="BQ323" s="75" t="s">
        <v>363</v>
      </c>
      <c r="BR323" s="138" t="s">
        <v>608</v>
      </c>
      <c r="BS323" s="110" t="s">
        <v>539</v>
      </c>
      <c r="BT323" s="110">
        <v>0</v>
      </c>
      <c r="BU323" s="75">
        <v>0</v>
      </c>
    </row>
    <row r="324" spans="3:73" x14ac:dyDescent="0.75">
      <c r="C324">
        <v>1253</v>
      </c>
      <c r="D324" s="75" t="s">
        <v>357</v>
      </c>
      <c r="E324" s="75" t="s">
        <v>358</v>
      </c>
      <c r="F324" s="75" t="s">
        <v>359</v>
      </c>
      <c r="G324" s="75" t="s">
        <v>39</v>
      </c>
      <c r="H324">
        <v>18.357482999999998</v>
      </c>
      <c r="I324">
        <v>-64.751949999999994</v>
      </c>
      <c r="J324" s="81">
        <v>45028</v>
      </c>
      <c r="K324" s="75" t="s">
        <v>367</v>
      </c>
      <c r="L324" s="75" t="s">
        <v>374</v>
      </c>
      <c r="M324" s="75">
        <v>0</v>
      </c>
      <c r="N324" s="75">
        <v>2</v>
      </c>
      <c r="O324" s="75" t="s">
        <v>362</v>
      </c>
      <c r="P324" s="88">
        <f>SUM(TreatmentUsed!E4457:E4458)</f>
        <v>13</v>
      </c>
      <c r="Q324" s="75">
        <v>0</v>
      </c>
      <c r="R324" s="75">
        <v>0</v>
      </c>
      <c r="S324" s="75">
        <v>0</v>
      </c>
      <c r="T324" s="75">
        <v>0</v>
      </c>
      <c r="U324" s="75">
        <v>0</v>
      </c>
      <c r="V324" s="75">
        <v>0</v>
      </c>
      <c r="W324" s="75">
        <v>0</v>
      </c>
      <c r="X324" s="75">
        <v>0</v>
      </c>
      <c r="Y324" s="75">
        <v>0</v>
      </c>
      <c r="Z324" s="75">
        <v>0</v>
      </c>
      <c r="AA324" s="75">
        <v>0</v>
      </c>
      <c r="AB324" s="75">
        <v>0</v>
      </c>
      <c r="AC324" s="75">
        <v>0</v>
      </c>
      <c r="AD324" s="75">
        <v>0</v>
      </c>
      <c r="AE324" s="75">
        <v>0</v>
      </c>
      <c r="AF324" s="75">
        <v>0</v>
      </c>
      <c r="AG324" s="75">
        <v>0</v>
      </c>
      <c r="AH324" s="75">
        <v>0</v>
      </c>
      <c r="AI324" s="75">
        <v>0</v>
      </c>
      <c r="AJ324" s="75">
        <v>0</v>
      </c>
      <c r="AK324" s="75">
        <v>0</v>
      </c>
      <c r="AL324" s="75">
        <v>0</v>
      </c>
      <c r="AM324" s="75">
        <v>0</v>
      </c>
      <c r="AN324" s="75">
        <v>0</v>
      </c>
      <c r="AO324" s="75">
        <v>0</v>
      </c>
      <c r="AP324" s="75">
        <v>0</v>
      </c>
      <c r="AQ324" s="75">
        <v>0</v>
      </c>
      <c r="AR324" s="75">
        <v>0</v>
      </c>
      <c r="AS324" s="75">
        <v>0</v>
      </c>
      <c r="AT324" s="75">
        <v>0</v>
      </c>
      <c r="AU324" s="75">
        <v>0</v>
      </c>
      <c r="AV324" s="75">
        <v>0</v>
      </c>
      <c r="AW324" s="75">
        <v>0</v>
      </c>
      <c r="AX324" s="75">
        <v>0</v>
      </c>
      <c r="AY324" s="75">
        <v>0</v>
      </c>
      <c r="AZ324" s="75">
        <v>1</v>
      </c>
      <c r="BA324" s="75">
        <v>1</v>
      </c>
      <c r="BB324" s="75">
        <v>0</v>
      </c>
      <c r="BC324" s="75">
        <v>0</v>
      </c>
      <c r="BD324" s="75">
        <v>0</v>
      </c>
      <c r="BE324" s="75">
        <v>0</v>
      </c>
      <c r="BF324" s="75">
        <v>0</v>
      </c>
      <c r="BG324" s="75">
        <v>0</v>
      </c>
      <c r="BH324" s="75">
        <v>0</v>
      </c>
      <c r="BI324" s="75" t="s">
        <v>254</v>
      </c>
      <c r="BJ324" s="75" t="s">
        <v>254</v>
      </c>
      <c r="BK324" s="75" t="s">
        <v>254</v>
      </c>
      <c r="BL324" s="75">
        <v>0</v>
      </c>
      <c r="BM324" s="75">
        <f t="shared" si="62"/>
        <v>0</v>
      </c>
      <c r="BN324" s="75">
        <f t="shared" si="63"/>
        <v>0</v>
      </c>
      <c r="BO324" s="75">
        <f t="shared" si="64"/>
        <v>2</v>
      </c>
      <c r="BP324" s="75">
        <f t="shared" si="65"/>
        <v>2</v>
      </c>
      <c r="BQ324" s="80" t="s">
        <v>609</v>
      </c>
      <c r="BR324" s="138">
        <v>951</v>
      </c>
      <c r="BS324" s="110" t="s">
        <v>539</v>
      </c>
      <c r="BT324" s="110">
        <v>0</v>
      </c>
      <c r="BU324" s="75">
        <v>0</v>
      </c>
    </row>
    <row r="325" spans="3:73" x14ac:dyDescent="0.75">
      <c r="C325">
        <v>1254</v>
      </c>
      <c r="D325" s="75" t="s">
        <v>357</v>
      </c>
      <c r="E325" s="75" t="s">
        <v>358</v>
      </c>
      <c r="F325" s="75" t="s">
        <v>359</v>
      </c>
      <c r="G325" s="75" t="s">
        <v>64</v>
      </c>
      <c r="H325">
        <v>18.368383000000001</v>
      </c>
      <c r="I325">
        <v>-64.751450000000006</v>
      </c>
      <c r="J325" s="81">
        <v>45028</v>
      </c>
      <c r="K325" s="75" t="s">
        <v>367</v>
      </c>
      <c r="L325" s="75" t="s">
        <v>374</v>
      </c>
      <c r="M325" s="75">
        <v>0</v>
      </c>
      <c r="N325" s="75">
        <v>2</v>
      </c>
      <c r="O325" s="75" t="s">
        <v>362</v>
      </c>
      <c r="P325" s="88">
        <f>SUM(TreatmentUsed!E4459:E4460)</f>
        <v>30</v>
      </c>
      <c r="Q325" s="75">
        <v>0</v>
      </c>
      <c r="R325" s="75">
        <v>0</v>
      </c>
      <c r="S325" s="75">
        <v>0</v>
      </c>
      <c r="T325" s="75">
        <v>0</v>
      </c>
      <c r="U325" s="75">
        <v>0</v>
      </c>
      <c r="V325" s="75">
        <v>0</v>
      </c>
      <c r="W325" s="75">
        <v>0</v>
      </c>
      <c r="X325" s="75">
        <v>0</v>
      </c>
      <c r="Y325" s="75">
        <v>0</v>
      </c>
      <c r="Z325" s="75">
        <v>0</v>
      </c>
      <c r="AA325" s="75">
        <v>0</v>
      </c>
      <c r="AB325" s="75">
        <v>0</v>
      </c>
      <c r="AC325" s="75">
        <v>0</v>
      </c>
      <c r="AD325" s="75">
        <v>0</v>
      </c>
      <c r="AE325" s="75">
        <v>0</v>
      </c>
      <c r="AF325" s="75">
        <v>0</v>
      </c>
      <c r="AG325" s="75">
        <v>0</v>
      </c>
      <c r="AH325" s="75">
        <v>0</v>
      </c>
      <c r="AI325" s="75">
        <v>0</v>
      </c>
      <c r="AJ325" s="75">
        <v>0</v>
      </c>
      <c r="AK325" s="75">
        <v>0</v>
      </c>
      <c r="AL325" s="75">
        <v>0</v>
      </c>
      <c r="AM325" s="75">
        <v>0</v>
      </c>
      <c r="AN325" s="75">
        <v>0</v>
      </c>
      <c r="AO325" s="75">
        <v>0</v>
      </c>
      <c r="AP325" s="75">
        <v>0</v>
      </c>
      <c r="AQ325" s="75">
        <v>0</v>
      </c>
      <c r="AR325" s="75">
        <v>0</v>
      </c>
      <c r="AS325" s="75">
        <v>1</v>
      </c>
      <c r="AT325" s="75">
        <v>0</v>
      </c>
      <c r="AU325" s="75">
        <v>0</v>
      </c>
      <c r="AV325" s="75">
        <v>0</v>
      </c>
      <c r="AW325" s="75">
        <v>0</v>
      </c>
      <c r="AX325" s="75">
        <v>0</v>
      </c>
      <c r="AY325" s="75">
        <v>0</v>
      </c>
      <c r="AZ325" s="75">
        <v>0</v>
      </c>
      <c r="BA325" s="75">
        <v>0</v>
      </c>
      <c r="BB325" s="75">
        <v>0</v>
      </c>
      <c r="BC325" s="75">
        <v>0</v>
      </c>
      <c r="BD325" s="75">
        <v>0</v>
      </c>
      <c r="BE325" s="75">
        <v>0</v>
      </c>
      <c r="BF325" s="75">
        <v>1</v>
      </c>
      <c r="BG325" s="75">
        <v>0</v>
      </c>
      <c r="BH325" s="75">
        <v>0</v>
      </c>
      <c r="BI325" s="75" t="s">
        <v>254</v>
      </c>
      <c r="BJ325" s="75" t="s">
        <v>254</v>
      </c>
      <c r="BK325" s="75" t="s">
        <v>254</v>
      </c>
      <c r="BL325" s="75">
        <v>0</v>
      </c>
      <c r="BM325" s="75">
        <f t="shared" si="62"/>
        <v>0</v>
      </c>
      <c r="BN325" s="75">
        <f t="shared" si="63"/>
        <v>0</v>
      </c>
      <c r="BO325" s="75">
        <f t="shared" si="64"/>
        <v>2</v>
      </c>
      <c r="BP325" s="75">
        <f t="shared" si="65"/>
        <v>2</v>
      </c>
      <c r="BQ325" s="75" t="s">
        <v>363</v>
      </c>
      <c r="BR325" s="138" t="s">
        <v>528</v>
      </c>
      <c r="BS325" s="110" t="s">
        <v>539</v>
      </c>
      <c r="BT325" s="110">
        <v>0</v>
      </c>
      <c r="BU325" s="75">
        <v>0</v>
      </c>
    </row>
    <row r="326" spans="3:73" x14ac:dyDescent="0.75">
      <c r="C326" s="299">
        <v>1307</v>
      </c>
      <c r="D326" s="75" t="s">
        <v>357</v>
      </c>
      <c r="E326" s="75" t="s">
        <v>358</v>
      </c>
      <c r="F326" s="75" t="s">
        <v>359</v>
      </c>
      <c r="G326" s="75" t="s">
        <v>44</v>
      </c>
      <c r="H326">
        <v>18.364650000000001</v>
      </c>
      <c r="I326">
        <v>-64.726183000000006</v>
      </c>
      <c r="J326" s="81">
        <v>45029</v>
      </c>
      <c r="K326" s="75" t="s">
        <v>374</v>
      </c>
      <c r="L326" s="75" t="s">
        <v>360</v>
      </c>
      <c r="M326" s="75">
        <v>0</v>
      </c>
      <c r="N326" s="75">
        <v>2</v>
      </c>
      <c r="O326" s="75" t="s">
        <v>362</v>
      </c>
      <c r="P326" s="75">
        <v>0</v>
      </c>
      <c r="Q326" s="75">
        <v>0</v>
      </c>
      <c r="R326" s="75">
        <v>0</v>
      </c>
      <c r="S326" s="75">
        <v>0</v>
      </c>
      <c r="T326" s="75">
        <v>0</v>
      </c>
      <c r="U326" s="75">
        <v>0</v>
      </c>
      <c r="V326" s="75">
        <v>0</v>
      </c>
      <c r="W326" s="75">
        <v>0</v>
      </c>
      <c r="X326" s="75">
        <v>0</v>
      </c>
      <c r="Y326" s="75">
        <v>0</v>
      </c>
      <c r="Z326" s="75">
        <v>0</v>
      </c>
      <c r="AA326" s="75">
        <v>0</v>
      </c>
      <c r="AB326" s="75">
        <v>0</v>
      </c>
      <c r="AC326" s="75">
        <v>0</v>
      </c>
      <c r="AD326" s="75">
        <v>0</v>
      </c>
      <c r="AE326" s="75">
        <v>0</v>
      </c>
      <c r="AF326" s="75">
        <v>0</v>
      </c>
      <c r="AG326" s="75">
        <v>0</v>
      </c>
      <c r="AH326" s="75">
        <v>0</v>
      </c>
      <c r="AI326" s="75">
        <v>0</v>
      </c>
      <c r="AJ326" s="75">
        <v>0</v>
      </c>
      <c r="AK326" s="75">
        <v>0</v>
      </c>
      <c r="AL326" s="75">
        <v>0</v>
      </c>
      <c r="AM326" s="75">
        <v>0</v>
      </c>
      <c r="AN326" s="75">
        <v>0</v>
      </c>
      <c r="AO326" s="75">
        <v>0</v>
      </c>
      <c r="AP326" s="75">
        <v>0</v>
      </c>
      <c r="AQ326" s="75">
        <v>0</v>
      </c>
      <c r="AR326" s="75">
        <v>0</v>
      </c>
      <c r="AS326" s="75">
        <v>0</v>
      </c>
      <c r="AT326" s="75">
        <v>0</v>
      </c>
      <c r="AU326" s="75">
        <v>0</v>
      </c>
      <c r="AV326" s="75">
        <v>0</v>
      </c>
      <c r="AW326" s="75">
        <v>0</v>
      </c>
      <c r="AX326" s="75">
        <v>0</v>
      </c>
      <c r="AY326" s="75">
        <v>0</v>
      </c>
      <c r="AZ326" s="75">
        <v>0</v>
      </c>
      <c r="BA326" s="75">
        <v>0</v>
      </c>
      <c r="BB326" s="75">
        <v>0</v>
      </c>
      <c r="BC326" s="75">
        <v>0</v>
      </c>
      <c r="BD326" s="75">
        <v>0</v>
      </c>
      <c r="BE326" s="75">
        <v>0</v>
      </c>
      <c r="BF326" s="75">
        <v>0</v>
      </c>
      <c r="BG326" s="75">
        <v>0</v>
      </c>
      <c r="BH326" s="75">
        <v>0</v>
      </c>
      <c r="BI326" s="75" t="s">
        <v>254</v>
      </c>
      <c r="BJ326" s="75" t="s">
        <v>254</v>
      </c>
      <c r="BK326" s="75" t="s">
        <v>254</v>
      </c>
      <c r="BL326" s="75">
        <v>0</v>
      </c>
      <c r="BM326" s="75">
        <f t="shared" si="62"/>
        <v>0</v>
      </c>
      <c r="BN326" s="75">
        <f t="shared" si="63"/>
        <v>0</v>
      </c>
      <c r="BO326" s="75">
        <f t="shared" si="64"/>
        <v>0</v>
      </c>
      <c r="BP326" s="75">
        <f t="shared" si="65"/>
        <v>0</v>
      </c>
      <c r="BQ326" s="160" t="s">
        <v>610</v>
      </c>
      <c r="BR326" s="138" t="s">
        <v>363</v>
      </c>
      <c r="BS326" s="110" t="s">
        <v>539</v>
      </c>
      <c r="BT326" s="110">
        <v>1</v>
      </c>
      <c r="BU326" s="75">
        <v>0</v>
      </c>
    </row>
    <row r="327" spans="3:73" x14ac:dyDescent="0.75">
      <c r="C327">
        <v>1255</v>
      </c>
      <c r="D327" s="75" t="s">
        <v>357</v>
      </c>
      <c r="E327" s="75" t="s">
        <v>358</v>
      </c>
      <c r="F327" s="75" t="s">
        <v>359</v>
      </c>
      <c r="G327" s="75" t="s">
        <v>60</v>
      </c>
      <c r="H327">
        <v>18.367850000000001</v>
      </c>
      <c r="I327">
        <v>-64.732933000000003</v>
      </c>
      <c r="J327" s="81">
        <v>45029</v>
      </c>
      <c r="K327" s="75" t="s">
        <v>367</v>
      </c>
      <c r="L327" s="75" t="s">
        <v>374</v>
      </c>
      <c r="M327" s="75">
        <v>0</v>
      </c>
      <c r="N327" s="75">
        <v>2</v>
      </c>
      <c r="O327" s="75" t="s">
        <v>362</v>
      </c>
      <c r="P327" s="88">
        <f>SUM(TreatmentUsed!E4461:E4462)</f>
        <v>60</v>
      </c>
      <c r="Q327" s="75">
        <v>0</v>
      </c>
      <c r="R327" s="75">
        <v>0</v>
      </c>
      <c r="S327" s="75">
        <v>0</v>
      </c>
      <c r="T327" s="75">
        <v>0</v>
      </c>
      <c r="U327" s="75">
        <v>0</v>
      </c>
      <c r="V327" s="75">
        <v>0</v>
      </c>
      <c r="W327" s="75">
        <v>0</v>
      </c>
      <c r="X327" s="75">
        <v>0</v>
      </c>
      <c r="Y327" s="75">
        <v>0</v>
      </c>
      <c r="Z327" s="75">
        <v>0</v>
      </c>
      <c r="AA327" s="75">
        <v>0</v>
      </c>
      <c r="AB327" s="75">
        <v>0</v>
      </c>
      <c r="AC327" s="75">
        <v>0</v>
      </c>
      <c r="AD327" s="75">
        <v>0</v>
      </c>
      <c r="AE327" s="75">
        <v>0</v>
      </c>
      <c r="AF327" s="75">
        <v>0</v>
      </c>
      <c r="AG327" s="75">
        <v>0</v>
      </c>
      <c r="AH327" s="75">
        <v>0</v>
      </c>
      <c r="AI327" s="75">
        <v>0</v>
      </c>
      <c r="AJ327" s="75">
        <v>0</v>
      </c>
      <c r="AK327" s="75">
        <v>0</v>
      </c>
      <c r="AL327" s="75">
        <v>0</v>
      </c>
      <c r="AM327" s="75">
        <v>0</v>
      </c>
      <c r="AN327" s="75">
        <v>0</v>
      </c>
      <c r="AO327" s="75">
        <v>0</v>
      </c>
      <c r="AP327" s="75">
        <v>0</v>
      </c>
      <c r="AQ327" s="75">
        <v>0</v>
      </c>
      <c r="AR327" s="75">
        <v>0</v>
      </c>
      <c r="AS327" s="75">
        <v>0</v>
      </c>
      <c r="AT327" s="75">
        <v>0</v>
      </c>
      <c r="AU327" s="75">
        <v>0</v>
      </c>
      <c r="AV327" s="75">
        <v>0</v>
      </c>
      <c r="AW327" s="75">
        <v>0</v>
      </c>
      <c r="AX327" s="75">
        <v>0</v>
      </c>
      <c r="AY327" s="75">
        <v>0</v>
      </c>
      <c r="AZ327" s="75">
        <v>0</v>
      </c>
      <c r="BA327" s="75">
        <v>1</v>
      </c>
      <c r="BB327" s="75">
        <v>0</v>
      </c>
      <c r="BC327" s="75">
        <v>1</v>
      </c>
      <c r="BD327" s="75">
        <v>0</v>
      </c>
      <c r="BE327" s="75">
        <v>0</v>
      </c>
      <c r="BF327" s="75">
        <v>0</v>
      </c>
      <c r="BG327" s="75">
        <v>0</v>
      </c>
      <c r="BH327" s="75">
        <v>0</v>
      </c>
      <c r="BI327" s="75" t="s">
        <v>254</v>
      </c>
      <c r="BJ327" s="75" t="s">
        <v>254</v>
      </c>
      <c r="BK327" s="75" t="s">
        <v>254</v>
      </c>
      <c r="BL327" s="75">
        <v>0</v>
      </c>
      <c r="BM327" s="75">
        <f>SUM(R327:AD327)</f>
        <v>0</v>
      </c>
      <c r="BN327" s="75">
        <f>SUM(AE327:AN327)</f>
        <v>0</v>
      </c>
      <c r="BO327" s="75">
        <f>SUM(AO327:BH327)</f>
        <v>2</v>
      </c>
      <c r="BP327" s="75">
        <f>SUM(BM327:BO327)</f>
        <v>2</v>
      </c>
      <c r="BQ327" s="241" t="s">
        <v>363</v>
      </c>
      <c r="BS327" s="110" t="s">
        <v>539</v>
      </c>
      <c r="BT327" s="110">
        <v>0</v>
      </c>
      <c r="BU327" s="75">
        <v>0</v>
      </c>
    </row>
    <row r="328" spans="3:73" x14ac:dyDescent="0.75">
      <c r="C328">
        <v>1256</v>
      </c>
      <c r="D328" s="75" t="s">
        <v>357</v>
      </c>
      <c r="E328" s="75" t="s">
        <v>358</v>
      </c>
      <c r="F328" s="75" t="s">
        <v>359</v>
      </c>
      <c r="G328" s="75" t="s">
        <v>39</v>
      </c>
      <c r="H328">
        <v>18.358467000000001</v>
      </c>
      <c r="I328">
        <v>-64.751266999999999</v>
      </c>
      <c r="J328" s="81">
        <v>45029</v>
      </c>
      <c r="K328" s="75" t="s">
        <v>367</v>
      </c>
      <c r="L328" s="75" t="s">
        <v>374</v>
      </c>
      <c r="M328" s="75">
        <v>0</v>
      </c>
      <c r="N328" s="75">
        <v>2</v>
      </c>
      <c r="O328" s="75" t="s">
        <v>362</v>
      </c>
      <c r="P328" s="88">
        <f>SUM(TreatmentUsed!E4463:E4464)</f>
        <v>9</v>
      </c>
      <c r="Q328" s="75">
        <v>0</v>
      </c>
      <c r="R328" s="75">
        <v>0</v>
      </c>
      <c r="S328" s="75">
        <v>0</v>
      </c>
      <c r="T328" s="75">
        <v>0</v>
      </c>
      <c r="U328" s="75">
        <v>0</v>
      </c>
      <c r="V328" s="75">
        <v>0</v>
      </c>
      <c r="W328" s="75">
        <v>0</v>
      </c>
      <c r="X328" s="75">
        <v>0</v>
      </c>
      <c r="Y328" s="75">
        <v>0</v>
      </c>
      <c r="Z328" s="75">
        <v>0</v>
      </c>
      <c r="AA328" s="75">
        <v>0</v>
      </c>
      <c r="AB328" s="75">
        <v>0</v>
      </c>
      <c r="AC328" s="75">
        <v>0</v>
      </c>
      <c r="AD328" s="75">
        <v>0</v>
      </c>
      <c r="AE328" s="75">
        <v>0</v>
      </c>
      <c r="AF328" s="75">
        <v>0</v>
      </c>
      <c r="AG328" s="75">
        <v>0</v>
      </c>
      <c r="AH328" s="75">
        <v>0</v>
      </c>
      <c r="AI328" s="75">
        <v>0</v>
      </c>
      <c r="AJ328" s="75">
        <v>0</v>
      </c>
      <c r="AK328" s="75">
        <v>0</v>
      </c>
      <c r="AL328" s="75">
        <v>0</v>
      </c>
      <c r="AM328" s="75">
        <v>0</v>
      </c>
      <c r="AN328" s="75">
        <v>0</v>
      </c>
      <c r="AO328" s="75">
        <v>0</v>
      </c>
      <c r="AP328" s="75">
        <v>0</v>
      </c>
      <c r="AQ328" s="75">
        <v>0</v>
      </c>
      <c r="AR328" s="75">
        <v>0</v>
      </c>
      <c r="AS328" s="84">
        <v>0</v>
      </c>
      <c r="AT328" s="84">
        <v>1</v>
      </c>
      <c r="AU328" s="75">
        <v>0</v>
      </c>
      <c r="AV328" s="75">
        <v>0</v>
      </c>
      <c r="AW328" s="75">
        <v>0</v>
      </c>
      <c r="AX328" s="75">
        <v>0</v>
      </c>
      <c r="AY328" s="75">
        <v>0</v>
      </c>
      <c r="AZ328" s="75">
        <v>0</v>
      </c>
      <c r="BA328" s="75">
        <v>0</v>
      </c>
      <c r="BB328" s="75">
        <v>0</v>
      </c>
      <c r="BC328" s="75">
        <v>1</v>
      </c>
      <c r="BD328" s="75">
        <v>0</v>
      </c>
      <c r="BE328" s="75">
        <v>0</v>
      </c>
      <c r="BF328" s="75">
        <v>0</v>
      </c>
      <c r="BG328" s="75">
        <v>0</v>
      </c>
      <c r="BH328" s="75">
        <v>0</v>
      </c>
      <c r="BI328" s="75" t="s">
        <v>254</v>
      </c>
      <c r="BJ328" s="75" t="s">
        <v>254</v>
      </c>
      <c r="BK328" s="75" t="s">
        <v>254</v>
      </c>
      <c r="BL328" s="75">
        <v>0</v>
      </c>
      <c r="BM328" s="75">
        <f>SUM(R328:AD328)</f>
        <v>0</v>
      </c>
      <c r="BN328" s="75">
        <f>SUM(AE328:AN328)</f>
        <v>0</v>
      </c>
      <c r="BO328" s="75">
        <f>SUM(AO328:BH328)</f>
        <v>2</v>
      </c>
      <c r="BP328" s="75">
        <f>SUM(BM328:BO328)</f>
        <v>2</v>
      </c>
      <c r="BQ328" s="241" t="s">
        <v>363</v>
      </c>
      <c r="BR328" s="138">
        <v>901</v>
      </c>
      <c r="BS328" s="110" t="s">
        <v>539</v>
      </c>
      <c r="BT328" s="110">
        <v>0</v>
      </c>
      <c r="BU328" s="75">
        <v>0</v>
      </c>
    </row>
    <row r="329" spans="3:73" x14ac:dyDescent="0.75">
      <c r="C329">
        <v>1257</v>
      </c>
      <c r="D329" s="75" t="s">
        <v>357</v>
      </c>
      <c r="E329" s="75" t="s">
        <v>358</v>
      </c>
      <c r="F329" s="75" t="s">
        <v>359</v>
      </c>
      <c r="G329" s="75" t="s">
        <v>100</v>
      </c>
      <c r="H329">
        <v>18.344525365211499</v>
      </c>
      <c r="I329">
        <v>-64.693964686489494</v>
      </c>
      <c r="J329" s="81">
        <v>45034</v>
      </c>
      <c r="K329" s="75" t="s">
        <v>367</v>
      </c>
      <c r="L329" s="75" t="s">
        <v>374</v>
      </c>
      <c r="M329" s="75">
        <v>0</v>
      </c>
      <c r="N329" s="75">
        <v>2</v>
      </c>
      <c r="O329" s="75" t="s">
        <v>362</v>
      </c>
      <c r="P329" s="88">
        <f>SUM(TreatmentUsed!E4465:E4468)</f>
        <v>29</v>
      </c>
      <c r="Q329" s="75">
        <v>0</v>
      </c>
      <c r="R329" s="75">
        <v>0</v>
      </c>
      <c r="S329" s="75">
        <v>0</v>
      </c>
      <c r="T329" s="75">
        <v>0</v>
      </c>
      <c r="U329" s="75">
        <v>0</v>
      </c>
      <c r="V329" s="75">
        <v>0</v>
      </c>
      <c r="W329" s="75">
        <v>0</v>
      </c>
      <c r="X329" s="75">
        <v>0</v>
      </c>
      <c r="Y329" s="75">
        <v>0</v>
      </c>
      <c r="Z329" s="75">
        <v>0</v>
      </c>
      <c r="AA329" s="75">
        <v>0</v>
      </c>
      <c r="AB329" s="75">
        <v>0</v>
      </c>
      <c r="AC329" s="75">
        <v>0</v>
      </c>
      <c r="AD329" s="75">
        <v>0</v>
      </c>
      <c r="AE329" s="75">
        <v>0</v>
      </c>
      <c r="AF329" s="75">
        <v>0</v>
      </c>
      <c r="AG329" s="75">
        <v>0</v>
      </c>
      <c r="AH329" s="75">
        <v>0</v>
      </c>
      <c r="AI329" s="75">
        <v>0</v>
      </c>
      <c r="AJ329" s="75">
        <v>0</v>
      </c>
      <c r="AK329" s="75">
        <v>0</v>
      </c>
      <c r="AL329" s="75">
        <v>0</v>
      </c>
      <c r="AM329" s="75">
        <v>0</v>
      </c>
      <c r="AN329" s="75">
        <v>0</v>
      </c>
      <c r="AO329" s="75">
        <v>0</v>
      </c>
      <c r="AP329" s="75">
        <v>0</v>
      </c>
      <c r="AQ329" s="75">
        <v>1</v>
      </c>
      <c r="AR329" s="75">
        <v>0</v>
      </c>
      <c r="AS329" s="75">
        <v>1</v>
      </c>
      <c r="AT329" s="75">
        <v>0</v>
      </c>
      <c r="AU329" s="75">
        <v>1</v>
      </c>
      <c r="AV329" s="75">
        <v>0</v>
      </c>
      <c r="AW329" s="75">
        <v>0</v>
      </c>
      <c r="AX329" s="75">
        <v>0</v>
      </c>
      <c r="AY329" s="75">
        <v>0</v>
      </c>
      <c r="AZ329" s="75">
        <v>0</v>
      </c>
      <c r="BA329" s="75">
        <v>0</v>
      </c>
      <c r="BB329" s="75">
        <v>0</v>
      </c>
      <c r="BC329" s="75">
        <v>0</v>
      </c>
      <c r="BD329" s="75">
        <v>0</v>
      </c>
      <c r="BE329" s="75">
        <v>0</v>
      </c>
      <c r="BF329" s="75">
        <v>1</v>
      </c>
      <c r="BG329" s="75">
        <v>0</v>
      </c>
      <c r="BH329" s="75">
        <v>0</v>
      </c>
      <c r="BI329" s="75" t="s">
        <v>254</v>
      </c>
      <c r="BJ329" s="75" t="s">
        <v>254</v>
      </c>
      <c r="BK329" s="75" t="s">
        <v>254</v>
      </c>
      <c r="BL329" s="75">
        <v>0</v>
      </c>
      <c r="BM329" s="75">
        <f>SUM(R329:AD329)</f>
        <v>0</v>
      </c>
      <c r="BN329" s="75">
        <f>SUM(AE329:AN329)</f>
        <v>0</v>
      </c>
      <c r="BO329" s="75">
        <f>SUM(AO329:BH329)</f>
        <v>4</v>
      </c>
      <c r="BP329" s="75">
        <f>SUM(BM329:BO329)</f>
        <v>4</v>
      </c>
      <c r="BQ329" s="241" t="s">
        <v>363</v>
      </c>
      <c r="BS329" s="110" t="s">
        <v>539</v>
      </c>
      <c r="BT329" s="110">
        <v>0</v>
      </c>
      <c r="BU329" s="75">
        <v>0</v>
      </c>
    </row>
    <row r="330" spans="3:73" x14ac:dyDescent="0.75">
      <c r="C330">
        <v>1258</v>
      </c>
      <c r="D330" s="75" t="s">
        <v>357</v>
      </c>
      <c r="E330" s="75" t="s">
        <v>358</v>
      </c>
      <c r="F330" s="75" t="s">
        <v>359</v>
      </c>
      <c r="G330" s="75" t="s">
        <v>87</v>
      </c>
      <c r="H330">
        <v>18.344638000854399</v>
      </c>
      <c r="I330">
        <v>-64.6839062927274</v>
      </c>
      <c r="J330" s="81">
        <v>45034</v>
      </c>
      <c r="K330" s="75" t="s">
        <v>367</v>
      </c>
      <c r="L330" s="75" t="s">
        <v>374</v>
      </c>
      <c r="M330" s="75">
        <v>0</v>
      </c>
      <c r="N330" s="75">
        <v>3</v>
      </c>
      <c r="O330" s="75" t="s">
        <v>362</v>
      </c>
      <c r="P330" s="88">
        <f>SUM(TreatmentUsed!E4469:E4473)</f>
        <v>43</v>
      </c>
      <c r="Q330" s="75">
        <v>0</v>
      </c>
      <c r="R330" s="75">
        <v>0</v>
      </c>
      <c r="S330" s="75">
        <v>0</v>
      </c>
      <c r="T330" s="75">
        <v>0</v>
      </c>
      <c r="U330" s="75">
        <v>0</v>
      </c>
      <c r="V330" s="75">
        <v>0</v>
      </c>
      <c r="W330" s="75">
        <v>0</v>
      </c>
      <c r="X330" s="75">
        <v>0</v>
      </c>
      <c r="Y330" s="75">
        <v>0</v>
      </c>
      <c r="Z330" s="75">
        <v>0</v>
      </c>
      <c r="AA330" s="75">
        <v>0</v>
      </c>
      <c r="AB330" s="75">
        <v>0</v>
      </c>
      <c r="AC330" s="75">
        <v>0</v>
      </c>
      <c r="AD330" s="75">
        <v>0</v>
      </c>
      <c r="AE330" s="75">
        <v>0</v>
      </c>
      <c r="AF330" s="75">
        <v>0</v>
      </c>
      <c r="AG330" s="75">
        <v>0</v>
      </c>
      <c r="AH330" s="75">
        <v>0</v>
      </c>
      <c r="AI330" s="75">
        <v>0</v>
      </c>
      <c r="AJ330" s="75">
        <v>0</v>
      </c>
      <c r="AK330" s="75">
        <v>0</v>
      </c>
      <c r="AL330" s="75">
        <v>0</v>
      </c>
      <c r="AM330" s="75">
        <v>0</v>
      </c>
      <c r="AN330" s="75">
        <v>0</v>
      </c>
      <c r="AO330" s="75">
        <v>1</v>
      </c>
      <c r="AP330" s="75">
        <v>0</v>
      </c>
      <c r="AQ330" s="75">
        <v>0</v>
      </c>
      <c r="AR330" s="75">
        <v>1</v>
      </c>
      <c r="AS330" s="75">
        <v>0</v>
      </c>
      <c r="AT330" s="75">
        <v>0</v>
      </c>
      <c r="AU330" s="75">
        <v>0</v>
      </c>
      <c r="AV330" s="75">
        <v>0</v>
      </c>
      <c r="AW330" s="75">
        <v>0</v>
      </c>
      <c r="AX330" s="75">
        <v>0</v>
      </c>
      <c r="AY330" s="75">
        <v>0</v>
      </c>
      <c r="AZ330" s="84">
        <v>2</v>
      </c>
      <c r="BA330" s="84">
        <v>1</v>
      </c>
      <c r="BB330" s="75">
        <v>0</v>
      </c>
      <c r="BC330" s="75">
        <v>0</v>
      </c>
      <c r="BD330" s="75">
        <v>0</v>
      </c>
      <c r="BE330" s="75">
        <v>0</v>
      </c>
      <c r="BF330" s="75">
        <v>0</v>
      </c>
      <c r="BG330" s="75">
        <v>0</v>
      </c>
      <c r="BH330" s="75">
        <v>0</v>
      </c>
      <c r="BI330" s="75" t="s">
        <v>254</v>
      </c>
      <c r="BJ330" s="75" t="s">
        <v>254</v>
      </c>
      <c r="BK330" s="75" t="s">
        <v>254</v>
      </c>
      <c r="BL330" s="75">
        <v>0</v>
      </c>
      <c r="BM330" s="75">
        <f t="shared" ref="BM330:BM341" si="66">SUM(R330:AD330)</f>
        <v>0</v>
      </c>
      <c r="BN330" s="75">
        <f t="shared" ref="BN330:BN341" si="67">SUM(AE330:AN330)</f>
        <v>0</v>
      </c>
      <c r="BO330" s="75">
        <f t="shared" ref="BO330:BO341" si="68">SUM(AO330:BH330)</f>
        <v>5</v>
      </c>
      <c r="BP330" s="75">
        <f t="shared" ref="BP330:BP341" si="69">SUM(BM330:BO330)</f>
        <v>5</v>
      </c>
      <c r="BQ330" s="241" t="s">
        <v>363</v>
      </c>
      <c r="BS330" s="110" t="s">
        <v>539</v>
      </c>
      <c r="BT330" s="110">
        <v>0</v>
      </c>
      <c r="BU330" s="75">
        <v>0</v>
      </c>
    </row>
    <row r="331" spans="3:73" x14ac:dyDescent="0.75">
      <c r="C331">
        <v>1259</v>
      </c>
      <c r="D331" s="75" t="s">
        <v>357</v>
      </c>
      <c r="E331" s="75" t="s">
        <v>358</v>
      </c>
      <c r="F331" s="75" t="s">
        <v>359</v>
      </c>
      <c r="G331" s="75" t="s">
        <v>69</v>
      </c>
      <c r="H331">
        <v>18.343233000000001</v>
      </c>
      <c r="I331">
        <v>-64.687667000000005</v>
      </c>
      <c r="J331" s="81">
        <v>45035</v>
      </c>
      <c r="K331" s="75" t="s">
        <v>367</v>
      </c>
      <c r="L331" s="75" t="s">
        <v>374</v>
      </c>
      <c r="M331" s="75">
        <v>0</v>
      </c>
      <c r="N331" s="75">
        <v>2</v>
      </c>
      <c r="O331" s="75" t="s">
        <v>362</v>
      </c>
      <c r="P331" s="88">
        <f>SUM(TreatmentUsed!E4474)</f>
        <v>3</v>
      </c>
      <c r="Q331" s="75">
        <v>0</v>
      </c>
      <c r="R331" s="75">
        <v>0</v>
      </c>
      <c r="S331" s="75">
        <v>0</v>
      </c>
      <c r="T331" s="75">
        <v>0</v>
      </c>
      <c r="U331" s="75">
        <v>0</v>
      </c>
      <c r="V331" s="75">
        <v>0</v>
      </c>
      <c r="W331" s="75">
        <v>0</v>
      </c>
      <c r="X331" s="75">
        <v>0</v>
      </c>
      <c r="Y331" s="75">
        <v>0</v>
      </c>
      <c r="Z331" s="75">
        <v>0</v>
      </c>
      <c r="AA331" s="75">
        <v>0</v>
      </c>
      <c r="AB331" s="75">
        <v>0</v>
      </c>
      <c r="AC331" s="75">
        <v>0</v>
      </c>
      <c r="AD331" s="75">
        <v>0</v>
      </c>
      <c r="AE331" s="75">
        <v>0</v>
      </c>
      <c r="AF331" s="75">
        <v>0</v>
      </c>
      <c r="AG331" s="75">
        <v>0</v>
      </c>
      <c r="AH331" s="75">
        <v>0</v>
      </c>
      <c r="AI331" s="75">
        <v>0</v>
      </c>
      <c r="AJ331" s="75">
        <v>0</v>
      </c>
      <c r="AK331" s="75">
        <v>0</v>
      </c>
      <c r="AL331" s="75">
        <v>0</v>
      </c>
      <c r="AM331" s="75">
        <v>0</v>
      </c>
      <c r="AN331" s="75">
        <v>0</v>
      </c>
      <c r="AO331" s="75">
        <v>0</v>
      </c>
      <c r="AP331" s="75">
        <v>0</v>
      </c>
      <c r="AQ331" s="75">
        <v>0</v>
      </c>
      <c r="AR331" s="75">
        <v>0</v>
      </c>
      <c r="AS331" s="75">
        <v>0</v>
      </c>
      <c r="AT331" s="75">
        <v>0</v>
      </c>
      <c r="AU331" s="75">
        <v>0</v>
      </c>
      <c r="AV331" s="75">
        <v>0</v>
      </c>
      <c r="AW331" s="75">
        <v>0</v>
      </c>
      <c r="AX331" s="75">
        <v>0</v>
      </c>
      <c r="AY331" s="75">
        <v>0</v>
      </c>
      <c r="AZ331" s="75">
        <v>1</v>
      </c>
      <c r="BA331" s="75">
        <v>0</v>
      </c>
      <c r="BB331" s="75">
        <v>0</v>
      </c>
      <c r="BC331" s="75">
        <v>0</v>
      </c>
      <c r="BD331" s="75">
        <v>0</v>
      </c>
      <c r="BE331" s="75">
        <v>0</v>
      </c>
      <c r="BF331" s="75">
        <v>0</v>
      </c>
      <c r="BG331" s="75">
        <v>0</v>
      </c>
      <c r="BH331" s="75">
        <v>0</v>
      </c>
      <c r="BI331" s="75" t="s">
        <v>254</v>
      </c>
      <c r="BJ331" s="75" t="s">
        <v>254</v>
      </c>
      <c r="BK331" s="75" t="s">
        <v>254</v>
      </c>
      <c r="BL331" s="75">
        <v>0</v>
      </c>
      <c r="BM331" s="75">
        <f t="shared" si="66"/>
        <v>0</v>
      </c>
      <c r="BN331" s="75">
        <f t="shared" si="67"/>
        <v>0</v>
      </c>
      <c r="BO331" s="75">
        <f t="shared" si="68"/>
        <v>1</v>
      </c>
      <c r="BP331" s="75">
        <f t="shared" si="69"/>
        <v>1</v>
      </c>
      <c r="BQ331" s="241" t="s">
        <v>363</v>
      </c>
      <c r="BR331" s="138" t="s">
        <v>611</v>
      </c>
      <c r="BS331" s="110" t="s">
        <v>539</v>
      </c>
      <c r="BT331" s="110">
        <v>0</v>
      </c>
      <c r="BU331" s="75">
        <v>0</v>
      </c>
    </row>
    <row r="332" spans="3:73" x14ac:dyDescent="0.75">
      <c r="C332" s="17"/>
      <c r="D332" s="75" t="s">
        <v>357</v>
      </c>
      <c r="E332" s="75" t="s">
        <v>358</v>
      </c>
      <c r="F332" s="75" t="s">
        <v>359</v>
      </c>
      <c r="G332" s="75" t="s">
        <v>69</v>
      </c>
      <c r="H332">
        <v>18.343233000000001</v>
      </c>
      <c r="I332">
        <v>-64.687667000000005</v>
      </c>
      <c r="J332" s="81">
        <v>45035</v>
      </c>
      <c r="K332" s="75" t="s">
        <v>360</v>
      </c>
      <c r="L332" s="84"/>
      <c r="M332" s="75">
        <v>0</v>
      </c>
      <c r="N332" s="75">
        <v>2</v>
      </c>
      <c r="O332" s="75" t="s">
        <v>362</v>
      </c>
      <c r="P332" s="75">
        <v>0</v>
      </c>
      <c r="Q332" s="75">
        <v>0</v>
      </c>
      <c r="R332" s="75">
        <v>0</v>
      </c>
      <c r="S332" s="75">
        <v>0</v>
      </c>
      <c r="T332" s="75">
        <v>0</v>
      </c>
      <c r="U332" s="75">
        <v>0</v>
      </c>
      <c r="V332" s="75">
        <v>0</v>
      </c>
      <c r="W332" s="75">
        <v>0</v>
      </c>
      <c r="X332" s="75">
        <v>0</v>
      </c>
      <c r="Y332" s="75">
        <v>0</v>
      </c>
      <c r="Z332" s="75">
        <v>0</v>
      </c>
      <c r="AA332" s="75">
        <v>0</v>
      </c>
      <c r="AB332" s="75">
        <v>0</v>
      </c>
      <c r="AC332" s="75">
        <v>0</v>
      </c>
      <c r="AD332" s="75">
        <v>0</v>
      </c>
      <c r="AE332" s="75">
        <v>0</v>
      </c>
      <c r="AF332" s="75">
        <v>0</v>
      </c>
      <c r="AG332" s="75">
        <v>0</v>
      </c>
      <c r="AH332" s="75">
        <v>0</v>
      </c>
      <c r="AI332" s="75">
        <v>0</v>
      </c>
      <c r="AJ332" s="75">
        <v>0</v>
      </c>
      <c r="AK332" s="75">
        <v>0</v>
      </c>
      <c r="AL332" s="75">
        <v>0</v>
      </c>
      <c r="AM332" s="75">
        <v>0</v>
      </c>
      <c r="AN332" s="75">
        <v>0</v>
      </c>
      <c r="AO332" s="75">
        <v>0</v>
      </c>
      <c r="AP332" s="75">
        <v>0</v>
      </c>
      <c r="AQ332" s="75">
        <v>0</v>
      </c>
      <c r="AR332" s="75">
        <v>0</v>
      </c>
      <c r="AS332" s="75">
        <v>0</v>
      </c>
      <c r="AT332" s="75">
        <v>0</v>
      </c>
      <c r="AU332" s="75">
        <v>0</v>
      </c>
      <c r="AV332" s="75">
        <v>0</v>
      </c>
      <c r="AW332" s="75">
        <v>0</v>
      </c>
      <c r="AX332" s="75">
        <v>0</v>
      </c>
      <c r="AY332" s="75">
        <v>0</v>
      </c>
      <c r="AZ332" s="75">
        <v>0</v>
      </c>
      <c r="BA332" s="75">
        <v>0</v>
      </c>
      <c r="BB332" s="75">
        <v>0</v>
      </c>
      <c r="BC332" s="75">
        <v>0</v>
      </c>
      <c r="BD332" s="75">
        <v>0</v>
      </c>
      <c r="BE332" s="75">
        <v>0</v>
      </c>
      <c r="BF332" s="75">
        <v>0</v>
      </c>
      <c r="BG332" s="75">
        <v>0</v>
      </c>
      <c r="BH332" s="75">
        <v>0</v>
      </c>
      <c r="BI332" s="75" t="s">
        <v>254</v>
      </c>
      <c r="BJ332" s="75" t="s">
        <v>254</v>
      </c>
      <c r="BK332" s="75" t="s">
        <v>254</v>
      </c>
      <c r="BL332" s="75">
        <v>0</v>
      </c>
      <c r="BM332" s="75">
        <f t="shared" si="66"/>
        <v>0</v>
      </c>
      <c r="BN332" s="75">
        <f t="shared" si="67"/>
        <v>0</v>
      </c>
      <c r="BO332" s="75">
        <f t="shared" si="68"/>
        <v>0</v>
      </c>
      <c r="BP332" s="75">
        <f t="shared" si="69"/>
        <v>0</v>
      </c>
      <c r="BQ332" s="80" t="s">
        <v>612</v>
      </c>
      <c r="BR332" s="138" t="s">
        <v>613</v>
      </c>
      <c r="BS332" s="110" t="s">
        <v>539</v>
      </c>
      <c r="BT332" s="110">
        <v>0</v>
      </c>
      <c r="BU332" s="160">
        <v>0</v>
      </c>
    </row>
    <row r="333" spans="3:73" x14ac:dyDescent="0.75">
      <c r="C333">
        <v>1260</v>
      </c>
      <c r="D333" s="75" t="s">
        <v>357</v>
      </c>
      <c r="E333" s="75" t="s">
        <v>358</v>
      </c>
      <c r="F333" s="75" t="s">
        <v>359</v>
      </c>
      <c r="G333" s="75" t="s">
        <v>69</v>
      </c>
      <c r="H333">
        <v>18.343233000000001</v>
      </c>
      <c r="I333">
        <v>-64.687667000000005</v>
      </c>
      <c r="J333" s="81">
        <v>45035</v>
      </c>
      <c r="K333" s="75" t="s">
        <v>367</v>
      </c>
      <c r="L333" s="75" t="s">
        <v>374</v>
      </c>
      <c r="M333" s="75">
        <v>0</v>
      </c>
      <c r="N333" s="75">
        <v>2</v>
      </c>
      <c r="O333" s="75" t="s">
        <v>362</v>
      </c>
      <c r="P333" s="88">
        <f>SUM(TreatmentUsed!E4475:E4484)</f>
        <v>26</v>
      </c>
      <c r="Q333" s="75">
        <v>0</v>
      </c>
      <c r="R333" s="75">
        <v>0</v>
      </c>
      <c r="S333" s="75">
        <v>0</v>
      </c>
      <c r="T333" s="75">
        <v>0</v>
      </c>
      <c r="U333" s="75">
        <v>0</v>
      </c>
      <c r="V333" s="75">
        <v>0</v>
      </c>
      <c r="W333" s="75">
        <v>0</v>
      </c>
      <c r="X333" s="75">
        <v>0</v>
      </c>
      <c r="Y333" s="75">
        <v>0</v>
      </c>
      <c r="Z333" s="75">
        <v>0</v>
      </c>
      <c r="AA333" s="75">
        <v>0</v>
      </c>
      <c r="AB333" s="75">
        <v>0</v>
      </c>
      <c r="AC333" s="75">
        <v>0</v>
      </c>
      <c r="AD333" s="75">
        <v>0</v>
      </c>
      <c r="AE333" s="75">
        <v>0</v>
      </c>
      <c r="AF333" s="75">
        <v>0</v>
      </c>
      <c r="AG333" s="75">
        <v>0</v>
      </c>
      <c r="AH333" s="75">
        <v>0</v>
      </c>
      <c r="AI333" s="75">
        <v>0</v>
      </c>
      <c r="AJ333" s="75">
        <v>0</v>
      </c>
      <c r="AK333" s="75">
        <v>0</v>
      </c>
      <c r="AL333" s="75">
        <v>0</v>
      </c>
      <c r="AM333" s="75">
        <v>0</v>
      </c>
      <c r="AN333" s="75">
        <v>0</v>
      </c>
      <c r="AO333" s="75">
        <v>0</v>
      </c>
      <c r="AP333" s="75">
        <v>0</v>
      </c>
      <c r="AQ333" s="75">
        <v>0</v>
      </c>
      <c r="AR333" s="75">
        <v>0</v>
      </c>
      <c r="AS333" s="75">
        <v>1</v>
      </c>
      <c r="AT333" s="75">
        <v>0</v>
      </c>
      <c r="AU333" s="75">
        <v>0</v>
      </c>
      <c r="AV333" s="75">
        <v>0</v>
      </c>
      <c r="AW333" s="75">
        <v>0</v>
      </c>
      <c r="AX333" s="75">
        <v>0</v>
      </c>
      <c r="AY333" s="84">
        <v>1</v>
      </c>
      <c r="AZ333" s="75">
        <v>0</v>
      </c>
      <c r="BA333" s="75">
        <v>2</v>
      </c>
      <c r="BB333" s="84">
        <v>0</v>
      </c>
      <c r="BC333" s="75">
        <v>2</v>
      </c>
      <c r="BD333" s="75">
        <v>0</v>
      </c>
      <c r="BE333" s="75">
        <v>0</v>
      </c>
      <c r="BF333" s="75">
        <v>4</v>
      </c>
      <c r="BG333" s="75">
        <v>0</v>
      </c>
      <c r="BH333" s="75">
        <v>0</v>
      </c>
      <c r="BI333" s="75" t="s">
        <v>254</v>
      </c>
      <c r="BJ333" s="75" t="s">
        <v>254</v>
      </c>
      <c r="BK333" s="75" t="s">
        <v>254</v>
      </c>
      <c r="BL333" s="75">
        <v>0</v>
      </c>
      <c r="BM333" s="75">
        <f t="shared" si="66"/>
        <v>0</v>
      </c>
      <c r="BN333" s="75">
        <f t="shared" si="67"/>
        <v>0</v>
      </c>
      <c r="BO333" s="75">
        <f t="shared" si="68"/>
        <v>10</v>
      </c>
      <c r="BP333" s="75">
        <f t="shared" si="69"/>
        <v>10</v>
      </c>
      <c r="BQ333" s="241" t="s">
        <v>363</v>
      </c>
      <c r="BR333" s="138" t="s">
        <v>614</v>
      </c>
      <c r="BS333" s="110" t="s">
        <v>539</v>
      </c>
      <c r="BT333" s="110">
        <v>0</v>
      </c>
      <c r="BU333" s="75">
        <v>0</v>
      </c>
    </row>
    <row r="334" spans="3:73" x14ac:dyDescent="0.75">
      <c r="C334">
        <v>1261</v>
      </c>
      <c r="D334" s="75" t="s">
        <v>357</v>
      </c>
      <c r="E334" s="75" t="s">
        <v>358</v>
      </c>
      <c r="F334" s="75" t="s">
        <v>359</v>
      </c>
      <c r="G334" s="75" t="s">
        <v>96</v>
      </c>
      <c r="H334">
        <v>18.309038942679699</v>
      </c>
      <c r="I334">
        <v>-64.723371360450898</v>
      </c>
      <c r="J334" s="81">
        <v>45036</v>
      </c>
      <c r="K334" s="75" t="s">
        <v>367</v>
      </c>
      <c r="L334" s="75" t="s">
        <v>374</v>
      </c>
      <c r="M334" s="75">
        <v>0</v>
      </c>
      <c r="N334" s="75">
        <v>2</v>
      </c>
      <c r="O334" s="75" t="s">
        <v>362</v>
      </c>
      <c r="P334" s="88">
        <f>SUM(TreatmentUsed!E4485:E4503)</f>
        <v>75</v>
      </c>
      <c r="Q334" s="75">
        <v>0</v>
      </c>
      <c r="R334" s="75">
        <v>0</v>
      </c>
      <c r="S334" s="75">
        <v>0</v>
      </c>
      <c r="T334" s="75">
        <v>0</v>
      </c>
      <c r="U334" s="75">
        <v>0</v>
      </c>
      <c r="V334" s="75">
        <v>0</v>
      </c>
      <c r="W334" s="75">
        <v>0</v>
      </c>
      <c r="X334" s="75">
        <v>0</v>
      </c>
      <c r="Y334" s="75">
        <v>0</v>
      </c>
      <c r="Z334" s="75">
        <v>0</v>
      </c>
      <c r="AA334" s="75">
        <v>0</v>
      </c>
      <c r="AB334" s="75">
        <v>0</v>
      </c>
      <c r="AC334" s="75">
        <v>0</v>
      </c>
      <c r="AD334" s="75">
        <v>0</v>
      </c>
      <c r="AE334" s="75">
        <v>0</v>
      </c>
      <c r="AF334" s="75">
        <v>0</v>
      </c>
      <c r="AG334" s="75">
        <v>0</v>
      </c>
      <c r="AH334" s="75">
        <v>0</v>
      </c>
      <c r="AI334" s="75">
        <v>0</v>
      </c>
      <c r="AJ334" s="75">
        <v>0</v>
      </c>
      <c r="AK334" s="75">
        <v>0</v>
      </c>
      <c r="AL334" s="75">
        <v>0</v>
      </c>
      <c r="AM334" s="75">
        <v>0</v>
      </c>
      <c r="AN334" s="75">
        <v>0</v>
      </c>
      <c r="AO334" s="75">
        <v>0</v>
      </c>
      <c r="AP334" s="75">
        <v>0</v>
      </c>
      <c r="AQ334" s="75">
        <v>0</v>
      </c>
      <c r="AR334" s="75">
        <v>0</v>
      </c>
      <c r="AS334" s="75">
        <v>0</v>
      </c>
      <c r="AT334" s="75">
        <v>0</v>
      </c>
      <c r="AU334" s="75">
        <v>0</v>
      </c>
      <c r="AV334" s="75">
        <v>0</v>
      </c>
      <c r="AW334" s="75">
        <v>0</v>
      </c>
      <c r="AX334" s="75">
        <v>0</v>
      </c>
      <c r="AY334" s="84">
        <v>7</v>
      </c>
      <c r="AZ334" s="84">
        <v>8</v>
      </c>
      <c r="BA334" s="75">
        <v>4</v>
      </c>
      <c r="BB334" s="84">
        <v>0</v>
      </c>
      <c r="BC334" s="75">
        <v>0</v>
      </c>
      <c r="BD334" s="75">
        <v>0</v>
      </c>
      <c r="BE334" s="75">
        <v>0</v>
      </c>
      <c r="BF334" s="75">
        <v>0</v>
      </c>
      <c r="BG334" s="75">
        <v>0</v>
      </c>
      <c r="BH334" s="75">
        <v>0</v>
      </c>
      <c r="BI334" s="75" t="s">
        <v>254</v>
      </c>
      <c r="BJ334" s="75" t="s">
        <v>254</v>
      </c>
      <c r="BK334" s="75" t="s">
        <v>254</v>
      </c>
      <c r="BL334" s="75">
        <v>0</v>
      </c>
      <c r="BM334" s="75">
        <f t="shared" si="66"/>
        <v>0</v>
      </c>
      <c r="BN334" s="75">
        <f t="shared" si="67"/>
        <v>0</v>
      </c>
      <c r="BO334" s="84">
        <f t="shared" si="68"/>
        <v>19</v>
      </c>
      <c r="BP334" s="75">
        <f t="shared" si="69"/>
        <v>19</v>
      </c>
      <c r="BQ334" s="241" t="s">
        <v>363</v>
      </c>
      <c r="BR334" s="138" t="s">
        <v>615</v>
      </c>
      <c r="BS334" s="110" t="s">
        <v>539</v>
      </c>
      <c r="BT334" s="110">
        <v>0</v>
      </c>
      <c r="BU334" s="75">
        <v>0</v>
      </c>
    </row>
    <row r="335" spans="3:73" x14ac:dyDescent="0.75">
      <c r="C335">
        <v>1262</v>
      </c>
      <c r="D335" s="75" t="s">
        <v>357</v>
      </c>
      <c r="E335" s="75" t="s">
        <v>358</v>
      </c>
      <c r="F335" s="75" t="s">
        <v>359</v>
      </c>
      <c r="G335" s="75" t="s">
        <v>28</v>
      </c>
      <c r="H335">
        <v>18.315639999999998</v>
      </c>
      <c r="I335">
        <v>-64.725899999999996</v>
      </c>
      <c r="J335" s="81">
        <v>45036</v>
      </c>
      <c r="K335" s="75" t="s">
        <v>367</v>
      </c>
      <c r="L335" s="75" t="s">
        <v>374</v>
      </c>
      <c r="M335" s="75">
        <v>0</v>
      </c>
      <c r="N335" s="75">
        <v>2</v>
      </c>
      <c r="O335" s="75" t="s">
        <v>362</v>
      </c>
      <c r="P335" s="88">
        <f>SUM(TreatmentUsed!E4504:E4520)</f>
        <v>77</v>
      </c>
      <c r="Q335" s="75">
        <v>490</v>
      </c>
      <c r="R335" s="75">
        <v>0</v>
      </c>
      <c r="S335" s="75">
        <v>0</v>
      </c>
      <c r="T335" s="75">
        <v>0</v>
      </c>
      <c r="U335" s="75">
        <v>0</v>
      </c>
      <c r="V335" s="75">
        <v>0</v>
      </c>
      <c r="W335" s="75">
        <v>0</v>
      </c>
      <c r="X335" s="75">
        <v>0</v>
      </c>
      <c r="Y335" s="75">
        <v>0</v>
      </c>
      <c r="Z335" s="75">
        <v>0</v>
      </c>
      <c r="AA335" s="75">
        <v>0</v>
      </c>
      <c r="AB335" s="75">
        <v>0</v>
      </c>
      <c r="AC335" s="75">
        <v>0</v>
      </c>
      <c r="AD335" s="75">
        <v>0</v>
      </c>
      <c r="AE335" s="75">
        <v>0</v>
      </c>
      <c r="AF335" s="75">
        <v>0</v>
      </c>
      <c r="AG335" s="75">
        <v>0</v>
      </c>
      <c r="AH335" s="75">
        <v>0</v>
      </c>
      <c r="AI335" s="75">
        <v>0</v>
      </c>
      <c r="AJ335" s="75">
        <v>0</v>
      </c>
      <c r="AK335" s="75">
        <v>0</v>
      </c>
      <c r="AL335" s="75">
        <v>0</v>
      </c>
      <c r="AM335" s="75">
        <v>0</v>
      </c>
      <c r="AN335" s="75">
        <v>0</v>
      </c>
      <c r="AO335" s="75">
        <v>0</v>
      </c>
      <c r="AP335" s="75">
        <v>0</v>
      </c>
      <c r="AQ335" s="75">
        <v>0</v>
      </c>
      <c r="AR335" s="75">
        <v>0</v>
      </c>
      <c r="AS335" s="75">
        <v>3</v>
      </c>
      <c r="AT335" s="75">
        <v>0</v>
      </c>
      <c r="AU335" s="75">
        <v>0</v>
      </c>
      <c r="AV335" s="75">
        <v>0</v>
      </c>
      <c r="AW335" s="75">
        <v>0</v>
      </c>
      <c r="AX335" s="75">
        <v>0</v>
      </c>
      <c r="AY335" s="84">
        <v>2</v>
      </c>
      <c r="AZ335" s="75">
        <v>0</v>
      </c>
      <c r="BA335" s="75">
        <v>1</v>
      </c>
      <c r="BB335" s="75">
        <v>0</v>
      </c>
      <c r="BC335" s="84">
        <v>3</v>
      </c>
      <c r="BD335" s="75">
        <v>0</v>
      </c>
      <c r="BE335" s="75">
        <v>0</v>
      </c>
      <c r="BF335" s="75">
        <v>7</v>
      </c>
      <c r="BG335" s="75">
        <v>0</v>
      </c>
      <c r="BH335" s="75">
        <v>1</v>
      </c>
      <c r="BI335" s="75" t="s">
        <v>254</v>
      </c>
      <c r="BJ335" s="75" t="s">
        <v>254</v>
      </c>
      <c r="BK335" s="75" t="s">
        <v>254</v>
      </c>
      <c r="BL335" s="75">
        <v>0</v>
      </c>
      <c r="BM335" s="75">
        <f>SUM(R335:AD335)</f>
        <v>0</v>
      </c>
      <c r="BN335" s="75">
        <f>SUM(AE335:AN335)</f>
        <v>0</v>
      </c>
      <c r="BO335" s="75">
        <f>SUM(AO335:BH335)</f>
        <v>17</v>
      </c>
      <c r="BP335" s="75">
        <f>SUM(BM335:BO335)</f>
        <v>17</v>
      </c>
      <c r="BQ335" s="85" t="s">
        <v>616</v>
      </c>
      <c r="BR335" s="138" t="s">
        <v>617</v>
      </c>
      <c r="BS335" s="110" t="s">
        <v>539</v>
      </c>
      <c r="BT335" s="110">
        <v>0</v>
      </c>
      <c r="BU335" s="75">
        <v>0</v>
      </c>
    </row>
    <row r="336" spans="3:73" x14ac:dyDescent="0.75">
      <c r="C336">
        <v>1263</v>
      </c>
      <c r="D336" s="75" t="s">
        <v>357</v>
      </c>
      <c r="E336" s="75" t="s">
        <v>358</v>
      </c>
      <c r="F336" s="75" t="s">
        <v>359</v>
      </c>
      <c r="G336" s="75" t="s">
        <v>116</v>
      </c>
      <c r="H336">
        <v>18.3506</v>
      </c>
      <c r="I336">
        <v>-64.699183000000005</v>
      </c>
      <c r="J336" s="3">
        <v>45041</v>
      </c>
      <c r="K336" s="75" t="s">
        <v>367</v>
      </c>
      <c r="L336" s="75" t="s">
        <v>374</v>
      </c>
      <c r="M336" s="75">
        <v>0</v>
      </c>
      <c r="N336" s="75">
        <v>2</v>
      </c>
      <c r="O336" s="75" t="s">
        <v>362</v>
      </c>
      <c r="P336" s="88">
        <f>SUM(TreatmentUsed!E4521:E4525)</f>
        <v>50</v>
      </c>
      <c r="Q336" s="75">
        <v>0</v>
      </c>
      <c r="R336" s="75">
        <v>0</v>
      </c>
      <c r="S336" s="75">
        <v>0</v>
      </c>
      <c r="T336" s="75">
        <v>0</v>
      </c>
      <c r="U336" s="75">
        <v>0</v>
      </c>
      <c r="V336" s="75">
        <v>0</v>
      </c>
      <c r="W336" s="75">
        <v>0</v>
      </c>
      <c r="X336" s="75">
        <v>0</v>
      </c>
      <c r="Y336" s="75">
        <v>0</v>
      </c>
      <c r="Z336" s="75">
        <v>0</v>
      </c>
      <c r="AA336" s="75">
        <v>0</v>
      </c>
      <c r="AB336" s="75">
        <v>0</v>
      </c>
      <c r="AC336" s="75">
        <v>0</v>
      </c>
      <c r="AD336" s="75">
        <v>0</v>
      </c>
      <c r="AE336" s="75">
        <v>0</v>
      </c>
      <c r="AF336" s="75">
        <v>0</v>
      </c>
      <c r="AG336" s="75">
        <v>0</v>
      </c>
      <c r="AH336" s="75">
        <v>0</v>
      </c>
      <c r="AI336" s="75">
        <v>0</v>
      </c>
      <c r="AJ336" s="75">
        <v>0</v>
      </c>
      <c r="AK336" s="75">
        <v>0</v>
      </c>
      <c r="AL336" s="75">
        <v>0</v>
      </c>
      <c r="AM336" s="75">
        <v>0</v>
      </c>
      <c r="AN336" s="75">
        <v>0</v>
      </c>
      <c r="AO336" s="75">
        <v>0</v>
      </c>
      <c r="AP336" s="75">
        <v>0</v>
      </c>
      <c r="AQ336" s="75">
        <v>0</v>
      </c>
      <c r="AR336" s="75">
        <v>0</v>
      </c>
      <c r="AS336" s="75">
        <v>0</v>
      </c>
      <c r="AT336" s="75">
        <v>0</v>
      </c>
      <c r="AU336" s="75">
        <v>0</v>
      </c>
      <c r="AV336" s="75">
        <v>0</v>
      </c>
      <c r="AW336" s="75">
        <v>0</v>
      </c>
      <c r="AX336" s="75">
        <v>0</v>
      </c>
      <c r="AY336" s="84">
        <v>2</v>
      </c>
      <c r="AZ336" s="75">
        <v>0</v>
      </c>
      <c r="BA336" s="84">
        <v>0</v>
      </c>
      <c r="BB336" s="84">
        <v>0</v>
      </c>
      <c r="BC336" s="75">
        <v>1</v>
      </c>
      <c r="BD336" s="75">
        <v>0</v>
      </c>
      <c r="BE336" s="75">
        <v>0</v>
      </c>
      <c r="BF336" s="84">
        <v>2</v>
      </c>
      <c r="BG336" s="75">
        <v>0</v>
      </c>
      <c r="BH336" s="75">
        <v>0</v>
      </c>
      <c r="BI336" s="75" t="s">
        <v>254</v>
      </c>
      <c r="BJ336" s="75" t="s">
        <v>254</v>
      </c>
      <c r="BK336" s="75" t="s">
        <v>254</v>
      </c>
      <c r="BL336" s="75">
        <v>0</v>
      </c>
      <c r="BM336" s="75">
        <f t="shared" si="66"/>
        <v>0</v>
      </c>
      <c r="BN336" s="75">
        <f t="shared" si="67"/>
        <v>0</v>
      </c>
      <c r="BO336" s="84">
        <f t="shared" si="68"/>
        <v>5</v>
      </c>
      <c r="BP336" s="75">
        <f t="shared" si="69"/>
        <v>5</v>
      </c>
      <c r="BQ336" s="241" t="s">
        <v>363</v>
      </c>
      <c r="BR336" s="138" t="s">
        <v>618</v>
      </c>
      <c r="BS336" s="110" t="s">
        <v>539</v>
      </c>
      <c r="BT336" s="110">
        <v>0</v>
      </c>
      <c r="BU336" s="75">
        <v>0</v>
      </c>
    </row>
    <row r="337" spans="1:74" x14ac:dyDescent="0.75">
      <c r="C337">
        <v>1264</v>
      </c>
      <c r="D337" s="75" t="s">
        <v>357</v>
      </c>
      <c r="E337" s="75" t="s">
        <v>358</v>
      </c>
      <c r="F337" s="75" t="s">
        <v>359</v>
      </c>
      <c r="G337" s="75" t="s">
        <v>116</v>
      </c>
      <c r="H337">
        <v>18.3506</v>
      </c>
      <c r="I337">
        <v>-64.699183000000005</v>
      </c>
      <c r="J337" s="3">
        <v>45041</v>
      </c>
      <c r="K337" s="75" t="s">
        <v>367</v>
      </c>
      <c r="L337" s="75" t="s">
        <v>374</v>
      </c>
      <c r="M337" s="75">
        <v>0</v>
      </c>
      <c r="N337" s="75">
        <v>2</v>
      </c>
      <c r="O337" s="75" t="s">
        <v>362</v>
      </c>
      <c r="P337" s="88">
        <f>SUM(TreatmentUsed!E4526:E4531)</f>
        <v>90</v>
      </c>
      <c r="Q337" s="75">
        <v>0</v>
      </c>
      <c r="R337" s="75">
        <v>0</v>
      </c>
      <c r="S337" s="75">
        <v>0</v>
      </c>
      <c r="T337" s="75">
        <v>0</v>
      </c>
      <c r="U337" s="75">
        <v>0</v>
      </c>
      <c r="V337" s="75">
        <v>0</v>
      </c>
      <c r="W337" s="75">
        <v>0</v>
      </c>
      <c r="X337" s="75">
        <v>0</v>
      </c>
      <c r="Y337" s="75">
        <v>0</v>
      </c>
      <c r="Z337" s="75">
        <v>0</v>
      </c>
      <c r="AA337" s="75">
        <v>0</v>
      </c>
      <c r="AB337" s="75">
        <v>0</v>
      </c>
      <c r="AC337" s="75">
        <v>0</v>
      </c>
      <c r="AD337" s="75">
        <v>0</v>
      </c>
      <c r="AE337" s="75">
        <v>0</v>
      </c>
      <c r="AF337" s="75">
        <v>0</v>
      </c>
      <c r="AG337" s="75">
        <v>0</v>
      </c>
      <c r="AH337" s="75">
        <v>0</v>
      </c>
      <c r="AI337" s="75">
        <v>0</v>
      </c>
      <c r="AJ337" s="75">
        <v>0</v>
      </c>
      <c r="AK337" s="75">
        <v>0</v>
      </c>
      <c r="AL337" s="75">
        <v>0</v>
      </c>
      <c r="AM337" s="75">
        <v>0</v>
      </c>
      <c r="AN337" s="75">
        <v>0</v>
      </c>
      <c r="AO337" s="75">
        <v>0</v>
      </c>
      <c r="AP337" s="75">
        <v>0</v>
      </c>
      <c r="AQ337" s="75">
        <v>0</v>
      </c>
      <c r="AR337" s="75">
        <v>2</v>
      </c>
      <c r="AS337" s="75">
        <v>0</v>
      </c>
      <c r="AT337" s="75">
        <v>0</v>
      </c>
      <c r="AU337" s="84">
        <v>2</v>
      </c>
      <c r="AV337" s="75">
        <v>0</v>
      </c>
      <c r="AW337" s="75">
        <v>0</v>
      </c>
      <c r="AX337" s="75">
        <v>0</v>
      </c>
      <c r="AY337" s="75">
        <v>0</v>
      </c>
      <c r="AZ337" s="84">
        <v>1</v>
      </c>
      <c r="BA337" s="75">
        <v>0</v>
      </c>
      <c r="BB337" s="84">
        <v>0</v>
      </c>
      <c r="BC337" s="75">
        <v>1</v>
      </c>
      <c r="BD337" s="75">
        <v>0</v>
      </c>
      <c r="BE337" s="75">
        <v>0</v>
      </c>
      <c r="BF337" s="75">
        <v>0</v>
      </c>
      <c r="BG337" s="75">
        <v>0</v>
      </c>
      <c r="BH337" s="75">
        <v>0</v>
      </c>
      <c r="BI337" s="75" t="s">
        <v>254</v>
      </c>
      <c r="BJ337" s="75" t="s">
        <v>254</v>
      </c>
      <c r="BK337" s="75" t="s">
        <v>254</v>
      </c>
      <c r="BL337" s="75">
        <v>0</v>
      </c>
      <c r="BM337" s="75">
        <f t="shared" si="66"/>
        <v>0</v>
      </c>
      <c r="BN337" s="75">
        <f t="shared" si="67"/>
        <v>0</v>
      </c>
      <c r="BO337" s="84">
        <f t="shared" si="68"/>
        <v>6</v>
      </c>
      <c r="BP337" s="75">
        <f t="shared" si="69"/>
        <v>6</v>
      </c>
      <c r="BQ337" s="241" t="s">
        <v>363</v>
      </c>
      <c r="BR337" s="138" t="s">
        <v>619</v>
      </c>
      <c r="BS337" s="110" t="s">
        <v>539</v>
      </c>
      <c r="BT337" s="110">
        <v>0</v>
      </c>
      <c r="BU337" s="75">
        <v>0</v>
      </c>
    </row>
    <row r="338" spans="1:74" x14ac:dyDescent="0.75">
      <c r="C338">
        <v>1265</v>
      </c>
      <c r="D338" s="75" t="s">
        <v>357</v>
      </c>
      <c r="E338" s="75" t="s">
        <v>358</v>
      </c>
      <c r="F338" s="75" t="s">
        <v>359</v>
      </c>
      <c r="G338" s="75" t="s">
        <v>116</v>
      </c>
      <c r="H338">
        <v>18.3506</v>
      </c>
      <c r="I338">
        <v>-64.699183000000005</v>
      </c>
      <c r="J338" s="3">
        <v>45041</v>
      </c>
      <c r="K338" s="75" t="s">
        <v>367</v>
      </c>
      <c r="L338" s="75" t="s">
        <v>374</v>
      </c>
      <c r="M338" s="75">
        <v>0</v>
      </c>
      <c r="N338" s="75">
        <v>2</v>
      </c>
      <c r="O338" s="75" t="s">
        <v>362</v>
      </c>
      <c r="P338" s="88">
        <f>SUM(TreatmentUsed!E4532:E4538)</f>
        <v>137</v>
      </c>
      <c r="Q338" s="75">
        <v>0</v>
      </c>
      <c r="R338" s="75">
        <v>0</v>
      </c>
      <c r="S338" s="75">
        <v>0</v>
      </c>
      <c r="T338" s="75">
        <v>0</v>
      </c>
      <c r="U338" s="75">
        <v>0</v>
      </c>
      <c r="V338" s="75">
        <v>0</v>
      </c>
      <c r="W338" s="75">
        <v>0</v>
      </c>
      <c r="X338" s="75">
        <v>0</v>
      </c>
      <c r="Y338" s="75">
        <v>0</v>
      </c>
      <c r="Z338" s="75">
        <v>0</v>
      </c>
      <c r="AA338" s="75">
        <v>0</v>
      </c>
      <c r="AB338" s="75">
        <v>0</v>
      </c>
      <c r="AC338" s="75">
        <v>0</v>
      </c>
      <c r="AD338" s="75">
        <v>0</v>
      </c>
      <c r="AE338" s="75">
        <v>0</v>
      </c>
      <c r="AF338" s="75">
        <v>0</v>
      </c>
      <c r="AG338" s="75">
        <v>0</v>
      </c>
      <c r="AH338" s="75">
        <v>0</v>
      </c>
      <c r="AI338" s="75">
        <v>0</v>
      </c>
      <c r="AJ338" s="75">
        <v>0</v>
      </c>
      <c r="AK338" s="75">
        <v>0</v>
      </c>
      <c r="AL338" s="75">
        <v>0</v>
      </c>
      <c r="AM338" s="75">
        <v>0</v>
      </c>
      <c r="AN338" s="75">
        <v>0</v>
      </c>
      <c r="AO338" s="75">
        <v>0</v>
      </c>
      <c r="AP338" s="75">
        <v>0</v>
      </c>
      <c r="AQ338" s="75">
        <v>0</v>
      </c>
      <c r="AR338" s="75">
        <v>2</v>
      </c>
      <c r="AS338" s="75">
        <v>0</v>
      </c>
      <c r="AT338" s="75">
        <v>0</v>
      </c>
      <c r="AU338" s="75">
        <v>1</v>
      </c>
      <c r="AV338" s="75">
        <v>0</v>
      </c>
      <c r="AW338" s="75">
        <v>0</v>
      </c>
      <c r="AX338" s="75">
        <v>0</v>
      </c>
      <c r="AY338" s="84">
        <v>1</v>
      </c>
      <c r="AZ338" s="75">
        <v>0</v>
      </c>
      <c r="BA338" s="84">
        <v>0</v>
      </c>
      <c r="BB338" s="75">
        <v>0</v>
      </c>
      <c r="BC338" s="75">
        <v>3</v>
      </c>
      <c r="BD338" s="75">
        <v>0</v>
      </c>
      <c r="BE338" s="75">
        <v>0</v>
      </c>
      <c r="BF338" s="75">
        <v>0</v>
      </c>
      <c r="BG338" s="75">
        <v>0</v>
      </c>
      <c r="BH338" s="75">
        <v>0</v>
      </c>
      <c r="BI338" s="75" t="s">
        <v>254</v>
      </c>
      <c r="BJ338" s="75" t="s">
        <v>254</v>
      </c>
      <c r="BK338" s="75" t="s">
        <v>254</v>
      </c>
      <c r="BL338" s="75">
        <v>0</v>
      </c>
      <c r="BM338" s="75">
        <f t="shared" si="66"/>
        <v>0</v>
      </c>
      <c r="BN338" s="75">
        <f t="shared" si="67"/>
        <v>0</v>
      </c>
      <c r="BO338" s="75">
        <f t="shared" si="68"/>
        <v>7</v>
      </c>
      <c r="BP338" s="75">
        <f t="shared" si="69"/>
        <v>7</v>
      </c>
      <c r="BQ338" s="241" t="s">
        <v>363</v>
      </c>
      <c r="BR338" s="138" t="s">
        <v>620</v>
      </c>
      <c r="BS338" s="110" t="s">
        <v>539</v>
      </c>
      <c r="BT338" s="110">
        <v>0</v>
      </c>
      <c r="BU338" s="75">
        <v>0</v>
      </c>
    </row>
    <row r="339" spans="1:74" x14ac:dyDescent="0.75">
      <c r="C339">
        <v>1266</v>
      </c>
      <c r="D339" s="75" t="s">
        <v>357</v>
      </c>
      <c r="E339" s="75" t="s">
        <v>358</v>
      </c>
      <c r="F339" s="75" t="s">
        <v>359</v>
      </c>
      <c r="G339" s="75" t="s">
        <v>116</v>
      </c>
      <c r="H339">
        <v>18.3506</v>
      </c>
      <c r="I339">
        <v>-64.699183000000005</v>
      </c>
      <c r="J339" s="3">
        <v>45042</v>
      </c>
      <c r="K339" s="75" t="s">
        <v>367</v>
      </c>
      <c r="L339" s="75" t="s">
        <v>374</v>
      </c>
      <c r="M339" s="75">
        <v>0</v>
      </c>
      <c r="N339" s="75">
        <v>2</v>
      </c>
      <c r="O339" s="75" t="s">
        <v>362</v>
      </c>
      <c r="P339" s="88">
        <f>SUM(TreatmentUsed!E4539:E4540)</f>
        <v>27</v>
      </c>
      <c r="Q339" s="75">
        <v>0</v>
      </c>
      <c r="R339" s="75">
        <v>0</v>
      </c>
      <c r="S339" s="75">
        <v>0</v>
      </c>
      <c r="T339" s="75">
        <v>0</v>
      </c>
      <c r="U339" s="75">
        <v>0</v>
      </c>
      <c r="V339" s="75">
        <v>0</v>
      </c>
      <c r="W339" s="75">
        <v>0</v>
      </c>
      <c r="X339" s="75">
        <v>0</v>
      </c>
      <c r="Y339" s="75">
        <v>0</v>
      </c>
      <c r="Z339" s="75">
        <v>0</v>
      </c>
      <c r="AA339" s="75">
        <v>0</v>
      </c>
      <c r="AB339" s="75">
        <v>0</v>
      </c>
      <c r="AC339" s="75">
        <v>0</v>
      </c>
      <c r="AD339" s="75">
        <v>0</v>
      </c>
      <c r="AE339" s="75">
        <v>0</v>
      </c>
      <c r="AF339" s="75">
        <v>0</v>
      </c>
      <c r="AG339" s="75">
        <v>0</v>
      </c>
      <c r="AH339" s="75">
        <v>0</v>
      </c>
      <c r="AI339" s="75">
        <v>0</v>
      </c>
      <c r="AJ339" s="75">
        <v>0</v>
      </c>
      <c r="AK339" s="75">
        <v>0</v>
      </c>
      <c r="AL339" s="75">
        <v>0</v>
      </c>
      <c r="AM339" s="75">
        <v>0</v>
      </c>
      <c r="AN339" s="75">
        <v>0</v>
      </c>
      <c r="AO339" s="75">
        <v>0</v>
      </c>
      <c r="AP339" s="75">
        <v>0</v>
      </c>
      <c r="AQ339" s="75">
        <v>0</v>
      </c>
      <c r="AR339" s="75">
        <v>1</v>
      </c>
      <c r="AS339" s="75">
        <v>0</v>
      </c>
      <c r="AT339" s="75">
        <v>0</v>
      </c>
      <c r="AU339" s="75">
        <v>0</v>
      </c>
      <c r="AV339" s="75">
        <v>0</v>
      </c>
      <c r="AW339" s="75">
        <v>0</v>
      </c>
      <c r="AX339" s="75">
        <v>0</v>
      </c>
      <c r="AY339" s="75">
        <v>0</v>
      </c>
      <c r="AZ339" s="75">
        <v>0</v>
      </c>
      <c r="BA339" s="75">
        <v>0</v>
      </c>
      <c r="BB339" s="75">
        <v>0</v>
      </c>
      <c r="BC339" s="75">
        <v>1</v>
      </c>
      <c r="BD339" s="75">
        <v>0</v>
      </c>
      <c r="BE339" s="75">
        <v>0</v>
      </c>
      <c r="BF339" s="75">
        <v>0</v>
      </c>
      <c r="BG339" s="75">
        <v>0</v>
      </c>
      <c r="BH339" s="75">
        <v>0</v>
      </c>
      <c r="BI339" s="75" t="s">
        <v>254</v>
      </c>
      <c r="BJ339" s="75" t="s">
        <v>254</v>
      </c>
      <c r="BK339" s="75" t="s">
        <v>254</v>
      </c>
      <c r="BL339" s="75">
        <v>0</v>
      </c>
      <c r="BM339" s="75">
        <f t="shared" si="66"/>
        <v>0</v>
      </c>
      <c r="BN339" s="75">
        <f t="shared" si="67"/>
        <v>0</v>
      </c>
      <c r="BO339" s="75">
        <f t="shared" si="68"/>
        <v>2</v>
      </c>
      <c r="BP339" s="75">
        <f t="shared" si="69"/>
        <v>2</v>
      </c>
      <c r="BQ339" s="241" t="s">
        <v>363</v>
      </c>
      <c r="BR339" s="138" t="s">
        <v>621</v>
      </c>
      <c r="BS339" s="110" t="s">
        <v>539</v>
      </c>
      <c r="BT339" s="110">
        <v>0</v>
      </c>
      <c r="BU339" s="75">
        <v>0</v>
      </c>
    </row>
    <row r="340" spans="1:74" x14ac:dyDescent="0.75">
      <c r="C340">
        <v>1267</v>
      </c>
      <c r="D340" s="75" t="s">
        <v>357</v>
      </c>
      <c r="E340" s="75" t="s">
        <v>358</v>
      </c>
      <c r="F340" s="75" t="s">
        <v>359</v>
      </c>
      <c r="G340" s="75" t="s">
        <v>116</v>
      </c>
      <c r="H340">
        <v>18.3506</v>
      </c>
      <c r="I340">
        <v>-64.699183000000005</v>
      </c>
      <c r="J340" s="3">
        <v>45042</v>
      </c>
      <c r="K340" s="75" t="s">
        <v>367</v>
      </c>
      <c r="L340" s="75" t="s">
        <v>374</v>
      </c>
      <c r="M340" s="75">
        <v>0</v>
      </c>
      <c r="N340" s="75">
        <v>2</v>
      </c>
      <c r="O340" s="75" t="s">
        <v>362</v>
      </c>
      <c r="P340" s="88">
        <f>SUM(TreatmentUsed!E4541:E4544)</f>
        <v>68</v>
      </c>
      <c r="Q340" s="75">
        <v>0</v>
      </c>
      <c r="R340" s="75">
        <v>0</v>
      </c>
      <c r="S340" s="75">
        <v>0</v>
      </c>
      <c r="T340" s="75">
        <v>0</v>
      </c>
      <c r="U340" s="75">
        <v>0</v>
      </c>
      <c r="V340" s="75">
        <v>0</v>
      </c>
      <c r="W340" s="75">
        <v>0</v>
      </c>
      <c r="X340" s="75">
        <v>0</v>
      </c>
      <c r="Y340" s="75">
        <v>0</v>
      </c>
      <c r="Z340" s="75">
        <v>0</v>
      </c>
      <c r="AA340" s="75">
        <v>0</v>
      </c>
      <c r="AB340" s="75">
        <v>0</v>
      </c>
      <c r="AC340" s="75">
        <v>0</v>
      </c>
      <c r="AD340" s="75">
        <v>0</v>
      </c>
      <c r="AE340" s="75">
        <v>0</v>
      </c>
      <c r="AF340" s="75">
        <v>0</v>
      </c>
      <c r="AG340" s="75">
        <v>0</v>
      </c>
      <c r="AH340" s="75">
        <v>0</v>
      </c>
      <c r="AI340" s="75">
        <v>0</v>
      </c>
      <c r="AJ340" s="75">
        <v>0</v>
      </c>
      <c r="AK340" s="75">
        <v>0</v>
      </c>
      <c r="AL340" s="75">
        <v>0</v>
      </c>
      <c r="AM340" s="75">
        <v>0</v>
      </c>
      <c r="AN340" s="75">
        <v>0</v>
      </c>
      <c r="AO340" s="75">
        <v>0</v>
      </c>
      <c r="AP340" s="75">
        <v>1</v>
      </c>
      <c r="AQ340" s="75">
        <v>0</v>
      </c>
      <c r="AR340" s="75">
        <v>1</v>
      </c>
      <c r="AS340" s="75">
        <v>0</v>
      </c>
      <c r="AT340" s="75">
        <v>0</v>
      </c>
      <c r="AU340" s="75">
        <v>0</v>
      </c>
      <c r="AV340" s="75">
        <v>0</v>
      </c>
      <c r="AW340" s="75">
        <v>0</v>
      </c>
      <c r="AX340" s="75">
        <v>1</v>
      </c>
      <c r="AY340" s="75">
        <v>0</v>
      </c>
      <c r="AZ340" s="75">
        <v>0</v>
      </c>
      <c r="BA340" s="75">
        <v>0</v>
      </c>
      <c r="BB340" s="75">
        <v>0</v>
      </c>
      <c r="BC340" s="75">
        <v>1</v>
      </c>
      <c r="BD340" s="75">
        <v>0</v>
      </c>
      <c r="BE340" s="75">
        <v>0</v>
      </c>
      <c r="BF340" s="75">
        <v>0</v>
      </c>
      <c r="BG340" s="75">
        <v>0</v>
      </c>
      <c r="BH340" s="75">
        <v>0</v>
      </c>
      <c r="BI340" s="75" t="s">
        <v>254</v>
      </c>
      <c r="BJ340" s="75" t="s">
        <v>254</v>
      </c>
      <c r="BK340" s="75" t="s">
        <v>254</v>
      </c>
      <c r="BL340" s="75">
        <v>0</v>
      </c>
      <c r="BM340" s="75">
        <f t="shared" si="66"/>
        <v>0</v>
      </c>
      <c r="BN340" s="75">
        <f t="shared" si="67"/>
        <v>0</v>
      </c>
      <c r="BO340" s="75">
        <f t="shared" si="68"/>
        <v>4</v>
      </c>
      <c r="BP340" s="75">
        <f t="shared" si="69"/>
        <v>4</v>
      </c>
      <c r="BQ340" s="241" t="s">
        <v>363</v>
      </c>
      <c r="BR340" s="138" t="s">
        <v>622</v>
      </c>
      <c r="BS340" s="110" t="s">
        <v>539</v>
      </c>
      <c r="BT340" s="110">
        <v>0</v>
      </c>
      <c r="BU340" s="75">
        <v>0</v>
      </c>
    </row>
    <row r="341" spans="1:74" x14ac:dyDescent="0.75">
      <c r="C341">
        <v>1268</v>
      </c>
      <c r="D341" s="75" t="s">
        <v>357</v>
      </c>
      <c r="E341" s="75" t="s">
        <v>358</v>
      </c>
      <c r="F341" s="75" t="s">
        <v>359</v>
      </c>
      <c r="G341" s="75" t="s">
        <v>116</v>
      </c>
      <c r="H341">
        <v>18.3506</v>
      </c>
      <c r="I341">
        <v>-64.699183000000005</v>
      </c>
      <c r="J341" s="3">
        <v>45042</v>
      </c>
      <c r="K341" s="75" t="s">
        <v>367</v>
      </c>
      <c r="L341" s="75" t="s">
        <v>374</v>
      </c>
      <c r="M341" s="75">
        <v>0</v>
      </c>
      <c r="N341" s="75">
        <v>2</v>
      </c>
      <c r="O341" s="75" t="s">
        <v>362</v>
      </c>
      <c r="P341" s="88">
        <f>SUM(TreatmentUsed!E4545:E4566)</f>
        <v>351</v>
      </c>
      <c r="Q341" s="75">
        <v>402</v>
      </c>
      <c r="R341" s="75">
        <v>0</v>
      </c>
      <c r="S341" s="75">
        <v>0</v>
      </c>
      <c r="T341" s="75">
        <v>0</v>
      </c>
      <c r="U341" s="75">
        <v>0</v>
      </c>
      <c r="V341" s="75">
        <v>0</v>
      </c>
      <c r="W341" s="75">
        <v>0</v>
      </c>
      <c r="X341" s="75">
        <v>0</v>
      </c>
      <c r="Y341" s="75">
        <v>0</v>
      </c>
      <c r="Z341" s="75">
        <v>0</v>
      </c>
      <c r="AA341" s="75">
        <v>0</v>
      </c>
      <c r="AB341" s="75">
        <v>0</v>
      </c>
      <c r="AC341" s="75">
        <v>0</v>
      </c>
      <c r="AD341" s="75">
        <v>0</v>
      </c>
      <c r="AE341" s="75">
        <v>0</v>
      </c>
      <c r="AF341" s="75">
        <v>0</v>
      </c>
      <c r="AG341" s="75">
        <v>0</v>
      </c>
      <c r="AH341" s="75">
        <v>0</v>
      </c>
      <c r="AI341" s="75">
        <v>0</v>
      </c>
      <c r="AJ341" s="75">
        <v>0</v>
      </c>
      <c r="AK341" s="75">
        <v>0</v>
      </c>
      <c r="AL341" s="75">
        <v>0</v>
      </c>
      <c r="AM341" s="75">
        <v>0</v>
      </c>
      <c r="AN341" s="75">
        <v>0</v>
      </c>
      <c r="AO341" s="75">
        <v>0</v>
      </c>
      <c r="AP341" s="75">
        <v>0</v>
      </c>
      <c r="AQ341" s="75">
        <v>0</v>
      </c>
      <c r="AR341" s="75">
        <v>2</v>
      </c>
      <c r="AS341" s="75">
        <v>0</v>
      </c>
      <c r="AT341" s="75">
        <v>0</v>
      </c>
      <c r="AU341" s="75">
        <v>2</v>
      </c>
      <c r="AV341" s="75">
        <v>0</v>
      </c>
      <c r="AW341" s="75">
        <v>0</v>
      </c>
      <c r="AX341" s="75">
        <v>0</v>
      </c>
      <c r="AY341" s="84">
        <v>8</v>
      </c>
      <c r="AZ341" s="84">
        <v>3</v>
      </c>
      <c r="BA341" s="84">
        <v>3</v>
      </c>
      <c r="BB341" s="75">
        <v>1</v>
      </c>
      <c r="BC341" s="75">
        <v>3</v>
      </c>
      <c r="BD341" s="75">
        <v>0</v>
      </c>
      <c r="BE341" s="75">
        <v>0</v>
      </c>
      <c r="BF341" s="75">
        <v>0</v>
      </c>
      <c r="BG341" s="75">
        <v>0</v>
      </c>
      <c r="BH341" s="75">
        <v>0</v>
      </c>
      <c r="BI341" s="75" t="s">
        <v>254</v>
      </c>
      <c r="BJ341" s="75" t="s">
        <v>254</v>
      </c>
      <c r="BK341" s="75" t="s">
        <v>254</v>
      </c>
      <c r="BL341" s="75">
        <v>0</v>
      </c>
      <c r="BM341" s="75">
        <f t="shared" si="66"/>
        <v>0</v>
      </c>
      <c r="BN341" s="75">
        <f t="shared" si="67"/>
        <v>0</v>
      </c>
      <c r="BO341" s="75">
        <f t="shared" si="68"/>
        <v>22</v>
      </c>
      <c r="BP341" s="75">
        <f t="shared" si="69"/>
        <v>22</v>
      </c>
      <c r="BQ341" s="241" t="s">
        <v>363</v>
      </c>
      <c r="BS341" s="110" t="s">
        <v>539</v>
      </c>
      <c r="BT341" s="110">
        <v>0</v>
      </c>
      <c r="BU341" s="75">
        <v>0</v>
      </c>
    </row>
    <row r="342" spans="1:74" s="205" customFormat="1" x14ac:dyDescent="0.75">
      <c r="A342" s="232"/>
      <c r="B342" s="235"/>
      <c r="C342" s="205">
        <v>1269</v>
      </c>
      <c r="D342" s="225" t="s">
        <v>357</v>
      </c>
      <c r="E342" s="225" t="s">
        <v>358</v>
      </c>
      <c r="F342" s="225" t="s">
        <v>359</v>
      </c>
      <c r="G342" s="225" t="s">
        <v>116</v>
      </c>
      <c r="H342" s="205">
        <v>18.3506</v>
      </c>
      <c r="I342" s="205">
        <v>-64.699183000000005</v>
      </c>
      <c r="J342" s="201">
        <v>45055</v>
      </c>
      <c r="K342" s="225" t="s">
        <v>367</v>
      </c>
      <c r="L342" s="225" t="s">
        <v>374</v>
      </c>
      <c r="M342" s="225">
        <v>0</v>
      </c>
      <c r="N342" s="225">
        <v>3</v>
      </c>
      <c r="O342" s="225" t="s">
        <v>362</v>
      </c>
      <c r="P342" s="236">
        <f>SUM(TreatmentUsed!E4567:E4594)</f>
        <v>422</v>
      </c>
      <c r="Q342" s="225">
        <v>0</v>
      </c>
      <c r="R342" s="225">
        <v>0</v>
      </c>
      <c r="S342" s="225">
        <v>0</v>
      </c>
      <c r="T342" s="225">
        <v>0</v>
      </c>
      <c r="U342" s="225">
        <v>0</v>
      </c>
      <c r="V342" s="225">
        <v>0</v>
      </c>
      <c r="W342" s="225">
        <v>0</v>
      </c>
      <c r="X342" s="225">
        <v>0</v>
      </c>
      <c r="Y342" s="225">
        <v>0</v>
      </c>
      <c r="Z342" s="225">
        <v>0</v>
      </c>
      <c r="AA342" s="225">
        <v>0</v>
      </c>
      <c r="AB342" s="225">
        <v>0</v>
      </c>
      <c r="AC342" s="225">
        <v>0</v>
      </c>
      <c r="AD342" s="225">
        <v>0</v>
      </c>
      <c r="AE342" s="225">
        <v>0</v>
      </c>
      <c r="AF342" s="225">
        <v>0</v>
      </c>
      <c r="AG342" s="225">
        <v>0</v>
      </c>
      <c r="AH342" s="225">
        <v>0</v>
      </c>
      <c r="AI342" s="225">
        <v>0</v>
      </c>
      <c r="AJ342" s="225">
        <v>0</v>
      </c>
      <c r="AK342" s="225">
        <v>0</v>
      </c>
      <c r="AL342" s="225">
        <v>0</v>
      </c>
      <c r="AM342" s="225">
        <v>0</v>
      </c>
      <c r="AN342" s="225">
        <v>0</v>
      </c>
      <c r="AO342" s="225">
        <v>0</v>
      </c>
      <c r="AP342" s="225">
        <v>0</v>
      </c>
      <c r="AQ342" s="225">
        <v>0</v>
      </c>
      <c r="AR342" s="233">
        <v>3</v>
      </c>
      <c r="AS342" s="225">
        <v>0</v>
      </c>
      <c r="AT342" s="225">
        <v>0</v>
      </c>
      <c r="AU342" s="225">
        <v>4</v>
      </c>
      <c r="AV342" s="225">
        <v>0</v>
      </c>
      <c r="AW342" s="225">
        <v>0</v>
      </c>
      <c r="AX342" s="225">
        <v>0</v>
      </c>
      <c r="AY342" s="233">
        <v>10</v>
      </c>
      <c r="AZ342" s="233">
        <v>3</v>
      </c>
      <c r="BA342" s="233">
        <v>3</v>
      </c>
      <c r="BB342" s="225">
        <v>1</v>
      </c>
      <c r="BC342" s="233">
        <v>3</v>
      </c>
      <c r="BD342" s="225">
        <v>0</v>
      </c>
      <c r="BE342" s="225">
        <v>0</v>
      </c>
      <c r="BF342" s="225">
        <v>1</v>
      </c>
      <c r="BG342" s="225">
        <v>0</v>
      </c>
      <c r="BH342" s="225">
        <v>0</v>
      </c>
      <c r="BI342" s="225" t="s">
        <v>254</v>
      </c>
      <c r="BJ342" s="225" t="s">
        <v>254</v>
      </c>
      <c r="BK342" s="225" t="s">
        <v>254</v>
      </c>
      <c r="BL342" s="225">
        <v>0</v>
      </c>
      <c r="BM342" s="225">
        <f t="shared" ref="BM342:BM351" si="70">SUM(R342:AD342)</f>
        <v>0</v>
      </c>
      <c r="BN342" s="225">
        <f t="shared" ref="BN342:BN351" si="71">SUM(AE342:AN342)</f>
        <v>0</v>
      </c>
      <c r="BO342" s="225">
        <f t="shared" ref="BO342:BO351" si="72">SUM(AO342:BH342)</f>
        <v>28</v>
      </c>
      <c r="BP342" s="225">
        <f t="shared" ref="BP342:BP351" si="73">SUM(BM342:BO342)</f>
        <v>28</v>
      </c>
      <c r="BQ342" s="241" t="s">
        <v>363</v>
      </c>
      <c r="BR342" s="249" t="s">
        <v>623</v>
      </c>
      <c r="BS342" s="230" t="s">
        <v>539</v>
      </c>
      <c r="BT342" s="230">
        <v>0</v>
      </c>
      <c r="BU342" s="225">
        <v>0</v>
      </c>
      <c r="BV342" s="225"/>
    </row>
    <row r="343" spans="1:74" x14ac:dyDescent="0.75">
      <c r="C343">
        <v>1270</v>
      </c>
      <c r="D343" s="75" t="s">
        <v>357</v>
      </c>
      <c r="E343" s="75" t="s">
        <v>358</v>
      </c>
      <c r="F343" s="75" t="s">
        <v>359</v>
      </c>
      <c r="G343" s="75" t="s">
        <v>116</v>
      </c>
      <c r="H343">
        <v>18.3506</v>
      </c>
      <c r="I343">
        <v>-64.699183000000005</v>
      </c>
      <c r="J343" s="3">
        <v>45055</v>
      </c>
      <c r="K343" s="75" t="s">
        <v>367</v>
      </c>
      <c r="L343" s="75" t="s">
        <v>374</v>
      </c>
      <c r="M343" s="75">
        <v>0</v>
      </c>
      <c r="N343" s="75">
        <v>3</v>
      </c>
      <c r="O343" s="75" t="s">
        <v>362</v>
      </c>
      <c r="P343" s="88">
        <f>SUM(TreatmentUsed!E4595:E4615)</f>
        <v>314</v>
      </c>
      <c r="Q343" s="75">
        <v>0</v>
      </c>
      <c r="R343" s="75">
        <v>0</v>
      </c>
      <c r="S343" s="75">
        <v>0</v>
      </c>
      <c r="T343" s="75">
        <v>0</v>
      </c>
      <c r="U343" s="75">
        <v>0</v>
      </c>
      <c r="V343" s="75">
        <v>0</v>
      </c>
      <c r="W343" s="75">
        <v>0</v>
      </c>
      <c r="X343" s="75">
        <v>0</v>
      </c>
      <c r="Y343" s="75">
        <v>0</v>
      </c>
      <c r="Z343" s="75">
        <v>0</v>
      </c>
      <c r="AA343" s="75">
        <v>0</v>
      </c>
      <c r="AB343" s="75">
        <v>0</v>
      </c>
      <c r="AC343" s="75">
        <v>0</v>
      </c>
      <c r="AD343" s="75">
        <v>0</v>
      </c>
      <c r="AE343" s="75">
        <v>0</v>
      </c>
      <c r="AF343" s="75">
        <v>0</v>
      </c>
      <c r="AG343" s="75">
        <v>0</v>
      </c>
      <c r="AH343" s="75">
        <v>0</v>
      </c>
      <c r="AI343" s="75">
        <v>0</v>
      </c>
      <c r="AJ343" s="75">
        <v>0</v>
      </c>
      <c r="AK343" s="75">
        <v>0</v>
      </c>
      <c r="AL343" s="75">
        <v>0</v>
      </c>
      <c r="AM343" s="75">
        <v>0</v>
      </c>
      <c r="AN343" s="75">
        <v>0</v>
      </c>
      <c r="AO343" s="75">
        <v>0</v>
      </c>
      <c r="AP343" s="75">
        <v>0</v>
      </c>
      <c r="AQ343" s="75">
        <v>0</v>
      </c>
      <c r="AR343" s="75">
        <v>5</v>
      </c>
      <c r="AS343" s="84">
        <v>0</v>
      </c>
      <c r="AT343" s="75">
        <v>0</v>
      </c>
      <c r="AU343" s="75">
        <v>1</v>
      </c>
      <c r="AV343" s="75">
        <v>0</v>
      </c>
      <c r="AW343" s="75">
        <v>0</v>
      </c>
      <c r="AX343" s="75">
        <v>0</v>
      </c>
      <c r="AY343" s="75">
        <v>3</v>
      </c>
      <c r="AZ343" s="84">
        <v>4</v>
      </c>
      <c r="BA343" s="84">
        <v>3</v>
      </c>
      <c r="BB343" s="75">
        <v>0</v>
      </c>
      <c r="BC343" s="84">
        <v>4</v>
      </c>
      <c r="BD343" s="75">
        <v>0</v>
      </c>
      <c r="BE343" s="75">
        <v>0</v>
      </c>
      <c r="BF343" s="75">
        <v>0</v>
      </c>
      <c r="BG343" s="75">
        <v>0</v>
      </c>
      <c r="BH343" s="75">
        <v>0</v>
      </c>
      <c r="BI343" s="75" t="s">
        <v>254</v>
      </c>
      <c r="BJ343" s="75" t="s">
        <v>254</v>
      </c>
      <c r="BK343" s="75" t="s">
        <v>254</v>
      </c>
      <c r="BL343" s="75">
        <v>0</v>
      </c>
      <c r="BM343" s="75">
        <f t="shared" si="70"/>
        <v>0</v>
      </c>
      <c r="BN343" s="75">
        <f t="shared" si="71"/>
        <v>0</v>
      </c>
      <c r="BO343" s="84">
        <f t="shared" si="72"/>
        <v>20</v>
      </c>
      <c r="BP343" s="75">
        <f t="shared" si="73"/>
        <v>20</v>
      </c>
      <c r="BQ343" s="241" t="s">
        <v>363</v>
      </c>
      <c r="BR343" s="138" t="s">
        <v>624</v>
      </c>
      <c r="BS343" s="110" t="s">
        <v>539</v>
      </c>
      <c r="BT343" s="110">
        <v>0</v>
      </c>
      <c r="BU343" s="75">
        <v>0</v>
      </c>
    </row>
    <row r="344" spans="1:74" x14ac:dyDescent="0.75">
      <c r="C344">
        <v>1271</v>
      </c>
      <c r="D344" s="75" t="s">
        <v>357</v>
      </c>
      <c r="E344" s="75" t="s">
        <v>358</v>
      </c>
      <c r="F344" s="75" t="s">
        <v>359</v>
      </c>
      <c r="G344" s="75" t="s">
        <v>116</v>
      </c>
      <c r="H344">
        <v>18.3506</v>
      </c>
      <c r="I344">
        <v>-64.699183000000005</v>
      </c>
      <c r="J344" s="3">
        <v>45055</v>
      </c>
      <c r="K344" s="75" t="s">
        <v>367</v>
      </c>
      <c r="L344" s="75" t="s">
        <v>374</v>
      </c>
      <c r="M344" s="75">
        <v>0</v>
      </c>
      <c r="N344" s="75">
        <v>3</v>
      </c>
      <c r="O344" s="75" t="s">
        <v>362</v>
      </c>
      <c r="P344" s="88">
        <f>SUM(TreatmentUsed!E4616:E4620)</f>
        <v>89</v>
      </c>
      <c r="Q344" s="75">
        <v>0</v>
      </c>
      <c r="R344" s="75">
        <v>0</v>
      </c>
      <c r="S344" s="75">
        <v>0</v>
      </c>
      <c r="T344" s="75">
        <v>0</v>
      </c>
      <c r="U344" s="75">
        <v>0</v>
      </c>
      <c r="V344" s="75">
        <v>0</v>
      </c>
      <c r="W344" s="75">
        <v>0</v>
      </c>
      <c r="X344" s="75">
        <v>0</v>
      </c>
      <c r="Y344" s="75">
        <v>0</v>
      </c>
      <c r="Z344" s="75">
        <v>0</v>
      </c>
      <c r="AA344" s="75">
        <v>0</v>
      </c>
      <c r="AB344" s="75">
        <v>0</v>
      </c>
      <c r="AC344" s="75">
        <v>0</v>
      </c>
      <c r="AD344" s="75">
        <v>0</v>
      </c>
      <c r="AE344" s="75">
        <v>0</v>
      </c>
      <c r="AF344" s="75">
        <v>0</v>
      </c>
      <c r="AG344" s="75">
        <v>0</v>
      </c>
      <c r="AH344" s="75">
        <v>0</v>
      </c>
      <c r="AI344" s="75">
        <v>0</v>
      </c>
      <c r="AJ344" s="75">
        <v>0</v>
      </c>
      <c r="AK344" s="75">
        <v>0</v>
      </c>
      <c r="AL344" s="75">
        <v>0</v>
      </c>
      <c r="AM344" s="75">
        <v>0</v>
      </c>
      <c r="AN344" s="75">
        <v>0</v>
      </c>
      <c r="AO344" s="75">
        <v>0</v>
      </c>
      <c r="AP344" s="75">
        <v>0</v>
      </c>
      <c r="AQ344" s="75">
        <v>0</v>
      </c>
      <c r="AR344" s="75">
        <v>2</v>
      </c>
      <c r="AS344" s="75">
        <v>0</v>
      </c>
      <c r="AT344" s="75">
        <v>0</v>
      </c>
      <c r="AU344" s="75">
        <v>0</v>
      </c>
      <c r="AV344" s="75">
        <v>0</v>
      </c>
      <c r="AW344" s="75">
        <v>0</v>
      </c>
      <c r="AX344" s="75">
        <v>0</v>
      </c>
      <c r="AY344" s="75">
        <v>0</v>
      </c>
      <c r="AZ344" s="75">
        <v>0</v>
      </c>
      <c r="BA344" s="75">
        <v>0</v>
      </c>
      <c r="BB344" s="75">
        <v>0</v>
      </c>
      <c r="BC344" s="84">
        <v>4</v>
      </c>
      <c r="BD344" s="75">
        <v>0</v>
      </c>
      <c r="BE344" s="75">
        <v>0</v>
      </c>
      <c r="BF344" s="75">
        <v>0</v>
      </c>
      <c r="BG344" s="75">
        <v>0</v>
      </c>
      <c r="BH344" s="75">
        <v>0</v>
      </c>
      <c r="BI344" s="75" t="s">
        <v>254</v>
      </c>
      <c r="BJ344" s="75" t="s">
        <v>254</v>
      </c>
      <c r="BK344" s="75" t="s">
        <v>254</v>
      </c>
      <c r="BL344" s="75">
        <v>0</v>
      </c>
      <c r="BM344" s="75">
        <f t="shared" si="70"/>
        <v>0</v>
      </c>
      <c r="BN344" s="75">
        <f t="shared" si="71"/>
        <v>0</v>
      </c>
      <c r="BO344" s="84">
        <f t="shared" si="72"/>
        <v>6</v>
      </c>
      <c r="BP344" s="75">
        <f t="shared" si="73"/>
        <v>6</v>
      </c>
      <c r="BQ344" s="241" t="s">
        <v>363</v>
      </c>
      <c r="BR344" s="138" t="s">
        <v>625</v>
      </c>
      <c r="BS344" s="110" t="s">
        <v>539</v>
      </c>
      <c r="BT344" s="110">
        <v>0</v>
      </c>
      <c r="BU344" s="139">
        <v>0</v>
      </c>
    </row>
    <row r="345" spans="1:74" x14ac:dyDescent="0.75">
      <c r="C345">
        <v>1272</v>
      </c>
      <c r="D345" s="75" t="s">
        <v>357</v>
      </c>
      <c r="E345" s="75" t="s">
        <v>358</v>
      </c>
      <c r="F345" s="75" t="s">
        <v>359</v>
      </c>
      <c r="G345" s="75" t="s">
        <v>116</v>
      </c>
      <c r="H345">
        <v>18.3506</v>
      </c>
      <c r="I345">
        <v>-64.699183000000005</v>
      </c>
      <c r="J345" s="3">
        <v>45056</v>
      </c>
      <c r="K345" s="75" t="s">
        <v>367</v>
      </c>
      <c r="L345" s="75" t="s">
        <v>374</v>
      </c>
      <c r="M345" s="75">
        <v>0</v>
      </c>
      <c r="N345" s="75">
        <v>2</v>
      </c>
      <c r="O345" s="75" t="s">
        <v>362</v>
      </c>
      <c r="P345" s="88">
        <f>SUM(TreatmentUsed!E4621:E4634)</f>
        <v>269</v>
      </c>
      <c r="Q345" s="75">
        <v>0</v>
      </c>
      <c r="R345" s="75">
        <v>0</v>
      </c>
      <c r="S345" s="75">
        <v>0</v>
      </c>
      <c r="T345" s="75">
        <v>0</v>
      </c>
      <c r="U345" s="75">
        <v>0</v>
      </c>
      <c r="V345" s="75">
        <v>0</v>
      </c>
      <c r="W345" s="75">
        <v>0</v>
      </c>
      <c r="X345" s="75">
        <v>0</v>
      </c>
      <c r="Y345" s="75">
        <v>0</v>
      </c>
      <c r="Z345" s="75">
        <v>0</v>
      </c>
      <c r="AA345" s="75">
        <v>0</v>
      </c>
      <c r="AB345" s="75">
        <v>0</v>
      </c>
      <c r="AC345" s="75">
        <v>0</v>
      </c>
      <c r="AD345" s="75">
        <v>0</v>
      </c>
      <c r="AE345" s="75">
        <v>0</v>
      </c>
      <c r="AF345" s="75">
        <v>0</v>
      </c>
      <c r="AG345" s="75">
        <v>0</v>
      </c>
      <c r="AH345" s="75">
        <v>0</v>
      </c>
      <c r="AI345" s="75">
        <v>0</v>
      </c>
      <c r="AJ345" s="75">
        <v>0</v>
      </c>
      <c r="AK345" s="75">
        <v>0</v>
      </c>
      <c r="AL345" s="75">
        <v>0</v>
      </c>
      <c r="AM345" s="75">
        <v>0</v>
      </c>
      <c r="AN345" s="75">
        <v>0</v>
      </c>
      <c r="AO345" s="75">
        <v>0</v>
      </c>
      <c r="AP345" s="75">
        <v>0</v>
      </c>
      <c r="AQ345" s="75">
        <v>0</v>
      </c>
      <c r="AR345" s="75">
        <v>1</v>
      </c>
      <c r="AS345" s="75">
        <v>0</v>
      </c>
      <c r="AT345" s="75">
        <v>0</v>
      </c>
      <c r="AU345" s="75">
        <v>0</v>
      </c>
      <c r="AV345" s="75">
        <v>0</v>
      </c>
      <c r="AW345" s="75">
        <v>0</v>
      </c>
      <c r="AX345" s="75">
        <v>0</v>
      </c>
      <c r="AY345" s="84">
        <v>5</v>
      </c>
      <c r="AZ345" s="84">
        <v>1</v>
      </c>
      <c r="BA345" s="84">
        <v>2</v>
      </c>
      <c r="BB345" s="75">
        <v>0</v>
      </c>
      <c r="BC345" s="75">
        <v>5</v>
      </c>
      <c r="BD345" s="75">
        <v>0</v>
      </c>
      <c r="BE345" s="75">
        <v>0</v>
      </c>
      <c r="BF345" s="75">
        <v>0</v>
      </c>
      <c r="BG345" s="75">
        <v>0</v>
      </c>
      <c r="BH345" s="75">
        <v>0</v>
      </c>
      <c r="BI345" s="75" t="s">
        <v>254</v>
      </c>
      <c r="BJ345" s="75" t="s">
        <v>254</v>
      </c>
      <c r="BK345" s="75" t="s">
        <v>254</v>
      </c>
      <c r="BL345" s="75">
        <v>0</v>
      </c>
      <c r="BM345" s="75">
        <f t="shared" si="70"/>
        <v>0</v>
      </c>
      <c r="BN345" s="75">
        <f t="shared" si="71"/>
        <v>0</v>
      </c>
      <c r="BO345" s="84">
        <f t="shared" si="72"/>
        <v>14</v>
      </c>
      <c r="BP345" s="75">
        <f t="shared" si="73"/>
        <v>14</v>
      </c>
      <c r="BQ345" s="241" t="s">
        <v>363</v>
      </c>
      <c r="BR345" s="138" t="s">
        <v>626</v>
      </c>
      <c r="BS345" s="110" t="s">
        <v>539</v>
      </c>
      <c r="BT345" s="110">
        <v>0</v>
      </c>
      <c r="BU345" s="75">
        <v>0</v>
      </c>
    </row>
    <row r="346" spans="1:74" x14ac:dyDescent="0.75">
      <c r="C346">
        <v>1273</v>
      </c>
      <c r="D346" s="75" t="s">
        <v>357</v>
      </c>
      <c r="E346" s="75" t="s">
        <v>358</v>
      </c>
      <c r="F346" s="75" t="s">
        <v>359</v>
      </c>
      <c r="G346" s="75" t="s">
        <v>116</v>
      </c>
      <c r="H346">
        <v>18.3506</v>
      </c>
      <c r="I346">
        <v>-64.699183000000005</v>
      </c>
      <c r="J346" s="3">
        <v>45056</v>
      </c>
      <c r="K346" s="75" t="s">
        <v>367</v>
      </c>
      <c r="L346" s="75" t="s">
        <v>374</v>
      </c>
      <c r="M346" s="75">
        <v>0</v>
      </c>
      <c r="N346" s="75">
        <v>2</v>
      </c>
      <c r="O346" s="75" t="s">
        <v>362</v>
      </c>
      <c r="P346" s="88">
        <f>SUM(TreatmentUsed!E4635:E4657)</f>
        <v>380</v>
      </c>
      <c r="Q346" s="75">
        <v>0</v>
      </c>
      <c r="R346" s="75">
        <v>0</v>
      </c>
      <c r="S346" s="75">
        <v>0</v>
      </c>
      <c r="T346" s="75">
        <v>0</v>
      </c>
      <c r="U346" s="75">
        <v>0</v>
      </c>
      <c r="V346" s="75">
        <v>0</v>
      </c>
      <c r="W346" s="75">
        <v>0</v>
      </c>
      <c r="X346" s="75">
        <v>0</v>
      </c>
      <c r="Y346" s="75">
        <v>0</v>
      </c>
      <c r="Z346" s="75">
        <v>0</v>
      </c>
      <c r="AA346" s="75">
        <v>0</v>
      </c>
      <c r="AB346" s="75">
        <v>0</v>
      </c>
      <c r="AC346" s="75">
        <v>0</v>
      </c>
      <c r="AD346" s="75">
        <v>0</v>
      </c>
      <c r="AE346" s="75">
        <v>0</v>
      </c>
      <c r="AF346" s="75">
        <v>0</v>
      </c>
      <c r="AG346" s="75">
        <v>0</v>
      </c>
      <c r="AH346" s="75">
        <v>0</v>
      </c>
      <c r="AI346" s="75">
        <v>0</v>
      </c>
      <c r="AJ346" s="75">
        <v>0</v>
      </c>
      <c r="AK346" s="75">
        <v>0</v>
      </c>
      <c r="AL346" s="75">
        <v>0</v>
      </c>
      <c r="AM346" s="75">
        <v>0</v>
      </c>
      <c r="AN346" s="75">
        <v>0</v>
      </c>
      <c r="AO346" s="75">
        <v>0</v>
      </c>
      <c r="AP346" s="75">
        <v>0</v>
      </c>
      <c r="AQ346" s="75">
        <v>0</v>
      </c>
      <c r="AR346" s="75">
        <v>3</v>
      </c>
      <c r="AS346" s="75">
        <v>0</v>
      </c>
      <c r="AT346" s="75">
        <v>0</v>
      </c>
      <c r="AU346" s="75">
        <v>2</v>
      </c>
      <c r="AV346" s="75">
        <v>0</v>
      </c>
      <c r="AW346" s="75">
        <v>0</v>
      </c>
      <c r="AX346" s="75">
        <v>0</v>
      </c>
      <c r="AY346" s="84">
        <v>12</v>
      </c>
      <c r="AZ346" s="75">
        <v>0</v>
      </c>
      <c r="BA346" s="84">
        <v>5</v>
      </c>
      <c r="BB346" s="75">
        <v>0</v>
      </c>
      <c r="BC346" s="75">
        <v>1</v>
      </c>
      <c r="BD346" s="75">
        <v>0</v>
      </c>
      <c r="BE346" s="75">
        <v>0</v>
      </c>
      <c r="BF346" s="75">
        <v>0</v>
      </c>
      <c r="BG346" s="75">
        <v>0</v>
      </c>
      <c r="BH346" s="75">
        <v>0</v>
      </c>
      <c r="BI346" s="75" t="s">
        <v>254</v>
      </c>
      <c r="BJ346" s="75" t="s">
        <v>254</v>
      </c>
      <c r="BK346" s="75" t="s">
        <v>254</v>
      </c>
      <c r="BL346" s="75">
        <v>0</v>
      </c>
      <c r="BM346" s="75">
        <f t="shared" si="70"/>
        <v>0</v>
      </c>
      <c r="BN346" s="75">
        <f t="shared" si="71"/>
        <v>0</v>
      </c>
      <c r="BO346" s="75">
        <f t="shared" si="72"/>
        <v>23</v>
      </c>
      <c r="BP346" s="75">
        <f t="shared" si="73"/>
        <v>23</v>
      </c>
      <c r="BQ346" s="241" t="s">
        <v>363</v>
      </c>
      <c r="BS346" s="110" t="s">
        <v>539</v>
      </c>
      <c r="BT346" s="110">
        <v>0</v>
      </c>
      <c r="BU346" s="75">
        <v>0</v>
      </c>
    </row>
    <row r="347" spans="1:74" x14ac:dyDescent="0.75">
      <c r="C347">
        <v>1274</v>
      </c>
      <c r="D347" s="75" t="s">
        <v>357</v>
      </c>
      <c r="E347" s="75" t="s">
        <v>358</v>
      </c>
      <c r="F347" s="75" t="s">
        <v>359</v>
      </c>
      <c r="G347" s="75" t="s">
        <v>116</v>
      </c>
      <c r="H347">
        <v>18.3506</v>
      </c>
      <c r="I347">
        <v>-64.699183000000005</v>
      </c>
      <c r="J347" s="3">
        <v>45056</v>
      </c>
      <c r="K347" s="75" t="s">
        <v>367</v>
      </c>
      <c r="L347" s="75" t="s">
        <v>374</v>
      </c>
      <c r="M347" s="75">
        <v>0</v>
      </c>
      <c r="N347" s="75">
        <v>2</v>
      </c>
      <c r="O347" s="75" t="s">
        <v>362</v>
      </c>
      <c r="P347" s="88">
        <f>SUM(TreatmentUsed!E4658:E4666)</f>
        <v>171</v>
      </c>
      <c r="Q347" s="75">
        <v>36</v>
      </c>
      <c r="R347" s="75">
        <v>0</v>
      </c>
      <c r="S347" s="75">
        <v>0</v>
      </c>
      <c r="T347" s="75">
        <v>0</v>
      </c>
      <c r="U347" s="75">
        <v>0</v>
      </c>
      <c r="V347" s="75">
        <v>0</v>
      </c>
      <c r="W347" s="75">
        <v>0</v>
      </c>
      <c r="X347" s="75">
        <v>0</v>
      </c>
      <c r="Y347" s="75">
        <v>0</v>
      </c>
      <c r="Z347" s="75">
        <v>0</v>
      </c>
      <c r="AA347" s="75">
        <v>0</v>
      </c>
      <c r="AB347" s="75">
        <v>0</v>
      </c>
      <c r="AC347" s="75">
        <v>0</v>
      </c>
      <c r="AD347" s="75">
        <v>0</v>
      </c>
      <c r="AE347" s="75">
        <v>0</v>
      </c>
      <c r="AF347" s="75">
        <v>0</v>
      </c>
      <c r="AG347" s="75">
        <v>0</v>
      </c>
      <c r="AH347" s="75">
        <v>0</v>
      </c>
      <c r="AI347" s="75">
        <v>0</v>
      </c>
      <c r="AJ347" s="75">
        <v>0</v>
      </c>
      <c r="AK347" s="75">
        <v>0</v>
      </c>
      <c r="AL347" s="75">
        <v>0</v>
      </c>
      <c r="AM347" s="75">
        <v>0</v>
      </c>
      <c r="AN347" s="75">
        <v>0</v>
      </c>
      <c r="AO347" s="75">
        <v>0</v>
      </c>
      <c r="AP347" s="75">
        <v>0</v>
      </c>
      <c r="AQ347" s="75">
        <v>0</v>
      </c>
      <c r="AR347" s="75">
        <v>0</v>
      </c>
      <c r="AS347" s="75">
        <v>0</v>
      </c>
      <c r="AT347" s="75">
        <v>0</v>
      </c>
      <c r="AU347" s="75">
        <v>2</v>
      </c>
      <c r="AV347" s="75">
        <v>0</v>
      </c>
      <c r="AW347" s="75">
        <v>0</v>
      </c>
      <c r="AX347" s="75">
        <v>0</v>
      </c>
      <c r="AY347" s="84">
        <v>5</v>
      </c>
      <c r="AZ347" s="75">
        <v>2</v>
      </c>
      <c r="BA347" s="75">
        <v>0</v>
      </c>
      <c r="BB347" s="75">
        <v>0</v>
      </c>
      <c r="BC347" s="75">
        <v>0</v>
      </c>
      <c r="BD347" s="75">
        <v>0</v>
      </c>
      <c r="BE347" s="75">
        <v>0</v>
      </c>
      <c r="BF347" s="75">
        <v>0</v>
      </c>
      <c r="BG347" s="75">
        <v>0</v>
      </c>
      <c r="BH347" s="75">
        <v>0</v>
      </c>
      <c r="BI347" s="75" t="s">
        <v>254</v>
      </c>
      <c r="BJ347" s="75" t="s">
        <v>254</v>
      </c>
      <c r="BK347" s="75" t="s">
        <v>254</v>
      </c>
      <c r="BL347" s="75">
        <v>0</v>
      </c>
      <c r="BM347" s="75">
        <f t="shared" si="70"/>
        <v>0</v>
      </c>
      <c r="BN347" s="75">
        <f t="shared" si="71"/>
        <v>0</v>
      </c>
      <c r="BO347" s="75">
        <f t="shared" si="72"/>
        <v>9</v>
      </c>
      <c r="BP347" s="75">
        <f t="shared" si="73"/>
        <v>9</v>
      </c>
      <c r="BQ347" s="241" t="s">
        <v>363</v>
      </c>
      <c r="BS347" s="110" t="s">
        <v>539</v>
      </c>
      <c r="BT347" s="110">
        <v>0</v>
      </c>
      <c r="BU347" s="75">
        <v>0</v>
      </c>
    </row>
    <row r="348" spans="1:74" x14ac:dyDescent="0.75">
      <c r="C348">
        <v>1275</v>
      </c>
      <c r="D348" s="75" t="s">
        <v>357</v>
      </c>
      <c r="E348" s="75" t="s">
        <v>358</v>
      </c>
      <c r="F348" s="75" t="s">
        <v>359</v>
      </c>
      <c r="G348" s="75" t="s">
        <v>44</v>
      </c>
      <c r="H348">
        <v>18.364650000000001</v>
      </c>
      <c r="I348">
        <v>-64.726183000000006</v>
      </c>
      <c r="J348" s="81">
        <v>45057</v>
      </c>
      <c r="K348" s="75" t="s">
        <v>627</v>
      </c>
      <c r="L348" s="75" t="s">
        <v>374</v>
      </c>
      <c r="M348" s="75">
        <v>0</v>
      </c>
      <c r="N348" s="75">
        <v>2</v>
      </c>
      <c r="O348" s="75" t="s">
        <v>362</v>
      </c>
      <c r="P348" s="88">
        <f>SUM(TreatmentUsed!E4668:E4676)</f>
        <v>103</v>
      </c>
      <c r="Q348" s="75">
        <v>0</v>
      </c>
      <c r="R348" s="75">
        <v>0</v>
      </c>
      <c r="S348" s="75">
        <v>0</v>
      </c>
      <c r="T348" s="75">
        <v>0</v>
      </c>
      <c r="U348" s="75">
        <v>0</v>
      </c>
      <c r="V348" s="75">
        <v>0</v>
      </c>
      <c r="W348" s="75">
        <v>0</v>
      </c>
      <c r="X348" s="75">
        <v>0</v>
      </c>
      <c r="Y348" s="75">
        <v>0</v>
      </c>
      <c r="Z348" s="75">
        <v>0</v>
      </c>
      <c r="AA348" s="75">
        <v>0</v>
      </c>
      <c r="AB348" s="75">
        <v>0</v>
      </c>
      <c r="AC348" s="75">
        <v>0</v>
      </c>
      <c r="AD348" s="75">
        <v>0</v>
      </c>
      <c r="AE348" s="75">
        <v>0</v>
      </c>
      <c r="AF348" s="75">
        <v>0</v>
      </c>
      <c r="AG348" s="75">
        <v>0</v>
      </c>
      <c r="AH348" s="75">
        <v>0</v>
      </c>
      <c r="AI348" s="75">
        <v>0</v>
      </c>
      <c r="AJ348" s="75">
        <v>0</v>
      </c>
      <c r="AK348" s="75">
        <v>0</v>
      </c>
      <c r="AL348" s="75">
        <v>0</v>
      </c>
      <c r="AM348" s="75">
        <v>0</v>
      </c>
      <c r="AN348" s="75">
        <v>0</v>
      </c>
      <c r="AO348" s="75">
        <v>1</v>
      </c>
      <c r="AP348" s="75">
        <v>0</v>
      </c>
      <c r="AQ348" s="75">
        <v>0</v>
      </c>
      <c r="AR348" s="75">
        <v>0</v>
      </c>
      <c r="AS348" s="84">
        <v>3</v>
      </c>
      <c r="AT348" s="75">
        <v>0</v>
      </c>
      <c r="AU348" s="75">
        <v>2</v>
      </c>
      <c r="AV348" s="75">
        <v>0</v>
      </c>
      <c r="AW348" s="75">
        <v>0</v>
      </c>
      <c r="AX348" s="75">
        <v>0</v>
      </c>
      <c r="AY348" s="75">
        <v>0</v>
      </c>
      <c r="AZ348" s="75">
        <v>1</v>
      </c>
      <c r="BA348" s="75">
        <v>0</v>
      </c>
      <c r="BB348" s="75">
        <v>0</v>
      </c>
      <c r="BC348" s="75">
        <v>1</v>
      </c>
      <c r="BD348" s="75">
        <v>0</v>
      </c>
      <c r="BE348" s="75">
        <v>0</v>
      </c>
      <c r="BF348" s="75">
        <v>1</v>
      </c>
      <c r="BG348" s="75">
        <v>0</v>
      </c>
      <c r="BH348" s="75">
        <v>0</v>
      </c>
      <c r="BI348" s="75" t="s">
        <v>254</v>
      </c>
      <c r="BJ348" s="75" t="s">
        <v>254</v>
      </c>
      <c r="BK348" s="75" t="s">
        <v>254</v>
      </c>
      <c r="BL348" s="75">
        <v>0</v>
      </c>
      <c r="BM348" s="75">
        <f t="shared" si="70"/>
        <v>0</v>
      </c>
      <c r="BN348" s="75">
        <f t="shared" si="71"/>
        <v>0</v>
      </c>
      <c r="BO348" s="84">
        <f t="shared" si="72"/>
        <v>9</v>
      </c>
      <c r="BP348" s="75">
        <f t="shared" si="73"/>
        <v>9</v>
      </c>
      <c r="BQ348" s="241" t="s">
        <v>363</v>
      </c>
      <c r="BS348" s="110" t="s">
        <v>539</v>
      </c>
      <c r="BT348" s="110">
        <v>0</v>
      </c>
      <c r="BU348" s="75">
        <v>0</v>
      </c>
    </row>
    <row r="349" spans="1:74" x14ac:dyDescent="0.75">
      <c r="C349">
        <v>1276</v>
      </c>
      <c r="D349" s="75" t="s">
        <v>357</v>
      </c>
      <c r="E349" s="75" t="s">
        <v>358</v>
      </c>
      <c r="F349" s="75" t="s">
        <v>359</v>
      </c>
      <c r="G349" s="75" t="s">
        <v>39</v>
      </c>
      <c r="H349">
        <v>18.357482999999998</v>
      </c>
      <c r="I349">
        <v>-64.751949999999994</v>
      </c>
      <c r="J349" s="81">
        <v>45057</v>
      </c>
      <c r="K349" s="75" t="s">
        <v>627</v>
      </c>
      <c r="L349" s="75" t="s">
        <v>374</v>
      </c>
      <c r="M349" s="75">
        <v>0</v>
      </c>
      <c r="N349" s="75">
        <v>2</v>
      </c>
      <c r="O349" s="75" t="s">
        <v>362</v>
      </c>
      <c r="P349" s="88">
        <f>SUM(TreatmentUsed!E4677:E4686)</f>
        <v>101</v>
      </c>
      <c r="Q349" s="75">
        <v>0</v>
      </c>
      <c r="R349" s="75">
        <v>0</v>
      </c>
      <c r="S349" s="75">
        <v>0</v>
      </c>
      <c r="T349" s="75">
        <v>0</v>
      </c>
      <c r="U349" s="75">
        <v>0</v>
      </c>
      <c r="V349" s="75">
        <v>0</v>
      </c>
      <c r="W349" s="75">
        <v>0</v>
      </c>
      <c r="X349" s="75">
        <v>0</v>
      </c>
      <c r="Y349" s="75">
        <v>0</v>
      </c>
      <c r="Z349" s="75">
        <v>0</v>
      </c>
      <c r="AA349" s="75">
        <v>0</v>
      </c>
      <c r="AB349" s="75">
        <v>0</v>
      </c>
      <c r="AC349" s="75">
        <v>0</v>
      </c>
      <c r="AD349" s="75">
        <v>0</v>
      </c>
      <c r="AE349" s="75">
        <v>0</v>
      </c>
      <c r="AF349" s="75">
        <v>0</v>
      </c>
      <c r="AG349" s="75">
        <v>0</v>
      </c>
      <c r="AH349" s="75">
        <v>0</v>
      </c>
      <c r="AI349" s="75">
        <v>0</v>
      </c>
      <c r="AJ349" s="75">
        <v>0</v>
      </c>
      <c r="AK349" s="75">
        <v>0</v>
      </c>
      <c r="AL349" s="75">
        <v>0</v>
      </c>
      <c r="AM349" s="75">
        <v>0</v>
      </c>
      <c r="AN349" s="75">
        <v>0</v>
      </c>
      <c r="AO349" s="75">
        <v>0</v>
      </c>
      <c r="AP349" s="75">
        <v>0</v>
      </c>
      <c r="AQ349" s="84">
        <v>0</v>
      </c>
      <c r="AR349" s="75">
        <v>0</v>
      </c>
      <c r="AS349" s="84">
        <v>4</v>
      </c>
      <c r="AT349" s="84">
        <v>4</v>
      </c>
      <c r="AU349" s="75">
        <v>0</v>
      </c>
      <c r="AV349" s="75">
        <v>0</v>
      </c>
      <c r="AW349" s="75">
        <v>0</v>
      </c>
      <c r="AX349" s="75">
        <v>0</v>
      </c>
      <c r="AY349" s="75">
        <v>0</v>
      </c>
      <c r="AZ349" s="75">
        <v>0</v>
      </c>
      <c r="BA349" s="75">
        <v>0</v>
      </c>
      <c r="BB349" s="75">
        <v>0</v>
      </c>
      <c r="BC349" s="84">
        <v>1</v>
      </c>
      <c r="BD349" s="75">
        <v>0</v>
      </c>
      <c r="BE349" s="75">
        <v>0</v>
      </c>
      <c r="BF349" s="75">
        <v>1</v>
      </c>
      <c r="BG349" s="75">
        <v>0</v>
      </c>
      <c r="BH349" s="75">
        <v>0</v>
      </c>
      <c r="BI349" s="75" t="s">
        <v>254</v>
      </c>
      <c r="BJ349" s="75" t="s">
        <v>254</v>
      </c>
      <c r="BK349" s="75" t="s">
        <v>254</v>
      </c>
      <c r="BL349" s="75">
        <v>0</v>
      </c>
      <c r="BM349" s="75">
        <f t="shared" si="70"/>
        <v>0</v>
      </c>
      <c r="BN349" s="75">
        <f t="shared" si="71"/>
        <v>0</v>
      </c>
      <c r="BO349" s="75">
        <f t="shared" si="72"/>
        <v>10</v>
      </c>
      <c r="BP349" s="75">
        <f t="shared" si="73"/>
        <v>10</v>
      </c>
      <c r="BQ349" s="241" t="s">
        <v>363</v>
      </c>
      <c r="BR349" s="255">
        <v>919913957942901</v>
      </c>
      <c r="BS349" s="110" t="s">
        <v>539</v>
      </c>
      <c r="BT349" s="110">
        <v>0</v>
      </c>
      <c r="BU349" s="75">
        <v>0</v>
      </c>
    </row>
    <row r="350" spans="1:74" x14ac:dyDescent="0.75">
      <c r="C350">
        <v>1308</v>
      </c>
      <c r="D350" s="75" t="s">
        <v>357</v>
      </c>
      <c r="E350" s="75" t="s">
        <v>358</v>
      </c>
      <c r="F350" s="75" t="s">
        <v>359</v>
      </c>
      <c r="G350" s="75" t="s">
        <v>23</v>
      </c>
      <c r="H350" s="75">
        <v>18.365749999999998</v>
      </c>
      <c r="I350" s="75">
        <v>-64.773619999999994</v>
      </c>
      <c r="J350" s="81">
        <v>45057</v>
      </c>
      <c r="K350" s="75" t="s">
        <v>627</v>
      </c>
      <c r="L350" s="75" t="s">
        <v>360</v>
      </c>
      <c r="M350" s="75">
        <v>0</v>
      </c>
      <c r="N350" s="75">
        <v>2</v>
      </c>
      <c r="O350" s="75" t="s">
        <v>362</v>
      </c>
      <c r="P350" s="88">
        <f>TreatmentUsed!E4667</f>
        <v>5</v>
      </c>
      <c r="Q350" s="75">
        <v>0</v>
      </c>
      <c r="R350" s="75">
        <v>0</v>
      </c>
      <c r="S350" s="75">
        <v>0</v>
      </c>
      <c r="T350" s="75">
        <v>0</v>
      </c>
      <c r="U350" s="75">
        <v>0</v>
      </c>
      <c r="V350" s="75">
        <v>0</v>
      </c>
      <c r="W350" s="75">
        <v>0</v>
      </c>
      <c r="X350" s="75">
        <v>0</v>
      </c>
      <c r="Y350" s="75">
        <v>0</v>
      </c>
      <c r="Z350" s="75">
        <v>0</v>
      </c>
      <c r="AA350" s="75">
        <v>0</v>
      </c>
      <c r="AB350" s="75">
        <v>0</v>
      </c>
      <c r="AC350" s="75">
        <v>0</v>
      </c>
      <c r="AD350" s="75">
        <v>0</v>
      </c>
      <c r="AE350" s="75">
        <v>0</v>
      </c>
      <c r="AF350" s="75">
        <v>0</v>
      </c>
      <c r="AG350" s="75">
        <v>0</v>
      </c>
      <c r="AH350" s="75">
        <v>0</v>
      </c>
      <c r="AI350" s="75">
        <v>0</v>
      </c>
      <c r="AJ350" s="75">
        <v>0</v>
      </c>
      <c r="AK350" s="75">
        <v>0</v>
      </c>
      <c r="AL350" s="75">
        <v>0</v>
      </c>
      <c r="AM350" s="75">
        <v>0</v>
      </c>
      <c r="AN350" s="75">
        <v>0</v>
      </c>
      <c r="AO350" s="75">
        <v>0</v>
      </c>
      <c r="AP350" s="75">
        <v>0</v>
      </c>
      <c r="AQ350" s="84">
        <v>1</v>
      </c>
      <c r="AR350" s="75">
        <v>0</v>
      </c>
      <c r="AS350" s="75">
        <v>0</v>
      </c>
      <c r="AT350" s="84">
        <v>0</v>
      </c>
      <c r="AU350" s="75">
        <v>0</v>
      </c>
      <c r="AV350" s="75">
        <v>0</v>
      </c>
      <c r="AW350" s="75">
        <v>0</v>
      </c>
      <c r="AX350" s="75">
        <v>0</v>
      </c>
      <c r="AY350" s="75">
        <v>0</v>
      </c>
      <c r="AZ350" s="75">
        <v>0</v>
      </c>
      <c r="BA350" s="75">
        <v>0</v>
      </c>
      <c r="BB350" s="75">
        <v>0</v>
      </c>
      <c r="BC350" s="75">
        <v>0</v>
      </c>
      <c r="BD350" s="75">
        <v>0</v>
      </c>
      <c r="BE350" s="75">
        <v>0</v>
      </c>
      <c r="BF350" s="75">
        <v>0</v>
      </c>
      <c r="BG350" s="75">
        <v>0</v>
      </c>
      <c r="BH350" s="75">
        <v>0</v>
      </c>
      <c r="BI350" s="75" t="s">
        <v>254</v>
      </c>
      <c r="BJ350" s="75" t="s">
        <v>254</v>
      </c>
      <c r="BK350" s="75" t="s">
        <v>254</v>
      </c>
      <c r="BL350" s="75">
        <v>0</v>
      </c>
      <c r="BM350" s="75">
        <f t="shared" si="70"/>
        <v>0</v>
      </c>
      <c r="BN350" s="75">
        <f t="shared" si="71"/>
        <v>0</v>
      </c>
      <c r="BO350" s="75">
        <f t="shared" si="72"/>
        <v>1</v>
      </c>
      <c r="BP350" s="75">
        <f t="shared" si="73"/>
        <v>1</v>
      </c>
      <c r="BQ350" s="241" t="s">
        <v>363</v>
      </c>
      <c r="BR350" s="138" t="s">
        <v>437</v>
      </c>
      <c r="BS350" s="110" t="s">
        <v>539</v>
      </c>
      <c r="BT350" s="110">
        <v>0</v>
      </c>
      <c r="BU350" s="75">
        <v>0</v>
      </c>
      <c r="BV350" s="75" t="s">
        <v>360</v>
      </c>
    </row>
    <row r="351" spans="1:74" x14ac:dyDescent="0.75">
      <c r="C351">
        <v>1309</v>
      </c>
      <c r="D351" s="75" t="s">
        <v>357</v>
      </c>
      <c r="E351" s="75" t="s">
        <v>358</v>
      </c>
      <c r="F351" s="75" t="s">
        <v>359</v>
      </c>
      <c r="G351" s="75" t="s">
        <v>69</v>
      </c>
      <c r="H351" s="75">
        <v>18.343233000000001</v>
      </c>
      <c r="I351" s="75">
        <v>-64.687667000000005</v>
      </c>
      <c r="J351" s="81">
        <v>45062</v>
      </c>
      <c r="K351" s="75" t="s">
        <v>628</v>
      </c>
      <c r="L351" s="75" t="s">
        <v>360</v>
      </c>
      <c r="M351" s="75">
        <v>0</v>
      </c>
      <c r="N351" s="75">
        <v>2</v>
      </c>
      <c r="O351" s="75" t="s">
        <v>362</v>
      </c>
      <c r="P351" s="88">
        <f>SUM(TreatmentUsed!E4687:E4694)</f>
        <v>48</v>
      </c>
      <c r="Q351" s="75">
        <v>0</v>
      </c>
      <c r="R351" s="75">
        <v>0</v>
      </c>
      <c r="S351" s="75">
        <v>0</v>
      </c>
      <c r="T351" s="75">
        <v>0</v>
      </c>
      <c r="U351" s="75">
        <v>0</v>
      </c>
      <c r="V351" s="75">
        <v>0</v>
      </c>
      <c r="W351" s="75">
        <v>0</v>
      </c>
      <c r="X351" s="75">
        <v>0</v>
      </c>
      <c r="Y351" s="75">
        <v>0</v>
      </c>
      <c r="Z351" s="75">
        <v>0</v>
      </c>
      <c r="AA351" s="75">
        <v>0</v>
      </c>
      <c r="AB351" s="75">
        <v>0</v>
      </c>
      <c r="AC351" s="75">
        <v>0</v>
      </c>
      <c r="AD351" s="75">
        <v>0</v>
      </c>
      <c r="AE351" s="75">
        <v>0</v>
      </c>
      <c r="AF351" s="75">
        <v>0</v>
      </c>
      <c r="AG351" s="75">
        <v>0</v>
      </c>
      <c r="AH351" s="75">
        <v>0</v>
      </c>
      <c r="AI351" s="75">
        <v>0</v>
      </c>
      <c r="AJ351" s="75">
        <v>0</v>
      </c>
      <c r="AK351" s="75">
        <v>0</v>
      </c>
      <c r="AL351" s="75">
        <v>0</v>
      </c>
      <c r="AM351" s="75">
        <v>0</v>
      </c>
      <c r="AN351" s="75">
        <v>0</v>
      </c>
      <c r="AO351" s="75">
        <v>0</v>
      </c>
      <c r="AP351" s="75">
        <v>0</v>
      </c>
      <c r="AQ351" s="75">
        <v>0</v>
      </c>
      <c r="AR351" s="75">
        <v>0</v>
      </c>
      <c r="AS351" s="75">
        <v>0</v>
      </c>
      <c r="AT351" s="75">
        <v>0</v>
      </c>
      <c r="AU351" s="75">
        <v>0</v>
      </c>
      <c r="AV351" s="75">
        <v>0</v>
      </c>
      <c r="AW351" s="75">
        <v>0</v>
      </c>
      <c r="AX351" s="75">
        <v>0</v>
      </c>
      <c r="AY351" s="75">
        <v>2</v>
      </c>
      <c r="AZ351" s="75">
        <v>1</v>
      </c>
      <c r="BA351" s="75">
        <v>1</v>
      </c>
      <c r="BB351" s="75">
        <v>0</v>
      </c>
      <c r="BC351" s="75">
        <v>0</v>
      </c>
      <c r="BD351" s="75">
        <v>0</v>
      </c>
      <c r="BE351" s="75">
        <v>0</v>
      </c>
      <c r="BF351" s="75">
        <v>4</v>
      </c>
      <c r="BG351" s="75">
        <v>0</v>
      </c>
      <c r="BH351" s="75">
        <v>0</v>
      </c>
      <c r="BI351" s="75" t="s">
        <v>254</v>
      </c>
      <c r="BJ351" s="75" t="s">
        <v>254</v>
      </c>
      <c r="BK351" s="75" t="s">
        <v>254</v>
      </c>
      <c r="BL351" s="75">
        <v>0</v>
      </c>
      <c r="BM351" s="75">
        <f t="shared" si="70"/>
        <v>0</v>
      </c>
      <c r="BN351" s="75">
        <f t="shared" si="71"/>
        <v>0</v>
      </c>
      <c r="BO351" s="75">
        <f t="shared" si="72"/>
        <v>8</v>
      </c>
      <c r="BP351" s="75">
        <f t="shared" si="73"/>
        <v>8</v>
      </c>
      <c r="BQ351" s="241" t="s">
        <v>629</v>
      </c>
      <c r="BR351" s="138" t="s">
        <v>630</v>
      </c>
      <c r="BS351" s="110" t="s">
        <v>390</v>
      </c>
      <c r="BT351" s="117">
        <v>0</v>
      </c>
      <c r="BU351" s="75">
        <v>0</v>
      </c>
    </row>
    <row r="352" spans="1:74" x14ac:dyDescent="0.75">
      <c r="C352">
        <v>1310</v>
      </c>
      <c r="D352" s="75" t="s">
        <v>357</v>
      </c>
      <c r="E352" s="75" t="s">
        <v>358</v>
      </c>
      <c r="F352" s="75" t="s">
        <v>359</v>
      </c>
      <c r="G352" s="75" t="s">
        <v>69</v>
      </c>
      <c r="H352" s="75">
        <v>18.343233000000001</v>
      </c>
      <c r="I352" s="75">
        <v>-64.687667000000005</v>
      </c>
      <c r="J352" s="81">
        <v>45062</v>
      </c>
      <c r="K352" s="75" t="s">
        <v>628</v>
      </c>
      <c r="L352" s="75" t="s">
        <v>374</v>
      </c>
      <c r="M352" s="75">
        <v>0</v>
      </c>
      <c r="N352" s="75">
        <v>2</v>
      </c>
      <c r="O352" s="75" t="s">
        <v>362</v>
      </c>
      <c r="P352" s="88">
        <f>SUM(TreatmentUsed!E4695:E4717)</f>
        <v>231</v>
      </c>
      <c r="Q352" s="75">
        <v>0</v>
      </c>
      <c r="R352" s="75">
        <v>0</v>
      </c>
      <c r="S352" s="75">
        <v>0</v>
      </c>
      <c r="T352" s="75">
        <v>0</v>
      </c>
      <c r="U352" s="75">
        <v>0</v>
      </c>
      <c r="V352" s="75">
        <v>0</v>
      </c>
      <c r="W352" s="75">
        <v>0</v>
      </c>
      <c r="X352" s="75">
        <v>0</v>
      </c>
      <c r="Y352" s="75">
        <v>0</v>
      </c>
      <c r="Z352" s="75">
        <v>0</v>
      </c>
      <c r="AA352" s="75">
        <v>0</v>
      </c>
      <c r="AB352" s="75">
        <v>0</v>
      </c>
      <c r="AC352" s="75">
        <v>0</v>
      </c>
      <c r="AD352" s="75">
        <v>0</v>
      </c>
      <c r="AE352" s="75">
        <v>0</v>
      </c>
      <c r="AF352" s="75">
        <v>0</v>
      </c>
      <c r="AG352" s="75">
        <v>0</v>
      </c>
      <c r="AH352" s="75">
        <v>0</v>
      </c>
      <c r="AI352" s="75">
        <v>0</v>
      </c>
      <c r="AJ352" s="75">
        <v>0</v>
      </c>
      <c r="AK352" s="75">
        <v>0</v>
      </c>
      <c r="AL352" s="75">
        <v>0</v>
      </c>
      <c r="AM352" s="75">
        <v>0</v>
      </c>
      <c r="AN352" s="75">
        <v>0</v>
      </c>
      <c r="AO352" s="75">
        <v>0</v>
      </c>
      <c r="AP352" s="75">
        <v>0</v>
      </c>
      <c r="AQ352" s="75">
        <v>0</v>
      </c>
      <c r="AR352" s="75">
        <v>0</v>
      </c>
      <c r="AS352" s="75">
        <v>0</v>
      </c>
      <c r="AT352" s="75">
        <v>0</v>
      </c>
      <c r="AU352" s="75">
        <v>0</v>
      </c>
      <c r="AV352" s="75">
        <v>0</v>
      </c>
      <c r="AW352" s="75">
        <v>0</v>
      </c>
      <c r="AX352" s="75">
        <v>0</v>
      </c>
      <c r="AY352" s="84">
        <v>5</v>
      </c>
      <c r="AZ352" s="84">
        <v>3</v>
      </c>
      <c r="BA352" s="84">
        <v>6</v>
      </c>
      <c r="BB352" s="75">
        <v>0</v>
      </c>
      <c r="BC352" s="75">
        <v>1</v>
      </c>
      <c r="BD352" s="75">
        <v>0</v>
      </c>
      <c r="BE352" s="75">
        <v>1</v>
      </c>
      <c r="BF352" s="84">
        <v>4</v>
      </c>
      <c r="BG352" s="75">
        <v>0</v>
      </c>
      <c r="BH352" s="84">
        <v>3</v>
      </c>
      <c r="BI352" s="75" t="s">
        <v>254</v>
      </c>
      <c r="BJ352" s="75" t="s">
        <v>254</v>
      </c>
      <c r="BK352" s="75" t="s">
        <v>254</v>
      </c>
      <c r="BL352" s="75">
        <v>0</v>
      </c>
      <c r="BM352" s="75">
        <f t="shared" ref="BM352:BM393" si="74">SUM(R352:AD352)</f>
        <v>0</v>
      </c>
      <c r="BN352" s="75">
        <v>1</v>
      </c>
      <c r="BO352" s="75">
        <f t="shared" ref="BO352:BO393" si="75">SUM(AO352:BH352)</f>
        <v>23</v>
      </c>
      <c r="BP352" s="75">
        <f t="shared" ref="BP352:BP393" si="76">SUM(BM352:BO352)</f>
        <v>24</v>
      </c>
      <c r="BQ352" s="241" t="s">
        <v>631</v>
      </c>
      <c r="BR352" s="138" t="s">
        <v>363</v>
      </c>
      <c r="BS352" s="110" t="s">
        <v>539</v>
      </c>
      <c r="BT352" s="117">
        <v>1</v>
      </c>
      <c r="BU352" s="75">
        <v>0</v>
      </c>
    </row>
    <row r="353" spans="3:73" x14ac:dyDescent="0.75">
      <c r="C353">
        <v>1311</v>
      </c>
      <c r="D353" s="75" t="s">
        <v>357</v>
      </c>
      <c r="E353" s="75" t="s">
        <v>358</v>
      </c>
      <c r="F353" s="75" t="s">
        <v>359</v>
      </c>
      <c r="G353" s="75" t="s">
        <v>69</v>
      </c>
      <c r="H353" s="75">
        <v>18.343233000000001</v>
      </c>
      <c r="I353" s="75">
        <v>-64.687667000000005</v>
      </c>
      <c r="J353" s="81">
        <v>45062</v>
      </c>
      <c r="K353" s="75" t="s">
        <v>628</v>
      </c>
      <c r="L353" s="75" t="s">
        <v>360</v>
      </c>
      <c r="M353" s="75">
        <v>0</v>
      </c>
      <c r="N353" s="75">
        <v>2</v>
      </c>
      <c r="O353" s="75" t="s">
        <v>362</v>
      </c>
      <c r="P353" s="88">
        <f>SUM(TreatmentUsed!E4718:E4745)</f>
        <v>217</v>
      </c>
      <c r="Q353" s="75">
        <v>0</v>
      </c>
      <c r="R353" s="75">
        <v>0</v>
      </c>
      <c r="S353" s="75">
        <v>0</v>
      </c>
      <c r="T353" s="75">
        <v>0</v>
      </c>
      <c r="U353" s="75">
        <v>0</v>
      </c>
      <c r="V353" s="75">
        <v>0</v>
      </c>
      <c r="W353" s="75">
        <v>0</v>
      </c>
      <c r="X353" s="75">
        <v>0</v>
      </c>
      <c r="Y353" s="75">
        <v>0</v>
      </c>
      <c r="Z353" s="75">
        <v>0</v>
      </c>
      <c r="AA353" s="75">
        <v>0</v>
      </c>
      <c r="AB353" s="75">
        <v>0</v>
      </c>
      <c r="AC353" s="75">
        <v>0</v>
      </c>
      <c r="AD353" s="75">
        <v>0</v>
      </c>
      <c r="AE353" s="75">
        <v>0</v>
      </c>
      <c r="AF353" s="75">
        <v>0</v>
      </c>
      <c r="AG353" s="75">
        <v>0</v>
      </c>
      <c r="AH353" s="75">
        <v>0</v>
      </c>
      <c r="AI353" s="75">
        <v>0</v>
      </c>
      <c r="AJ353" s="75">
        <v>0</v>
      </c>
      <c r="AK353" s="75">
        <v>0</v>
      </c>
      <c r="AL353" s="75">
        <v>0</v>
      </c>
      <c r="AM353" s="75">
        <v>0</v>
      </c>
      <c r="AN353" s="75">
        <v>0</v>
      </c>
      <c r="AO353" s="75">
        <v>0</v>
      </c>
      <c r="AP353" s="75">
        <v>0</v>
      </c>
      <c r="AQ353" s="75">
        <v>0</v>
      </c>
      <c r="AR353" s="75">
        <v>1</v>
      </c>
      <c r="AS353" s="75">
        <v>0</v>
      </c>
      <c r="AT353" s="75">
        <v>0</v>
      </c>
      <c r="AU353" s="75">
        <v>0</v>
      </c>
      <c r="AV353" s="75">
        <v>0</v>
      </c>
      <c r="AW353" s="75">
        <v>0</v>
      </c>
      <c r="AX353" s="75">
        <v>0</v>
      </c>
      <c r="AY353" s="75">
        <v>12</v>
      </c>
      <c r="AZ353" s="84">
        <v>3</v>
      </c>
      <c r="BA353" s="84">
        <v>6</v>
      </c>
      <c r="BB353" s="75">
        <v>0</v>
      </c>
      <c r="BC353" s="75">
        <v>2</v>
      </c>
      <c r="BD353" s="75">
        <v>0</v>
      </c>
      <c r="BE353" s="75">
        <v>0</v>
      </c>
      <c r="BF353" s="75">
        <v>3</v>
      </c>
      <c r="BG353" s="75">
        <v>0</v>
      </c>
      <c r="BH353" s="75">
        <v>1</v>
      </c>
      <c r="BI353" s="75" t="s">
        <v>254</v>
      </c>
      <c r="BJ353" s="75" t="s">
        <v>254</v>
      </c>
      <c r="BK353" s="75" t="s">
        <v>254</v>
      </c>
      <c r="BL353" s="75">
        <v>0</v>
      </c>
      <c r="BM353" s="75">
        <f t="shared" si="74"/>
        <v>0</v>
      </c>
      <c r="BN353" s="75">
        <v>0</v>
      </c>
      <c r="BO353" s="75">
        <f t="shared" si="75"/>
        <v>28</v>
      </c>
      <c r="BP353" s="75">
        <f>SUM(BM353:BO353)</f>
        <v>28</v>
      </c>
      <c r="BQ353" s="80" t="s">
        <v>632</v>
      </c>
      <c r="BR353" s="138" t="s">
        <v>363</v>
      </c>
      <c r="BS353" s="110" t="s">
        <v>539</v>
      </c>
      <c r="BT353" s="110">
        <v>0</v>
      </c>
      <c r="BU353" s="75">
        <v>0</v>
      </c>
    </row>
    <row r="354" spans="3:73" x14ac:dyDescent="0.75">
      <c r="C354">
        <v>1312</v>
      </c>
      <c r="D354" s="75" t="s">
        <v>357</v>
      </c>
      <c r="E354" s="75" t="s">
        <v>358</v>
      </c>
      <c r="F354" s="75" t="s">
        <v>359</v>
      </c>
      <c r="G354" s="75" t="s">
        <v>48</v>
      </c>
      <c r="H354">
        <v>18.363399999999999</v>
      </c>
      <c r="I354">
        <v>-64.706067000000004</v>
      </c>
      <c r="J354" s="81">
        <v>45063</v>
      </c>
      <c r="K354" s="75" t="s">
        <v>627</v>
      </c>
      <c r="L354" s="75" t="s">
        <v>360</v>
      </c>
      <c r="M354" s="75">
        <v>0</v>
      </c>
      <c r="N354" s="75">
        <v>2</v>
      </c>
      <c r="O354" s="75" t="s">
        <v>362</v>
      </c>
      <c r="P354" s="75">
        <f>SUM(TreatmentUsed!E4746:E4748)</f>
        <v>25</v>
      </c>
      <c r="Q354" s="75">
        <v>0</v>
      </c>
      <c r="R354" s="75">
        <v>0</v>
      </c>
      <c r="S354" s="75">
        <v>0</v>
      </c>
      <c r="T354" s="75">
        <v>0</v>
      </c>
      <c r="U354" s="75">
        <v>0</v>
      </c>
      <c r="V354" s="75">
        <v>0</v>
      </c>
      <c r="W354" s="75">
        <v>0</v>
      </c>
      <c r="X354" s="75">
        <v>0</v>
      </c>
      <c r="Y354" s="75">
        <v>0</v>
      </c>
      <c r="Z354" s="75">
        <v>0</v>
      </c>
      <c r="AA354" s="75">
        <v>0</v>
      </c>
      <c r="AB354" s="75">
        <v>0</v>
      </c>
      <c r="AC354" s="75">
        <v>0</v>
      </c>
      <c r="AD354" s="75">
        <v>0</v>
      </c>
      <c r="AE354" s="75">
        <v>0</v>
      </c>
      <c r="AF354" s="75">
        <v>0</v>
      </c>
      <c r="AG354" s="75">
        <v>0</v>
      </c>
      <c r="AH354" s="75">
        <v>0</v>
      </c>
      <c r="AI354" s="75">
        <v>0</v>
      </c>
      <c r="AJ354" s="75">
        <v>0</v>
      </c>
      <c r="AK354" s="75">
        <v>0</v>
      </c>
      <c r="AL354" s="75">
        <v>0</v>
      </c>
      <c r="AM354" s="75">
        <v>0</v>
      </c>
      <c r="AN354" s="75">
        <v>0</v>
      </c>
      <c r="AO354" s="75">
        <v>0</v>
      </c>
      <c r="AP354" s="75">
        <v>0</v>
      </c>
      <c r="AQ354" s="75">
        <v>0</v>
      </c>
      <c r="AR354" s="75">
        <v>0</v>
      </c>
      <c r="AS354" s="75">
        <v>0</v>
      </c>
      <c r="AT354" s="75">
        <v>0</v>
      </c>
      <c r="AU354" s="75">
        <v>0</v>
      </c>
      <c r="AV354" s="75">
        <v>0</v>
      </c>
      <c r="AW354" s="75">
        <v>0</v>
      </c>
      <c r="AX354" s="75">
        <v>0</v>
      </c>
      <c r="AY354" s="75">
        <v>0</v>
      </c>
      <c r="AZ354" s="84">
        <v>1</v>
      </c>
      <c r="BA354" s="84">
        <v>1</v>
      </c>
      <c r="BB354" s="75">
        <v>0</v>
      </c>
      <c r="BC354" s="75">
        <v>0</v>
      </c>
      <c r="BD354" s="75">
        <v>0</v>
      </c>
      <c r="BE354" s="75">
        <v>0</v>
      </c>
      <c r="BF354" s="75">
        <v>1</v>
      </c>
      <c r="BG354" s="75">
        <v>0</v>
      </c>
      <c r="BH354" s="75">
        <v>0</v>
      </c>
      <c r="BI354" s="75" t="s">
        <v>254</v>
      </c>
      <c r="BJ354" s="75" t="s">
        <v>254</v>
      </c>
      <c r="BK354" s="75" t="s">
        <v>254</v>
      </c>
      <c r="BL354" s="75">
        <v>0</v>
      </c>
      <c r="BM354" s="75">
        <f t="shared" si="74"/>
        <v>0</v>
      </c>
      <c r="BN354" s="75">
        <f t="shared" ref="BN354:BN393" si="77">SUM(AE354:AN354)</f>
        <v>0</v>
      </c>
      <c r="BO354" s="75">
        <f t="shared" si="75"/>
        <v>3</v>
      </c>
      <c r="BP354" s="75">
        <f t="shared" si="76"/>
        <v>3</v>
      </c>
      <c r="BQ354" s="80" t="s">
        <v>363</v>
      </c>
      <c r="BR354" s="138" t="s">
        <v>363</v>
      </c>
      <c r="BS354" s="110" t="s">
        <v>539</v>
      </c>
      <c r="BT354" s="110">
        <v>0</v>
      </c>
      <c r="BU354" s="75">
        <v>0</v>
      </c>
    </row>
    <row r="355" spans="3:73" x14ac:dyDescent="0.75">
      <c r="C355">
        <v>1313</v>
      </c>
      <c r="D355" s="75" t="s">
        <v>357</v>
      </c>
      <c r="E355" s="75" t="s">
        <v>358</v>
      </c>
      <c r="F355" s="75" t="s">
        <v>359</v>
      </c>
      <c r="G355" s="75" t="s">
        <v>60</v>
      </c>
      <c r="H355">
        <v>18.367850000000001</v>
      </c>
      <c r="I355">
        <v>-64.732933000000003</v>
      </c>
      <c r="J355" s="81">
        <v>45063</v>
      </c>
      <c r="K355" s="75" t="s">
        <v>627</v>
      </c>
      <c r="L355" s="75" t="s">
        <v>374</v>
      </c>
      <c r="M355" s="75">
        <v>0</v>
      </c>
      <c r="N355" s="75">
        <v>2</v>
      </c>
      <c r="O355" s="75" t="s">
        <v>362</v>
      </c>
      <c r="P355" s="75">
        <f>SUM(TreatmentUsed!E4749:E4755)</f>
        <v>47</v>
      </c>
      <c r="Q355" s="75">
        <v>0</v>
      </c>
      <c r="R355" s="75">
        <v>0</v>
      </c>
      <c r="S355" s="75">
        <v>0</v>
      </c>
      <c r="T355" s="75">
        <v>0</v>
      </c>
      <c r="U355" s="75">
        <v>0</v>
      </c>
      <c r="V355" s="75">
        <v>0</v>
      </c>
      <c r="W355" s="75">
        <v>0</v>
      </c>
      <c r="X355" s="75">
        <v>0</v>
      </c>
      <c r="Y355" s="75">
        <v>0</v>
      </c>
      <c r="Z355" s="75">
        <v>0</v>
      </c>
      <c r="AA355" s="75">
        <v>0</v>
      </c>
      <c r="AB355" s="75">
        <v>0</v>
      </c>
      <c r="AC355" s="75">
        <v>0</v>
      </c>
      <c r="AD355" s="75">
        <v>0</v>
      </c>
      <c r="AE355" s="75">
        <v>0</v>
      </c>
      <c r="AF355" s="75">
        <v>0</v>
      </c>
      <c r="AG355" s="75">
        <v>0</v>
      </c>
      <c r="AH355" s="75">
        <v>0</v>
      </c>
      <c r="AI355" s="75">
        <v>0</v>
      </c>
      <c r="AJ355" s="75">
        <v>0</v>
      </c>
      <c r="AK355" s="75">
        <v>0</v>
      </c>
      <c r="AL355" s="75">
        <v>0</v>
      </c>
      <c r="AM355" s="75">
        <v>0</v>
      </c>
      <c r="AN355" s="75">
        <v>0</v>
      </c>
      <c r="AO355" s="75">
        <v>0</v>
      </c>
      <c r="AP355" s="75">
        <v>0</v>
      </c>
      <c r="AQ355" s="75">
        <v>0</v>
      </c>
      <c r="AR355" s="75">
        <v>0</v>
      </c>
      <c r="AS355" s="75">
        <v>0</v>
      </c>
      <c r="AT355" s="75">
        <v>0</v>
      </c>
      <c r="AU355" s="75">
        <v>0</v>
      </c>
      <c r="AV355" s="75">
        <v>0</v>
      </c>
      <c r="AW355" s="75">
        <v>0</v>
      </c>
      <c r="AX355" s="75">
        <v>0</v>
      </c>
      <c r="AY355" s="75">
        <v>1</v>
      </c>
      <c r="AZ355" s="75">
        <v>1</v>
      </c>
      <c r="BA355" s="75">
        <v>0</v>
      </c>
      <c r="BB355" s="75">
        <v>0</v>
      </c>
      <c r="BC355" s="75">
        <v>3</v>
      </c>
      <c r="BD355" s="75">
        <v>0</v>
      </c>
      <c r="BE355" s="75">
        <v>0</v>
      </c>
      <c r="BF355" s="75">
        <v>2</v>
      </c>
      <c r="BG355" s="75">
        <v>0</v>
      </c>
      <c r="BH355" s="75">
        <v>0</v>
      </c>
      <c r="BI355" s="75" t="s">
        <v>254</v>
      </c>
      <c r="BJ355" s="75" t="s">
        <v>254</v>
      </c>
      <c r="BK355" s="75" t="s">
        <v>254</v>
      </c>
      <c r="BL355" s="75">
        <v>0</v>
      </c>
      <c r="BM355" s="75">
        <f t="shared" si="74"/>
        <v>0</v>
      </c>
      <c r="BN355" s="75">
        <f t="shared" si="77"/>
        <v>0</v>
      </c>
      <c r="BO355" s="75">
        <f t="shared" si="75"/>
        <v>7</v>
      </c>
      <c r="BP355" s="75">
        <f t="shared" si="76"/>
        <v>7</v>
      </c>
      <c r="BS355" s="110" t="s">
        <v>539</v>
      </c>
      <c r="BT355" s="110">
        <v>0</v>
      </c>
      <c r="BU355" s="75">
        <v>0</v>
      </c>
    </row>
    <row r="356" spans="3:73" x14ac:dyDescent="0.75">
      <c r="C356">
        <v>1314</v>
      </c>
      <c r="D356" s="75" t="s">
        <v>357</v>
      </c>
      <c r="E356" s="75" t="s">
        <v>358</v>
      </c>
      <c r="F356" s="75" t="s">
        <v>359</v>
      </c>
      <c r="G356" s="75" t="s">
        <v>64</v>
      </c>
      <c r="H356">
        <v>18.368383000000001</v>
      </c>
      <c r="I356">
        <v>-64.751450000000006</v>
      </c>
      <c r="J356" s="81">
        <v>45063</v>
      </c>
      <c r="K356" s="75" t="s">
        <v>627</v>
      </c>
      <c r="L356" s="75" t="s">
        <v>374</v>
      </c>
      <c r="M356" s="75">
        <v>0</v>
      </c>
      <c r="N356" s="75">
        <v>2</v>
      </c>
      <c r="O356" s="75" t="s">
        <v>362</v>
      </c>
      <c r="P356" s="75">
        <f>SUM(TreatmentUsed!E4756:E4758)</f>
        <v>34</v>
      </c>
      <c r="Q356" s="75">
        <v>0</v>
      </c>
      <c r="R356" s="75">
        <v>0</v>
      </c>
      <c r="S356" s="75">
        <v>0</v>
      </c>
      <c r="T356" s="75">
        <v>0</v>
      </c>
      <c r="U356" s="75">
        <v>0</v>
      </c>
      <c r="V356" s="75">
        <v>0</v>
      </c>
      <c r="W356" s="75">
        <v>0</v>
      </c>
      <c r="X356" s="75">
        <v>0</v>
      </c>
      <c r="Y356" s="75">
        <v>0</v>
      </c>
      <c r="Z356" s="75">
        <v>0</v>
      </c>
      <c r="AA356" s="75">
        <v>0</v>
      </c>
      <c r="AB356" s="75">
        <v>0</v>
      </c>
      <c r="AC356" s="75">
        <v>0</v>
      </c>
      <c r="AD356" s="75">
        <v>0</v>
      </c>
      <c r="AE356" s="75">
        <v>0</v>
      </c>
      <c r="AF356" s="75">
        <v>0</v>
      </c>
      <c r="AG356" s="75">
        <v>0</v>
      </c>
      <c r="AH356" s="75">
        <v>0</v>
      </c>
      <c r="AI356" s="75">
        <v>0</v>
      </c>
      <c r="AJ356" s="75">
        <v>0</v>
      </c>
      <c r="AK356" s="75">
        <v>0</v>
      </c>
      <c r="AL356" s="75">
        <v>0</v>
      </c>
      <c r="AM356" s="75">
        <v>0</v>
      </c>
      <c r="AN356" s="75">
        <v>0</v>
      </c>
      <c r="AO356" s="75">
        <v>0</v>
      </c>
      <c r="AP356" s="75">
        <v>0</v>
      </c>
      <c r="AQ356" s="75">
        <v>0</v>
      </c>
      <c r="AR356" s="75">
        <v>0</v>
      </c>
      <c r="AS356" s="75">
        <v>1</v>
      </c>
      <c r="AT356" s="75">
        <v>0</v>
      </c>
      <c r="AU356" s="75">
        <v>0</v>
      </c>
      <c r="AV356" s="75">
        <v>0</v>
      </c>
      <c r="AW356" s="75">
        <v>0</v>
      </c>
      <c r="AX356" s="75">
        <v>0</v>
      </c>
      <c r="AY356" s="75">
        <v>0</v>
      </c>
      <c r="AZ356" s="75">
        <v>1</v>
      </c>
      <c r="BA356" s="75">
        <v>0</v>
      </c>
      <c r="BB356" s="75">
        <v>0</v>
      </c>
      <c r="BC356" s="75">
        <v>0</v>
      </c>
      <c r="BD356" s="75">
        <v>0</v>
      </c>
      <c r="BE356" s="75">
        <v>0</v>
      </c>
      <c r="BF356" s="75">
        <v>1</v>
      </c>
      <c r="BG356" s="75">
        <v>0</v>
      </c>
      <c r="BH356" s="75">
        <v>0</v>
      </c>
      <c r="BI356" s="75" t="s">
        <v>254</v>
      </c>
      <c r="BJ356" s="75" t="s">
        <v>254</v>
      </c>
      <c r="BK356" s="75" t="s">
        <v>254</v>
      </c>
      <c r="BL356" s="75">
        <v>0</v>
      </c>
      <c r="BM356" s="75">
        <f t="shared" si="74"/>
        <v>0</v>
      </c>
      <c r="BN356" s="75">
        <f t="shared" si="77"/>
        <v>0</v>
      </c>
      <c r="BO356" s="75">
        <f t="shared" si="75"/>
        <v>3</v>
      </c>
      <c r="BP356" s="75">
        <f t="shared" si="76"/>
        <v>3</v>
      </c>
      <c r="BQ356" s="241" t="s">
        <v>633</v>
      </c>
      <c r="BR356" s="138" t="s">
        <v>363</v>
      </c>
      <c r="BS356" s="110" t="s">
        <v>390</v>
      </c>
      <c r="BT356" s="110">
        <v>0</v>
      </c>
      <c r="BU356" s="75">
        <v>0</v>
      </c>
    </row>
    <row r="357" spans="3:73" x14ac:dyDescent="0.75">
      <c r="C357">
        <v>1315</v>
      </c>
      <c r="D357" s="75" t="s">
        <v>357</v>
      </c>
      <c r="E357" s="75" t="s">
        <v>358</v>
      </c>
      <c r="F357" s="75" t="s">
        <v>359</v>
      </c>
      <c r="G357" s="75" t="s">
        <v>39</v>
      </c>
      <c r="H357">
        <v>18.357482999999998</v>
      </c>
      <c r="I357">
        <v>-64.751949999999994</v>
      </c>
      <c r="J357" s="81">
        <v>45064</v>
      </c>
      <c r="K357" s="75" t="s">
        <v>628</v>
      </c>
      <c r="L357" s="75" t="s">
        <v>360</v>
      </c>
      <c r="M357" s="75">
        <v>0</v>
      </c>
      <c r="N357" s="75">
        <v>2</v>
      </c>
      <c r="O357" s="75" t="s">
        <v>362</v>
      </c>
      <c r="P357" s="88">
        <f>SUM(TreatmentUsed!E4759:E4767)</f>
        <v>90</v>
      </c>
      <c r="Q357" s="75">
        <v>0</v>
      </c>
      <c r="R357" s="75">
        <v>0</v>
      </c>
      <c r="S357" s="75">
        <v>0</v>
      </c>
      <c r="T357" s="75">
        <v>0</v>
      </c>
      <c r="U357" s="75">
        <v>0</v>
      </c>
      <c r="V357" s="75">
        <v>0</v>
      </c>
      <c r="W357" s="75">
        <v>0</v>
      </c>
      <c r="X357" s="75">
        <v>0</v>
      </c>
      <c r="Y357" s="75">
        <v>0</v>
      </c>
      <c r="Z357" s="75">
        <v>0</v>
      </c>
      <c r="AA357" s="75">
        <v>0</v>
      </c>
      <c r="AB357" s="75">
        <v>0</v>
      </c>
      <c r="AC357" s="75">
        <v>0</v>
      </c>
      <c r="AD357" s="75">
        <v>0</v>
      </c>
      <c r="AE357" s="75">
        <v>0</v>
      </c>
      <c r="AF357" s="75">
        <v>0</v>
      </c>
      <c r="AG357" s="75">
        <v>0</v>
      </c>
      <c r="AH357" s="75">
        <v>0</v>
      </c>
      <c r="AI357" s="75">
        <v>0</v>
      </c>
      <c r="AJ357" s="75">
        <v>0</v>
      </c>
      <c r="AK357" s="75">
        <v>0</v>
      </c>
      <c r="AL357" s="75">
        <v>0</v>
      </c>
      <c r="AM357" s="75">
        <v>0</v>
      </c>
      <c r="AN357" s="75">
        <v>0</v>
      </c>
      <c r="AO357" s="75">
        <v>2</v>
      </c>
      <c r="AP357" s="75">
        <v>0</v>
      </c>
      <c r="AQ357" s="75">
        <v>0</v>
      </c>
      <c r="AR357" s="75">
        <v>0</v>
      </c>
      <c r="AS357" s="75">
        <v>0</v>
      </c>
      <c r="AT357" s="75">
        <v>0</v>
      </c>
      <c r="AU357" s="75">
        <v>0</v>
      </c>
      <c r="AV357" s="75">
        <v>0</v>
      </c>
      <c r="AW357" s="75">
        <v>0</v>
      </c>
      <c r="AX357" s="75">
        <v>0</v>
      </c>
      <c r="AY357" s="75">
        <v>1</v>
      </c>
      <c r="AZ357" s="84">
        <v>3</v>
      </c>
      <c r="BA357" s="84">
        <v>1</v>
      </c>
      <c r="BB357" s="75">
        <v>0</v>
      </c>
      <c r="BC357" s="75">
        <v>0</v>
      </c>
      <c r="BD357" s="75">
        <v>0</v>
      </c>
      <c r="BE357" s="75">
        <v>0</v>
      </c>
      <c r="BF357" s="75">
        <v>2</v>
      </c>
      <c r="BG357" s="75">
        <v>0</v>
      </c>
      <c r="BH357" s="75">
        <v>0</v>
      </c>
      <c r="BI357" s="75" t="s">
        <v>254</v>
      </c>
      <c r="BJ357" s="75" t="s">
        <v>254</v>
      </c>
      <c r="BK357" s="75" t="s">
        <v>254</v>
      </c>
      <c r="BL357" s="75">
        <v>0</v>
      </c>
      <c r="BM357" s="75">
        <f t="shared" si="74"/>
        <v>0</v>
      </c>
      <c r="BN357" s="75">
        <f t="shared" si="77"/>
        <v>0</v>
      </c>
      <c r="BO357" s="75">
        <f t="shared" si="75"/>
        <v>9</v>
      </c>
      <c r="BP357" s="75">
        <f t="shared" si="76"/>
        <v>9</v>
      </c>
      <c r="BQ357" s="80" t="s">
        <v>363</v>
      </c>
      <c r="BR357" s="138" t="s">
        <v>634</v>
      </c>
      <c r="BS357" s="110" t="s">
        <v>539</v>
      </c>
      <c r="BT357" s="110">
        <v>0</v>
      </c>
      <c r="BU357" s="75">
        <v>0</v>
      </c>
    </row>
    <row r="358" spans="3:73" x14ac:dyDescent="0.75">
      <c r="C358">
        <v>1316</v>
      </c>
      <c r="D358" s="75" t="s">
        <v>357</v>
      </c>
      <c r="E358" s="75" t="s">
        <v>358</v>
      </c>
      <c r="F358" s="75" t="s">
        <v>359</v>
      </c>
      <c r="G358" s="75" t="s">
        <v>23</v>
      </c>
      <c r="H358" s="75">
        <v>18.365749999999998</v>
      </c>
      <c r="I358" s="75">
        <v>-64.773619999999994</v>
      </c>
      <c r="J358" s="81">
        <v>45064</v>
      </c>
      <c r="K358" s="75" t="s">
        <v>628</v>
      </c>
      <c r="L358" s="75" t="s">
        <v>360</v>
      </c>
      <c r="M358" s="75">
        <v>0</v>
      </c>
      <c r="N358" s="75">
        <v>2</v>
      </c>
      <c r="O358" s="75" t="s">
        <v>362</v>
      </c>
      <c r="P358" s="88">
        <f>SUM(TreatmentUsed!E4768:E4769)</f>
        <v>21</v>
      </c>
      <c r="Q358" s="75">
        <v>0</v>
      </c>
      <c r="R358" s="75">
        <v>0</v>
      </c>
      <c r="S358" s="75">
        <v>0</v>
      </c>
      <c r="T358" s="75">
        <v>0</v>
      </c>
      <c r="U358" s="75">
        <v>0</v>
      </c>
      <c r="V358" s="75">
        <v>0</v>
      </c>
      <c r="W358" s="75">
        <v>0</v>
      </c>
      <c r="X358" s="75">
        <v>0</v>
      </c>
      <c r="Y358" s="75">
        <v>0</v>
      </c>
      <c r="Z358" s="75">
        <v>0</v>
      </c>
      <c r="AA358" s="75">
        <v>0</v>
      </c>
      <c r="AB358" s="75">
        <v>0</v>
      </c>
      <c r="AC358" s="75">
        <v>0</v>
      </c>
      <c r="AD358" s="75">
        <v>0</v>
      </c>
      <c r="AE358" s="75">
        <v>0</v>
      </c>
      <c r="AF358" s="75">
        <v>0</v>
      </c>
      <c r="AG358" s="75">
        <v>0</v>
      </c>
      <c r="AH358" s="75">
        <v>0</v>
      </c>
      <c r="AI358" s="75">
        <v>0</v>
      </c>
      <c r="AJ358" s="75">
        <v>0</v>
      </c>
      <c r="AK358" s="75">
        <v>0</v>
      </c>
      <c r="AL358" s="75">
        <v>0</v>
      </c>
      <c r="AM358" s="75">
        <v>0</v>
      </c>
      <c r="AN358" s="75">
        <v>0</v>
      </c>
      <c r="AO358" s="75">
        <v>0</v>
      </c>
      <c r="AP358" s="75">
        <v>0</v>
      </c>
      <c r="AQ358" s="75">
        <v>0</v>
      </c>
      <c r="AR358" s="75">
        <v>1</v>
      </c>
      <c r="AS358" s="75">
        <v>0</v>
      </c>
      <c r="AT358" s="75">
        <v>0</v>
      </c>
      <c r="AU358" s="75">
        <v>0</v>
      </c>
      <c r="AV358" s="75">
        <v>0</v>
      </c>
      <c r="AW358" s="75">
        <v>0</v>
      </c>
      <c r="AX358" s="75">
        <v>0</v>
      </c>
      <c r="AY358" s="75">
        <v>0</v>
      </c>
      <c r="AZ358" s="75">
        <v>0</v>
      </c>
      <c r="BA358" s="75">
        <v>0</v>
      </c>
      <c r="BB358" s="75">
        <v>0</v>
      </c>
      <c r="BC358" s="75">
        <v>1</v>
      </c>
      <c r="BD358" s="75">
        <v>0</v>
      </c>
      <c r="BE358" s="75">
        <v>0</v>
      </c>
      <c r="BF358" s="75">
        <v>0</v>
      </c>
      <c r="BG358" s="75">
        <v>0</v>
      </c>
      <c r="BH358" s="75">
        <v>0</v>
      </c>
      <c r="BI358" s="75" t="s">
        <v>254</v>
      </c>
      <c r="BJ358" s="75" t="s">
        <v>254</v>
      </c>
      <c r="BK358" s="75" t="s">
        <v>254</v>
      </c>
      <c r="BL358" s="139">
        <v>0</v>
      </c>
      <c r="BM358" s="75">
        <f t="shared" si="74"/>
        <v>0</v>
      </c>
      <c r="BN358" s="75">
        <f t="shared" si="77"/>
        <v>0</v>
      </c>
      <c r="BO358" s="75">
        <f t="shared" si="75"/>
        <v>2</v>
      </c>
      <c r="BP358" s="75">
        <f t="shared" si="76"/>
        <v>2</v>
      </c>
      <c r="BQ358" s="80" t="s">
        <v>363</v>
      </c>
      <c r="BR358" s="252" t="s">
        <v>635</v>
      </c>
      <c r="BS358" s="110" t="s">
        <v>539</v>
      </c>
      <c r="BT358" s="110">
        <v>0</v>
      </c>
      <c r="BU358" s="139">
        <v>0</v>
      </c>
    </row>
    <row r="359" spans="3:73" x14ac:dyDescent="0.75">
      <c r="C359">
        <v>1317</v>
      </c>
      <c r="D359" s="75" t="s">
        <v>357</v>
      </c>
      <c r="E359" s="75" t="s">
        <v>358</v>
      </c>
      <c r="F359" s="75" t="s">
        <v>359</v>
      </c>
      <c r="G359" s="75" t="s">
        <v>69</v>
      </c>
      <c r="H359" s="75">
        <v>18.343233000000001</v>
      </c>
      <c r="I359" s="75">
        <v>-64.687667000000005</v>
      </c>
      <c r="J359" s="81">
        <v>45069</v>
      </c>
      <c r="K359" s="75" t="s">
        <v>627</v>
      </c>
      <c r="L359" s="75" t="s">
        <v>374</v>
      </c>
      <c r="M359" s="75">
        <v>0</v>
      </c>
      <c r="N359" s="75">
        <v>2</v>
      </c>
      <c r="O359" s="75" t="s">
        <v>362</v>
      </c>
      <c r="P359" s="88">
        <f>SUM(TreatmentUsed!E4770:E4777)</f>
        <v>108</v>
      </c>
      <c r="Q359" s="75">
        <v>0</v>
      </c>
      <c r="R359" s="75">
        <v>0</v>
      </c>
      <c r="S359" s="75">
        <v>0</v>
      </c>
      <c r="T359" s="75">
        <v>0</v>
      </c>
      <c r="U359" s="75">
        <v>0</v>
      </c>
      <c r="V359" s="75">
        <v>0</v>
      </c>
      <c r="W359" s="75">
        <v>0</v>
      </c>
      <c r="X359" s="75">
        <v>0</v>
      </c>
      <c r="Y359" s="75">
        <v>0</v>
      </c>
      <c r="Z359" s="75">
        <v>0</v>
      </c>
      <c r="AA359" s="75">
        <v>0</v>
      </c>
      <c r="AB359" s="75">
        <v>0</v>
      </c>
      <c r="AC359" s="75">
        <v>0</v>
      </c>
      <c r="AD359" s="75">
        <v>0</v>
      </c>
      <c r="AE359" s="75">
        <v>0</v>
      </c>
      <c r="AF359" s="75">
        <v>0</v>
      </c>
      <c r="AG359" s="75">
        <v>0</v>
      </c>
      <c r="AH359" s="75">
        <v>0</v>
      </c>
      <c r="AI359" s="75">
        <v>0</v>
      </c>
      <c r="AJ359" s="75">
        <v>0</v>
      </c>
      <c r="AK359" s="75">
        <v>0</v>
      </c>
      <c r="AL359" s="75">
        <v>0</v>
      </c>
      <c r="AM359" s="75">
        <v>0</v>
      </c>
      <c r="AN359" s="75">
        <v>0</v>
      </c>
      <c r="AO359" s="75">
        <v>0</v>
      </c>
      <c r="AP359" s="75">
        <v>0</v>
      </c>
      <c r="AQ359" s="75">
        <v>0</v>
      </c>
      <c r="AR359" s="75">
        <v>0</v>
      </c>
      <c r="AS359" s="75">
        <v>0</v>
      </c>
      <c r="AT359" s="75">
        <v>1</v>
      </c>
      <c r="AU359" s="75">
        <v>0</v>
      </c>
      <c r="AV359" s="75">
        <v>0</v>
      </c>
      <c r="AW359" s="75">
        <v>0</v>
      </c>
      <c r="AX359" s="75">
        <v>0</v>
      </c>
      <c r="AY359" s="75">
        <v>2</v>
      </c>
      <c r="AZ359" s="75">
        <v>0</v>
      </c>
      <c r="BA359" s="75">
        <v>1</v>
      </c>
      <c r="BB359" s="75">
        <v>0</v>
      </c>
      <c r="BC359" s="75">
        <v>1</v>
      </c>
      <c r="BD359" s="75">
        <v>0</v>
      </c>
      <c r="BE359" s="84">
        <v>0</v>
      </c>
      <c r="BF359" s="84">
        <v>3</v>
      </c>
      <c r="BG359" s="75">
        <v>0</v>
      </c>
      <c r="BH359" s="75">
        <v>0</v>
      </c>
      <c r="BI359" s="75" t="s">
        <v>254</v>
      </c>
      <c r="BJ359" s="75" t="s">
        <v>254</v>
      </c>
      <c r="BK359" s="75" t="s">
        <v>254</v>
      </c>
      <c r="BL359" s="75">
        <v>0</v>
      </c>
      <c r="BM359" s="75">
        <f t="shared" si="74"/>
        <v>0</v>
      </c>
      <c r="BN359" s="75">
        <f t="shared" si="77"/>
        <v>0</v>
      </c>
      <c r="BO359" s="75">
        <f t="shared" si="75"/>
        <v>8</v>
      </c>
      <c r="BP359" s="75">
        <f t="shared" si="76"/>
        <v>8</v>
      </c>
      <c r="BQ359" s="241" t="s">
        <v>363</v>
      </c>
      <c r="BR359" s="252" t="s">
        <v>636</v>
      </c>
      <c r="BS359" s="110" t="s">
        <v>539</v>
      </c>
      <c r="BT359" s="110">
        <v>0</v>
      </c>
      <c r="BU359" s="75">
        <v>0</v>
      </c>
    </row>
    <row r="360" spans="3:73" x14ac:dyDescent="0.75">
      <c r="C360">
        <v>1318</v>
      </c>
      <c r="D360" s="75" t="s">
        <v>357</v>
      </c>
      <c r="E360" s="75" t="s">
        <v>358</v>
      </c>
      <c r="F360" s="75" t="s">
        <v>359</v>
      </c>
      <c r="G360" s="75" t="s">
        <v>69</v>
      </c>
      <c r="H360" s="75">
        <v>18.343233000000001</v>
      </c>
      <c r="I360" s="75">
        <v>-64.687667000000005</v>
      </c>
      <c r="J360" s="81">
        <v>45069</v>
      </c>
      <c r="K360" s="75" t="s">
        <v>627</v>
      </c>
      <c r="L360" s="75" t="s">
        <v>374</v>
      </c>
      <c r="M360" s="75">
        <v>0</v>
      </c>
      <c r="N360" s="75">
        <v>2</v>
      </c>
      <c r="O360" s="75" t="s">
        <v>362</v>
      </c>
      <c r="P360" s="88">
        <f>SUM(TreatmentUsed!E4778:E4787)</f>
        <v>73</v>
      </c>
      <c r="Q360" s="75">
        <v>0</v>
      </c>
      <c r="R360" s="75">
        <v>0</v>
      </c>
      <c r="S360" s="75">
        <v>0</v>
      </c>
      <c r="T360" s="75">
        <v>0</v>
      </c>
      <c r="U360" s="75">
        <v>0</v>
      </c>
      <c r="V360" s="75">
        <v>0</v>
      </c>
      <c r="W360" s="75">
        <v>0</v>
      </c>
      <c r="X360" s="75">
        <v>0</v>
      </c>
      <c r="Y360" s="75">
        <v>0</v>
      </c>
      <c r="Z360" s="75">
        <v>0</v>
      </c>
      <c r="AA360" s="75">
        <v>0</v>
      </c>
      <c r="AB360" s="75">
        <v>0</v>
      </c>
      <c r="AC360" s="75">
        <v>0</v>
      </c>
      <c r="AD360" s="75">
        <v>0</v>
      </c>
      <c r="AE360" s="75">
        <v>0</v>
      </c>
      <c r="AF360" s="75">
        <v>0</v>
      </c>
      <c r="AG360" s="75">
        <v>0</v>
      </c>
      <c r="AH360" s="75">
        <v>0</v>
      </c>
      <c r="AI360" s="75">
        <v>0</v>
      </c>
      <c r="AJ360" s="75">
        <v>0</v>
      </c>
      <c r="AK360" s="75">
        <v>0</v>
      </c>
      <c r="AL360" s="75">
        <v>0</v>
      </c>
      <c r="AM360" s="75">
        <v>0</v>
      </c>
      <c r="AN360" s="75">
        <v>0</v>
      </c>
      <c r="AO360" s="75">
        <v>0</v>
      </c>
      <c r="AP360" s="75">
        <v>0</v>
      </c>
      <c r="AQ360" s="75">
        <v>0</v>
      </c>
      <c r="AR360" s="75">
        <v>0</v>
      </c>
      <c r="AS360" s="75">
        <v>0</v>
      </c>
      <c r="AT360" s="75">
        <v>0</v>
      </c>
      <c r="AU360" s="75">
        <v>0</v>
      </c>
      <c r="AV360" s="75">
        <v>0</v>
      </c>
      <c r="AW360" s="75">
        <v>0</v>
      </c>
      <c r="AX360" s="75">
        <v>0</v>
      </c>
      <c r="AY360" s="84">
        <v>3</v>
      </c>
      <c r="AZ360" s="75">
        <v>0</v>
      </c>
      <c r="BA360" s="84">
        <v>2</v>
      </c>
      <c r="BB360" s="84">
        <v>0</v>
      </c>
      <c r="BC360" s="75">
        <v>0</v>
      </c>
      <c r="BD360" s="75">
        <v>0</v>
      </c>
      <c r="BE360" s="84">
        <v>0</v>
      </c>
      <c r="BF360" s="84">
        <v>5</v>
      </c>
      <c r="BG360" s="75">
        <v>0</v>
      </c>
      <c r="BH360" s="75">
        <v>0</v>
      </c>
      <c r="BI360" s="75" t="s">
        <v>254</v>
      </c>
      <c r="BJ360" s="75" t="s">
        <v>254</v>
      </c>
      <c r="BK360" s="75" t="s">
        <v>254</v>
      </c>
      <c r="BL360" s="75">
        <v>0</v>
      </c>
      <c r="BM360" s="75">
        <f t="shared" si="74"/>
        <v>0</v>
      </c>
      <c r="BN360" s="75">
        <f t="shared" si="77"/>
        <v>0</v>
      </c>
      <c r="BO360" s="75">
        <f t="shared" si="75"/>
        <v>10</v>
      </c>
      <c r="BP360" s="75">
        <f t="shared" si="76"/>
        <v>10</v>
      </c>
      <c r="BQ360" s="241" t="s">
        <v>363</v>
      </c>
      <c r="BR360" s="252" t="s">
        <v>637</v>
      </c>
      <c r="BS360" s="110" t="s">
        <v>539</v>
      </c>
      <c r="BT360" s="110">
        <v>0</v>
      </c>
      <c r="BU360" s="75">
        <v>0</v>
      </c>
    </row>
    <row r="361" spans="3:73" x14ac:dyDescent="0.75">
      <c r="C361">
        <v>1319</v>
      </c>
      <c r="D361" s="75" t="s">
        <v>357</v>
      </c>
      <c r="E361" s="75" t="s">
        <v>358</v>
      </c>
      <c r="F361" s="75" t="s">
        <v>359</v>
      </c>
      <c r="G361" s="75" t="s">
        <v>69</v>
      </c>
      <c r="H361" s="75">
        <v>18.343233000000001</v>
      </c>
      <c r="I361" s="75">
        <v>-64.687667000000005</v>
      </c>
      <c r="J361" s="81">
        <v>45069</v>
      </c>
      <c r="K361" s="75" t="s">
        <v>627</v>
      </c>
      <c r="L361" s="75" t="s">
        <v>374</v>
      </c>
      <c r="M361" s="75">
        <v>0</v>
      </c>
      <c r="N361" s="75">
        <v>2</v>
      </c>
      <c r="O361" s="75" t="s">
        <v>362</v>
      </c>
      <c r="P361" s="88">
        <f>SUM(TreatmentUsed!E4788)</f>
        <v>36</v>
      </c>
      <c r="Q361" s="75">
        <v>88</v>
      </c>
      <c r="R361" s="75">
        <v>0</v>
      </c>
      <c r="S361" s="75">
        <v>0</v>
      </c>
      <c r="T361" s="75">
        <v>0</v>
      </c>
      <c r="U361" s="75">
        <v>0</v>
      </c>
      <c r="V361" s="75">
        <v>0</v>
      </c>
      <c r="W361" s="75">
        <v>0</v>
      </c>
      <c r="X361" s="75">
        <v>0</v>
      </c>
      <c r="Y361" s="75">
        <v>0</v>
      </c>
      <c r="Z361" s="75">
        <v>0</v>
      </c>
      <c r="AA361" s="75">
        <v>0</v>
      </c>
      <c r="AB361" s="75">
        <v>0</v>
      </c>
      <c r="AC361" s="75">
        <v>0</v>
      </c>
      <c r="AD361" s="75">
        <v>0</v>
      </c>
      <c r="AE361" s="75">
        <v>0</v>
      </c>
      <c r="AF361" s="75">
        <v>0</v>
      </c>
      <c r="AG361" s="75">
        <v>0</v>
      </c>
      <c r="AH361" s="75">
        <v>0</v>
      </c>
      <c r="AI361" s="75">
        <v>0</v>
      </c>
      <c r="AJ361" s="75">
        <v>0</v>
      </c>
      <c r="AK361" s="75">
        <v>0</v>
      </c>
      <c r="AL361" s="75">
        <v>0</v>
      </c>
      <c r="AM361" s="75">
        <v>0</v>
      </c>
      <c r="AN361" s="75">
        <v>0</v>
      </c>
      <c r="AO361" s="75">
        <v>0</v>
      </c>
      <c r="AP361" s="75">
        <v>0</v>
      </c>
      <c r="AQ361" s="75">
        <v>0</v>
      </c>
      <c r="AR361" s="75">
        <v>0</v>
      </c>
      <c r="AS361" s="75">
        <v>0</v>
      </c>
      <c r="AT361" s="75">
        <v>0</v>
      </c>
      <c r="AU361" s="75">
        <v>0</v>
      </c>
      <c r="AV361" s="75">
        <v>0</v>
      </c>
      <c r="AW361" s="75">
        <v>0</v>
      </c>
      <c r="AX361" s="75">
        <v>0</v>
      </c>
      <c r="AY361" s="75">
        <v>0</v>
      </c>
      <c r="AZ361" s="75">
        <v>0</v>
      </c>
      <c r="BA361" s="75">
        <v>1</v>
      </c>
      <c r="BB361" s="75">
        <v>0</v>
      </c>
      <c r="BC361" s="75">
        <v>0</v>
      </c>
      <c r="BD361" s="75">
        <v>0</v>
      </c>
      <c r="BE361" s="75">
        <v>0</v>
      </c>
      <c r="BF361" s="75">
        <v>0</v>
      </c>
      <c r="BG361" s="75">
        <v>0</v>
      </c>
      <c r="BH361" s="75">
        <v>0</v>
      </c>
      <c r="BI361" s="75" t="s">
        <v>254</v>
      </c>
      <c r="BJ361" s="75" t="s">
        <v>254</v>
      </c>
      <c r="BK361" s="75" t="s">
        <v>254</v>
      </c>
      <c r="BL361" s="75">
        <v>0</v>
      </c>
      <c r="BM361" s="75">
        <f t="shared" si="74"/>
        <v>0</v>
      </c>
      <c r="BN361" s="75">
        <f t="shared" si="77"/>
        <v>0</v>
      </c>
      <c r="BO361" s="75">
        <f t="shared" si="75"/>
        <v>1</v>
      </c>
      <c r="BP361" s="75">
        <f t="shared" si="76"/>
        <v>1</v>
      </c>
      <c r="BQ361" s="241" t="s">
        <v>363</v>
      </c>
      <c r="BR361" s="252" t="s">
        <v>638</v>
      </c>
      <c r="BS361" s="110" t="s">
        <v>539</v>
      </c>
      <c r="BT361" s="110">
        <v>0</v>
      </c>
      <c r="BU361" s="75">
        <v>0</v>
      </c>
    </row>
    <row r="362" spans="3:73" x14ac:dyDescent="0.75">
      <c r="C362">
        <v>1320</v>
      </c>
      <c r="D362" s="75" t="s">
        <v>357</v>
      </c>
      <c r="E362" s="75" t="s">
        <v>358</v>
      </c>
      <c r="F362" s="75" t="s">
        <v>359</v>
      </c>
      <c r="G362" s="75" t="s">
        <v>74</v>
      </c>
      <c r="H362" s="75">
        <v>18.342904000000001</v>
      </c>
      <c r="I362" s="75">
        <v>-64.676987999999994</v>
      </c>
      <c r="J362" s="81">
        <v>45070</v>
      </c>
      <c r="K362" s="75" t="s">
        <v>628</v>
      </c>
      <c r="L362" s="75" t="s">
        <v>374</v>
      </c>
      <c r="M362" s="75">
        <v>0</v>
      </c>
      <c r="N362" s="75">
        <v>2</v>
      </c>
      <c r="O362" s="75" t="s">
        <v>362</v>
      </c>
      <c r="P362" s="88">
        <f>SUM(TreatmentUsed!E4789:E4793)</f>
        <v>76</v>
      </c>
      <c r="Q362" s="75">
        <v>0</v>
      </c>
      <c r="R362" s="75">
        <v>0</v>
      </c>
      <c r="S362" s="75">
        <v>0</v>
      </c>
      <c r="T362" s="75">
        <v>0</v>
      </c>
      <c r="U362" s="75">
        <v>0</v>
      </c>
      <c r="V362" s="75">
        <v>0</v>
      </c>
      <c r="W362" s="75">
        <v>0</v>
      </c>
      <c r="X362" s="75">
        <v>0</v>
      </c>
      <c r="Y362" s="75">
        <v>0</v>
      </c>
      <c r="Z362" s="75">
        <v>0</v>
      </c>
      <c r="AA362" s="75">
        <v>0</v>
      </c>
      <c r="AB362" s="75">
        <v>0</v>
      </c>
      <c r="AC362" s="75">
        <v>0</v>
      </c>
      <c r="AD362" s="75">
        <v>0</v>
      </c>
      <c r="AE362" s="75">
        <v>0</v>
      </c>
      <c r="AF362" s="75">
        <v>0</v>
      </c>
      <c r="AG362" s="75">
        <v>0</v>
      </c>
      <c r="AH362" s="75">
        <v>0</v>
      </c>
      <c r="AI362" s="75">
        <v>0</v>
      </c>
      <c r="AJ362" s="75">
        <v>0</v>
      </c>
      <c r="AK362" s="75">
        <v>0</v>
      </c>
      <c r="AL362" s="75">
        <v>0</v>
      </c>
      <c r="AM362" s="75">
        <v>0</v>
      </c>
      <c r="AN362" s="75">
        <v>0</v>
      </c>
      <c r="AO362" s="75">
        <v>0</v>
      </c>
      <c r="AP362" s="75">
        <v>0</v>
      </c>
      <c r="AQ362" s="75">
        <v>2</v>
      </c>
      <c r="AR362" s="75">
        <v>0</v>
      </c>
      <c r="AS362" s="75">
        <v>0</v>
      </c>
      <c r="AT362" s="75">
        <v>0</v>
      </c>
      <c r="AU362" s="75">
        <v>1</v>
      </c>
      <c r="AV362" s="75">
        <v>0</v>
      </c>
      <c r="AW362" s="75">
        <v>0</v>
      </c>
      <c r="AX362" s="75">
        <v>0</v>
      </c>
      <c r="AY362" s="75">
        <v>0</v>
      </c>
      <c r="AZ362" s="75">
        <v>0</v>
      </c>
      <c r="BA362" s="75">
        <v>0</v>
      </c>
      <c r="BB362" s="75">
        <v>0</v>
      </c>
      <c r="BC362" s="75">
        <v>0</v>
      </c>
      <c r="BD362" s="75">
        <v>0</v>
      </c>
      <c r="BE362" s="75">
        <v>0</v>
      </c>
      <c r="BF362" s="75">
        <v>2</v>
      </c>
      <c r="BG362" s="75">
        <v>0</v>
      </c>
      <c r="BH362" s="75">
        <v>0</v>
      </c>
      <c r="BI362" s="75" t="s">
        <v>254</v>
      </c>
      <c r="BJ362" s="75" t="s">
        <v>254</v>
      </c>
      <c r="BK362" s="75" t="s">
        <v>254</v>
      </c>
      <c r="BL362" s="75">
        <v>0</v>
      </c>
      <c r="BM362" s="75">
        <f t="shared" si="74"/>
        <v>0</v>
      </c>
      <c r="BN362" s="75">
        <f t="shared" si="77"/>
        <v>0</v>
      </c>
      <c r="BO362" s="75">
        <f t="shared" si="75"/>
        <v>5</v>
      </c>
      <c r="BP362" s="75">
        <f t="shared" si="76"/>
        <v>5</v>
      </c>
      <c r="BQ362" s="241" t="s">
        <v>363</v>
      </c>
      <c r="BR362" s="138" t="s">
        <v>639</v>
      </c>
      <c r="BS362" s="110" t="s">
        <v>539</v>
      </c>
      <c r="BT362" s="110">
        <v>0</v>
      </c>
      <c r="BU362" s="75">
        <v>0</v>
      </c>
    </row>
    <row r="363" spans="3:73" x14ac:dyDescent="0.75">
      <c r="C363">
        <v>1321</v>
      </c>
      <c r="D363" s="75" t="s">
        <v>357</v>
      </c>
      <c r="E363" s="75" t="s">
        <v>358</v>
      </c>
      <c r="F363" s="75" t="s">
        <v>359</v>
      </c>
      <c r="G363" s="75" t="s">
        <v>87</v>
      </c>
      <c r="H363">
        <v>18.344638000854399</v>
      </c>
      <c r="I363">
        <v>-64.6839062927274</v>
      </c>
      <c r="J363" s="81">
        <v>45070</v>
      </c>
      <c r="K363" s="75" t="s">
        <v>628</v>
      </c>
      <c r="L363" s="75" t="s">
        <v>374</v>
      </c>
      <c r="M363" s="75">
        <v>0</v>
      </c>
      <c r="N363" s="75">
        <v>2</v>
      </c>
      <c r="O363" s="75" t="s">
        <v>362</v>
      </c>
      <c r="P363" s="88">
        <f>SUM(TreatmentUsed!E4794:E4804)</f>
        <v>49</v>
      </c>
      <c r="Q363" s="75">
        <v>0</v>
      </c>
      <c r="R363" s="75">
        <v>0</v>
      </c>
      <c r="S363" s="75">
        <v>0</v>
      </c>
      <c r="T363" s="75">
        <v>0</v>
      </c>
      <c r="U363" s="75">
        <v>0</v>
      </c>
      <c r="V363" s="75">
        <v>0</v>
      </c>
      <c r="W363" s="75">
        <v>0</v>
      </c>
      <c r="X363" s="75">
        <v>0</v>
      </c>
      <c r="Y363" s="75">
        <v>0</v>
      </c>
      <c r="Z363" s="75">
        <v>0</v>
      </c>
      <c r="AA363" s="75">
        <v>0</v>
      </c>
      <c r="AB363" s="75">
        <v>0</v>
      </c>
      <c r="AC363" s="75">
        <v>0</v>
      </c>
      <c r="AD363" s="75">
        <v>0</v>
      </c>
      <c r="AE363" s="75">
        <v>0</v>
      </c>
      <c r="AF363" s="75">
        <v>0</v>
      </c>
      <c r="AG363" s="75">
        <v>0</v>
      </c>
      <c r="AH363" s="75">
        <v>0</v>
      </c>
      <c r="AI363" s="75">
        <v>0</v>
      </c>
      <c r="AJ363" s="75">
        <v>0</v>
      </c>
      <c r="AK363" s="75">
        <v>0</v>
      </c>
      <c r="AL363" s="75">
        <v>0</v>
      </c>
      <c r="AM363" s="75">
        <v>0</v>
      </c>
      <c r="AN363" s="75">
        <v>0</v>
      </c>
      <c r="AO363" s="75">
        <v>0</v>
      </c>
      <c r="AP363" s="75">
        <v>0</v>
      </c>
      <c r="AQ363" s="75">
        <v>1</v>
      </c>
      <c r="AR363" s="75">
        <v>0</v>
      </c>
      <c r="AS363" s="75">
        <v>1</v>
      </c>
      <c r="AT363" s="75">
        <v>1</v>
      </c>
      <c r="AU363" s="75">
        <v>0</v>
      </c>
      <c r="AV363" s="75">
        <v>0</v>
      </c>
      <c r="AW363" s="75">
        <v>0</v>
      </c>
      <c r="AX363" s="75">
        <v>0</v>
      </c>
      <c r="AY363" s="75">
        <v>1</v>
      </c>
      <c r="AZ363" s="75">
        <v>0</v>
      </c>
      <c r="BA363" s="75">
        <v>0</v>
      </c>
      <c r="BB363" s="75">
        <v>0</v>
      </c>
      <c r="BC363" s="75">
        <v>0</v>
      </c>
      <c r="BD363" s="75">
        <v>0</v>
      </c>
      <c r="BE363" s="75">
        <v>0</v>
      </c>
      <c r="BF363" s="75">
        <v>7</v>
      </c>
      <c r="BG363" s="75">
        <v>0</v>
      </c>
      <c r="BH363" s="75">
        <v>0</v>
      </c>
      <c r="BI363" s="75" t="s">
        <v>254</v>
      </c>
      <c r="BJ363" s="75" t="s">
        <v>254</v>
      </c>
      <c r="BK363" s="75" t="s">
        <v>254</v>
      </c>
      <c r="BL363" s="75">
        <v>0</v>
      </c>
      <c r="BM363" s="75">
        <f t="shared" si="74"/>
        <v>0</v>
      </c>
      <c r="BN363" s="75">
        <f t="shared" si="77"/>
        <v>0</v>
      </c>
      <c r="BO363" s="75">
        <f t="shared" si="75"/>
        <v>11</v>
      </c>
      <c r="BP363" s="75">
        <f t="shared" si="76"/>
        <v>11</v>
      </c>
      <c r="BQ363" s="241" t="s">
        <v>363</v>
      </c>
      <c r="BR363" s="138" t="s">
        <v>640</v>
      </c>
      <c r="BS363" s="110" t="s">
        <v>539</v>
      </c>
      <c r="BT363" s="110">
        <v>0</v>
      </c>
      <c r="BU363" s="75">
        <v>0</v>
      </c>
    </row>
    <row r="364" spans="3:73" x14ac:dyDescent="0.75">
      <c r="C364">
        <v>1322</v>
      </c>
      <c r="D364" s="75" t="s">
        <v>357</v>
      </c>
      <c r="E364" s="75" t="s">
        <v>358</v>
      </c>
      <c r="F364" s="75" t="s">
        <v>359</v>
      </c>
      <c r="G364" s="75" t="s">
        <v>100</v>
      </c>
      <c r="H364">
        <v>18.344525365211499</v>
      </c>
      <c r="I364">
        <v>-64.693964686489494</v>
      </c>
      <c r="J364" s="81">
        <v>45070</v>
      </c>
      <c r="K364" s="75" t="s">
        <v>628</v>
      </c>
      <c r="L364" s="75" t="s">
        <v>374</v>
      </c>
      <c r="M364" s="75">
        <v>0</v>
      </c>
      <c r="N364" s="75">
        <v>2</v>
      </c>
      <c r="O364" s="75" t="s">
        <v>362</v>
      </c>
      <c r="P364" s="88">
        <f>SUM(TreatmentUsed!E4805:E4811)</f>
        <v>100</v>
      </c>
      <c r="Q364" s="75">
        <v>0</v>
      </c>
      <c r="R364" s="75">
        <v>0</v>
      </c>
      <c r="S364" s="75">
        <v>0</v>
      </c>
      <c r="T364" s="75">
        <v>0</v>
      </c>
      <c r="U364" s="75">
        <v>0</v>
      </c>
      <c r="V364" s="75">
        <v>0</v>
      </c>
      <c r="W364" s="75">
        <v>0</v>
      </c>
      <c r="X364" s="75">
        <v>0</v>
      </c>
      <c r="Y364" s="75">
        <v>0</v>
      </c>
      <c r="Z364" s="75">
        <v>0</v>
      </c>
      <c r="AA364" s="75">
        <v>0</v>
      </c>
      <c r="AB364" s="75">
        <v>0</v>
      </c>
      <c r="AC364" s="75">
        <v>0</v>
      </c>
      <c r="AD364" s="75">
        <v>0</v>
      </c>
      <c r="AE364" s="75">
        <v>0</v>
      </c>
      <c r="AF364" s="75">
        <v>0</v>
      </c>
      <c r="AG364" s="75">
        <v>0</v>
      </c>
      <c r="AH364" s="75">
        <v>0</v>
      </c>
      <c r="AI364" s="75">
        <v>0</v>
      </c>
      <c r="AJ364" s="75">
        <v>0</v>
      </c>
      <c r="AK364" s="75">
        <v>0</v>
      </c>
      <c r="AL364" s="75">
        <v>0</v>
      </c>
      <c r="AM364" s="75">
        <v>0</v>
      </c>
      <c r="AN364" s="75">
        <v>0</v>
      </c>
      <c r="AO364" s="75">
        <v>0</v>
      </c>
      <c r="AP364" s="75">
        <v>0</v>
      </c>
      <c r="AQ364" s="75">
        <v>2</v>
      </c>
      <c r="AR364" s="75">
        <v>0</v>
      </c>
      <c r="AS364" s="75">
        <v>0</v>
      </c>
      <c r="AT364" s="75">
        <v>0</v>
      </c>
      <c r="AU364" s="75">
        <v>0</v>
      </c>
      <c r="AV364" s="75">
        <v>0</v>
      </c>
      <c r="AW364" s="75">
        <v>0</v>
      </c>
      <c r="AX364" s="75">
        <v>0</v>
      </c>
      <c r="AY364" s="84">
        <v>2</v>
      </c>
      <c r="AZ364" s="75">
        <v>0</v>
      </c>
      <c r="BA364" s="84">
        <v>0</v>
      </c>
      <c r="BB364" s="75">
        <v>0</v>
      </c>
      <c r="BC364" s="75">
        <v>1</v>
      </c>
      <c r="BD364" s="75">
        <v>0</v>
      </c>
      <c r="BE364" s="75">
        <v>0</v>
      </c>
      <c r="BF364" s="75">
        <v>2</v>
      </c>
      <c r="BG364" s="75">
        <v>0</v>
      </c>
      <c r="BH364" s="75">
        <v>0</v>
      </c>
      <c r="BI364" s="75" t="s">
        <v>254</v>
      </c>
      <c r="BJ364" s="75" t="s">
        <v>254</v>
      </c>
      <c r="BK364" s="75" t="s">
        <v>254</v>
      </c>
      <c r="BL364" s="75">
        <v>0</v>
      </c>
      <c r="BM364" s="75">
        <f t="shared" si="74"/>
        <v>0</v>
      </c>
      <c r="BN364" s="75">
        <f t="shared" si="77"/>
        <v>0</v>
      </c>
      <c r="BO364" s="75">
        <f t="shared" si="75"/>
        <v>7</v>
      </c>
      <c r="BP364" s="75">
        <f t="shared" si="76"/>
        <v>7</v>
      </c>
      <c r="BQ364" s="241" t="s">
        <v>363</v>
      </c>
      <c r="BS364" s="110" t="s">
        <v>539</v>
      </c>
      <c r="BT364" s="110">
        <v>0</v>
      </c>
      <c r="BU364" s="75">
        <v>0</v>
      </c>
    </row>
    <row r="365" spans="3:73" x14ac:dyDescent="0.75">
      <c r="C365">
        <v>1323</v>
      </c>
      <c r="D365" s="75" t="s">
        <v>357</v>
      </c>
      <c r="E365" s="75" t="s">
        <v>358</v>
      </c>
      <c r="F365" s="75" t="s">
        <v>359</v>
      </c>
      <c r="G365" s="75" t="s">
        <v>91</v>
      </c>
      <c r="H365" s="75">
        <v>18.302265542188699</v>
      </c>
      <c r="I365" s="75">
        <v>-64.709759103599794</v>
      </c>
      <c r="J365" s="81">
        <v>45070</v>
      </c>
      <c r="K365" s="75" t="s">
        <v>628</v>
      </c>
      <c r="L365" s="75" t="s">
        <v>374</v>
      </c>
      <c r="M365" s="75">
        <v>0</v>
      </c>
      <c r="N365" s="75">
        <v>2</v>
      </c>
      <c r="O365" s="75" t="s">
        <v>362</v>
      </c>
      <c r="P365" s="88">
        <f>SUM(TreatmentUsed!E4812:E4818)</f>
        <v>178</v>
      </c>
      <c r="Q365" s="75">
        <v>13</v>
      </c>
      <c r="R365" s="75">
        <v>0</v>
      </c>
      <c r="S365" s="75">
        <v>0</v>
      </c>
      <c r="T365" s="75">
        <v>0</v>
      </c>
      <c r="U365" s="75">
        <v>0</v>
      </c>
      <c r="V365" s="75">
        <v>0</v>
      </c>
      <c r="W365" s="75">
        <v>0</v>
      </c>
      <c r="X365" s="75">
        <v>0</v>
      </c>
      <c r="Y365" s="75">
        <v>0</v>
      </c>
      <c r="Z365" s="75">
        <v>0</v>
      </c>
      <c r="AA365" s="75">
        <v>0</v>
      </c>
      <c r="AB365" s="75">
        <v>0</v>
      </c>
      <c r="AC365" s="75">
        <v>0</v>
      </c>
      <c r="AD365" s="75">
        <v>0</v>
      </c>
      <c r="AE365" s="75">
        <v>0</v>
      </c>
      <c r="AF365" s="75">
        <v>0</v>
      </c>
      <c r="AG365" s="75">
        <v>0</v>
      </c>
      <c r="AH365" s="75">
        <v>0</v>
      </c>
      <c r="AI365" s="75">
        <v>0</v>
      </c>
      <c r="AJ365" s="75">
        <v>0</v>
      </c>
      <c r="AK365" s="75">
        <v>0</v>
      </c>
      <c r="AL365" s="75">
        <v>0</v>
      </c>
      <c r="AM365" s="75">
        <v>0</v>
      </c>
      <c r="AN365" s="75">
        <v>0</v>
      </c>
      <c r="AO365" s="75">
        <v>0</v>
      </c>
      <c r="AP365" s="75">
        <v>0</v>
      </c>
      <c r="AQ365" s="75">
        <v>1</v>
      </c>
      <c r="AR365" s="75">
        <v>0</v>
      </c>
      <c r="AS365" s="75">
        <v>0</v>
      </c>
      <c r="AT365" s="75">
        <v>0</v>
      </c>
      <c r="AU365" s="75">
        <v>0</v>
      </c>
      <c r="AV365" s="75">
        <v>0</v>
      </c>
      <c r="AW365" s="75">
        <v>0</v>
      </c>
      <c r="AX365" s="75">
        <v>0</v>
      </c>
      <c r="AY365" s="75">
        <v>0</v>
      </c>
      <c r="AZ365" s="75">
        <v>0</v>
      </c>
      <c r="BA365" s="84">
        <v>3</v>
      </c>
      <c r="BB365" s="75">
        <v>0</v>
      </c>
      <c r="BC365" s="75">
        <v>0</v>
      </c>
      <c r="BD365" s="75">
        <v>0</v>
      </c>
      <c r="BE365" s="75">
        <v>0</v>
      </c>
      <c r="BF365" s="75">
        <v>2</v>
      </c>
      <c r="BG365" s="75">
        <v>0</v>
      </c>
      <c r="BH365" s="75">
        <v>1</v>
      </c>
      <c r="BI365" s="75" t="s">
        <v>254</v>
      </c>
      <c r="BJ365" s="75" t="s">
        <v>254</v>
      </c>
      <c r="BK365" s="75" t="s">
        <v>254</v>
      </c>
      <c r="BL365" s="75">
        <v>0</v>
      </c>
      <c r="BM365" s="75">
        <f t="shared" si="74"/>
        <v>0</v>
      </c>
      <c r="BN365" s="75">
        <f t="shared" si="77"/>
        <v>0</v>
      </c>
      <c r="BO365" s="75">
        <f t="shared" si="75"/>
        <v>7</v>
      </c>
      <c r="BP365" s="75">
        <f t="shared" si="76"/>
        <v>7</v>
      </c>
      <c r="BQ365" s="80" t="s">
        <v>641</v>
      </c>
      <c r="BS365" s="110" t="s">
        <v>539</v>
      </c>
      <c r="BT365" s="110">
        <v>0</v>
      </c>
      <c r="BU365" s="75">
        <v>0</v>
      </c>
    </row>
    <row r="366" spans="3:73" x14ac:dyDescent="0.75">
      <c r="C366">
        <v>1324</v>
      </c>
      <c r="D366" s="75" t="s">
        <v>357</v>
      </c>
      <c r="E366" s="75" t="s">
        <v>358</v>
      </c>
      <c r="F366" s="75" t="s">
        <v>359</v>
      </c>
      <c r="G366" s="75" t="s">
        <v>96</v>
      </c>
      <c r="H366">
        <v>18.309038942679699</v>
      </c>
      <c r="I366">
        <v>-64.723371360450898</v>
      </c>
      <c r="J366" s="81">
        <v>45071</v>
      </c>
      <c r="K366" s="75" t="s">
        <v>627</v>
      </c>
      <c r="L366" s="75" t="s">
        <v>374</v>
      </c>
      <c r="M366" s="75">
        <v>0</v>
      </c>
      <c r="N366" s="75">
        <v>2</v>
      </c>
      <c r="O366" s="75" t="s">
        <v>362</v>
      </c>
      <c r="P366" s="88">
        <f>SUM(TreatmentUsed!E4819:E4845)</f>
        <v>178</v>
      </c>
      <c r="Q366" s="75">
        <v>0</v>
      </c>
      <c r="R366" s="75">
        <v>0</v>
      </c>
      <c r="S366" s="75">
        <v>0</v>
      </c>
      <c r="T366" s="75">
        <v>0</v>
      </c>
      <c r="U366" s="75">
        <v>0</v>
      </c>
      <c r="V366" s="75">
        <v>0</v>
      </c>
      <c r="W366" s="75">
        <v>0</v>
      </c>
      <c r="X366" s="75">
        <v>0</v>
      </c>
      <c r="Y366" s="75">
        <v>0</v>
      </c>
      <c r="Z366" s="75">
        <v>0</v>
      </c>
      <c r="AA366" s="75">
        <v>0</v>
      </c>
      <c r="AB366" s="75">
        <v>0</v>
      </c>
      <c r="AC366" s="75">
        <v>0</v>
      </c>
      <c r="AD366" s="75">
        <v>0</v>
      </c>
      <c r="AE366" s="75">
        <v>0</v>
      </c>
      <c r="AF366" s="75">
        <v>0</v>
      </c>
      <c r="AG366" s="75">
        <v>0</v>
      </c>
      <c r="AH366" s="75">
        <v>0</v>
      </c>
      <c r="AI366" s="75">
        <v>0</v>
      </c>
      <c r="AJ366" s="75">
        <v>0</v>
      </c>
      <c r="AK366" s="75">
        <v>0</v>
      </c>
      <c r="AL366" s="75">
        <v>0</v>
      </c>
      <c r="AM366" s="75">
        <v>0</v>
      </c>
      <c r="AN366" s="75">
        <v>0</v>
      </c>
      <c r="AO366" s="75">
        <v>0</v>
      </c>
      <c r="AP366" s="75">
        <v>0</v>
      </c>
      <c r="AQ366" s="75">
        <v>0</v>
      </c>
      <c r="AR366" s="75">
        <v>0</v>
      </c>
      <c r="AS366" s="75">
        <v>0</v>
      </c>
      <c r="AT366" s="75">
        <v>0</v>
      </c>
      <c r="AU366" s="75">
        <v>0</v>
      </c>
      <c r="AV366" s="75">
        <v>0</v>
      </c>
      <c r="AW366" s="75">
        <v>0</v>
      </c>
      <c r="AX366" s="75">
        <v>0</v>
      </c>
      <c r="AY366" s="84">
        <v>8</v>
      </c>
      <c r="AZ366" s="84">
        <v>4</v>
      </c>
      <c r="BA366" s="84">
        <v>12</v>
      </c>
      <c r="BB366" s="84">
        <v>3</v>
      </c>
      <c r="BC366" s="75">
        <v>0</v>
      </c>
      <c r="BD366" s="75">
        <v>0</v>
      </c>
      <c r="BE366" s="75">
        <v>0</v>
      </c>
      <c r="BF366" s="75">
        <v>0</v>
      </c>
      <c r="BG366" s="75">
        <v>0</v>
      </c>
      <c r="BH366" s="75">
        <v>0</v>
      </c>
      <c r="BI366" s="75" t="s">
        <v>254</v>
      </c>
      <c r="BJ366" s="75" t="s">
        <v>254</v>
      </c>
      <c r="BK366" s="75" t="s">
        <v>254</v>
      </c>
      <c r="BL366" s="75">
        <v>0</v>
      </c>
      <c r="BM366" s="75">
        <f t="shared" si="74"/>
        <v>0</v>
      </c>
      <c r="BN366" s="75">
        <f t="shared" si="77"/>
        <v>0</v>
      </c>
      <c r="BO366" s="75">
        <f t="shared" si="75"/>
        <v>27</v>
      </c>
      <c r="BP366" s="75">
        <f t="shared" si="76"/>
        <v>27</v>
      </c>
      <c r="BQ366" s="241" t="s">
        <v>363</v>
      </c>
      <c r="BR366" s="138" t="s">
        <v>585</v>
      </c>
      <c r="BS366" s="110" t="s">
        <v>539</v>
      </c>
      <c r="BT366" s="110">
        <v>0</v>
      </c>
      <c r="BU366" s="75">
        <v>0</v>
      </c>
    </row>
    <row r="367" spans="3:73" x14ac:dyDescent="0.75">
      <c r="C367">
        <v>1325</v>
      </c>
      <c r="D367" s="75" t="s">
        <v>357</v>
      </c>
      <c r="E367" s="75" t="s">
        <v>358</v>
      </c>
      <c r="F367" s="75" t="s">
        <v>359</v>
      </c>
      <c r="G367" s="75" t="s">
        <v>28</v>
      </c>
      <c r="H367">
        <v>18.315639999999998</v>
      </c>
      <c r="I367">
        <v>-64.725899999999996</v>
      </c>
      <c r="J367" s="81">
        <v>45071</v>
      </c>
      <c r="K367" s="75" t="s">
        <v>627</v>
      </c>
      <c r="L367" s="75" t="s">
        <v>374</v>
      </c>
      <c r="M367" s="75">
        <v>0</v>
      </c>
      <c r="N367" s="75">
        <v>2</v>
      </c>
      <c r="O367" s="75" t="s">
        <v>362</v>
      </c>
      <c r="P367" s="88">
        <f>SUM(TreatmentUsed!E4846:E4848)</f>
        <v>18</v>
      </c>
      <c r="Q367" s="75">
        <v>0</v>
      </c>
      <c r="R367" s="75">
        <v>0</v>
      </c>
      <c r="S367" s="75">
        <v>0</v>
      </c>
      <c r="T367" s="75">
        <v>0</v>
      </c>
      <c r="U367" s="75">
        <v>0</v>
      </c>
      <c r="V367" s="75">
        <v>0</v>
      </c>
      <c r="W367" s="75">
        <v>0</v>
      </c>
      <c r="X367" s="75">
        <v>0</v>
      </c>
      <c r="Y367" s="75">
        <v>0</v>
      </c>
      <c r="Z367" s="75">
        <v>0</v>
      </c>
      <c r="AA367" s="75">
        <v>0</v>
      </c>
      <c r="AB367" s="75">
        <v>0</v>
      </c>
      <c r="AC367" s="75">
        <v>0</v>
      </c>
      <c r="AD367" s="75">
        <v>0</v>
      </c>
      <c r="AE367" s="75">
        <v>0</v>
      </c>
      <c r="AF367" s="75">
        <v>0</v>
      </c>
      <c r="AG367" s="75">
        <v>0</v>
      </c>
      <c r="AH367" s="75">
        <v>0</v>
      </c>
      <c r="AI367" s="75">
        <v>0</v>
      </c>
      <c r="AJ367" s="75">
        <v>0</v>
      </c>
      <c r="AK367" s="75">
        <v>0</v>
      </c>
      <c r="AL367" s="75">
        <v>0</v>
      </c>
      <c r="AM367" s="75">
        <v>0</v>
      </c>
      <c r="AN367" s="75">
        <v>0</v>
      </c>
      <c r="AO367" s="75">
        <v>0</v>
      </c>
      <c r="AP367" s="75">
        <v>0</v>
      </c>
      <c r="AQ367" s="75">
        <v>0</v>
      </c>
      <c r="AR367" s="75">
        <v>0</v>
      </c>
      <c r="AS367" s="75">
        <v>0</v>
      </c>
      <c r="AT367" s="75">
        <v>0</v>
      </c>
      <c r="AU367" s="75">
        <v>0</v>
      </c>
      <c r="AV367" s="75">
        <v>0</v>
      </c>
      <c r="AW367" s="75">
        <v>0</v>
      </c>
      <c r="AX367" s="75">
        <v>0</v>
      </c>
      <c r="AY367" s="75">
        <v>2</v>
      </c>
      <c r="AZ367" s="75">
        <v>0</v>
      </c>
      <c r="BA367" s="84">
        <v>0</v>
      </c>
      <c r="BB367" s="75">
        <v>0</v>
      </c>
      <c r="BC367" s="75">
        <v>0</v>
      </c>
      <c r="BD367" s="75">
        <v>0</v>
      </c>
      <c r="BE367" s="75">
        <v>0</v>
      </c>
      <c r="BF367" s="75">
        <v>0</v>
      </c>
      <c r="BG367" s="75">
        <v>0</v>
      </c>
      <c r="BH367" s="84">
        <v>1</v>
      </c>
      <c r="BI367" s="75" t="s">
        <v>254</v>
      </c>
      <c r="BJ367" s="75" t="s">
        <v>254</v>
      </c>
      <c r="BK367" s="75" t="s">
        <v>254</v>
      </c>
      <c r="BL367" s="75">
        <v>0</v>
      </c>
      <c r="BM367" s="75">
        <f t="shared" si="74"/>
        <v>0</v>
      </c>
      <c r="BN367" s="75">
        <f t="shared" si="77"/>
        <v>0</v>
      </c>
      <c r="BO367" s="75">
        <f t="shared" si="75"/>
        <v>3</v>
      </c>
      <c r="BP367" s="75">
        <f t="shared" si="76"/>
        <v>3</v>
      </c>
      <c r="BQ367" s="85" t="s">
        <v>642</v>
      </c>
      <c r="BR367" s="252">
        <v>4190</v>
      </c>
      <c r="BS367" s="110" t="s">
        <v>539</v>
      </c>
      <c r="BT367" s="110">
        <v>0</v>
      </c>
      <c r="BU367" s="75">
        <v>0</v>
      </c>
    </row>
    <row r="368" spans="3:73" x14ac:dyDescent="0.75">
      <c r="C368" s="17"/>
      <c r="D368" s="75" t="s">
        <v>357</v>
      </c>
      <c r="E368" s="75" t="s">
        <v>358</v>
      </c>
      <c r="F368" s="75" t="s">
        <v>359</v>
      </c>
      <c r="G368" s="75" t="s">
        <v>28</v>
      </c>
      <c r="H368">
        <v>18.315639999999998</v>
      </c>
      <c r="I368">
        <v>-64.725899999999996</v>
      </c>
      <c r="J368" s="81">
        <v>45071</v>
      </c>
      <c r="K368" s="75" t="s">
        <v>360</v>
      </c>
      <c r="L368" s="84"/>
      <c r="M368" s="75">
        <v>0</v>
      </c>
      <c r="N368" s="75">
        <v>2</v>
      </c>
      <c r="O368" s="75" t="s">
        <v>362</v>
      </c>
      <c r="P368" s="75">
        <v>0</v>
      </c>
      <c r="Q368" s="75">
        <v>0</v>
      </c>
      <c r="R368" s="75">
        <v>0</v>
      </c>
      <c r="S368" s="75">
        <v>0</v>
      </c>
      <c r="T368" s="75">
        <v>0</v>
      </c>
      <c r="U368" s="75">
        <v>0</v>
      </c>
      <c r="V368" s="75">
        <v>0</v>
      </c>
      <c r="W368" s="75">
        <v>0</v>
      </c>
      <c r="X368" s="75">
        <v>0</v>
      </c>
      <c r="Y368" s="75">
        <v>0</v>
      </c>
      <c r="Z368" s="75">
        <v>0</v>
      </c>
      <c r="AA368" s="75">
        <v>0</v>
      </c>
      <c r="AB368" s="75">
        <v>0</v>
      </c>
      <c r="AC368" s="75">
        <v>0</v>
      </c>
      <c r="AD368" s="75">
        <v>0</v>
      </c>
      <c r="AE368" s="75">
        <v>0</v>
      </c>
      <c r="AF368" s="75">
        <v>0</v>
      </c>
      <c r="AG368" s="75">
        <v>0</v>
      </c>
      <c r="AH368" s="75">
        <v>0</v>
      </c>
      <c r="AI368" s="75">
        <v>0</v>
      </c>
      <c r="AJ368" s="75">
        <v>0</v>
      </c>
      <c r="AK368" s="75">
        <v>0</v>
      </c>
      <c r="AL368" s="75">
        <v>0</v>
      </c>
      <c r="AM368" s="75">
        <v>0</v>
      </c>
      <c r="AN368" s="75">
        <v>0</v>
      </c>
      <c r="AO368" s="75">
        <v>0</v>
      </c>
      <c r="AP368" s="75">
        <v>0</v>
      </c>
      <c r="AQ368" s="75">
        <v>0</v>
      </c>
      <c r="AR368" s="75">
        <v>0</v>
      </c>
      <c r="AS368" s="75">
        <v>0</v>
      </c>
      <c r="AT368" s="75">
        <v>0</v>
      </c>
      <c r="AU368" s="75">
        <v>0</v>
      </c>
      <c r="AV368" s="75">
        <v>0</v>
      </c>
      <c r="AW368" s="75">
        <v>0</v>
      </c>
      <c r="AX368" s="75">
        <v>0</v>
      </c>
      <c r="AY368" s="75">
        <v>0</v>
      </c>
      <c r="AZ368" s="75">
        <v>0</v>
      </c>
      <c r="BA368" s="75">
        <v>0</v>
      </c>
      <c r="BB368" s="75">
        <v>0</v>
      </c>
      <c r="BC368" s="75">
        <v>0</v>
      </c>
      <c r="BD368" s="75">
        <v>0</v>
      </c>
      <c r="BE368" s="75">
        <v>0</v>
      </c>
      <c r="BF368" s="75">
        <v>0</v>
      </c>
      <c r="BG368" s="75">
        <v>0</v>
      </c>
      <c r="BH368" s="75">
        <v>0</v>
      </c>
      <c r="BI368" s="75" t="s">
        <v>254</v>
      </c>
      <c r="BJ368" s="75" t="s">
        <v>254</v>
      </c>
      <c r="BK368" s="75" t="s">
        <v>254</v>
      </c>
      <c r="BL368" s="75">
        <v>0</v>
      </c>
      <c r="BM368" s="75">
        <f t="shared" si="74"/>
        <v>0</v>
      </c>
      <c r="BN368" s="75">
        <f t="shared" si="77"/>
        <v>0</v>
      </c>
      <c r="BO368" s="75">
        <f t="shared" si="75"/>
        <v>0</v>
      </c>
      <c r="BP368" s="75">
        <f t="shared" si="76"/>
        <v>0</v>
      </c>
      <c r="BQ368" s="80" t="s">
        <v>567</v>
      </c>
      <c r="BR368" s="138">
        <v>4133</v>
      </c>
      <c r="BS368" s="110" t="s">
        <v>539</v>
      </c>
      <c r="BT368" s="110">
        <v>0</v>
      </c>
      <c r="BU368" s="75">
        <v>0</v>
      </c>
    </row>
    <row r="369" spans="1:74" s="205" customFormat="1" x14ac:dyDescent="0.75">
      <c r="A369" s="232"/>
      <c r="B369" s="235"/>
      <c r="C369" s="205">
        <v>1326</v>
      </c>
      <c r="D369" s="225" t="s">
        <v>357</v>
      </c>
      <c r="E369" s="225" t="s">
        <v>358</v>
      </c>
      <c r="F369" s="225" t="s">
        <v>359</v>
      </c>
      <c r="G369" s="225" t="s">
        <v>116</v>
      </c>
      <c r="H369" s="205">
        <v>18.3506</v>
      </c>
      <c r="I369" s="205">
        <v>-64.699183000000005</v>
      </c>
      <c r="J369" s="234">
        <v>45090</v>
      </c>
      <c r="K369" s="225" t="s">
        <v>628</v>
      </c>
      <c r="L369" s="225" t="s">
        <v>374</v>
      </c>
      <c r="M369" s="233">
        <v>2</v>
      </c>
      <c r="N369" s="225">
        <v>2</v>
      </c>
      <c r="O369" s="225" t="s">
        <v>362</v>
      </c>
      <c r="P369" s="236">
        <f>SUM(TreatmentUsed!E4849:E4862)</f>
        <v>204</v>
      </c>
      <c r="Q369" s="225">
        <v>0</v>
      </c>
      <c r="R369" s="225">
        <v>0</v>
      </c>
      <c r="S369" s="225">
        <v>0</v>
      </c>
      <c r="T369" s="225">
        <v>0</v>
      </c>
      <c r="U369" s="225">
        <v>0</v>
      </c>
      <c r="V369" s="225">
        <v>0</v>
      </c>
      <c r="W369" s="225">
        <v>0</v>
      </c>
      <c r="X369" s="225">
        <v>0</v>
      </c>
      <c r="Y369" s="225">
        <v>0</v>
      </c>
      <c r="Z369" s="225">
        <v>0</v>
      </c>
      <c r="AA369" s="225">
        <v>0</v>
      </c>
      <c r="AB369" s="225">
        <v>0</v>
      </c>
      <c r="AC369" s="225">
        <v>0</v>
      </c>
      <c r="AD369" s="225">
        <v>0</v>
      </c>
      <c r="AE369" s="233">
        <v>1</v>
      </c>
      <c r="AF369" s="225">
        <v>0</v>
      </c>
      <c r="AG369" s="233">
        <v>1</v>
      </c>
      <c r="AH369" s="225">
        <v>0</v>
      </c>
      <c r="AI369" s="225">
        <v>0</v>
      </c>
      <c r="AJ369" s="225">
        <v>0</v>
      </c>
      <c r="AK369" s="225">
        <v>0</v>
      </c>
      <c r="AL369" s="225">
        <v>0</v>
      </c>
      <c r="AM369" s="225">
        <v>0</v>
      </c>
      <c r="AN369" s="225">
        <v>0</v>
      </c>
      <c r="AO369" s="225">
        <v>1</v>
      </c>
      <c r="AP369" s="225">
        <v>1</v>
      </c>
      <c r="AQ369" s="225">
        <v>0</v>
      </c>
      <c r="AR369" s="225">
        <v>4</v>
      </c>
      <c r="AS369" s="225">
        <v>0</v>
      </c>
      <c r="AT369" s="225">
        <v>0</v>
      </c>
      <c r="AU369" s="225">
        <v>0</v>
      </c>
      <c r="AV369" s="233">
        <v>0</v>
      </c>
      <c r="AW369" s="233">
        <v>1</v>
      </c>
      <c r="AX369" s="225">
        <v>0</v>
      </c>
      <c r="AY369" s="225">
        <v>3</v>
      </c>
      <c r="AZ369" s="225">
        <v>0</v>
      </c>
      <c r="BA369" s="225">
        <v>1</v>
      </c>
      <c r="BB369" s="225">
        <v>0</v>
      </c>
      <c r="BC369" s="225">
        <v>0</v>
      </c>
      <c r="BD369" s="225">
        <v>0</v>
      </c>
      <c r="BE369" s="225">
        <v>1</v>
      </c>
      <c r="BF369" s="225">
        <v>2</v>
      </c>
      <c r="BG369" s="225">
        <v>0</v>
      </c>
      <c r="BH369" s="225">
        <v>0</v>
      </c>
      <c r="BI369" s="225" t="s">
        <v>254</v>
      </c>
      <c r="BJ369" s="225" t="s">
        <v>254</v>
      </c>
      <c r="BK369" s="225" t="s">
        <v>254</v>
      </c>
      <c r="BL369" s="233">
        <v>0</v>
      </c>
      <c r="BM369" s="225">
        <f>SUM(R369:AD369)</f>
        <v>0</v>
      </c>
      <c r="BN369" s="225">
        <f>SUM(AE369:AN369)</f>
        <v>2</v>
      </c>
      <c r="BO369" s="225">
        <f>SUM(AO369:BH369)</f>
        <v>14</v>
      </c>
      <c r="BP369" s="225">
        <f>SUM(BM369:BO369)</f>
        <v>16</v>
      </c>
      <c r="BQ369" s="237" t="s">
        <v>643</v>
      </c>
      <c r="BR369" s="253" t="s">
        <v>644</v>
      </c>
      <c r="BS369" s="230" t="s">
        <v>539</v>
      </c>
      <c r="BT369" s="230">
        <v>0</v>
      </c>
      <c r="BU369" s="233">
        <v>2</v>
      </c>
      <c r="BV369" s="225"/>
    </row>
    <row r="370" spans="1:74" x14ac:dyDescent="0.75">
      <c r="C370">
        <v>1327</v>
      </c>
      <c r="D370" s="75" t="s">
        <v>357</v>
      </c>
      <c r="E370" s="75" t="s">
        <v>358</v>
      </c>
      <c r="F370" s="75" t="s">
        <v>359</v>
      </c>
      <c r="G370" s="75" t="s">
        <v>116</v>
      </c>
      <c r="H370">
        <v>18.3506</v>
      </c>
      <c r="I370">
        <v>-64.699183000000005</v>
      </c>
      <c r="J370" s="81">
        <v>45090</v>
      </c>
      <c r="K370" s="75" t="s">
        <v>628</v>
      </c>
      <c r="L370" s="75" t="s">
        <v>374</v>
      </c>
      <c r="M370" s="75">
        <v>0</v>
      </c>
      <c r="N370" s="75">
        <v>2</v>
      </c>
      <c r="O370" s="75" t="s">
        <v>362</v>
      </c>
      <c r="P370" s="88">
        <f>SUM(TreatmentUsed!E4863:E4873)</f>
        <v>219</v>
      </c>
      <c r="Q370" s="75">
        <v>0</v>
      </c>
      <c r="R370" s="75">
        <v>0</v>
      </c>
      <c r="S370" s="75">
        <v>0</v>
      </c>
      <c r="T370" s="75">
        <v>0</v>
      </c>
      <c r="U370" s="75">
        <v>0</v>
      </c>
      <c r="V370" s="75">
        <v>0</v>
      </c>
      <c r="W370" s="75">
        <v>0</v>
      </c>
      <c r="X370" s="75">
        <v>0</v>
      </c>
      <c r="Y370" s="75">
        <v>0</v>
      </c>
      <c r="Z370" s="75">
        <v>0</v>
      </c>
      <c r="AA370" s="75">
        <v>0</v>
      </c>
      <c r="AB370" s="75">
        <v>0</v>
      </c>
      <c r="AC370" s="75">
        <v>0</v>
      </c>
      <c r="AD370" s="75">
        <v>0</v>
      </c>
      <c r="AE370" s="75">
        <v>0</v>
      </c>
      <c r="AF370" s="75">
        <v>0</v>
      </c>
      <c r="AG370" s="75">
        <v>0</v>
      </c>
      <c r="AH370" s="75">
        <v>0</v>
      </c>
      <c r="AI370" s="75">
        <v>0</v>
      </c>
      <c r="AJ370" s="75">
        <v>0</v>
      </c>
      <c r="AK370" s="75">
        <v>0</v>
      </c>
      <c r="AL370" s="75">
        <v>0</v>
      </c>
      <c r="AM370" s="75">
        <v>0</v>
      </c>
      <c r="AN370" s="75">
        <v>0</v>
      </c>
      <c r="AO370" s="75">
        <v>0</v>
      </c>
      <c r="AP370" s="75">
        <v>0</v>
      </c>
      <c r="AQ370" s="75">
        <v>0</v>
      </c>
      <c r="AR370" s="75">
        <v>3</v>
      </c>
      <c r="AS370" s="75">
        <v>0</v>
      </c>
      <c r="AT370" s="75">
        <v>0</v>
      </c>
      <c r="AU370" s="75">
        <v>0</v>
      </c>
      <c r="AV370" s="75">
        <v>0</v>
      </c>
      <c r="AW370" s="75">
        <v>0</v>
      </c>
      <c r="AX370" s="75">
        <v>0</v>
      </c>
      <c r="AY370" s="84">
        <v>3</v>
      </c>
      <c r="AZ370" s="84">
        <v>1</v>
      </c>
      <c r="BA370" s="75">
        <v>3</v>
      </c>
      <c r="BB370" s="75">
        <v>0</v>
      </c>
      <c r="BC370" s="75">
        <v>1</v>
      </c>
      <c r="BD370" s="75">
        <v>0</v>
      </c>
      <c r="BE370" s="75">
        <v>0</v>
      </c>
      <c r="BF370" s="75">
        <v>0</v>
      </c>
      <c r="BG370" s="75">
        <v>0</v>
      </c>
      <c r="BH370" s="75">
        <v>0</v>
      </c>
      <c r="BI370" s="75" t="s">
        <v>254</v>
      </c>
      <c r="BJ370" s="75" t="s">
        <v>254</v>
      </c>
      <c r="BK370" s="75" t="s">
        <v>254</v>
      </c>
      <c r="BL370" s="75">
        <v>0</v>
      </c>
      <c r="BM370" s="75">
        <f>SUM(R370:AD370)</f>
        <v>0</v>
      </c>
      <c r="BN370" s="75">
        <f>SUM(AE370:AN370)</f>
        <v>0</v>
      </c>
      <c r="BO370" s="75">
        <f>SUM(AO370:BH370)</f>
        <v>11</v>
      </c>
      <c r="BP370" s="75">
        <f>SUM(BM370:BO370)</f>
        <v>11</v>
      </c>
      <c r="BQ370" s="80" t="s">
        <v>645</v>
      </c>
      <c r="BS370" s="110" t="s">
        <v>539</v>
      </c>
      <c r="BT370" s="110">
        <v>0</v>
      </c>
      <c r="BU370" s="75">
        <v>0</v>
      </c>
    </row>
    <row r="371" spans="1:74" x14ac:dyDescent="0.75">
      <c r="C371">
        <v>1328</v>
      </c>
      <c r="D371" s="75" t="s">
        <v>357</v>
      </c>
      <c r="E371" s="75" t="s">
        <v>358</v>
      </c>
      <c r="F371" s="75" t="s">
        <v>359</v>
      </c>
      <c r="G371" s="75" t="s">
        <v>116</v>
      </c>
      <c r="H371">
        <v>18.3506</v>
      </c>
      <c r="I371">
        <v>-64.699183000000005</v>
      </c>
      <c r="J371" s="81">
        <v>45091</v>
      </c>
      <c r="K371" s="75" t="s">
        <v>628</v>
      </c>
      <c r="L371" s="75" t="s">
        <v>374</v>
      </c>
      <c r="M371" s="75">
        <v>0</v>
      </c>
      <c r="N371" s="75">
        <v>2</v>
      </c>
      <c r="O371" s="75" t="s">
        <v>362</v>
      </c>
      <c r="P371" s="88">
        <f>SUM(TreatmentUsed!E4874:E4902)</f>
        <v>301</v>
      </c>
      <c r="Q371" s="75">
        <v>0</v>
      </c>
      <c r="R371" s="84">
        <v>1</v>
      </c>
      <c r="S371" s="75">
        <v>0</v>
      </c>
      <c r="T371" s="75">
        <v>0</v>
      </c>
      <c r="U371" s="75">
        <v>0</v>
      </c>
      <c r="V371" s="75">
        <v>0</v>
      </c>
      <c r="W371" s="75">
        <v>0</v>
      </c>
      <c r="X371" s="75">
        <v>0</v>
      </c>
      <c r="Y371" s="75">
        <v>0</v>
      </c>
      <c r="Z371" s="75">
        <v>0</v>
      </c>
      <c r="AA371" s="75">
        <v>0</v>
      </c>
      <c r="AB371" s="75">
        <v>0</v>
      </c>
      <c r="AC371" s="75">
        <v>0</v>
      </c>
      <c r="AD371" s="75">
        <v>0</v>
      </c>
      <c r="AE371" s="75">
        <v>0</v>
      </c>
      <c r="AF371" s="75">
        <v>0</v>
      </c>
      <c r="AG371" s="75">
        <v>0</v>
      </c>
      <c r="AH371" s="75">
        <v>0</v>
      </c>
      <c r="AI371" s="75">
        <v>0</v>
      </c>
      <c r="AJ371" s="75">
        <v>0</v>
      </c>
      <c r="AK371" s="75">
        <v>0</v>
      </c>
      <c r="AL371" s="75">
        <v>0</v>
      </c>
      <c r="AM371" s="75">
        <v>0</v>
      </c>
      <c r="AN371" s="75">
        <v>0</v>
      </c>
      <c r="AO371" s="75">
        <v>0</v>
      </c>
      <c r="AP371" s="84">
        <v>1</v>
      </c>
      <c r="AQ371" s="75">
        <v>0</v>
      </c>
      <c r="AR371" s="75">
        <v>2</v>
      </c>
      <c r="AS371" s="75">
        <v>0</v>
      </c>
      <c r="AT371" s="75">
        <v>0</v>
      </c>
      <c r="AU371" s="75">
        <v>0</v>
      </c>
      <c r="AV371" s="75">
        <v>0</v>
      </c>
      <c r="AW371" s="75">
        <v>0</v>
      </c>
      <c r="AX371" s="75">
        <v>0</v>
      </c>
      <c r="AY371" s="84">
        <v>7</v>
      </c>
      <c r="AZ371" s="84">
        <v>7</v>
      </c>
      <c r="BA371" s="84">
        <v>4</v>
      </c>
      <c r="BB371" s="84">
        <v>0</v>
      </c>
      <c r="BC371" s="75">
        <v>4</v>
      </c>
      <c r="BD371" s="75">
        <v>0</v>
      </c>
      <c r="BE371" s="75">
        <v>1</v>
      </c>
      <c r="BF371" s="75">
        <v>1</v>
      </c>
      <c r="BG371" s="75">
        <v>0</v>
      </c>
      <c r="BH371" s="75">
        <v>2</v>
      </c>
      <c r="BI371" s="75" t="s">
        <v>254</v>
      </c>
      <c r="BJ371" s="75" t="s">
        <v>254</v>
      </c>
      <c r="BK371" s="75" t="s">
        <v>254</v>
      </c>
      <c r="BL371" s="75">
        <v>0</v>
      </c>
      <c r="BM371" s="75">
        <f>SUM(R371:AD371)</f>
        <v>1</v>
      </c>
      <c r="BN371" s="75">
        <f>SUM(AE371:AN371)</f>
        <v>0</v>
      </c>
      <c r="BO371" s="75">
        <f>SUM(AO371:BH371)</f>
        <v>29</v>
      </c>
      <c r="BP371" s="75">
        <f>SUM(BM371:BO371)</f>
        <v>30</v>
      </c>
      <c r="BQ371" s="241" t="s">
        <v>646</v>
      </c>
      <c r="BR371" s="138" t="s">
        <v>647</v>
      </c>
      <c r="BS371" s="110" t="s">
        <v>539</v>
      </c>
      <c r="BT371" s="110">
        <v>0</v>
      </c>
      <c r="BU371" s="75">
        <v>1</v>
      </c>
    </row>
    <row r="372" spans="1:74" x14ac:dyDescent="0.75">
      <c r="C372">
        <v>1329</v>
      </c>
      <c r="D372" s="75" t="s">
        <v>357</v>
      </c>
      <c r="E372" s="75" t="s">
        <v>358</v>
      </c>
      <c r="F372" s="75" t="s">
        <v>359</v>
      </c>
      <c r="G372" s="75" t="s">
        <v>116</v>
      </c>
      <c r="H372">
        <v>18.3506</v>
      </c>
      <c r="I372">
        <v>-64.699183000000005</v>
      </c>
      <c r="J372" s="81">
        <v>45091</v>
      </c>
      <c r="K372" s="75" t="s">
        <v>628</v>
      </c>
      <c r="L372" s="75" t="s">
        <v>374</v>
      </c>
      <c r="M372" s="75">
        <v>0</v>
      </c>
      <c r="N372" s="75">
        <v>2</v>
      </c>
      <c r="O372" s="75" t="s">
        <v>362</v>
      </c>
      <c r="P372" s="88">
        <f>SUM(TreatmentUsed!E4903:E4930)</f>
        <v>352</v>
      </c>
      <c r="Q372" s="75">
        <v>0</v>
      </c>
      <c r="R372" s="295">
        <v>1</v>
      </c>
      <c r="S372" s="75">
        <v>0</v>
      </c>
      <c r="T372" s="75">
        <v>0</v>
      </c>
      <c r="U372" s="75">
        <v>0</v>
      </c>
      <c r="V372" s="75">
        <v>0</v>
      </c>
      <c r="W372" s="75">
        <v>0</v>
      </c>
      <c r="X372" s="75">
        <v>0</v>
      </c>
      <c r="Y372" s="75">
        <v>0</v>
      </c>
      <c r="Z372" s="75">
        <v>0</v>
      </c>
      <c r="AA372" s="75">
        <v>0</v>
      </c>
      <c r="AB372" s="75">
        <v>0</v>
      </c>
      <c r="AC372" s="75">
        <v>0</v>
      </c>
      <c r="AD372" s="75">
        <v>0</v>
      </c>
      <c r="AE372" s="75">
        <v>0</v>
      </c>
      <c r="AF372" s="75">
        <v>0</v>
      </c>
      <c r="AG372" s="75">
        <v>0</v>
      </c>
      <c r="AH372" s="75">
        <v>0</v>
      </c>
      <c r="AI372" s="75">
        <v>0</v>
      </c>
      <c r="AJ372" s="75">
        <v>0</v>
      </c>
      <c r="AK372" s="75">
        <v>0</v>
      </c>
      <c r="AL372" s="75">
        <v>0</v>
      </c>
      <c r="AM372" s="75">
        <v>0</v>
      </c>
      <c r="AN372" s="75">
        <v>0</v>
      </c>
      <c r="AO372" s="75">
        <v>0</v>
      </c>
      <c r="AP372" s="84">
        <v>0</v>
      </c>
      <c r="AQ372" s="75">
        <v>0</v>
      </c>
      <c r="AR372" s="75">
        <v>2</v>
      </c>
      <c r="AS372" s="75">
        <v>0</v>
      </c>
      <c r="AT372" s="75">
        <v>0</v>
      </c>
      <c r="AU372" s="75">
        <v>0</v>
      </c>
      <c r="AV372" s="75">
        <v>0</v>
      </c>
      <c r="AW372" s="75">
        <v>0</v>
      </c>
      <c r="AX372" s="75">
        <v>0</v>
      </c>
      <c r="AY372" s="84">
        <v>4</v>
      </c>
      <c r="AZ372" s="84">
        <v>10</v>
      </c>
      <c r="BA372" s="84">
        <v>7</v>
      </c>
      <c r="BB372" s="84">
        <v>0</v>
      </c>
      <c r="BC372" s="75">
        <v>3</v>
      </c>
      <c r="BD372" s="75">
        <v>0</v>
      </c>
      <c r="BE372" s="75">
        <v>1</v>
      </c>
      <c r="BF372" s="75">
        <v>1</v>
      </c>
      <c r="BG372" s="75">
        <v>0</v>
      </c>
      <c r="BH372" s="75">
        <v>0</v>
      </c>
      <c r="BI372" s="75" t="s">
        <v>254</v>
      </c>
      <c r="BJ372" s="75" t="s">
        <v>254</v>
      </c>
      <c r="BK372" s="75" t="s">
        <v>254</v>
      </c>
      <c r="BL372" s="75">
        <v>0</v>
      </c>
      <c r="BM372" s="75">
        <f>SUM(R372:AD372)</f>
        <v>1</v>
      </c>
      <c r="BN372" s="75">
        <f>SUM(AE372:AN372)</f>
        <v>0</v>
      </c>
      <c r="BO372" s="75">
        <f>SUM(AO372:BH372)</f>
        <v>28</v>
      </c>
      <c r="BP372" s="75">
        <f>SUM(BM372:BO372)</f>
        <v>29</v>
      </c>
      <c r="BQ372" s="80" t="s">
        <v>648</v>
      </c>
      <c r="BR372" s="254"/>
      <c r="BS372" s="110" t="s">
        <v>539</v>
      </c>
      <c r="BT372" s="110">
        <v>0</v>
      </c>
      <c r="BU372" s="84">
        <v>1</v>
      </c>
    </row>
    <row r="373" spans="1:74" x14ac:dyDescent="0.75">
      <c r="C373">
        <v>1330</v>
      </c>
      <c r="D373" s="75" t="s">
        <v>357</v>
      </c>
      <c r="E373" s="75" t="s">
        <v>358</v>
      </c>
      <c r="F373" s="75" t="s">
        <v>359</v>
      </c>
      <c r="G373" s="75" t="s">
        <v>116</v>
      </c>
      <c r="H373">
        <v>18.3506</v>
      </c>
      <c r="I373">
        <v>-64.699183000000005</v>
      </c>
      <c r="J373" s="81">
        <v>45091</v>
      </c>
      <c r="K373" s="75" t="s">
        <v>628</v>
      </c>
      <c r="L373" s="75" t="s">
        <v>374</v>
      </c>
      <c r="M373" s="75">
        <v>0</v>
      </c>
      <c r="N373" s="75">
        <v>2</v>
      </c>
      <c r="O373" s="75" t="s">
        <v>362</v>
      </c>
      <c r="P373" s="88">
        <f>SUM(TreatmentUsed!E4931:E4939)</f>
        <v>447</v>
      </c>
      <c r="Q373" s="75">
        <v>0</v>
      </c>
      <c r="R373" s="75">
        <v>0</v>
      </c>
      <c r="S373" s="75">
        <v>0</v>
      </c>
      <c r="T373" s="75">
        <v>0</v>
      </c>
      <c r="U373" s="75">
        <v>0</v>
      </c>
      <c r="V373" s="75">
        <v>0</v>
      </c>
      <c r="W373" s="75">
        <v>0</v>
      </c>
      <c r="X373" s="75">
        <v>0</v>
      </c>
      <c r="Y373" s="75">
        <v>0</v>
      </c>
      <c r="Z373" s="75">
        <v>0</v>
      </c>
      <c r="AA373" s="75">
        <v>0</v>
      </c>
      <c r="AB373" s="75">
        <v>0</v>
      </c>
      <c r="AC373" s="75">
        <v>0</v>
      </c>
      <c r="AD373" s="75">
        <v>0</v>
      </c>
      <c r="AE373" s="75">
        <v>0</v>
      </c>
      <c r="AF373" s="75">
        <v>0</v>
      </c>
      <c r="AG373" s="75">
        <v>0</v>
      </c>
      <c r="AH373" s="75">
        <v>0</v>
      </c>
      <c r="AI373" s="75">
        <v>0</v>
      </c>
      <c r="AJ373" s="75">
        <v>0</v>
      </c>
      <c r="AK373" s="75">
        <v>0</v>
      </c>
      <c r="AL373" s="75">
        <v>0</v>
      </c>
      <c r="AM373" s="75">
        <v>0</v>
      </c>
      <c r="AN373" s="75">
        <v>0</v>
      </c>
      <c r="AO373" s="75">
        <v>0</v>
      </c>
      <c r="AP373" s="75">
        <v>0</v>
      </c>
      <c r="AQ373" s="75">
        <v>0</v>
      </c>
      <c r="AR373" s="75">
        <v>2</v>
      </c>
      <c r="AS373" s="75">
        <v>0</v>
      </c>
      <c r="AT373" s="75">
        <v>0</v>
      </c>
      <c r="AU373" s="75">
        <v>1</v>
      </c>
      <c r="AV373" s="75">
        <v>0</v>
      </c>
      <c r="AW373" s="75">
        <v>0</v>
      </c>
      <c r="AX373" s="75">
        <v>0</v>
      </c>
      <c r="AY373" s="75">
        <v>3</v>
      </c>
      <c r="AZ373" s="75">
        <v>1</v>
      </c>
      <c r="BA373" s="75">
        <v>0</v>
      </c>
      <c r="BB373" s="75">
        <v>0</v>
      </c>
      <c r="BC373" s="75">
        <v>2</v>
      </c>
      <c r="BD373" s="75">
        <v>0</v>
      </c>
      <c r="BE373" s="75">
        <v>0</v>
      </c>
      <c r="BF373" s="75">
        <v>0</v>
      </c>
      <c r="BG373" s="75">
        <v>0</v>
      </c>
      <c r="BH373" s="75">
        <v>0</v>
      </c>
      <c r="BI373" s="75" t="s">
        <v>254</v>
      </c>
      <c r="BJ373" s="75" t="s">
        <v>254</v>
      </c>
      <c r="BK373" s="75" t="s">
        <v>254</v>
      </c>
      <c r="BL373" s="75">
        <v>1</v>
      </c>
      <c r="BM373" s="75">
        <f>SUM(R373:AD373)</f>
        <v>0</v>
      </c>
      <c r="BN373" s="75">
        <f>SUM(AE373:AN373)</f>
        <v>0</v>
      </c>
      <c r="BO373" s="75">
        <f>SUM(AO373:BH373)</f>
        <v>9</v>
      </c>
      <c r="BP373" s="75">
        <f>SUM(BM373:BO373)</f>
        <v>9</v>
      </c>
      <c r="BQ373" s="80" t="s">
        <v>649</v>
      </c>
      <c r="BR373" s="138" t="s">
        <v>650</v>
      </c>
      <c r="BS373" s="110" t="s">
        <v>539</v>
      </c>
      <c r="BT373" s="110">
        <v>0</v>
      </c>
      <c r="BU373" s="75">
        <v>0</v>
      </c>
    </row>
    <row r="374" spans="1:74" x14ac:dyDescent="0.75">
      <c r="C374">
        <v>1331</v>
      </c>
      <c r="D374" s="75" t="s">
        <v>357</v>
      </c>
      <c r="E374" s="75" t="s">
        <v>358</v>
      </c>
      <c r="F374" s="75" t="s">
        <v>359</v>
      </c>
      <c r="G374" s="75" t="s">
        <v>116</v>
      </c>
      <c r="H374">
        <v>18.3506</v>
      </c>
      <c r="I374">
        <v>-64.699183000000005</v>
      </c>
      <c r="J374" s="3">
        <v>45092</v>
      </c>
      <c r="K374" s="75" t="s">
        <v>627</v>
      </c>
      <c r="L374" s="75" t="s">
        <v>374</v>
      </c>
      <c r="M374" s="75">
        <v>0</v>
      </c>
      <c r="N374" s="75">
        <v>2</v>
      </c>
      <c r="O374" s="75" t="s">
        <v>362</v>
      </c>
      <c r="P374" s="88">
        <f>SUM(TreatmentUsed!E4940:E4954)</f>
        <v>285</v>
      </c>
      <c r="Q374" s="75">
        <v>0</v>
      </c>
      <c r="R374" s="75">
        <v>0</v>
      </c>
      <c r="S374" s="75">
        <v>0</v>
      </c>
      <c r="T374" s="75">
        <v>0</v>
      </c>
      <c r="U374" s="75">
        <v>0</v>
      </c>
      <c r="V374" s="75">
        <v>0</v>
      </c>
      <c r="W374" s="75">
        <v>0</v>
      </c>
      <c r="X374" s="75">
        <v>0</v>
      </c>
      <c r="Y374" s="75">
        <v>0</v>
      </c>
      <c r="Z374" s="75">
        <v>0</v>
      </c>
      <c r="AA374" s="75">
        <v>0</v>
      </c>
      <c r="AB374" s="75">
        <v>0</v>
      </c>
      <c r="AC374" s="75">
        <v>0</v>
      </c>
      <c r="AD374" s="75">
        <v>0</v>
      </c>
      <c r="AE374" s="75">
        <v>0</v>
      </c>
      <c r="AF374" s="75">
        <v>0</v>
      </c>
      <c r="AG374" s="75">
        <v>0</v>
      </c>
      <c r="AH374" s="75">
        <v>0</v>
      </c>
      <c r="AI374" s="75">
        <v>0</v>
      </c>
      <c r="AJ374" s="75">
        <v>0</v>
      </c>
      <c r="AK374" s="75">
        <v>0</v>
      </c>
      <c r="AL374" s="75">
        <v>0</v>
      </c>
      <c r="AM374" s="75">
        <v>0</v>
      </c>
      <c r="AN374" s="75">
        <v>0</v>
      </c>
      <c r="AO374" s="75">
        <v>0</v>
      </c>
      <c r="AP374" s="75">
        <v>0</v>
      </c>
      <c r="AQ374" s="75">
        <v>0</v>
      </c>
      <c r="AR374" s="84">
        <v>7</v>
      </c>
      <c r="AS374" s="84">
        <v>0</v>
      </c>
      <c r="AT374" s="75">
        <v>0</v>
      </c>
      <c r="AU374" s="84">
        <v>0</v>
      </c>
      <c r="AV374" s="75">
        <v>0</v>
      </c>
      <c r="AW374" s="75">
        <v>0</v>
      </c>
      <c r="AX374" s="75">
        <v>0</v>
      </c>
      <c r="AY374" s="84">
        <v>3</v>
      </c>
      <c r="AZ374" s="75">
        <v>0</v>
      </c>
      <c r="BA374" s="84">
        <v>2</v>
      </c>
      <c r="BB374" s="75">
        <v>0</v>
      </c>
      <c r="BC374" s="84">
        <v>3</v>
      </c>
      <c r="BD374" s="75">
        <v>0</v>
      </c>
      <c r="BE374" s="75">
        <v>0</v>
      </c>
      <c r="BF374" s="75">
        <v>0</v>
      </c>
      <c r="BG374" s="75">
        <v>0</v>
      </c>
      <c r="BH374" s="75">
        <v>0</v>
      </c>
      <c r="BI374" s="75" t="s">
        <v>254</v>
      </c>
      <c r="BJ374" s="75" t="s">
        <v>254</v>
      </c>
      <c r="BK374" s="75" t="s">
        <v>254</v>
      </c>
      <c r="BL374" s="75">
        <v>1</v>
      </c>
      <c r="BM374" s="75">
        <f t="shared" si="74"/>
        <v>0</v>
      </c>
      <c r="BN374" s="75">
        <f t="shared" si="77"/>
        <v>0</v>
      </c>
      <c r="BO374" s="84">
        <f t="shared" si="75"/>
        <v>15</v>
      </c>
      <c r="BP374" s="75">
        <f t="shared" si="76"/>
        <v>15</v>
      </c>
      <c r="BQ374" s="85" t="s">
        <v>651</v>
      </c>
      <c r="BR374" s="259" t="s">
        <v>652</v>
      </c>
      <c r="BS374" s="110" t="s">
        <v>539</v>
      </c>
      <c r="BT374" s="110">
        <v>0</v>
      </c>
      <c r="BU374" s="75">
        <v>0</v>
      </c>
      <c r="BV374" s="75" t="s">
        <v>374</v>
      </c>
    </row>
    <row r="375" spans="1:74" x14ac:dyDescent="0.75">
      <c r="C375">
        <v>1332</v>
      </c>
      <c r="D375" s="75" t="s">
        <v>357</v>
      </c>
      <c r="E375" s="75" t="s">
        <v>358</v>
      </c>
      <c r="F375" s="75" t="s">
        <v>359</v>
      </c>
      <c r="G375" s="75" t="s">
        <v>116</v>
      </c>
      <c r="H375">
        <v>18.3506</v>
      </c>
      <c r="I375">
        <v>-64.699183000000005</v>
      </c>
      <c r="J375" s="3">
        <v>45092</v>
      </c>
      <c r="K375" s="75" t="s">
        <v>627</v>
      </c>
      <c r="L375" s="75" t="s">
        <v>374</v>
      </c>
      <c r="M375" s="75">
        <v>0</v>
      </c>
      <c r="N375" s="75">
        <v>2</v>
      </c>
      <c r="O375" s="75" t="s">
        <v>362</v>
      </c>
      <c r="P375" s="88">
        <f>SUM(TreatmentUsed!E4955:E4966)</f>
        <v>161</v>
      </c>
      <c r="Q375" s="75">
        <v>0</v>
      </c>
      <c r="R375" s="75">
        <v>0</v>
      </c>
      <c r="S375" s="75">
        <v>0</v>
      </c>
      <c r="T375" s="75">
        <v>0</v>
      </c>
      <c r="U375" s="75">
        <v>0</v>
      </c>
      <c r="V375" s="75">
        <v>0</v>
      </c>
      <c r="W375" s="75">
        <v>0</v>
      </c>
      <c r="X375" s="75">
        <v>0</v>
      </c>
      <c r="Y375" s="75">
        <v>0</v>
      </c>
      <c r="Z375" s="75">
        <v>0</v>
      </c>
      <c r="AA375" s="75">
        <v>0</v>
      </c>
      <c r="AB375" s="75">
        <v>0</v>
      </c>
      <c r="AC375" s="75">
        <v>0</v>
      </c>
      <c r="AD375" s="75">
        <v>0</v>
      </c>
      <c r="AE375" s="75">
        <v>0</v>
      </c>
      <c r="AF375" s="75">
        <v>0</v>
      </c>
      <c r="AG375" s="75">
        <v>0</v>
      </c>
      <c r="AH375" s="75">
        <v>0</v>
      </c>
      <c r="AI375" s="75">
        <v>0</v>
      </c>
      <c r="AJ375" s="75">
        <v>0</v>
      </c>
      <c r="AK375" s="75">
        <v>0</v>
      </c>
      <c r="AL375" s="75">
        <v>0</v>
      </c>
      <c r="AM375" s="75">
        <v>0</v>
      </c>
      <c r="AN375" s="75">
        <v>0</v>
      </c>
      <c r="AO375" s="75">
        <v>0</v>
      </c>
      <c r="AP375" s="75">
        <v>0</v>
      </c>
      <c r="AQ375" s="75">
        <v>0</v>
      </c>
      <c r="AR375" s="75">
        <v>1</v>
      </c>
      <c r="AS375" s="84">
        <v>0</v>
      </c>
      <c r="AT375" s="75">
        <v>0</v>
      </c>
      <c r="AU375" s="84">
        <v>3</v>
      </c>
      <c r="AV375" s="75">
        <v>0</v>
      </c>
      <c r="AW375" s="75">
        <v>1</v>
      </c>
      <c r="AX375" s="75">
        <v>0</v>
      </c>
      <c r="AY375" s="75">
        <v>0</v>
      </c>
      <c r="AZ375" s="84">
        <v>0</v>
      </c>
      <c r="BA375" s="84">
        <v>2</v>
      </c>
      <c r="BB375" s="75">
        <v>0</v>
      </c>
      <c r="BC375" s="75">
        <v>5</v>
      </c>
      <c r="BD375" s="75">
        <v>0</v>
      </c>
      <c r="BE375" s="75">
        <v>0</v>
      </c>
      <c r="BF375" s="75">
        <v>0</v>
      </c>
      <c r="BG375" s="75">
        <v>0</v>
      </c>
      <c r="BH375" s="75">
        <v>0</v>
      </c>
      <c r="BI375" s="75" t="s">
        <v>254</v>
      </c>
      <c r="BJ375" s="75" t="s">
        <v>254</v>
      </c>
      <c r="BK375" s="75" t="s">
        <v>254</v>
      </c>
      <c r="BL375" s="75">
        <v>0</v>
      </c>
      <c r="BM375" s="75">
        <f t="shared" si="74"/>
        <v>0</v>
      </c>
      <c r="BN375" s="75">
        <f t="shared" si="77"/>
        <v>0</v>
      </c>
      <c r="BO375" s="84">
        <f t="shared" si="75"/>
        <v>12</v>
      </c>
      <c r="BP375" s="75">
        <f t="shared" si="76"/>
        <v>12</v>
      </c>
      <c r="BQ375" s="241" t="s">
        <v>363</v>
      </c>
      <c r="BR375" s="252" t="s">
        <v>653</v>
      </c>
      <c r="BS375" s="110" t="s">
        <v>539</v>
      </c>
      <c r="BT375" s="110">
        <v>0</v>
      </c>
      <c r="BU375" s="75">
        <v>0</v>
      </c>
      <c r="BV375" s="75" t="s">
        <v>374</v>
      </c>
    </row>
    <row r="376" spans="1:74" x14ac:dyDescent="0.75">
      <c r="C376">
        <v>1333</v>
      </c>
      <c r="D376" s="75" t="s">
        <v>357</v>
      </c>
      <c r="E376" s="75" t="s">
        <v>358</v>
      </c>
      <c r="F376" s="75" t="s">
        <v>359</v>
      </c>
      <c r="G376" s="75" t="s">
        <v>116</v>
      </c>
      <c r="H376">
        <v>18.3506</v>
      </c>
      <c r="I376">
        <v>-64.699183000000005</v>
      </c>
      <c r="J376" s="3">
        <v>45092</v>
      </c>
      <c r="K376" s="75" t="s">
        <v>627</v>
      </c>
      <c r="L376" s="75" t="s">
        <v>374</v>
      </c>
      <c r="M376" s="75">
        <v>0</v>
      </c>
      <c r="N376" s="75">
        <v>2</v>
      </c>
      <c r="O376" s="75" t="s">
        <v>362</v>
      </c>
      <c r="P376" s="88">
        <f>SUM(TreatmentUsed!E4967:E4985)</f>
        <v>177</v>
      </c>
      <c r="Q376" s="75">
        <v>0</v>
      </c>
      <c r="R376" s="75">
        <v>0</v>
      </c>
      <c r="S376" s="75">
        <v>0</v>
      </c>
      <c r="T376" s="75">
        <v>0</v>
      </c>
      <c r="U376" s="75">
        <v>0</v>
      </c>
      <c r="V376" s="75">
        <v>0</v>
      </c>
      <c r="W376" s="75">
        <v>0</v>
      </c>
      <c r="X376" s="75">
        <v>0</v>
      </c>
      <c r="Y376" s="75">
        <v>0</v>
      </c>
      <c r="Z376" s="75">
        <v>0</v>
      </c>
      <c r="AA376" s="75">
        <v>0</v>
      </c>
      <c r="AB376" s="75">
        <v>0</v>
      </c>
      <c r="AC376" s="75">
        <v>0</v>
      </c>
      <c r="AD376" s="75">
        <v>0</v>
      </c>
      <c r="AE376" s="75">
        <v>0</v>
      </c>
      <c r="AF376" s="75">
        <v>0</v>
      </c>
      <c r="AG376" s="75">
        <v>0</v>
      </c>
      <c r="AH376" s="75">
        <v>0</v>
      </c>
      <c r="AI376" s="75">
        <v>0</v>
      </c>
      <c r="AJ376" s="75">
        <v>0</v>
      </c>
      <c r="AK376" s="75">
        <v>0</v>
      </c>
      <c r="AL376" s="75">
        <v>0</v>
      </c>
      <c r="AM376" s="75">
        <v>0</v>
      </c>
      <c r="AN376" s="75">
        <v>0</v>
      </c>
      <c r="AO376" s="75">
        <v>0</v>
      </c>
      <c r="AP376" s="84">
        <v>1</v>
      </c>
      <c r="AQ376" s="75">
        <v>0</v>
      </c>
      <c r="AR376" s="84">
        <v>2</v>
      </c>
      <c r="AS376" s="84">
        <v>0</v>
      </c>
      <c r="AT376" s="75">
        <v>0</v>
      </c>
      <c r="AU376" s="75">
        <v>0</v>
      </c>
      <c r="AV376" s="75">
        <v>0</v>
      </c>
      <c r="AW376" s="75">
        <v>0</v>
      </c>
      <c r="AX376" s="75">
        <v>0</v>
      </c>
      <c r="AY376" s="84">
        <v>4</v>
      </c>
      <c r="AZ376" s="84">
        <v>1</v>
      </c>
      <c r="BA376" s="84">
        <v>9</v>
      </c>
      <c r="BB376" s="75">
        <v>0</v>
      </c>
      <c r="BC376" s="84">
        <v>2</v>
      </c>
      <c r="BD376" s="75">
        <v>0</v>
      </c>
      <c r="BE376" s="75">
        <v>0</v>
      </c>
      <c r="BF376" s="75">
        <v>0</v>
      </c>
      <c r="BG376" s="75">
        <v>0</v>
      </c>
      <c r="BH376" s="75">
        <v>0</v>
      </c>
      <c r="BI376" s="75" t="s">
        <v>254</v>
      </c>
      <c r="BJ376" s="75" t="s">
        <v>254</v>
      </c>
      <c r="BK376" s="75" t="s">
        <v>254</v>
      </c>
      <c r="BL376" s="75">
        <v>0</v>
      </c>
      <c r="BM376" s="75">
        <f t="shared" si="74"/>
        <v>0</v>
      </c>
      <c r="BN376" s="75">
        <f t="shared" si="77"/>
        <v>0</v>
      </c>
      <c r="BO376" s="84">
        <f t="shared" si="75"/>
        <v>19</v>
      </c>
      <c r="BP376" s="75">
        <f t="shared" si="76"/>
        <v>19</v>
      </c>
      <c r="BQ376" s="241" t="s">
        <v>363</v>
      </c>
      <c r="BR376" s="252">
        <v>967</v>
      </c>
      <c r="BS376" s="110" t="s">
        <v>539</v>
      </c>
      <c r="BT376" s="110">
        <v>0</v>
      </c>
      <c r="BU376" s="75">
        <v>0</v>
      </c>
      <c r="BV376" s="75" t="s">
        <v>374</v>
      </c>
    </row>
    <row r="377" spans="1:74" x14ac:dyDescent="0.75">
      <c r="C377">
        <v>1334</v>
      </c>
      <c r="D377" s="75" t="s">
        <v>357</v>
      </c>
      <c r="E377" s="75" t="s">
        <v>358</v>
      </c>
      <c r="F377" s="75" t="s">
        <v>359</v>
      </c>
      <c r="G377" s="75" t="s">
        <v>64</v>
      </c>
      <c r="H377">
        <v>18.368383000000001</v>
      </c>
      <c r="I377">
        <v>-64.751450000000006</v>
      </c>
      <c r="J377" s="81">
        <v>45097</v>
      </c>
      <c r="K377" s="75" t="s">
        <v>627</v>
      </c>
      <c r="L377" s="75" t="s">
        <v>374</v>
      </c>
      <c r="M377" s="75">
        <v>0</v>
      </c>
      <c r="N377" s="75">
        <v>2</v>
      </c>
      <c r="O377" s="75" t="s">
        <v>362</v>
      </c>
      <c r="P377" s="88">
        <f>SUM(TreatmentUsed!E4994:E4998)</f>
        <v>109</v>
      </c>
      <c r="Q377" s="75">
        <v>0</v>
      </c>
      <c r="R377" s="75">
        <v>0</v>
      </c>
      <c r="S377" s="75">
        <v>0</v>
      </c>
      <c r="T377" s="75">
        <v>0</v>
      </c>
      <c r="U377" s="75">
        <v>0</v>
      </c>
      <c r="V377" s="75">
        <v>0</v>
      </c>
      <c r="W377" s="75">
        <v>0</v>
      </c>
      <c r="X377" s="75">
        <v>0</v>
      </c>
      <c r="Y377" s="75">
        <v>0</v>
      </c>
      <c r="Z377" s="75">
        <v>0</v>
      </c>
      <c r="AA377" s="75">
        <v>0</v>
      </c>
      <c r="AB377" s="75">
        <v>0</v>
      </c>
      <c r="AC377" s="75">
        <v>0</v>
      </c>
      <c r="AD377" s="75">
        <v>0</v>
      </c>
      <c r="AE377" s="75">
        <v>0</v>
      </c>
      <c r="AF377" s="75">
        <v>0</v>
      </c>
      <c r="AG377" s="75">
        <v>0</v>
      </c>
      <c r="AH377" s="75">
        <v>0</v>
      </c>
      <c r="AI377" s="75">
        <v>0</v>
      </c>
      <c r="AJ377" s="75">
        <v>0</v>
      </c>
      <c r="AK377" s="75">
        <v>0</v>
      </c>
      <c r="AL377" s="75">
        <v>0</v>
      </c>
      <c r="AM377" s="75">
        <v>0</v>
      </c>
      <c r="AN377" s="75">
        <v>0</v>
      </c>
      <c r="AO377" s="75">
        <v>0</v>
      </c>
      <c r="AP377" s="75">
        <v>0</v>
      </c>
      <c r="AQ377" s="75">
        <v>1</v>
      </c>
      <c r="AR377" s="75">
        <v>2</v>
      </c>
      <c r="AS377" s="75">
        <v>1</v>
      </c>
      <c r="AT377" s="75">
        <v>0</v>
      </c>
      <c r="AU377" s="75">
        <v>0</v>
      </c>
      <c r="AV377" s="75">
        <v>0</v>
      </c>
      <c r="AW377" s="75">
        <v>0</v>
      </c>
      <c r="AX377" s="75">
        <v>0</v>
      </c>
      <c r="AY377" s="75">
        <v>0</v>
      </c>
      <c r="AZ377" s="75">
        <v>0</v>
      </c>
      <c r="BA377" s="75">
        <v>0</v>
      </c>
      <c r="BB377" s="75">
        <v>0</v>
      </c>
      <c r="BC377" s="84">
        <v>1</v>
      </c>
      <c r="BD377" s="75">
        <v>0</v>
      </c>
      <c r="BE377" s="75">
        <v>0</v>
      </c>
      <c r="BF377" s="75">
        <v>0</v>
      </c>
      <c r="BG377" s="75">
        <v>0</v>
      </c>
      <c r="BH377" s="75">
        <v>0</v>
      </c>
      <c r="BI377" s="75" t="s">
        <v>254</v>
      </c>
      <c r="BJ377" s="75" t="s">
        <v>254</v>
      </c>
      <c r="BK377" s="75" t="s">
        <v>254</v>
      </c>
      <c r="BL377" s="75">
        <v>0</v>
      </c>
      <c r="BM377" s="75">
        <f t="shared" si="74"/>
        <v>0</v>
      </c>
      <c r="BN377" s="75">
        <f t="shared" si="77"/>
        <v>0</v>
      </c>
      <c r="BO377" s="84">
        <f t="shared" si="75"/>
        <v>5</v>
      </c>
      <c r="BP377" s="75">
        <f t="shared" si="76"/>
        <v>5</v>
      </c>
      <c r="BQ377" s="241" t="s">
        <v>363</v>
      </c>
      <c r="BR377" s="255">
        <v>33383339</v>
      </c>
      <c r="BS377" s="110" t="s">
        <v>539</v>
      </c>
      <c r="BT377" s="110">
        <v>0</v>
      </c>
      <c r="BU377" s="75">
        <v>0</v>
      </c>
      <c r="BV377" s="75" t="s">
        <v>374</v>
      </c>
    </row>
    <row r="378" spans="1:74" x14ac:dyDescent="0.75">
      <c r="C378">
        <v>1335</v>
      </c>
      <c r="D378" s="75" t="s">
        <v>357</v>
      </c>
      <c r="E378" s="75" t="s">
        <v>358</v>
      </c>
      <c r="F378" s="75" t="s">
        <v>359</v>
      </c>
      <c r="G378" s="75" t="s">
        <v>39</v>
      </c>
      <c r="H378">
        <v>18.358467000000001</v>
      </c>
      <c r="I378">
        <v>-64.751266999999999</v>
      </c>
      <c r="J378" s="81">
        <v>45097</v>
      </c>
      <c r="K378" s="75" t="s">
        <v>627</v>
      </c>
      <c r="L378" s="75" t="s">
        <v>374</v>
      </c>
      <c r="M378" s="75">
        <v>0</v>
      </c>
      <c r="N378" s="75">
        <v>3</v>
      </c>
      <c r="O378" s="75" t="s">
        <v>362</v>
      </c>
      <c r="P378" s="75">
        <f>SUM(TreatmentUsed!E4986:E4993)</f>
        <v>99</v>
      </c>
      <c r="Q378" s="75">
        <v>226</v>
      </c>
      <c r="R378" s="75">
        <v>0</v>
      </c>
      <c r="S378" s="75">
        <v>0</v>
      </c>
      <c r="T378" s="75">
        <v>0</v>
      </c>
      <c r="U378" s="75">
        <v>0</v>
      </c>
      <c r="V378" s="75">
        <v>0</v>
      </c>
      <c r="W378" s="75">
        <v>0</v>
      </c>
      <c r="X378" s="75">
        <v>0</v>
      </c>
      <c r="Y378" s="75">
        <v>0</v>
      </c>
      <c r="Z378" s="75">
        <v>0</v>
      </c>
      <c r="AA378" s="75">
        <v>0</v>
      </c>
      <c r="AB378" s="75">
        <v>0</v>
      </c>
      <c r="AC378" s="75">
        <v>0</v>
      </c>
      <c r="AD378" s="75">
        <v>0</v>
      </c>
      <c r="AE378" s="75">
        <v>0</v>
      </c>
      <c r="AF378" s="75">
        <v>0</v>
      </c>
      <c r="AG378" s="75">
        <v>0</v>
      </c>
      <c r="AH378" s="75">
        <v>0</v>
      </c>
      <c r="AI378" s="75">
        <v>0</v>
      </c>
      <c r="AJ378" s="75">
        <v>0</v>
      </c>
      <c r="AK378" s="75">
        <v>0</v>
      </c>
      <c r="AL378" s="75">
        <v>0</v>
      </c>
      <c r="AM378" s="75">
        <v>0</v>
      </c>
      <c r="AN378" s="75">
        <v>0</v>
      </c>
      <c r="AO378" s="75">
        <v>0</v>
      </c>
      <c r="AP378" s="75">
        <v>0</v>
      </c>
      <c r="AQ378" s="75">
        <v>0</v>
      </c>
      <c r="AR378" s="75">
        <v>0</v>
      </c>
      <c r="AS378" s="84">
        <v>3</v>
      </c>
      <c r="AT378" s="84">
        <v>3</v>
      </c>
      <c r="AU378" s="75">
        <v>0</v>
      </c>
      <c r="AV378" s="75">
        <v>0</v>
      </c>
      <c r="AW378" s="75">
        <v>0</v>
      </c>
      <c r="AX378" s="75">
        <v>0</v>
      </c>
      <c r="AY378" s="75">
        <v>0</v>
      </c>
      <c r="AZ378" s="75">
        <v>0</v>
      </c>
      <c r="BA378" s="75">
        <v>0</v>
      </c>
      <c r="BB378" s="75">
        <v>0</v>
      </c>
      <c r="BC378" s="75">
        <v>2</v>
      </c>
      <c r="BD378" s="75">
        <v>0</v>
      </c>
      <c r="BE378" s="75">
        <v>0</v>
      </c>
      <c r="BF378" s="75">
        <v>0</v>
      </c>
      <c r="BG378" s="75">
        <v>0</v>
      </c>
      <c r="BH378" s="75">
        <v>0</v>
      </c>
      <c r="BI378" s="75" t="s">
        <v>254</v>
      </c>
      <c r="BJ378" s="75" t="s">
        <v>254</v>
      </c>
      <c r="BK378" s="75" t="s">
        <v>254</v>
      </c>
      <c r="BL378" s="160">
        <v>1</v>
      </c>
      <c r="BM378" s="75">
        <f t="shared" si="74"/>
        <v>0</v>
      </c>
      <c r="BN378" s="75">
        <f t="shared" si="77"/>
        <v>0</v>
      </c>
      <c r="BO378" s="75">
        <f t="shared" si="75"/>
        <v>8</v>
      </c>
      <c r="BP378" s="75">
        <f t="shared" si="76"/>
        <v>8</v>
      </c>
      <c r="BQ378" s="80" t="s">
        <v>654</v>
      </c>
      <c r="BR378" s="260" t="s">
        <v>655</v>
      </c>
      <c r="BS378" s="110" t="s">
        <v>539</v>
      </c>
      <c r="BT378" s="110">
        <v>0</v>
      </c>
      <c r="BU378" s="75">
        <v>0</v>
      </c>
      <c r="BV378" s="75" t="s">
        <v>374</v>
      </c>
    </row>
    <row r="379" spans="1:74" x14ac:dyDescent="0.75">
      <c r="C379">
        <v>1336</v>
      </c>
      <c r="D379" s="75" t="s">
        <v>357</v>
      </c>
      <c r="E379" s="75" t="s">
        <v>358</v>
      </c>
      <c r="F379" s="75" t="s">
        <v>359</v>
      </c>
      <c r="G379" s="75" t="s">
        <v>39</v>
      </c>
      <c r="H379">
        <v>18.357482999999998</v>
      </c>
      <c r="I379">
        <v>-64.751949999999994</v>
      </c>
      <c r="J379" s="81">
        <v>45104</v>
      </c>
      <c r="K379" s="75" t="s">
        <v>361</v>
      </c>
      <c r="L379" s="75" t="s">
        <v>374</v>
      </c>
      <c r="M379" s="75">
        <v>0</v>
      </c>
      <c r="N379" s="75">
        <v>2</v>
      </c>
      <c r="O379" s="75" t="s">
        <v>362</v>
      </c>
      <c r="P379" s="88">
        <f>SUM(TreatmentUsed!E4999:E5015)</f>
        <v>181</v>
      </c>
      <c r="Q379" s="75">
        <v>0</v>
      </c>
      <c r="R379" s="75">
        <v>0</v>
      </c>
      <c r="S379" s="75">
        <v>0</v>
      </c>
      <c r="T379" s="75">
        <v>0</v>
      </c>
      <c r="U379" s="75">
        <v>0</v>
      </c>
      <c r="V379" s="75">
        <v>0</v>
      </c>
      <c r="W379" s="75">
        <v>0</v>
      </c>
      <c r="X379" s="75">
        <v>0</v>
      </c>
      <c r="Y379" s="75">
        <v>0</v>
      </c>
      <c r="Z379" s="75">
        <v>0</v>
      </c>
      <c r="AA379" s="75">
        <v>0</v>
      </c>
      <c r="AB379" s="75">
        <v>0</v>
      </c>
      <c r="AC379" s="75">
        <v>0</v>
      </c>
      <c r="AD379" s="75">
        <v>0</v>
      </c>
      <c r="AE379" s="75">
        <v>0</v>
      </c>
      <c r="AF379" s="75">
        <v>0</v>
      </c>
      <c r="AG379" s="75">
        <v>0</v>
      </c>
      <c r="AH379" s="75">
        <v>0</v>
      </c>
      <c r="AI379" s="75">
        <v>0</v>
      </c>
      <c r="AJ379" s="75">
        <v>0</v>
      </c>
      <c r="AK379" s="75">
        <v>0</v>
      </c>
      <c r="AL379" s="75">
        <v>0</v>
      </c>
      <c r="AM379" s="75">
        <v>0</v>
      </c>
      <c r="AN379" s="75">
        <v>0</v>
      </c>
      <c r="AO379" s="75">
        <v>2</v>
      </c>
      <c r="AP379" s="75">
        <v>0</v>
      </c>
      <c r="AQ379" s="75">
        <v>1</v>
      </c>
      <c r="AR379" s="75">
        <v>0</v>
      </c>
      <c r="AS379" s="75">
        <v>0</v>
      </c>
      <c r="AT379" s="75">
        <v>0</v>
      </c>
      <c r="AU379" s="75">
        <v>0</v>
      </c>
      <c r="AV379" s="75">
        <v>0</v>
      </c>
      <c r="AW379" s="75">
        <v>0</v>
      </c>
      <c r="AX379" s="75">
        <v>0</v>
      </c>
      <c r="AY379" s="75">
        <v>0</v>
      </c>
      <c r="AZ379" s="75">
        <v>2</v>
      </c>
      <c r="BA379" s="75">
        <v>2</v>
      </c>
      <c r="BB379" s="84">
        <v>1</v>
      </c>
      <c r="BC379" s="75">
        <v>3</v>
      </c>
      <c r="BD379" s="84">
        <v>0</v>
      </c>
      <c r="BE379" s="75">
        <v>1</v>
      </c>
      <c r="BF379" s="84">
        <v>5</v>
      </c>
      <c r="BG379" s="75">
        <v>0</v>
      </c>
      <c r="BH379" s="75">
        <v>0</v>
      </c>
      <c r="BI379" s="75" t="s">
        <v>254</v>
      </c>
      <c r="BJ379" s="75" t="s">
        <v>254</v>
      </c>
      <c r="BK379" s="75" t="s">
        <v>254</v>
      </c>
      <c r="BL379" s="84">
        <v>0</v>
      </c>
      <c r="BM379" s="75">
        <f t="shared" si="74"/>
        <v>0</v>
      </c>
      <c r="BN379" s="75">
        <f t="shared" si="77"/>
        <v>0</v>
      </c>
      <c r="BO379" s="75">
        <f t="shared" si="75"/>
        <v>17</v>
      </c>
      <c r="BP379" s="75">
        <f t="shared" si="76"/>
        <v>17</v>
      </c>
      <c r="BQ379" s="80" t="s">
        <v>656</v>
      </c>
      <c r="BR379" s="138" t="s">
        <v>657</v>
      </c>
      <c r="BS379" s="110" t="s">
        <v>390</v>
      </c>
      <c r="BT379" s="110">
        <v>0</v>
      </c>
      <c r="BU379" s="75">
        <v>0</v>
      </c>
    </row>
    <row r="380" spans="1:74" x14ac:dyDescent="0.75">
      <c r="C380">
        <v>1337</v>
      </c>
      <c r="D380" s="75" t="s">
        <v>357</v>
      </c>
      <c r="E380" s="75" t="s">
        <v>358</v>
      </c>
      <c r="F380" s="75" t="s">
        <v>359</v>
      </c>
      <c r="G380" s="75" t="s">
        <v>23</v>
      </c>
      <c r="H380">
        <v>18.365749999999998</v>
      </c>
      <c r="I380">
        <v>-64.773619999999994</v>
      </c>
      <c r="J380" s="81">
        <v>45104</v>
      </c>
      <c r="K380" s="75" t="s">
        <v>361</v>
      </c>
      <c r="L380" s="75" t="s">
        <v>374</v>
      </c>
      <c r="M380" s="75">
        <v>0</v>
      </c>
      <c r="N380" s="75">
        <v>2</v>
      </c>
      <c r="O380" s="75" t="s">
        <v>362</v>
      </c>
      <c r="P380" s="88">
        <f>TreatmentUsed!E5016</f>
        <v>9</v>
      </c>
      <c r="Q380" s="75">
        <v>0</v>
      </c>
      <c r="R380" s="75">
        <v>0</v>
      </c>
      <c r="S380" s="75">
        <v>0</v>
      </c>
      <c r="T380" s="75">
        <v>0</v>
      </c>
      <c r="U380" s="75">
        <v>0</v>
      </c>
      <c r="V380" s="75">
        <v>0</v>
      </c>
      <c r="W380" s="75">
        <v>0</v>
      </c>
      <c r="X380" s="75">
        <v>0</v>
      </c>
      <c r="Y380" s="75">
        <v>0</v>
      </c>
      <c r="Z380" s="75">
        <v>0</v>
      </c>
      <c r="AA380" s="75">
        <v>0</v>
      </c>
      <c r="AB380" s="75">
        <v>0</v>
      </c>
      <c r="AC380" s="75">
        <v>0</v>
      </c>
      <c r="AD380" s="75">
        <v>0</v>
      </c>
      <c r="AE380" s="75">
        <v>0</v>
      </c>
      <c r="AF380" s="75">
        <v>0</v>
      </c>
      <c r="AG380" s="75">
        <v>0</v>
      </c>
      <c r="AH380" s="75">
        <v>0</v>
      </c>
      <c r="AI380" s="75">
        <v>0</v>
      </c>
      <c r="AJ380" s="75">
        <v>0</v>
      </c>
      <c r="AK380" s="75">
        <v>0</v>
      </c>
      <c r="AL380" s="75">
        <v>0</v>
      </c>
      <c r="AM380" s="75">
        <v>0</v>
      </c>
      <c r="AN380" s="75">
        <v>0</v>
      </c>
      <c r="AO380" s="75">
        <v>0</v>
      </c>
      <c r="AP380" s="75">
        <v>0</v>
      </c>
      <c r="AQ380" s="75">
        <v>1</v>
      </c>
      <c r="AR380" s="75">
        <v>0</v>
      </c>
      <c r="AS380" s="75">
        <v>0</v>
      </c>
      <c r="AT380" s="75">
        <v>0</v>
      </c>
      <c r="AU380" s="75">
        <v>0</v>
      </c>
      <c r="AV380" s="75">
        <v>0</v>
      </c>
      <c r="AW380" s="75">
        <v>0</v>
      </c>
      <c r="AX380" s="75">
        <v>0</v>
      </c>
      <c r="AY380" s="75">
        <v>0</v>
      </c>
      <c r="AZ380" s="75">
        <v>0</v>
      </c>
      <c r="BA380" s="75">
        <v>0</v>
      </c>
      <c r="BB380" s="75">
        <v>0</v>
      </c>
      <c r="BC380" s="75">
        <v>0</v>
      </c>
      <c r="BD380" s="75">
        <v>0</v>
      </c>
      <c r="BE380" s="75">
        <v>0</v>
      </c>
      <c r="BF380" s="75">
        <v>0</v>
      </c>
      <c r="BG380" s="75">
        <v>0</v>
      </c>
      <c r="BH380" s="75">
        <v>0</v>
      </c>
      <c r="BI380" s="75" t="s">
        <v>254</v>
      </c>
      <c r="BJ380" s="75" t="s">
        <v>254</v>
      </c>
      <c r="BK380" s="75" t="s">
        <v>254</v>
      </c>
      <c r="BL380" s="84">
        <v>0</v>
      </c>
      <c r="BM380" s="75">
        <f t="shared" si="74"/>
        <v>0</v>
      </c>
      <c r="BN380" s="75">
        <f t="shared" si="77"/>
        <v>0</v>
      </c>
      <c r="BO380" s="75">
        <f t="shared" si="75"/>
        <v>1</v>
      </c>
      <c r="BP380" s="75">
        <f t="shared" si="76"/>
        <v>1</v>
      </c>
      <c r="BQ380" s="80" t="s">
        <v>658</v>
      </c>
      <c r="BR380" s="138" t="s">
        <v>659</v>
      </c>
      <c r="BS380" s="110" t="s">
        <v>390</v>
      </c>
      <c r="BT380" s="110">
        <v>0</v>
      </c>
      <c r="BU380" s="75">
        <v>0</v>
      </c>
    </row>
    <row r="381" spans="1:74" x14ac:dyDescent="0.75">
      <c r="C381">
        <v>1338</v>
      </c>
      <c r="D381" s="75" t="s">
        <v>357</v>
      </c>
      <c r="E381" s="75" t="s">
        <v>358</v>
      </c>
      <c r="F381" s="75" t="s">
        <v>359</v>
      </c>
      <c r="G381" s="75" t="s">
        <v>23</v>
      </c>
      <c r="H381">
        <v>18.365749999999998</v>
      </c>
      <c r="I381">
        <v>-64.773619999999994</v>
      </c>
      <c r="J381" s="81">
        <v>45104</v>
      </c>
      <c r="K381" s="75" t="s">
        <v>361</v>
      </c>
      <c r="L381" s="75" t="s">
        <v>374</v>
      </c>
      <c r="M381" s="75">
        <v>0</v>
      </c>
      <c r="N381" s="75">
        <v>2</v>
      </c>
      <c r="O381" s="75" t="s">
        <v>362</v>
      </c>
      <c r="P381" s="88">
        <f>SUM(TreatmentUsed!E5017:E5021)</f>
        <v>59</v>
      </c>
      <c r="Q381" s="75">
        <v>0</v>
      </c>
      <c r="R381" s="75">
        <v>0</v>
      </c>
      <c r="S381" s="75">
        <v>0</v>
      </c>
      <c r="T381" s="75">
        <v>0</v>
      </c>
      <c r="U381" s="75">
        <v>0</v>
      </c>
      <c r="V381" s="75">
        <v>0</v>
      </c>
      <c r="W381" s="75">
        <v>0</v>
      </c>
      <c r="X381" s="75">
        <v>0</v>
      </c>
      <c r="Y381" s="75">
        <v>0</v>
      </c>
      <c r="Z381" s="75">
        <v>0</v>
      </c>
      <c r="AA381" s="75">
        <v>0</v>
      </c>
      <c r="AB381" s="75">
        <v>0</v>
      </c>
      <c r="AC381" s="75">
        <v>0</v>
      </c>
      <c r="AD381" s="75">
        <v>0</v>
      </c>
      <c r="AE381" s="75">
        <v>0</v>
      </c>
      <c r="AF381" s="75">
        <v>0</v>
      </c>
      <c r="AG381" s="75">
        <v>0</v>
      </c>
      <c r="AH381" s="75">
        <v>0</v>
      </c>
      <c r="AI381" s="75">
        <v>0</v>
      </c>
      <c r="AJ381" s="75">
        <v>0</v>
      </c>
      <c r="AK381" s="75">
        <v>0</v>
      </c>
      <c r="AL381" s="75">
        <v>0</v>
      </c>
      <c r="AM381" s="75">
        <v>0</v>
      </c>
      <c r="AN381" s="75">
        <v>0</v>
      </c>
      <c r="AO381" s="75">
        <v>0</v>
      </c>
      <c r="AP381" s="75">
        <v>0</v>
      </c>
      <c r="AQ381" s="75">
        <v>0</v>
      </c>
      <c r="AR381" s="75">
        <v>1</v>
      </c>
      <c r="AS381" s="75">
        <v>0</v>
      </c>
      <c r="AT381" s="75">
        <v>0</v>
      </c>
      <c r="AU381" s="75">
        <v>0</v>
      </c>
      <c r="AV381" s="75">
        <v>0</v>
      </c>
      <c r="AW381" s="75">
        <v>0</v>
      </c>
      <c r="AX381" s="75">
        <v>0</v>
      </c>
      <c r="AY381" s="75">
        <v>0</v>
      </c>
      <c r="AZ381" s="75">
        <v>1</v>
      </c>
      <c r="BA381" s="75">
        <v>1</v>
      </c>
      <c r="BB381" s="75">
        <v>0</v>
      </c>
      <c r="BC381" s="75">
        <v>1</v>
      </c>
      <c r="BD381" s="75">
        <v>0</v>
      </c>
      <c r="BE381" s="75">
        <v>0</v>
      </c>
      <c r="BF381" s="75">
        <v>1</v>
      </c>
      <c r="BG381" s="75">
        <v>0</v>
      </c>
      <c r="BH381" s="75">
        <v>0</v>
      </c>
      <c r="BI381" s="75" t="s">
        <v>254</v>
      </c>
      <c r="BJ381" s="75" t="s">
        <v>254</v>
      </c>
      <c r="BK381" s="75" t="s">
        <v>254</v>
      </c>
      <c r="BL381" s="84">
        <v>0</v>
      </c>
      <c r="BM381" s="75">
        <f t="shared" si="74"/>
        <v>0</v>
      </c>
      <c r="BN381" s="75">
        <f t="shared" si="77"/>
        <v>0</v>
      </c>
      <c r="BO381" s="75">
        <f t="shared" si="75"/>
        <v>5</v>
      </c>
      <c r="BP381" s="75">
        <f t="shared" si="76"/>
        <v>5</v>
      </c>
      <c r="BQ381" s="80" t="s">
        <v>660</v>
      </c>
      <c r="BR381" s="138" t="s">
        <v>661</v>
      </c>
      <c r="BS381" s="110" t="s">
        <v>390</v>
      </c>
      <c r="BT381" s="110">
        <v>0</v>
      </c>
      <c r="BU381" s="75">
        <v>0</v>
      </c>
    </row>
    <row r="382" spans="1:74" x14ac:dyDescent="0.75">
      <c r="C382">
        <v>1339</v>
      </c>
      <c r="D382" s="75" t="s">
        <v>357</v>
      </c>
      <c r="E382" s="75" t="s">
        <v>358</v>
      </c>
      <c r="F382" s="75" t="s">
        <v>359</v>
      </c>
      <c r="G382" s="75" t="s">
        <v>69</v>
      </c>
      <c r="H382" s="75">
        <v>18.343233000000001</v>
      </c>
      <c r="I382" s="75">
        <v>-64.687667000000005</v>
      </c>
      <c r="J382" s="81">
        <v>45105</v>
      </c>
      <c r="K382" s="75" t="s">
        <v>361</v>
      </c>
      <c r="L382" s="75" t="s">
        <v>374</v>
      </c>
      <c r="M382" s="75">
        <v>0</v>
      </c>
      <c r="N382" s="75">
        <v>2</v>
      </c>
      <c r="O382" s="75" t="s">
        <v>362</v>
      </c>
      <c r="P382" s="88">
        <f>SUM(TreatmentUsed!E5022:E5027)</f>
        <v>33</v>
      </c>
      <c r="Q382" s="75">
        <v>0</v>
      </c>
      <c r="R382" s="75">
        <v>0</v>
      </c>
      <c r="S382" s="75">
        <v>0</v>
      </c>
      <c r="T382" s="75">
        <v>0</v>
      </c>
      <c r="U382" s="75">
        <v>0</v>
      </c>
      <c r="V382" s="75">
        <v>0</v>
      </c>
      <c r="W382" s="75">
        <v>0</v>
      </c>
      <c r="X382" s="75">
        <v>0</v>
      </c>
      <c r="Y382" s="75">
        <v>0</v>
      </c>
      <c r="Z382" s="75">
        <v>0</v>
      </c>
      <c r="AA382" s="75">
        <v>0</v>
      </c>
      <c r="AB382" s="75">
        <v>0</v>
      </c>
      <c r="AC382" s="75">
        <v>0</v>
      </c>
      <c r="AD382" s="75">
        <v>0</v>
      </c>
      <c r="AE382" s="75">
        <v>0</v>
      </c>
      <c r="AF382" s="75">
        <v>0</v>
      </c>
      <c r="AG382" s="75">
        <v>0</v>
      </c>
      <c r="AH382" s="75">
        <v>0</v>
      </c>
      <c r="AI382" s="75">
        <v>0</v>
      </c>
      <c r="AJ382" s="75">
        <v>0</v>
      </c>
      <c r="AK382" s="75">
        <v>0</v>
      </c>
      <c r="AL382" s="75">
        <v>0</v>
      </c>
      <c r="AM382" s="75">
        <v>0</v>
      </c>
      <c r="AN382" s="75">
        <v>0</v>
      </c>
      <c r="AO382" s="75">
        <v>0</v>
      </c>
      <c r="AP382" s="75">
        <v>0</v>
      </c>
      <c r="AQ382" s="75">
        <v>0</v>
      </c>
      <c r="AR382" s="84">
        <v>0</v>
      </c>
      <c r="AS382" s="75">
        <v>0</v>
      </c>
      <c r="AT382" s="75">
        <v>0</v>
      </c>
      <c r="AU382" s="75">
        <v>0</v>
      </c>
      <c r="AV382" s="75">
        <v>0</v>
      </c>
      <c r="AW382" s="75">
        <v>0</v>
      </c>
      <c r="AX382" s="75">
        <v>0</v>
      </c>
      <c r="AY382" s="84">
        <v>0</v>
      </c>
      <c r="AZ382" s="75">
        <v>0</v>
      </c>
      <c r="BA382" s="84">
        <v>5</v>
      </c>
      <c r="BB382" s="75">
        <v>0</v>
      </c>
      <c r="BC382" s="75">
        <v>0</v>
      </c>
      <c r="BD382" s="75">
        <v>0</v>
      </c>
      <c r="BE382" s="75">
        <v>0</v>
      </c>
      <c r="BF382" s="75">
        <v>0</v>
      </c>
      <c r="BG382" s="75">
        <v>0</v>
      </c>
      <c r="BH382" s="84">
        <v>1</v>
      </c>
      <c r="BI382" s="75" t="s">
        <v>254</v>
      </c>
      <c r="BJ382" s="75" t="s">
        <v>254</v>
      </c>
      <c r="BK382" s="75" t="s">
        <v>254</v>
      </c>
      <c r="BL382" s="84">
        <v>0</v>
      </c>
      <c r="BM382" s="75">
        <f t="shared" si="74"/>
        <v>0</v>
      </c>
      <c r="BN382" s="75">
        <f t="shared" si="77"/>
        <v>0</v>
      </c>
      <c r="BO382" s="75">
        <f t="shared" si="75"/>
        <v>6</v>
      </c>
      <c r="BP382" s="75">
        <f t="shared" si="76"/>
        <v>6</v>
      </c>
      <c r="BQ382" s="80" t="s">
        <v>662</v>
      </c>
      <c r="BR382" s="138" t="s">
        <v>663</v>
      </c>
      <c r="BS382" s="110" t="s">
        <v>539</v>
      </c>
      <c r="BT382" s="110">
        <v>0</v>
      </c>
      <c r="BU382" s="75">
        <v>0</v>
      </c>
    </row>
    <row r="383" spans="1:74" s="173" customFormat="1" x14ac:dyDescent="0.75">
      <c r="A383" s="171"/>
      <c r="B383" s="172"/>
      <c r="C383" s="173">
        <v>1340</v>
      </c>
      <c r="D383" s="174" t="s">
        <v>357</v>
      </c>
      <c r="E383" s="174" t="s">
        <v>358</v>
      </c>
      <c r="F383" s="174" t="s">
        <v>359</v>
      </c>
      <c r="G383" s="174" t="s">
        <v>69</v>
      </c>
      <c r="H383" s="174">
        <v>18.343233000000001</v>
      </c>
      <c r="I383" s="174">
        <v>-64.687667000000005</v>
      </c>
      <c r="J383" s="175">
        <v>45105</v>
      </c>
      <c r="K383" s="174" t="s">
        <v>361</v>
      </c>
      <c r="L383" s="174" t="s">
        <v>374</v>
      </c>
      <c r="M383" s="174">
        <v>0</v>
      </c>
      <c r="N383" s="174">
        <v>2</v>
      </c>
      <c r="O383" s="174" t="s">
        <v>362</v>
      </c>
      <c r="P383" s="179">
        <f>SUM(TreatmentUsed!E5028:E5035)</f>
        <v>143</v>
      </c>
      <c r="Q383" s="174">
        <v>981</v>
      </c>
      <c r="R383" s="174">
        <v>0</v>
      </c>
      <c r="S383" s="174">
        <v>0</v>
      </c>
      <c r="T383" s="174">
        <v>0</v>
      </c>
      <c r="U383" s="174">
        <v>0</v>
      </c>
      <c r="V383" s="174">
        <v>0</v>
      </c>
      <c r="W383" s="174">
        <v>0</v>
      </c>
      <c r="X383" s="174">
        <v>0</v>
      </c>
      <c r="Y383" s="174">
        <v>0</v>
      </c>
      <c r="Z383" s="174">
        <v>0</v>
      </c>
      <c r="AA383" s="174">
        <v>0</v>
      </c>
      <c r="AB383" s="174">
        <v>0</v>
      </c>
      <c r="AC383" s="174">
        <v>0</v>
      </c>
      <c r="AD383" s="174">
        <v>0</v>
      </c>
      <c r="AE383" s="174">
        <v>0</v>
      </c>
      <c r="AF383" s="174">
        <v>0</v>
      </c>
      <c r="AG383" s="174">
        <v>0</v>
      </c>
      <c r="AH383" s="174">
        <v>0</v>
      </c>
      <c r="AI383" s="174">
        <v>0</v>
      </c>
      <c r="AJ383" s="174">
        <v>0</v>
      </c>
      <c r="AK383" s="174">
        <v>0</v>
      </c>
      <c r="AL383" s="174">
        <v>0</v>
      </c>
      <c r="AM383" s="174">
        <v>0</v>
      </c>
      <c r="AN383" s="174">
        <v>0</v>
      </c>
      <c r="AO383" s="174">
        <v>0</v>
      </c>
      <c r="AP383" s="174">
        <v>0</v>
      </c>
      <c r="AQ383" s="174">
        <v>0</v>
      </c>
      <c r="AR383" s="176">
        <v>3</v>
      </c>
      <c r="AS383" s="174">
        <v>0</v>
      </c>
      <c r="AT383" s="174">
        <v>0</v>
      </c>
      <c r="AU383" s="174">
        <v>0</v>
      </c>
      <c r="AV383" s="174">
        <v>0</v>
      </c>
      <c r="AW383" s="174">
        <v>0</v>
      </c>
      <c r="AX383" s="174">
        <v>0</v>
      </c>
      <c r="AY383" s="176">
        <v>1</v>
      </c>
      <c r="AZ383" s="176">
        <v>2</v>
      </c>
      <c r="BA383" s="176">
        <v>2</v>
      </c>
      <c r="BB383" s="174">
        <v>0</v>
      </c>
      <c r="BC383" s="174">
        <v>0</v>
      </c>
      <c r="BD383" s="174">
        <v>0</v>
      </c>
      <c r="BE383" s="174">
        <v>0</v>
      </c>
      <c r="BF383" s="174">
        <v>0</v>
      </c>
      <c r="BG383" s="174">
        <v>0</v>
      </c>
      <c r="BH383" s="174">
        <v>0</v>
      </c>
      <c r="BI383" s="174" t="s">
        <v>254</v>
      </c>
      <c r="BJ383" s="174" t="s">
        <v>254</v>
      </c>
      <c r="BK383" s="174" t="s">
        <v>254</v>
      </c>
      <c r="BL383" s="176">
        <v>0</v>
      </c>
      <c r="BM383" s="174">
        <f t="shared" si="74"/>
        <v>0</v>
      </c>
      <c r="BN383" s="174">
        <f t="shared" si="77"/>
        <v>0</v>
      </c>
      <c r="BO383" s="174">
        <f t="shared" si="75"/>
        <v>8</v>
      </c>
      <c r="BP383" s="174">
        <f t="shared" si="76"/>
        <v>8</v>
      </c>
      <c r="BQ383" s="177" t="s">
        <v>363</v>
      </c>
      <c r="BR383" s="250" t="s">
        <v>363</v>
      </c>
      <c r="BS383" s="178" t="s">
        <v>539</v>
      </c>
      <c r="BT383" s="178">
        <v>0</v>
      </c>
      <c r="BU383" s="174">
        <v>0</v>
      </c>
      <c r="BV383" s="174"/>
    </row>
    <row r="384" spans="1:74" x14ac:dyDescent="0.75">
      <c r="C384">
        <v>1400</v>
      </c>
      <c r="D384" s="75" t="s">
        <v>357</v>
      </c>
      <c r="E384" s="75" t="s">
        <v>358</v>
      </c>
      <c r="F384" s="75" t="s">
        <v>359</v>
      </c>
      <c r="G384" s="75" t="s">
        <v>96</v>
      </c>
      <c r="H384">
        <v>18.309038942679699</v>
      </c>
      <c r="I384">
        <v>-64.723371360450898</v>
      </c>
      <c r="J384" s="121">
        <v>45112</v>
      </c>
      <c r="K384" s="75" t="s">
        <v>628</v>
      </c>
      <c r="L384" s="75" t="s">
        <v>374</v>
      </c>
      <c r="M384" s="75">
        <v>0</v>
      </c>
      <c r="N384" s="75">
        <v>2</v>
      </c>
      <c r="O384" s="75" t="s">
        <v>362</v>
      </c>
      <c r="P384" s="88">
        <f>SUM(TreatmentUsed!E5039:E5040)</f>
        <v>15</v>
      </c>
      <c r="Q384" s="75">
        <v>0</v>
      </c>
      <c r="R384" s="75">
        <v>0</v>
      </c>
      <c r="S384" s="75">
        <v>0</v>
      </c>
      <c r="T384" s="75">
        <v>0</v>
      </c>
      <c r="U384" s="75">
        <v>0</v>
      </c>
      <c r="V384" s="75">
        <v>0</v>
      </c>
      <c r="W384" s="75">
        <v>0</v>
      </c>
      <c r="X384" s="75">
        <v>0</v>
      </c>
      <c r="Y384" s="75">
        <v>0</v>
      </c>
      <c r="Z384" s="75">
        <v>0</v>
      </c>
      <c r="AA384" s="75">
        <v>0</v>
      </c>
      <c r="AB384" s="75">
        <v>0</v>
      </c>
      <c r="AC384" s="75">
        <v>0</v>
      </c>
      <c r="AD384" s="75">
        <v>0</v>
      </c>
      <c r="AE384" s="75">
        <v>0</v>
      </c>
      <c r="AF384" s="75">
        <v>0</v>
      </c>
      <c r="AG384" s="75">
        <v>0</v>
      </c>
      <c r="AH384" s="75">
        <v>0</v>
      </c>
      <c r="AI384" s="75">
        <v>0</v>
      </c>
      <c r="AJ384" s="75">
        <v>0</v>
      </c>
      <c r="AK384" s="75">
        <v>0</v>
      </c>
      <c r="AL384" s="75">
        <v>0</v>
      </c>
      <c r="AM384" s="75">
        <v>0</v>
      </c>
      <c r="AN384" s="75">
        <v>0</v>
      </c>
      <c r="AO384" s="75">
        <v>0</v>
      </c>
      <c r="AP384" s="75">
        <v>0</v>
      </c>
      <c r="AQ384" s="75">
        <v>0</v>
      </c>
      <c r="AR384" s="75">
        <v>0</v>
      </c>
      <c r="AS384" s="75">
        <v>1</v>
      </c>
      <c r="AT384" s="75">
        <v>0</v>
      </c>
      <c r="AU384" s="75">
        <v>0</v>
      </c>
      <c r="AV384" s="75">
        <v>0</v>
      </c>
      <c r="AW384" s="75">
        <v>0</v>
      </c>
      <c r="AX384" s="75">
        <v>0</v>
      </c>
      <c r="AY384" s="75">
        <v>0</v>
      </c>
      <c r="AZ384" s="75">
        <v>1</v>
      </c>
      <c r="BA384" s="75">
        <v>0</v>
      </c>
      <c r="BB384" s="75">
        <v>0</v>
      </c>
      <c r="BC384" s="75">
        <v>0</v>
      </c>
      <c r="BD384" s="75">
        <v>0</v>
      </c>
      <c r="BE384" s="75">
        <v>0</v>
      </c>
      <c r="BF384" s="75">
        <v>0</v>
      </c>
      <c r="BG384" s="75">
        <v>0</v>
      </c>
      <c r="BH384" s="75">
        <v>0</v>
      </c>
      <c r="BI384" s="75" t="s">
        <v>254</v>
      </c>
      <c r="BJ384" s="75" t="s">
        <v>254</v>
      </c>
      <c r="BK384" s="75" t="s">
        <v>254</v>
      </c>
      <c r="BL384" s="75">
        <v>0</v>
      </c>
      <c r="BM384" s="75">
        <f t="shared" ref="BM384:BM390" si="78">SUM(R384:AD384)</f>
        <v>0</v>
      </c>
      <c r="BN384" s="75">
        <f t="shared" ref="BN384:BN390" si="79">SUM(AE384:AN384)</f>
        <v>0</v>
      </c>
      <c r="BO384" s="75">
        <f t="shared" ref="BO384:BO390" si="80">SUM(AO384:BH384)</f>
        <v>2</v>
      </c>
      <c r="BP384" s="75">
        <f t="shared" ref="BP384:BP390" si="81">SUM(BM384:BO384)</f>
        <v>2</v>
      </c>
      <c r="BQ384" s="80" t="s">
        <v>363</v>
      </c>
      <c r="BR384" s="261" t="s">
        <v>585</v>
      </c>
      <c r="BS384" s="110" t="s">
        <v>539</v>
      </c>
      <c r="BT384" s="110">
        <v>0</v>
      </c>
      <c r="BU384" s="75">
        <v>0</v>
      </c>
      <c r="BV384" s="195" t="s">
        <v>628</v>
      </c>
    </row>
    <row r="385" spans="3:74" x14ac:dyDescent="0.75">
      <c r="C385">
        <v>1401</v>
      </c>
      <c r="D385" s="75" t="s">
        <v>357</v>
      </c>
      <c r="E385" s="75" t="s">
        <v>358</v>
      </c>
      <c r="F385" s="75" t="s">
        <v>359</v>
      </c>
      <c r="G385" s="75" t="s">
        <v>28</v>
      </c>
      <c r="H385">
        <v>18.315639999999998</v>
      </c>
      <c r="I385">
        <v>-64.725899999999996</v>
      </c>
      <c r="J385" s="121">
        <v>45112</v>
      </c>
      <c r="K385" s="75" t="s">
        <v>628</v>
      </c>
      <c r="L385" s="75" t="s">
        <v>374</v>
      </c>
      <c r="M385" s="75">
        <v>0</v>
      </c>
      <c r="N385" s="75">
        <v>2</v>
      </c>
      <c r="O385" s="75" t="s">
        <v>362</v>
      </c>
      <c r="P385" s="88">
        <f>SUM(TreatmentUsed!E5036)</f>
        <v>5</v>
      </c>
      <c r="Q385" s="75">
        <v>0</v>
      </c>
      <c r="R385" s="75">
        <v>0</v>
      </c>
      <c r="S385" s="75">
        <v>0</v>
      </c>
      <c r="T385" s="75">
        <v>0</v>
      </c>
      <c r="U385" s="75">
        <v>0</v>
      </c>
      <c r="V385" s="75">
        <v>0</v>
      </c>
      <c r="W385" s="75">
        <v>0</v>
      </c>
      <c r="X385" s="75">
        <v>0</v>
      </c>
      <c r="Y385" s="75">
        <v>0</v>
      </c>
      <c r="Z385" s="75">
        <v>0</v>
      </c>
      <c r="AA385" s="75">
        <v>0</v>
      </c>
      <c r="AB385" s="75">
        <v>0</v>
      </c>
      <c r="AC385" s="75">
        <v>0</v>
      </c>
      <c r="AD385" s="75">
        <v>0</v>
      </c>
      <c r="AE385" s="75">
        <v>0</v>
      </c>
      <c r="AF385" s="75">
        <v>0</v>
      </c>
      <c r="AG385" s="75">
        <v>0</v>
      </c>
      <c r="AH385" s="75">
        <v>0</v>
      </c>
      <c r="AI385" s="75">
        <v>0</v>
      </c>
      <c r="AJ385" s="75">
        <v>0</v>
      </c>
      <c r="AK385" s="75">
        <v>0</v>
      </c>
      <c r="AL385" s="75">
        <v>0</v>
      </c>
      <c r="AM385" s="75">
        <v>0</v>
      </c>
      <c r="AN385" s="75">
        <v>0</v>
      </c>
      <c r="AO385" s="75">
        <v>0</v>
      </c>
      <c r="AP385" s="75">
        <v>0</v>
      </c>
      <c r="AQ385" s="75">
        <v>0</v>
      </c>
      <c r="AR385" s="75">
        <v>0</v>
      </c>
      <c r="AS385" s="75">
        <v>0</v>
      </c>
      <c r="AT385" s="75">
        <v>0</v>
      </c>
      <c r="AU385" s="75">
        <v>0</v>
      </c>
      <c r="AV385" s="75">
        <v>0</v>
      </c>
      <c r="AW385" s="75">
        <v>0</v>
      </c>
      <c r="AX385" s="75">
        <v>0</v>
      </c>
      <c r="AY385" s="75">
        <v>0</v>
      </c>
      <c r="AZ385" s="75">
        <v>0</v>
      </c>
      <c r="BA385" s="75">
        <v>0</v>
      </c>
      <c r="BB385" s="75">
        <v>0</v>
      </c>
      <c r="BC385" s="75">
        <v>0</v>
      </c>
      <c r="BD385" s="75">
        <v>0</v>
      </c>
      <c r="BE385" s="75">
        <v>0</v>
      </c>
      <c r="BF385" s="75">
        <v>1</v>
      </c>
      <c r="BG385" s="75">
        <v>0</v>
      </c>
      <c r="BH385" s="75">
        <v>0</v>
      </c>
      <c r="BI385" s="75" t="s">
        <v>254</v>
      </c>
      <c r="BJ385" s="75" t="s">
        <v>254</v>
      </c>
      <c r="BK385" s="75" t="s">
        <v>254</v>
      </c>
      <c r="BL385" s="75">
        <v>0</v>
      </c>
      <c r="BM385" s="75">
        <f t="shared" si="78"/>
        <v>0</v>
      </c>
      <c r="BN385" s="75">
        <f t="shared" si="79"/>
        <v>0</v>
      </c>
      <c r="BO385" s="75">
        <f t="shared" si="80"/>
        <v>1</v>
      </c>
      <c r="BP385" s="75">
        <f t="shared" si="81"/>
        <v>1</v>
      </c>
      <c r="BQ385" s="85" t="s">
        <v>664</v>
      </c>
      <c r="BR385" s="138">
        <v>4190</v>
      </c>
      <c r="BS385" s="117" t="s">
        <v>390</v>
      </c>
      <c r="BT385" s="110">
        <v>0</v>
      </c>
      <c r="BU385" s="75">
        <v>0</v>
      </c>
      <c r="BV385" s="195" t="s">
        <v>628</v>
      </c>
    </row>
    <row r="386" spans="3:74" x14ac:dyDescent="0.75">
      <c r="C386">
        <v>1402</v>
      </c>
      <c r="D386" s="75" t="s">
        <v>357</v>
      </c>
      <c r="E386" s="75" t="s">
        <v>358</v>
      </c>
      <c r="F386" s="75" t="s">
        <v>359</v>
      </c>
      <c r="G386" s="75" t="s">
        <v>28</v>
      </c>
      <c r="H386">
        <v>18.315639999999998</v>
      </c>
      <c r="I386">
        <v>-64.725899999999996</v>
      </c>
      <c r="J386" s="121">
        <v>45112</v>
      </c>
      <c r="K386" s="75" t="s">
        <v>628</v>
      </c>
      <c r="L386" s="75" t="s">
        <v>374</v>
      </c>
      <c r="M386" s="75">
        <v>0</v>
      </c>
      <c r="N386" s="75">
        <v>2</v>
      </c>
      <c r="O386" s="75" t="s">
        <v>362</v>
      </c>
      <c r="P386" s="75">
        <v>0</v>
      </c>
      <c r="Q386" s="75">
        <v>0</v>
      </c>
      <c r="R386" s="75">
        <v>0</v>
      </c>
      <c r="S386" s="75">
        <v>0</v>
      </c>
      <c r="T386" s="75">
        <v>0</v>
      </c>
      <c r="U386" s="75">
        <v>0</v>
      </c>
      <c r="V386" s="75">
        <v>0</v>
      </c>
      <c r="W386" s="75">
        <v>0</v>
      </c>
      <c r="X386" s="75">
        <v>0</v>
      </c>
      <c r="Y386" s="75">
        <v>0</v>
      </c>
      <c r="Z386" s="75">
        <v>0</v>
      </c>
      <c r="AA386" s="75">
        <v>0</v>
      </c>
      <c r="AB386" s="75">
        <v>0</v>
      </c>
      <c r="AC386" s="75">
        <v>0</v>
      </c>
      <c r="AD386" s="75">
        <v>0</v>
      </c>
      <c r="AE386" s="75">
        <v>0</v>
      </c>
      <c r="AF386" s="75">
        <v>0</v>
      </c>
      <c r="AG386" s="75">
        <v>0</v>
      </c>
      <c r="AH386" s="75">
        <v>0</v>
      </c>
      <c r="AI386" s="75">
        <v>0</v>
      </c>
      <c r="AJ386" s="75">
        <v>0</v>
      </c>
      <c r="AK386" s="75">
        <v>0</v>
      </c>
      <c r="AL386" s="75">
        <v>0</v>
      </c>
      <c r="AM386" s="75">
        <v>0</v>
      </c>
      <c r="AN386" s="75">
        <v>0</v>
      </c>
      <c r="AO386" s="75">
        <v>0</v>
      </c>
      <c r="AP386" s="75">
        <v>0</v>
      </c>
      <c r="AQ386" s="75">
        <v>0</v>
      </c>
      <c r="AR386" s="75">
        <v>0</v>
      </c>
      <c r="AS386" s="75">
        <v>0</v>
      </c>
      <c r="AT386" s="75">
        <v>0</v>
      </c>
      <c r="AU386" s="75">
        <v>0</v>
      </c>
      <c r="AV386" s="75">
        <v>0</v>
      </c>
      <c r="AW386" s="75">
        <v>0</v>
      </c>
      <c r="AX386" s="75">
        <v>0</v>
      </c>
      <c r="AY386" s="75">
        <v>0</v>
      </c>
      <c r="AZ386" s="75">
        <v>0</v>
      </c>
      <c r="BA386" s="75">
        <v>0</v>
      </c>
      <c r="BB386" s="75">
        <v>0</v>
      </c>
      <c r="BC386" s="75">
        <v>0</v>
      </c>
      <c r="BD386" s="75">
        <v>0</v>
      </c>
      <c r="BE386" s="75">
        <v>0</v>
      </c>
      <c r="BF386" s="75">
        <v>0</v>
      </c>
      <c r="BG386" s="75">
        <v>0</v>
      </c>
      <c r="BH386" s="75">
        <v>0</v>
      </c>
      <c r="BI386" s="75" t="s">
        <v>254</v>
      </c>
      <c r="BJ386" s="75" t="s">
        <v>254</v>
      </c>
      <c r="BK386" s="75" t="s">
        <v>254</v>
      </c>
      <c r="BL386" s="75">
        <v>0</v>
      </c>
      <c r="BM386" s="75">
        <f t="shared" si="78"/>
        <v>0</v>
      </c>
      <c r="BN386" s="75">
        <f t="shared" si="79"/>
        <v>0</v>
      </c>
      <c r="BO386" s="75">
        <f t="shared" si="80"/>
        <v>0</v>
      </c>
      <c r="BP386" s="75">
        <f t="shared" si="81"/>
        <v>0</v>
      </c>
      <c r="BQ386" s="85" t="s">
        <v>665</v>
      </c>
      <c r="BR386" s="252" t="s">
        <v>666</v>
      </c>
      <c r="BS386" s="117" t="s">
        <v>390</v>
      </c>
      <c r="BT386" s="110">
        <v>0</v>
      </c>
      <c r="BU386" s="75">
        <v>0</v>
      </c>
      <c r="BV386" s="195" t="s">
        <v>628</v>
      </c>
    </row>
    <row r="387" spans="3:74" x14ac:dyDescent="0.75">
      <c r="C387">
        <v>1403</v>
      </c>
      <c r="D387" s="75" t="s">
        <v>357</v>
      </c>
      <c r="E387" s="75" t="s">
        <v>358</v>
      </c>
      <c r="F387" s="75" t="s">
        <v>359</v>
      </c>
      <c r="G387" s="75" t="s">
        <v>33</v>
      </c>
      <c r="H387">
        <v>18.319544</v>
      </c>
      <c r="I387">
        <v>-64.751997000000003</v>
      </c>
      <c r="J387" s="121">
        <v>45112</v>
      </c>
      <c r="K387" s="75" t="s">
        <v>628</v>
      </c>
      <c r="L387" s="75" t="s">
        <v>374</v>
      </c>
      <c r="M387" s="75">
        <v>0</v>
      </c>
      <c r="N387" s="75">
        <v>2</v>
      </c>
      <c r="O387" s="75" t="s">
        <v>362</v>
      </c>
      <c r="P387" s="88">
        <f>SUM(TreatmentUsed!E5037:E5038)</f>
        <v>20</v>
      </c>
      <c r="Q387" s="75">
        <v>0</v>
      </c>
      <c r="R387" s="75">
        <v>0</v>
      </c>
      <c r="S387" s="75">
        <v>0</v>
      </c>
      <c r="T387" s="75">
        <v>0</v>
      </c>
      <c r="U387" s="75">
        <v>0</v>
      </c>
      <c r="V387" s="75">
        <v>0</v>
      </c>
      <c r="W387" s="75">
        <v>0</v>
      </c>
      <c r="X387" s="75">
        <v>0</v>
      </c>
      <c r="Y387" s="75">
        <v>0</v>
      </c>
      <c r="Z387" s="75">
        <v>0</v>
      </c>
      <c r="AA387" s="75">
        <v>0</v>
      </c>
      <c r="AB387" s="75">
        <v>0</v>
      </c>
      <c r="AC387" s="75">
        <v>0</v>
      </c>
      <c r="AD387" s="75">
        <v>0</v>
      </c>
      <c r="AE387" s="75">
        <v>0</v>
      </c>
      <c r="AF387" s="75">
        <v>0</v>
      </c>
      <c r="AG387" s="75">
        <v>0</v>
      </c>
      <c r="AH387" s="75">
        <v>0</v>
      </c>
      <c r="AI387" s="75">
        <v>0</v>
      </c>
      <c r="AJ387" s="75">
        <v>0</v>
      </c>
      <c r="AK387" s="75">
        <v>0</v>
      </c>
      <c r="AL387" s="75">
        <v>0</v>
      </c>
      <c r="AM387" s="75">
        <v>0</v>
      </c>
      <c r="AN387" s="75">
        <v>0</v>
      </c>
      <c r="AO387" s="75">
        <v>0</v>
      </c>
      <c r="AP387" s="75">
        <v>0</v>
      </c>
      <c r="AQ387" s="75">
        <v>0</v>
      </c>
      <c r="AR387" s="75">
        <v>0</v>
      </c>
      <c r="AS387" s="75">
        <v>0</v>
      </c>
      <c r="AT387" s="75">
        <v>0</v>
      </c>
      <c r="AU387" s="75">
        <v>0</v>
      </c>
      <c r="AV387" s="75">
        <v>0</v>
      </c>
      <c r="AW387" s="75">
        <v>0</v>
      </c>
      <c r="AX387" s="75">
        <v>0</v>
      </c>
      <c r="AY387" s="75">
        <v>0</v>
      </c>
      <c r="AZ387" s="75">
        <v>0</v>
      </c>
      <c r="BA387" s="75">
        <v>0</v>
      </c>
      <c r="BB387" s="75">
        <v>0</v>
      </c>
      <c r="BC387" s="75">
        <v>2</v>
      </c>
      <c r="BD387" s="75">
        <v>0</v>
      </c>
      <c r="BE387" s="75">
        <v>0</v>
      </c>
      <c r="BF387" s="75">
        <v>0</v>
      </c>
      <c r="BG387" s="75">
        <v>0</v>
      </c>
      <c r="BH387" s="75">
        <v>0</v>
      </c>
      <c r="BI387" s="75" t="s">
        <v>254</v>
      </c>
      <c r="BJ387" s="75" t="s">
        <v>254</v>
      </c>
      <c r="BK387" s="75" t="s">
        <v>254</v>
      </c>
      <c r="BL387" s="75">
        <v>0</v>
      </c>
      <c r="BM387" s="75">
        <f t="shared" si="78"/>
        <v>0</v>
      </c>
      <c r="BN387" s="75">
        <f t="shared" si="79"/>
        <v>0</v>
      </c>
      <c r="BO387" s="75">
        <f t="shared" si="80"/>
        <v>2</v>
      </c>
      <c r="BP387" s="75">
        <f t="shared" si="81"/>
        <v>2</v>
      </c>
      <c r="BQ387" s="85" t="s">
        <v>667</v>
      </c>
      <c r="BR387" s="262" t="s">
        <v>363</v>
      </c>
      <c r="BS387" s="110" t="s">
        <v>390</v>
      </c>
      <c r="BT387" s="110">
        <v>0</v>
      </c>
      <c r="BU387" s="75">
        <v>0</v>
      </c>
      <c r="BV387" s="195" t="s">
        <v>628</v>
      </c>
    </row>
    <row r="388" spans="3:74" x14ac:dyDescent="0.75">
      <c r="C388">
        <v>1404</v>
      </c>
      <c r="D388" s="75" t="s">
        <v>357</v>
      </c>
      <c r="E388" s="75" t="s">
        <v>358</v>
      </c>
      <c r="F388" s="75" t="s">
        <v>359</v>
      </c>
      <c r="G388" s="75" t="s">
        <v>69</v>
      </c>
      <c r="H388" s="75">
        <v>18.343233000000001</v>
      </c>
      <c r="I388" s="75">
        <v>-64.687667000000005</v>
      </c>
      <c r="J388" s="121">
        <v>45113</v>
      </c>
      <c r="K388" s="75" t="s">
        <v>374</v>
      </c>
      <c r="L388" s="75" t="s">
        <v>668</v>
      </c>
      <c r="M388" s="75">
        <v>0</v>
      </c>
      <c r="N388" s="75">
        <v>2</v>
      </c>
      <c r="O388" s="75" t="s">
        <v>362</v>
      </c>
      <c r="P388" s="88">
        <f>SUM(TreatmentUsed!E5041:E5063)</f>
        <v>168</v>
      </c>
      <c r="Q388" s="75">
        <v>0</v>
      </c>
      <c r="R388" s="75">
        <v>0</v>
      </c>
      <c r="S388" s="75">
        <v>0</v>
      </c>
      <c r="T388" s="75">
        <v>0</v>
      </c>
      <c r="U388" s="75">
        <v>0</v>
      </c>
      <c r="V388" s="75">
        <v>0</v>
      </c>
      <c r="W388" s="75">
        <v>0</v>
      </c>
      <c r="X388" s="75">
        <v>0</v>
      </c>
      <c r="Y388" s="75">
        <v>0</v>
      </c>
      <c r="Z388" s="75">
        <v>0</v>
      </c>
      <c r="AA388" s="75">
        <v>0</v>
      </c>
      <c r="AB388" s="75">
        <v>0</v>
      </c>
      <c r="AC388" s="75">
        <v>0</v>
      </c>
      <c r="AD388" s="75">
        <v>0</v>
      </c>
      <c r="AE388" s="75">
        <v>0</v>
      </c>
      <c r="AF388" s="75">
        <v>0</v>
      </c>
      <c r="AG388" s="75">
        <v>0</v>
      </c>
      <c r="AH388" s="75">
        <v>0</v>
      </c>
      <c r="AI388" s="75">
        <v>0</v>
      </c>
      <c r="AJ388" s="75">
        <v>0</v>
      </c>
      <c r="AK388" s="75">
        <v>0</v>
      </c>
      <c r="AL388" s="75">
        <v>0</v>
      </c>
      <c r="AM388" s="75">
        <v>0</v>
      </c>
      <c r="AN388" s="75">
        <v>0</v>
      </c>
      <c r="AO388" s="75">
        <v>0</v>
      </c>
      <c r="AP388" s="75">
        <v>0</v>
      </c>
      <c r="AQ388" s="75">
        <v>0</v>
      </c>
      <c r="AR388" s="75">
        <v>0</v>
      </c>
      <c r="AS388" s="75">
        <v>3</v>
      </c>
      <c r="AT388" s="75">
        <v>3</v>
      </c>
      <c r="AU388" s="75">
        <v>1</v>
      </c>
      <c r="AV388" s="75">
        <v>0</v>
      </c>
      <c r="AW388" s="75">
        <v>0</v>
      </c>
      <c r="AX388" s="75">
        <v>0</v>
      </c>
      <c r="AY388" s="75">
        <v>0</v>
      </c>
      <c r="AZ388" s="75">
        <v>0</v>
      </c>
      <c r="BA388" s="75">
        <v>3</v>
      </c>
      <c r="BB388" s="75">
        <v>0</v>
      </c>
      <c r="BC388" s="75">
        <v>1</v>
      </c>
      <c r="BD388" s="75">
        <v>0</v>
      </c>
      <c r="BE388" s="75">
        <v>0</v>
      </c>
      <c r="BF388" s="75">
        <v>12</v>
      </c>
      <c r="BG388" s="75">
        <v>0</v>
      </c>
      <c r="BH388" s="75">
        <v>0</v>
      </c>
      <c r="BI388" s="75" t="s">
        <v>254</v>
      </c>
      <c r="BJ388" s="75" t="s">
        <v>254</v>
      </c>
      <c r="BK388" s="75" t="s">
        <v>254</v>
      </c>
      <c r="BL388" s="75">
        <v>0</v>
      </c>
      <c r="BM388" s="75">
        <f t="shared" si="78"/>
        <v>0</v>
      </c>
      <c r="BN388" s="75">
        <f t="shared" si="79"/>
        <v>0</v>
      </c>
      <c r="BO388" s="75">
        <f t="shared" si="80"/>
        <v>23</v>
      </c>
      <c r="BP388" s="75">
        <f t="shared" si="81"/>
        <v>23</v>
      </c>
      <c r="BQ388" s="1" t="s">
        <v>669</v>
      </c>
      <c r="BR388" s="254" t="s">
        <v>670</v>
      </c>
      <c r="BS388" s="110" t="s">
        <v>390</v>
      </c>
      <c r="BT388" s="110">
        <v>0</v>
      </c>
      <c r="BU388" s="75">
        <v>0</v>
      </c>
      <c r="BV388" s="75" t="s">
        <v>374</v>
      </c>
    </row>
    <row r="389" spans="3:74" x14ac:dyDescent="0.75">
      <c r="C389">
        <v>1405</v>
      </c>
      <c r="D389" s="75" t="s">
        <v>357</v>
      </c>
      <c r="E389" s="75" t="s">
        <v>358</v>
      </c>
      <c r="F389" s="75" t="s">
        <v>359</v>
      </c>
      <c r="G389" s="75" t="s">
        <v>69</v>
      </c>
      <c r="H389" s="75">
        <v>18.343233000000001</v>
      </c>
      <c r="I389" s="75">
        <v>-64.687667000000005</v>
      </c>
      <c r="J389" s="121">
        <v>45113</v>
      </c>
      <c r="K389" s="75" t="s">
        <v>374</v>
      </c>
      <c r="L389" s="75" t="s">
        <v>668</v>
      </c>
      <c r="M389" s="75">
        <v>0</v>
      </c>
      <c r="N389" s="75">
        <v>2</v>
      </c>
      <c r="O389" s="75" t="s">
        <v>362</v>
      </c>
      <c r="P389" s="88">
        <f>SUM(TreatmentUsed!E5064:E5065)</f>
        <v>14</v>
      </c>
      <c r="Q389" s="75">
        <v>0</v>
      </c>
      <c r="R389" s="75">
        <v>0</v>
      </c>
      <c r="S389" s="75">
        <v>0</v>
      </c>
      <c r="T389" s="75">
        <v>0</v>
      </c>
      <c r="U389" s="75">
        <v>0</v>
      </c>
      <c r="V389" s="75">
        <v>0</v>
      </c>
      <c r="W389" s="75">
        <v>0</v>
      </c>
      <c r="X389" s="75">
        <v>0</v>
      </c>
      <c r="Y389" s="75">
        <v>0</v>
      </c>
      <c r="Z389" s="75">
        <v>0</v>
      </c>
      <c r="AA389" s="75">
        <v>0</v>
      </c>
      <c r="AB389" s="75">
        <v>0</v>
      </c>
      <c r="AC389" s="75">
        <v>0</v>
      </c>
      <c r="AD389" s="75">
        <v>0</v>
      </c>
      <c r="AE389" s="75">
        <v>0</v>
      </c>
      <c r="AF389" s="75">
        <v>0</v>
      </c>
      <c r="AG389" s="75">
        <v>0</v>
      </c>
      <c r="AH389" s="75">
        <v>0</v>
      </c>
      <c r="AI389" s="75">
        <v>0</v>
      </c>
      <c r="AJ389" s="75">
        <v>0</v>
      </c>
      <c r="AK389" s="75">
        <v>0</v>
      </c>
      <c r="AL389" s="75">
        <v>0</v>
      </c>
      <c r="AM389" s="75">
        <v>0</v>
      </c>
      <c r="AN389" s="75">
        <v>0</v>
      </c>
      <c r="AO389" s="75">
        <v>0</v>
      </c>
      <c r="AP389" s="75">
        <v>0</v>
      </c>
      <c r="AQ389" s="75">
        <v>0</v>
      </c>
      <c r="AR389" s="75">
        <v>0</v>
      </c>
      <c r="AS389" s="75">
        <v>0</v>
      </c>
      <c r="AT389" s="75">
        <v>0</v>
      </c>
      <c r="AU389" s="75">
        <v>0</v>
      </c>
      <c r="AV389" s="75">
        <v>0</v>
      </c>
      <c r="AW389" s="75">
        <v>0</v>
      </c>
      <c r="AX389" s="75">
        <v>0</v>
      </c>
      <c r="AY389" s="75">
        <v>0</v>
      </c>
      <c r="AZ389" s="75">
        <v>0</v>
      </c>
      <c r="BA389" s="75">
        <v>1</v>
      </c>
      <c r="BB389" s="75">
        <v>0</v>
      </c>
      <c r="BC389" s="75">
        <v>0</v>
      </c>
      <c r="BD389" s="75">
        <v>0</v>
      </c>
      <c r="BE389" s="75">
        <v>0</v>
      </c>
      <c r="BF389" s="75">
        <v>1</v>
      </c>
      <c r="BG389" s="75">
        <v>0</v>
      </c>
      <c r="BH389" s="75">
        <v>0</v>
      </c>
      <c r="BI389" s="75" t="s">
        <v>254</v>
      </c>
      <c r="BJ389" s="75" t="s">
        <v>254</v>
      </c>
      <c r="BK389" s="75" t="s">
        <v>254</v>
      </c>
      <c r="BL389" s="75">
        <v>0</v>
      </c>
      <c r="BM389" s="75">
        <f t="shared" si="78"/>
        <v>0</v>
      </c>
      <c r="BN389" s="75">
        <f t="shared" si="79"/>
        <v>0</v>
      </c>
      <c r="BO389" s="75">
        <f t="shared" si="80"/>
        <v>2</v>
      </c>
      <c r="BP389" s="75">
        <f t="shared" si="81"/>
        <v>2</v>
      </c>
      <c r="BQ389" s="80" t="s">
        <v>671</v>
      </c>
      <c r="BR389" s="262" t="s">
        <v>363</v>
      </c>
      <c r="BS389" s="110" t="s">
        <v>390</v>
      </c>
      <c r="BT389" s="110">
        <v>0</v>
      </c>
      <c r="BU389" s="75">
        <v>0</v>
      </c>
      <c r="BV389" s="75" t="s">
        <v>374</v>
      </c>
    </row>
    <row r="390" spans="3:74" x14ac:dyDescent="0.75">
      <c r="C390">
        <v>1406</v>
      </c>
      <c r="D390" s="75" t="s">
        <v>357</v>
      </c>
      <c r="E390" s="75" t="s">
        <v>358</v>
      </c>
      <c r="F390" s="75" t="s">
        <v>359</v>
      </c>
      <c r="G390" s="75" t="s">
        <v>69</v>
      </c>
      <c r="H390" s="75">
        <v>18.343233000000001</v>
      </c>
      <c r="I390" s="75">
        <v>-64.687667000000005</v>
      </c>
      <c r="J390" s="121">
        <v>45113</v>
      </c>
      <c r="K390" s="75" t="s">
        <v>374</v>
      </c>
      <c r="L390" s="75" t="s">
        <v>668</v>
      </c>
      <c r="M390" s="75">
        <v>0</v>
      </c>
      <c r="N390" s="75">
        <v>2</v>
      </c>
      <c r="O390" s="75" t="s">
        <v>362</v>
      </c>
      <c r="P390" s="88">
        <f>SUM(TreatmentUsed!E5066:E5068)</f>
        <v>8</v>
      </c>
      <c r="Q390" s="75">
        <v>0</v>
      </c>
      <c r="R390" s="75">
        <v>0</v>
      </c>
      <c r="S390" s="75">
        <v>0</v>
      </c>
      <c r="T390" s="75">
        <v>0</v>
      </c>
      <c r="U390" s="75">
        <v>0</v>
      </c>
      <c r="V390" s="75">
        <v>0</v>
      </c>
      <c r="W390" s="75">
        <v>0</v>
      </c>
      <c r="X390" s="75">
        <v>0</v>
      </c>
      <c r="Y390" s="75">
        <v>0</v>
      </c>
      <c r="Z390" s="75">
        <v>0</v>
      </c>
      <c r="AA390" s="75">
        <v>0</v>
      </c>
      <c r="AB390" s="75">
        <v>0</v>
      </c>
      <c r="AC390" s="75">
        <v>0</v>
      </c>
      <c r="AD390" s="75">
        <v>0</v>
      </c>
      <c r="AE390" s="75">
        <v>0</v>
      </c>
      <c r="AF390" s="75">
        <v>0</v>
      </c>
      <c r="AG390" s="75">
        <v>0</v>
      </c>
      <c r="AH390" s="75">
        <v>0</v>
      </c>
      <c r="AI390" s="75">
        <v>0</v>
      </c>
      <c r="AJ390" s="75">
        <v>0</v>
      </c>
      <c r="AK390" s="75">
        <v>0</v>
      </c>
      <c r="AL390" s="75">
        <v>0</v>
      </c>
      <c r="AM390" s="75">
        <v>0</v>
      </c>
      <c r="AN390" s="75">
        <v>0</v>
      </c>
      <c r="AO390" s="75">
        <v>0</v>
      </c>
      <c r="AP390" s="75">
        <v>0</v>
      </c>
      <c r="AQ390" s="75">
        <v>0</v>
      </c>
      <c r="AR390" s="75">
        <v>0</v>
      </c>
      <c r="AS390" s="75">
        <v>0</v>
      </c>
      <c r="AT390" s="75">
        <v>0</v>
      </c>
      <c r="AU390" s="75">
        <v>0</v>
      </c>
      <c r="AV390" s="75">
        <v>0</v>
      </c>
      <c r="AW390" s="75">
        <v>0</v>
      </c>
      <c r="AX390" s="75">
        <v>0</v>
      </c>
      <c r="AY390" s="75">
        <v>0</v>
      </c>
      <c r="AZ390" s="75">
        <v>0</v>
      </c>
      <c r="BA390" s="75">
        <v>0</v>
      </c>
      <c r="BB390" s="75">
        <v>0</v>
      </c>
      <c r="BC390" s="75">
        <v>1</v>
      </c>
      <c r="BD390" s="75">
        <v>0</v>
      </c>
      <c r="BE390" s="75">
        <v>1</v>
      </c>
      <c r="BF390" s="75">
        <v>1</v>
      </c>
      <c r="BG390" s="75">
        <v>0</v>
      </c>
      <c r="BH390" s="75">
        <v>0</v>
      </c>
      <c r="BI390" s="75" t="s">
        <v>254</v>
      </c>
      <c r="BJ390" s="75" t="s">
        <v>254</v>
      </c>
      <c r="BK390" s="75" t="s">
        <v>254</v>
      </c>
      <c r="BL390" s="75">
        <v>0</v>
      </c>
      <c r="BM390" s="75">
        <f t="shared" si="78"/>
        <v>0</v>
      </c>
      <c r="BN390" s="75">
        <f t="shared" si="79"/>
        <v>0</v>
      </c>
      <c r="BO390" s="75">
        <f t="shared" si="80"/>
        <v>3</v>
      </c>
      <c r="BP390" s="75">
        <f t="shared" si="81"/>
        <v>3</v>
      </c>
      <c r="BQ390" s="1" t="s">
        <v>672</v>
      </c>
      <c r="BR390" s="262" t="s">
        <v>363</v>
      </c>
      <c r="BS390" s="110" t="s">
        <v>539</v>
      </c>
      <c r="BT390" s="110">
        <v>0</v>
      </c>
      <c r="BU390" s="75">
        <v>0</v>
      </c>
      <c r="BV390" s="75" t="s">
        <v>374</v>
      </c>
    </row>
    <row r="391" spans="3:74" x14ac:dyDescent="0.75">
      <c r="C391">
        <v>1407</v>
      </c>
      <c r="D391" s="75" t="s">
        <v>357</v>
      </c>
      <c r="E391" s="75" t="s">
        <v>358</v>
      </c>
      <c r="F391" s="75" t="s">
        <v>359</v>
      </c>
      <c r="G391" s="75" t="s">
        <v>116</v>
      </c>
      <c r="H391">
        <v>18.3506</v>
      </c>
      <c r="I391">
        <v>-64.699183000000005</v>
      </c>
      <c r="J391" s="81">
        <v>45118</v>
      </c>
      <c r="K391" s="75" t="s">
        <v>374</v>
      </c>
      <c r="L391" s="75" t="s">
        <v>668</v>
      </c>
      <c r="M391" s="75">
        <v>0</v>
      </c>
      <c r="N391" s="75">
        <v>2</v>
      </c>
      <c r="O391" s="75" t="s">
        <v>362</v>
      </c>
      <c r="P391" s="88">
        <f>SUM(TreatmentUsed!E5069:E5079)</f>
        <v>167</v>
      </c>
      <c r="Q391" s="75">
        <v>0</v>
      </c>
      <c r="R391" s="75">
        <v>0</v>
      </c>
      <c r="S391" s="75">
        <v>0</v>
      </c>
      <c r="T391" s="75">
        <v>0</v>
      </c>
      <c r="U391" s="75">
        <v>0</v>
      </c>
      <c r="V391" s="75">
        <v>0</v>
      </c>
      <c r="W391" s="75">
        <v>0</v>
      </c>
      <c r="X391" s="75">
        <v>0</v>
      </c>
      <c r="Y391" s="75">
        <v>0</v>
      </c>
      <c r="Z391" s="75">
        <v>0</v>
      </c>
      <c r="AA391" s="75">
        <v>0</v>
      </c>
      <c r="AB391" s="75">
        <v>0</v>
      </c>
      <c r="AC391" s="75">
        <v>0</v>
      </c>
      <c r="AD391" s="75">
        <v>0</v>
      </c>
      <c r="AE391" s="75">
        <v>0</v>
      </c>
      <c r="AF391" s="75">
        <v>0</v>
      </c>
      <c r="AG391" s="75">
        <v>0</v>
      </c>
      <c r="AH391" s="75">
        <v>0</v>
      </c>
      <c r="AI391" s="75">
        <v>0</v>
      </c>
      <c r="AJ391" s="75">
        <v>0</v>
      </c>
      <c r="AK391" s="75">
        <v>0</v>
      </c>
      <c r="AL391" s="75">
        <v>0</v>
      </c>
      <c r="AM391" s="75">
        <v>0</v>
      </c>
      <c r="AN391" s="75">
        <v>0</v>
      </c>
      <c r="AO391" s="75">
        <v>1</v>
      </c>
      <c r="AP391" s="75">
        <v>0</v>
      </c>
      <c r="AQ391" s="75">
        <v>0</v>
      </c>
      <c r="AR391" s="75">
        <v>0</v>
      </c>
      <c r="AS391" s="75">
        <v>0</v>
      </c>
      <c r="AT391" s="75">
        <v>0</v>
      </c>
      <c r="AU391" s="75">
        <v>0</v>
      </c>
      <c r="AV391" s="75">
        <v>0</v>
      </c>
      <c r="AW391" s="75">
        <v>0</v>
      </c>
      <c r="AX391" s="75">
        <v>0</v>
      </c>
      <c r="AY391" s="75">
        <v>4</v>
      </c>
      <c r="AZ391" s="75">
        <v>0</v>
      </c>
      <c r="BA391" s="75">
        <v>1</v>
      </c>
      <c r="BB391" s="75">
        <v>0</v>
      </c>
      <c r="BC391" s="75">
        <v>4</v>
      </c>
      <c r="BD391" s="75">
        <v>0</v>
      </c>
      <c r="BE391" s="75">
        <v>0</v>
      </c>
      <c r="BF391" s="75">
        <v>0</v>
      </c>
      <c r="BG391" s="75">
        <v>0</v>
      </c>
      <c r="BH391" s="75">
        <v>1</v>
      </c>
      <c r="BI391" s="75" t="s">
        <v>254</v>
      </c>
      <c r="BJ391" s="75" t="s">
        <v>254</v>
      </c>
      <c r="BK391" s="75" t="s">
        <v>254</v>
      </c>
      <c r="BL391" s="75">
        <v>0</v>
      </c>
      <c r="BM391" s="75">
        <f t="shared" si="74"/>
        <v>0</v>
      </c>
      <c r="BN391" s="75">
        <f t="shared" si="77"/>
        <v>0</v>
      </c>
      <c r="BO391" s="75">
        <f t="shared" si="75"/>
        <v>11</v>
      </c>
      <c r="BP391" s="75">
        <f t="shared" si="76"/>
        <v>11</v>
      </c>
      <c r="BQ391" s="241" t="s">
        <v>673</v>
      </c>
      <c r="BR391" s="262" t="s">
        <v>363</v>
      </c>
      <c r="BS391" s="110" t="s">
        <v>539</v>
      </c>
      <c r="BT391" s="110">
        <v>1</v>
      </c>
      <c r="BU391" s="75">
        <v>0</v>
      </c>
      <c r="BV391" s="75" t="s">
        <v>374</v>
      </c>
    </row>
    <row r="392" spans="3:74" x14ac:dyDescent="0.75">
      <c r="C392">
        <v>1408</v>
      </c>
      <c r="D392" s="75" t="s">
        <v>357</v>
      </c>
      <c r="E392" s="75" t="s">
        <v>358</v>
      </c>
      <c r="F392" s="75" t="s">
        <v>359</v>
      </c>
      <c r="G392" s="75" t="s">
        <v>116</v>
      </c>
      <c r="H392">
        <v>18.3506</v>
      </c>
      <c r="I392">
        <v>-64.699183000000005</v>
      </c>
      <c r="J392" s="81">
        <v>45118</v>
      </c>
      <c r="K392" s="75" t="s">
        <v>374</v>
      </c>
      <c r="L392" s="75" t="s">
        <v>668</v>
      </c>
      <c r="M392" s="75">
        <v>0</v>
      </c>
      <c r="N392" s="75">
        <v>2</v>
      </c>
      <c r="O392" s="75" t="s">
        <v>362</v>
      </c>
      <c r="P392" s="88">
        <f>SUM(TreatmentUsed!E5080:E5090)</f>
        <v>138</v>
      </c>
      <c r="Q392" s="75">
        <v>0</v>
      </c>
      <c r="R392" s="75">
        <v>0</v>
      </c>
      <c r="S392" s="75">
        <v>0</v>
      </c>
      <c r="T392" s="75">
        <v>0</v>
      </c>
      <c r="U392" s="75">
        <v>0</v>
      </c>
      <c r="V392" s="75">
        <v>0</v>
      </c>
      <c r="W392" s="75">
        <v>0</v>
      </c>
      <c r="X392" s="75">
        <v>0</v>
      </c>
      <c r="Y392" s="75">
        <v>0</v>
      </c>
      <c r="Z392" s="75">
        <v>0</v>
      </c>
      <c r="AA392" s="75">
        <v>0</v>
      </c>
      <c r="AB392" s="75">
        <v>0</v>
      </c>
      <c r="AC392" s="75">
        <v>0</v>
      </c>
      <c r="AD392" s="75">
        <v>0</v>
      </c>
      <c r="AE392" s="75">
        <v>0</v>
      </c>
      <c r="AF392" s="75">
        <v>0</v>
      </c>
      <c r="AG392" s="75">
        <v>0</v>
      </c>
      <c r="AH392" s="75">
        <v>0</v>
      </c>
      <c r="AI392" s="75">
        <v>0</v>
      </c>
      <c r="AJ392" s="75">
        <v>0</v>
      </c>
      <c r="AK392" s="75">
        <v>0</v>
      </c>
      <c r="AL392" s="75">
        <v>0</v>
      </c>
      <c r="AM392" s="75">
        <v>0</v>
      </c>
      <c r="AN392" s="75">
        <v>0</v>
      </c>
      <c r="AO392" s="75">
        <v>0</v>
      </c>
      <c r="AP392" s="75">
        <v>0</v>
      </c>
      <c r="AQ392" s="75">
        <v>0</v>
      </c>
      <c r="AR392" s="75">
        <v>2</v>
      </c>
      <c r="AS392" s="75">
        <v>0</v>
      </c>
      <c r="AT392" s="75">
        <v>0</v>
      </c>
      <c r="AU392" s="75">
        <v>1</v>
      </c>
      <c r="AV392" s="75">
        <v>0</v>
      </c>
      <c r="AW392" s="75">
        <v>0</v>
      </c>
      <c r="AX392" s="75">
        <v>0</v>
      </c>
      <c r="AY392" s="75">
        <v>3</v>
      </c>
      <c r="AZ392" s="75">
        <v>0</v>
      </c>
      <c r="BA392" s="75">
        <v>1</v>
      </c>
      <c r="BB392" s="75">
        <v>0</v>
      </c>
      <c r="BC392" s="75">
        <v>2</v>
      </c>
      <c r="BD392" s="75">
        <v>0</v>
      </c>
      <c r="BE392" s="75">
        <v>0</v>
      </c>
      <c r="BF392" s="75">
        <v>1</v>
      </c>
      <c r="BG392" s="75">
        <v>0</v>
      </c>
      <c r="BH392" s="75">
        <v>1</v>
      </c>
      <c r="BI392" s="75" t="s">
        <v>254</v>
      </c>
      <c r="BJ392" s="75" t="s">
        <v>254</v>
      </c>
      <c r="BK392" s="75" t="s">
        <v>254</v>
      </c>
      <c r="BL392" s="75">
        <v>0</v>
      </c>
      <c r="BM392" s="75">
        <f t="shared" si="74"/>
        <v>0</v>
      </c>
      <c r="BN392" s="75">
        <f t="shared" si="77"/>
        <v>0</v>
      </c>
      <c r="BO392" s="75">
        <f t="shared" si="75"/>
        <v>11</v>
      </c>
      <c r="BP392" s="75">
        <f t="shared" si="76"/>
        <v>11</v>
      </c>
      <c r="BQ392" s="80" t="s">
        <v>616</v>
      </c>
      <c r="BR392" s="138" t="s">
        <v>674</v>
      </c>
      <c r="BS392" s="110" t="s">
        <v>539</v>
      </c>
      <c r="BT392" s="110">
        <v>0</v>
      </c>
      <c r="BU392" s="75">
        <v>0</v>
      </c>
      <c r="BV392" s="75" t="s">
        <v>374</v>
      </c>
    </row>
    <row r="393" spans="3:74" x14ac:dyDescent="0.75">
      <c r="C393">
        <v>1409</v>
      </c>
      <c r="D393" s="75" t="s">
        <v>357</v>
      </c>
      <c r="E393" s="75" t="s">
        <v>358</v>
      </c>
      <c r="F393" s="75" t="s">
        <v>359</v>
      </c>
      <c r="G393" s="75" t="s">
        <v>116</v>
      </c>
      <c r="H393">
        <v>18.3506</v>
      </c>
      <c r="I393">
        <v>-64.699183000000005</v>
      </c>
      <c r="J393" s="81">
        <v>45118</v>
      </c>
      <c r="K393" s="75" t="s">
        <v>374</v>
      </c>
      <c r="L393" s="75" t="s">
        <v>668</v>
      </c>
      <c r="M393" s="75">
        <v>0</v>
      </c>
      <c r="N393" s="75">
        <v>2</v>
      </c>
      <c r="O393" s="75" t="s">
        <v>362</v>
      </c>
      <c r="P393" s="88">
        <f>SUM(TreatmentUsed!E5091:E5100)</f>
        <v>197</v>
      </c>
      <c r="Q393" s="75">
        <v>0</v>
      </c>
      <c r="R393" s="75">
        <v>0</v>
      </c>
      <c r="S393" s="75">
        <v>0</v>
      </c>
      <c r="T393" s="75">
        <v>0</v>
      </c>
      <c r="U393" s="75">
        <v>0</v>
      </c>
      <c r="V393" s="75">
        <v>0</v>
      </c>
      <c r="W393" s="75">
        <v>0</v>
      </c>
      <c r="X393" s="75">
        <v>0</v>
      </c>
      <c r="Y393" s="75">
        <v>0</v>
      </c>
      <c r="Z393" s="75">
        <v>0</v>
      </c>
      <c r="AA393" s="75">
        <v>0</v>
      </c>
      <c r="AB393" s="75">
        <v>0</v>
      </c>
      <c r="AC393" s="75">
        <v>0</v>
      </c>
      <c r="AD393" s="75">
        <v>0</v>
      </c>
      <c r="AE393" s="75">
        <v>0</v>
      </c>
      <c r="AF393" s="75">
        <v>0</v>
      </c>
      <c r="AG393" s="75">
        <v>0</v>
      </c>
      <c r="AH393" s="75">
        <v>0</v>
      </c>
      <c r="AI393" s="75">
        <v>0</v>
      </c>
      <c r="AJ393" s="75">
        <v>0</v>
      </c>
      <c r="AK393" s="75">
        <v>0</v>
      </c>
      <c r="AL393" s="75">
        <v>0</v>
      </c>
      <c r="AM393" s="75">
        <v>0</v>
      </c>
      <c r="AN393" s="75">
        <v>0</v>
      </c>
      <c r="AO393" s="75">
        <v>0</v>
      </c>
      <c r="AP393" s="75">
        <v>0</v>
      </c>
      <c r="AQ393" s="75">
        <v>0</v>
      </c>
      <c r="AR393" s="75">
        <v>2</v>
      </c>
      <c r="AS393" s="75">
        <v>0</v>
      </c>
      <c r="AT393" s="75">
        <v>0</v>
      </c>
      <c r="AU393" s="75">
        <v>5</v>
      </c>
      <c r="AV393" s="75">
        <v>0</v>
      </c>
      <c r="AW393" s="75">
        <v>0</v>
      </c>
      <c r="AX393" s="75">
        <v>0</v>
      </c>
      <c r="AY393" s="75">
        <v>1</v>
      </c>
      <c r="AZ393" s="75">
        <v>0</v>
      </c>
      <c r="BA393" s="75">
        <v>0</v>
      </c>
      <c r="BB393" s="75">
        <v>0</v>
      </c>
      <c r="BC393" s="75">
        <v>1</v>
      </c>
      <c r="BD393" s="75">
        <v>0</v>
      </c>
      <c r="BE393" s="75">
        <v>0</v>
      </c>
      <c r="BF393" s="75">
        <v>1</v>
      </c>
      <c r="BG393" s="75">
        <v>0</v>
      </c>
      <c r="BH393" s="75">
        <v>0</v>
      </c>
      <c r="BI393" s="75" t="s">
        <v>254</v>
      </c>
      <c r="BJ393" s="75" t="s">
        <v>254</v>
      </c>
      <c r="BK393" s="75" t="s">
        <v>254</v>
      </c>
      <c r="BL393" s="75">
        <v>0</v>
      </c>
      <c r="BM393" s="75">
        <f t="shared" si="74"/>
        <v>0</v>
      </c>
      <c r="BN393" s="75">
        <f t="shared" si="77"/>
        <v>0</v>
      </c>
      <c r="BO393" s="75">
        <f t="shared" si="75"/>
        <v>10</v>
      </c>
      <c r="BP393" s="75">
        <f t="shared" si="76"/>
        <v>10</v>
      </c>
      <c r="BQ393" s="241" t="s">
        <v>363</v>
      </c>
      <c r="BR393" s="138" t="s">
        <v>675</v>
      </c>
      <c r="BS393" s="110" t="s">
        <v>539</v>
      </c>
      <c r="BT393" s="110">
        <v>0</v>
      </c>
      <c r="BU393" s="75">
        <v>0</v>
      </c>
      <c r="BV393" s="75" t="s">
        <v>374</v>
      </c>
    </row>
    <row r="394" spans="3:74" x14ac:dyDescent="0.75">
      <c r="C394">
        <v>1410</v>
      </c>
      <c r="D394" s="75" t="s">
        <v>357</v>
      </c>
      <c r="E394" s="75" t="s">
        <v>358</v>
      </c>
      <c r="F394" s="75" t="s">
        <v>359</v>
      </c>
      <c r="G394" s="75" t="s">
        <v>48</v>
      </c>
      <c r="H394">
        <v>18.363399999999999</v>
      </c>
      <c r="I394">
        <v>-64.706067000000004</v>
      </c>
      <c r="J394" s="121">
        <v>45119</v>
      </c>
      <c r="K394" s="75" t="s">
        <v>627</v>
      </c>
      <c r="L394" s="75" t="s">
        <v>360</v>
      </c>
      <c r="M394" s="75">
        <v>0</v>
      </c>
      <c r="N394" s="75">
        <v>2</v>
      </c>
      <c r="O394" s="75" t="s">
        <v>362</v>
      </c>
      <c r="P394" s="88">
        <f>SUM(TreatmentUsed!E5101)</f>
        <v>8</v>
      </c>
      <c r="Q394" s="75">
        <v>0</v>
      </c>
      <c r="R394" s="75">
        <v>0</v>
      </c>
      <c r="S394" s="75">
        <v>0</v>
      </c>
      <c r="T394" s="75">
        <v>0</v>
      </c>
      <c r="U394" s="75">
        <v>0</v>
      </c>
      <c r="V394" s="75">
        <v>0</v>
      </c>
      <c r="W394" s="75">
        <v>0</v>
      </c>
      <c r="X394" s="75">
        <v>0</v>
      </c>
      <c r="Y394" s="75">
        <v>0</v>
      </c>
      <c r="Z394" s="75">
        <v>0</v>
      </c>
      <c r="AA394" s="75">
        <v>0</v>
      </c>
      <c r="AB394" s="75">
        <v>0</v>
      </c>
      <c r="AC394" s="75">
        <v>0</v>
      </c>
      <c r="AD394" s="75">
        <v>0</v>
      </c>
      <c r="AE394" s="75">
        <v>0</v>
      </c>
      <c r="AF394" s="75">
        <v>0</v>
      </c>
      <c r="AG394" s="75">
        <v>0</v>
      </c>
      <c r="AH394" s="75">
        <v>0</v>
      </c>
      <c r="AI394" s="75">
        <v>0</v>
      </c>
      <c r="AJ394" s="75">
        <v>0</v>
      </c>
      <c r="AK394" s="75">
        <v>0</v>
      </c>
      <c r="AL394" s="75">
        <v>0</v>
      </c>
      <c r="AM394" s="75">
        <v>0</v>
      </c>
      <c r="AN394" s="75">
        <v>0</v>
      </c>
      <c r="AO394" s="75">
        <v>0</v>
      </c>
      <c r="AP394" s="75">
        <v>0</v>
      </c>
      <c r="AQ394" s="75">
        <v>0</v>
      </c>
      <c r="AR394" s="75">
        <v>0</v>
      </c>
      <c r="AS394" s="75">
        <v>0</v>
      </c>
      <c r="AT394" s="75">
        <v>0</v>
      </c>
      <c r="AU394" s="75">
        <v>0</v>
      </c>
      <c r="AV394" s="75">
        <v>0</v>
      </c>
      <c r="AW394" s="75">
        <v>0</v>
      </c>
      <c r="AX394" s="75">
        <v>0</v>
      </c>
      <c r="AY394" s="75">
        <v>1</v>
      </c>
      <c r="AZ394" s="75">
        <v>0</v>
      </c>
      <c r="BA394" s="75">
        <v>0</v>
      </c>
      <c r="BB394" s="75">
        <v>0</v>
      </c>
      <c r="BC394" s="75">
        <v>0</v>
      </c>
      <c r="BD394" s="75">
        <v>0</v>
      </c>
      <c r="BE394" s="75">
        <v>0</v>
      </c>
      <c r="BF394" s="75">
        <v>0</v>
      </c>
      <c r="BG394" s="75">
        <v>0</v>
      </c>
      <c r="BH394" s="75">
        <v>0</v>
      </c>
      <c r="BI394" s="75" t="s">
        <v>254</v>
      </c>
      <c r="BJ394" s="75" t="s">
        <v>254</v>
      </c>
      <c r="BK394" s="75" t="s">
        <v>254</v>
      </c>
      <c r="BL394" s="75">
        <v>0</v>
      </c>
      <c r="BM394" s="75">
        <f t="shared" ref="BM394:BM425" si="82">SUM(R394:AD394)</f>
        <v>0</v>
      </c>
      <c r="BN394" s="75">
        <f t="shared" ref="BN394:BN426" si="83">SUM(AE394:AN394)</f>
        <v>0</v>
      </c>
      <c r="BO394" s="75">
        <f t="shared" ref="BO394:BO425" si="84">SUM(AO394:BH394)</f>
        <v>1</v>
      </c>
      <c r="BP394" s="75">
        <f t="shared" ref="BP394:BP425" si="85">SUM(BM394:BO394)</f>
        <v>1</v>
      </c>
      <c r="BQ394" s="85" t="s">
        <v>676</v>
      </c>
      <c r="BR394" s="138" t="s">
        <v>677</v>
      </c>
      <c r="BS394" s="110" t="s">
        <v>539</v>
      </c>
      <c r="BT394" s="110">
        <v>1</v>
      </c>
      <c r="BU394" s="75">
        <v>0</v>
      </c>
      <c r="BV394" t="s">
        <v>627</v>
      </c>
    </row>
    <row r="395" spans="3:74" x14ac:dyDescent="0.75">
      <c r="C395">
        <v>1411</v>
      </c>
      <c r="D395" s="75" t="s">
        <v>357</v>
      </c>
      <c r="E395" s="75" t="s">
        <v>358</v>
      </c>
      <c r="F395" s="75" t="s">
        <v>359</v>
      </c>
      <c r="G395" s="75" t="s">
        <v>44</v>
      </c>
      <c r="H395">
        <v>18.364650000000001</v>
      </c>
      <c r="I395">
        <v>-64.726183000000006</v>
      </c>
      <c r="J395" s="121">
        <v>45119</v>
      </c>
      <c r="K395" s="75" t="s">
        <v>627</v>
      </c>
      <c r="L395" s="75" t="s">
        <v>374</v>
      </c>
      <c r="M395" s="75">
        <v>0</v>
      </c>
      <c r="N395" s="75">
        <v>2</v>
      </c>
      <c r="O395" s="75" t="s">
        <v>362</v>
      </c>
      <c r="P395" s="88">
        <f>SUM(TreatmentUsed!E5102:E5110)</f>
        <v>162</v>
      </c>
      <c r="Q395" s="75">
        <v>0</v>
      </c>
      <c r="R395" s="75">
        <v>0</v>
      </c>
      <c r="S395" s="75">
        <v>0</v>
      </c>
      <c r="T395" s="75">
        <v>0</v>
      </c>
      <c r="U395" s="75">
        <v>0</v>
      </c>
      <c r="V395" s="75">
        <v>0</v>
      </c>
      <c r="W395" s="75">
        <v>0</v>
      </c>
      <c r="X395" s="75">
        <v>0</v>
      </c>
      <c r="Y395" s="75">
        <v>0</v>
      </c>
      <c r="Z395" s="75">
        <v>0</v>
      </c>
      <c r="AA395" s="75">
        <v>0</v>
      </c>
      <c r="AB395" s="75">
        <v>0</v>
      </c>
      <c r="AC395" s="75">
        <v>0</v>
      </c>
      <c r="AD395" s="75">
        <v>0</v>
      </c>
      <c r="AE395" s="75">
        <v>0</v>
      </c>
      <c r="AF395" s="75">
        <v>0</v>
      </c>
      <c r="AG395" s="75">
        <v>0</v>
      </c>
      <c r="AH395" s="75">
        <v>0</v>
      </c>
      <c r="AI395" s="75">
        <v>0</v>
      </c>
      <c r="AJ395" s="75">
        <v>0</v>
      </c>
      <c r="AK395" s="75">
        <v>0</v>
      </c>
      <c r="AL395" s="75">
        <v>0</v>
      </c>
      <c r="AM395" s="75">
        <v>0</v>
      </c>
      <c r="AN395" s="75">
        <v>0</v>
      </c>
      <c r="AO395" s="75">
        <v>0</v>
      </c>
      <c r="AP395" s="75">
        <v>0</v>
      </c>
      <c r="AQ395" s="75">
        <v>0</v>
      </c>
      <c r="AR395" s="75">
        <v>0</v>
      </c>
      <c r="AS395" s="75">
        <v>3</v>
      </c>
      <c r="AT395" s="75">
        <v>1</v>
      </c>
      <c r="AU395" s="75">
        <v>0</v>
      </c>
      <c r="AV395" s="75">
        <v>0</v>
      </c>
      <c r="AW395" s="75">
        <v>0</v>
      </c>
      <c r="AX395" s="75">
        <v>0</v>
      </c>
      <c r="AY395" s="84">
        <v>1</v>
      </c>
      <c r="AZ395" s="84">
        <v>1</v>
      </c>
      <c r="BA395" s="75">
        <v>1</v>
      </c>
      <c r="BB395" s="84">
        <v>1</v>
      </c>
      <c r="BC395" s="75">
        <v>0</v>
      </c>
      <c r="BD395" s="75">
        <v>0</v>
      </c>
      <c r="BE395" s="75">
        <v>0</v>
      </c>
      <c r="BF395" s="75">
        <v>1</v>
      </c>
      <c r="BG395" s="75">
        <v>0</v>
      </c>
      <c r="BH395" s="75">
        <v>0</v>
      </c>
      <c r="BI395" s="75" t="s">
        <v>254</v>
      </c>
      <c r="BJ395" s="75" t="s">
        <v>254</v>
      </c>
      <c r="BK395" s="75" t="s">
        <v>254</v>
      </c>
      <c r="BL395" s="75">
        <v>0</v>
      </c>
      <c r="BM395" s="75">
        <f t="shared" si="82"/>
        <v>0</v>
      </c>
      <c r="BN395" s="75">
        <f t="shared" si="83"/>
        <v>0</v>
      </c>
      <c r="BO395" s="75">
        <f t="shared" si="84"/>
        <v>9</v>
      </c>
      <c r="BP395" s="75">
        <f t="shared" si="85"/>
        <v>9</v>
      </c>
      <c r="BQ395" s="80" t="s">
        <v>363</v>
      </c>
      <c r="BR395" s="138" t="s">
        <v>678</v>
      </c>
      <c r="BS395" s="110" t="s">
        <v>539</v>
      </c>
      <c r="BT395" s="110">
        <v>0</v>
      </c>
      <c r="BU395" s="75">
        <v>0</v>
      </c>
      <c r="BV395" t="s">
        <v>627</v>
      </c>
    </row>
    <row r="396" spans="3:74" x14ac:dyDescent="0.75">
      <c r="C396">
        <v>1412</v>
      </c>
      <c r="D396" s="75" t="s">
        <v>357</v>
      </c>
      <c r="E396" s="75" t="s">
        <v>358</v>
      </c>
      <c r="F396" s="75" t="s">
        <v>359</v>
      </c>
      <c r="G396" s="75" t="s">
        <v>60</v>
      </c>
      <c r="H396">
        <v>18.367850000000001</v>
      </c>
      <c r="I396">
        <v>-64.732933000000003</v>
      </c>
      <c r="J396" s="121">
        <v>45119</v>
      </c>
      <c r="K396" s="75" t="s">
        <v>627</v>
      </c>
      <c r="L396" s="75" t="s">
        <v>360</v>
      </c>
      <c r="M396" s="75">
        <v>0</v>
      </c>
      <c r="N396" s="75">
        <v>2</v>
      </c>
      <c r="O396" s="75" t="s">
        <v>362</v>
      </c>
      <c r="P396" s="88">
        <f>SUM(TreatmentUsed!E5111:E5113)</f>
        <v>56</v>
      </c>
      <c r="Q396" s="75">
        <v>0</v>
      </c>
      <c r="R396" s="75">
        <v>0</v>
      </c>
      <c r="S396" s="75">
        <v>0</v>
      </c>
      <c r="T396" s="75">
        <v>0</v>
      </c>
      <c r="U396" s="75">
        <v>0</v>
      </c>
      <c r="V396" s="75">
        <v>0</v>
      </c>
      <c r="W396" s="75">
        <v>0</v>
      </c>
      <c r="X396" s="75">
        <v>0</v>
      </c>
      <c r="Y396" s="75">
        <v>0</v>
      </c>
      <c r="Z396" s="75">
        <v>0</v>
      </c>
      <c r="AA396" s="75">
        <v>0</v>
      </c>
      <c r="AB396" s="75">
        <v>0</v>
      </c>
      <c r="AC396" s="75">
        <v>0</v>
      </c>
      <c r="AD396" s="75">
        <v>0</v>
      </c>
      <c r="AE396" s="75">
        <v>0</v>
      </c>
      <c r="AF396" s="75">
        <v>0</v>
      </c>
      <c r="AG396" s="75">
        <v>0</v>
      </c>
      <c r="AH396" s="75">
        <v>0</v>
      </c>
      <c r="AI396" s="75">
        <v>0</v>
      </c>
      <c r="AJ396" s="75">
        <v>0</v>
      </c>
      <c r="AK396" s="75">
        <v>0</v>
      </c>
      <c r="AL396" s="75">
        <v>0</v>
      </c>
      <c r="AM396" s="75">
        <v>0</v>
      </c>
      <c r="AN396" s="75">
        <v>0</v>
      </c>
      <c r="AO396" s="75">
        <v>0</v>
      </c>
      <c r="AP396" s="75">
        <v>0</v>
      </c>
      <c r="AQ396" s="75">
        <v>0</v>
      </c>
      <c r="AR396" s="75">
        <v>0</v>
      </c>
      <c r="AS396" s="75">
        <v>0</v>
      </c>
      <c r="AT396" s="75">
        <v>0</v>
      </c>
      <c r="AU396" s="75">
        <v>0</v>
      </c>
      <c r="AV396" s="75">
        <v>0</v>
      </c>
      <c r="AW396" s="75">
        <v>0</v>
      </c>
      <c r="AX396" s="75">
        <v>0</v>
      </c>
      <c r="AY396" s="84">
        <v>1</v>
      </c>
      <c r="AZ396" s="84">
        <v>2</v>
      </c>
      <c r="BA396" s="84">
        <v>0</v>
      </c>
      <c r="BB396" s="75">
        <v>0</v>
      </c>
      <c r="BC396" s="75">
        <v>0</v>
      </c>
      <c r="BD396" s="75">
        <v>0</v>
      </c>
      <c r="BE396" s="75">
        <v>0</v>
      </c>
      <c r="BF396" s="75">
        <v>0</v>
      </c>
      <c r="BG396" s="75">
        <v>0</v>
      </c>
      <c r="BH396" s="75">
        <v>0</v>
      </c>
      <c r="BI396" s="75" t="s">
        <v>254</v>
      </c>
      <c r="BJ396" s="75" t="s">
        <v>254</v>
      </c>
      <c r="BK396" s="75" t="s">
        <v>254</v>
      </c>
      <c r="BL396" s="75">
        <v>0</v>
      </c>
      <c r="BM396" s="75">
        <f t="shared" si="82"/>
        <v>0</v>
      </c>
      <c r="BN396" s="75">
        <f t="shared" si="83"/>
        <v>0</v>
      </c>
      <c r="BO396" s="75">
        <f t="shared" si="84"/>
        <v>3</v>
      </c>
      <c r="BP396" s="75">
        <f t="shared" si="85"/>
        <v>3</v>
      </c>
      <c r="BQ396" s="85" t="s">
        <v>679</v>
      </c>
      <c r="BR396" s="262" t="s">
        <v>363</v>
      </c>
      <c r="BS396" s="110" t="s">
        <v>390</v>
      </c>
      <c r="BT396" s="110">
        <v>1</v>
      </c>
      <c r="BU396" s="75">
        <v>0</v>
      </c>
      <c r="BV396" t="s">
        <v>627</v>
      </c>
    </row>
    <row r="397" spans="3:74" x14ac:dyDescent="0.75">
      <c r="C397">
        <v>1413</v>
      </c>
      <c r="D397" s="75" t="s">
        <v>357</v>
      </c>
      <c r="E397" s="75" t="s">
        <v>358</v>
      </c>
      <c r="F397" s="75" t="s">
        <v>359</v>
      </c>
      <c r="G397" s="75" t="s">
        <v>23</v>
      </c>
      <c r="H397">
        <v>18.365749999999998</v>
      </c>
      <c r="I397">
        <v>-64.773619999999994</v>
      </c>
      <c r="J397" s="121">
        <v>45120</v>
      </c>
      <c r="K397" s="75" t="s">
        <v>627</v>
      </c>
      <c r="L397" s="75" t="s">
        <v>374</v>
      </c>
      <c r="M397" s="75">
        <v>0</v>
      </c>
      <c r="N397" s="75">
        <v>2</v>
      </c>
      <c r="O397" s="75" t="s">
        <v>362</v>
      </c>
      <c r="P397" s="88">
        <f>SUM(TreatmentUsed!E5114:E5123)</f>
        <v>120</v>
      </c>
      <c r="Q397" s="75">
        <v>0</v>
      </c>
      <c r="R397" s="75">
        <v>0</v>
      </c>
      <c r="S397" s="75">
        <v>0</v>
      </c>
      <c r="T397" s="75">
        <v>0</v>
      </c>
      <c r="U397" s="75">
        <v>0</v>
      </c>
      <c r="V397" s="75">
        <v>0</v>
      </c>
      <c r="W397" s="75">
        <v>0</v>
      </c>
      <c r="X397" s="75">
        <v>0</v>
      </c>
      <c r="Y397" s="75">
        <v>0</v>
      </c>
      <c r="Z397" s="75">
        <v>0</v>
      </c>
      <c r="AA397" s="75">
        <v>0</v>
      </c>
      <c r="AB397" s="75">
        <v>0</v>
      </c>
      <c r="AC397" s="75">
        <v>0</v>
      </c>
      <c r="AD397" s="75">
        <v>0</v>
      </c>
      <c r="AE397" s="75">
        <v>0</v>
      </c>
      <c r="AF397" s="75">
        <v>0</v>
      </c>
      <c r="AG397" s="75">
        <v>0</v>
      </c>
      <c r="AH397" s="75">
        <v>0</v>
      </c>
      <c r="AI397" s="75">
        <v>0</v>
      </c>
      <c r="AJ397" s="75">
        <v>0</v>
      </c>
      <c r="AK397" s="75">
        <v>0</v>
      </c>
      <c r="AL397" s="75">
        <v>0</v>
      </c>
      <c r="AM397" s="75">
        <v>0</v>
      </c>
      <c r="AN397" s="75">
        <v>0</v>
      </c>
      <c r="AO397" s="75">
        <v>0</v>
      </c>
      <c r="AP397" s="75">
        <v>0</v>
      </c>
      <c r="AQ397" s="75">
        <v>0</v>
      </c>
      <c r="AR397" s="75">
        <v>0</v>
      </c>
      <c r="AS397" s="75">
        <v>0</v>
      </c>
      <c r="AT397" s="75">
        <v>0</v>
      </c>
      <c r="AU397" s="75">
        <v>0</v>
      </c>
      <c r="AV397" s="75">
        <v>0</v>
      </c>
      <c r="AW397" s="75">
        <v>0</v>
      </c>
      <c r="AX397" s="75">
        <v>0</v>
      </c>
      <c r="AY397" s="75">
        <v>0</v>
      </c>
      <c r="AZ397" s="75">
        <v>0</v>
      </c>
      <c r="BA397" s="75">
        <v>7</v>
      </c>
      <c r="BB397" s="75">
        <v>0</v>
      </c>
      <c r="BC397" s="75">
        <v>1</v>
      </c>
      <c r="BD397" s="75">
        <v>0</v>
      </c>
      <c r="BE397" s="75">
        <v>0</v>
      </c>
      <c r="BF397" s="75">
        <v>2</v>
      </c>
      <c r="BG397" s="75">
        <v>0</v>
      </c>
      <c r="BH397" s="75">
        <v>0</v>
      </c>
      <c r="BI397" s="75" t="s">
        <v>254</v>
      </c>
      <c r="BJ397" s="75" t="s">
        <v>254</v>
      </c>
      <c r="BK397" s="75" t="s">
        <v>254</v>
      </c>
      <c r="BL397" s="75">
        <v>0</v>
      </c>
      <c r="BM397" s="75">
        <f t="shared" si="82"/>
        <v>0</v>
      </c>
      <c r="BN397" s="75">
        <f t="shared" si="83"/>
        <v>0</v>
      </c>
      <c r="BO397" s="75">
        <f t="shared" si="84"/>
        <v>10</v>
      </c>
      <c r="BP397" s="75">
        <f t="shared" si="85"/>
        <v>10</v>
      </c>
      <c r="BQ397" s="241" t="s">
        <v>363</v>
      </c>
      <c r="BR397" s="262" t="s">
        <v>363</v>
      </c>
      <c r="BS397" s="110" t="s">
        <v>539</v>
      </c>
      <c r="BT397" s="110">
        <v>0</v>
      </c>
      <c r="BU397" s="75">
        <v>0</v>
      </c>
      <c r="BV397" t="s">
        <v>627</v>
      </c>
    </row>
    <row r="398" spans="3:74" x14ac:dyDescent="0.75">
      <c r="C398">
        <v>1414</v>
      </c>
      <c r="D398" s="75" t="s">
        <v>357</v>
      </c>
      <c r="E398" s="75" t="s">
        <v>358</v>
      </c>
      <c r="F398" s="75" t="s">
        <v>359</v>
      </c>
      <c r="G398" s="75" t="s">
        <v>87</v>
      </c>
      <c r="H398">
        <v>18.344638000854399</v>
      </c>
      <c r="I398">
        <v>-64.6839062927274</v>
      </c>
      <c r="J398" s="121">
        <v>45128</v>
      </c>
      <c r="K398" s="75" t="s">
        <v>628</v>
      </c>
      <c r="L398" s="75" t="s">
        <v>374</v>
      </c>
      <c r="M398" s="75">
        <v>0</v>
      </c>
      <c r="N398" s="75">
        <v>2</v>
      </c>
      <c r="O398" s="75" t="s">
        <v>362</v>
      </c>
      <c r="P398" s="88">
        <f>SUM(TreatmentUsed!E5124:E5128)</f>
        <v>28</v>
      </c>
      <c r="Q398" s="75">
        <v>0</v>
      </c>
      <c r="R398" s="75">
        <v>0</v>
      </c>
      <c r="S398" s="75">
        <v>0</v>
      </c>
      <c r="T398" s="75">
        <v>0</v>
      </c>
      <c r="U398" s="75">
        <v>0</v>
      </c>
      <c r="V398" s="75">
        <v>0</v>
      </c>
      <c r="W398" s="75">
        <v>0</v>
      </c>
      <c r="X398" s="75">
        <v>0</v>
      </c>
      <c r="Y398" s="75">
        <v>0</v>
      </c>
      <c r="Z398" s="75">
        <v>0</v>
      </c>
      <c r="AA398" s="75">
        <v>0</v>
      </c>
      <c r="AB398" s="75">
        <v>0</v>
      </c>
      <c r="AC398" s="75">
        <v>0</v>
      </c>
      <c r="AD398" s="75">
        <v>0</v>
      </c>
      <c r="AE398" s="75">
        <v>0</v>
      </c>
      <c r="AF398" s="75">
        <v>0</v>
      </c>
      <c r="AG398" s="75">
        <v>0</v>
      </c>
      <c r="AH398" s="75">
        <v>0</v>
      </c>
      <c r="AI398" s="75">
        <v>0</v>
      </c>
      <c r="AJ398" s="75">
        <v>0</v>
      </c>
      <c r="AK398" s="75">
        <v>0</v>
      </c>
      <c r="AL398" s="75">
        <v>0</v>
      </c>
      <c r="AM398" s="75">
        <v>0</v>
      </c>
      <c r="AN398" s="75">
        <v>0</v>
      </c>
      <c r="AO398" s="75">
        <v>0</v>
      </c>
      <c r="AP398" s="75">
        <v>0</v>
      </c>
      <c r="AQ398" s="75">
        <v>0</v>
      </c>
      <c r="AR398" s="75">
        <v>0</v>
      </c>
      <c r="AS398" s="75">
        <v>0</v>
      </c>
      <c r="AT398" s="75">
        <v>0</v>
      </c>
      <c r="AU398" s="75">
        <v>0</v>
      </c>
      <c r="AV398" s="75">
        <v>0</v>
      </c>
      <c r="AW398" s="75">
        <v>0</v>
      </c>
      <c r="AX398" s="75">
        <v>0</v>
      </c>
      <c r="AY398" s="75">
        <v>0</v>
      </c>
      <c r="AZ398" s="75">
        <v>3</v>
      </c>
      <c r="BA398" s="84">
        <v>1</v>
      </c>
      <c r="BB398" s="75">
        <v>0</v>
      </c>
      <c r="BC398" s="84">
        <v>0</v>
      </c>
      <c r="BD398" s="75">
        <v>0</v>
      </c>
      <c r="BE398" s="75">
        <v>0</v>
      </c>
      <c r="BF398" s="75">
        <v>0</v>
      </c>
      <c r="BG398" s="75">
        <v>0</v>
      </c>
      <c r="BH398" s="75">
        <v>1</v>
      </c>
      <c r="BI398" s="75" t="s">
        <v>254</v>
      </c>
      <c r="BJ398" s="75" t="s">
        <v>254</v>
      </c>
      <c r="BK398" s="75" t="s">
        <v>254</v>
      </c>
      <c r="BL398" s="75">
        <v>0</v>
      </c>
      <c r="BM398" s="75">
        <f t="shared" si="82"/>
        <v>0</v>
      </c>
      <c r="BN398" s="75">
        <f t="shared" si="83"/>
        <v>0</v>
      </c>
      <c r="BO398" s="75">
        <f t="shared" si="84"/>
        <v>5</v>
      </c>
      <c r="BP398" s="75">
        <f t="shared" si="85"/>
        <v>5</v>
      </c>
      <c r="BQ398" s="80" t="s">
        <v>680</v>
      </c>
      <c r="BR398" s="262" t="s">
        <v>363</v>
      </c>
      <c r="BS398" s="110" t="s">
        <v>539</v>
      </c>
      <c r="BT398" s="110">
        <v>0</v>
      </c>
      <c r="BU398" s="75">
        <v>0</v>
      </c>
      <c r="BV398" t="s">
        <v>628</v>
      </c>
    </row>
    <row r="399" spans="3:74" x14ac:dyDescent="0.75">
      <c r="C399">
        <v>1415</v>
      </c>
      <c r="D399" s="75" t="s">
        <v>357</v>
      </c>
      <c r="E399" s="75" t="s">
        <v>358</v>
      </c>
      <c r="F399" s="75" t="s">
        <v>359</v>
      </c>
      <c r="G399" s="75" t="s">
        <v>87</v>
      </c>
      <c r="H399">
        <v>18.344638000854399</v>
      </c>
      <c r="I399">
        <v>-64.6839062927274</v>
      </c>
      <c r="J399" s="121">
        <v>45128</v>
      </c>
      <c r="K399" s="75" t="s">
        <v>628</v>
      </c>
      <c r="L399" s="75" t="s">
        <v>374</v>
      </c>
      <c r="M399" s="75">
        <v>0</v>
      </c>
      <c r="N399" s="75">
        <v>2</v>
      </c>
      <c r="O399" s="75" t="s">
        <v>362</v>
      </c>
      <c r="P399" s="88">
        <f>SUM(TreatmentUsed!E5129:E5130)</f>
        <v>18</v>
      </c>
      <c r="Q399" s="75">
        <v>0</v>
      </c>
      <c r="R399" s="75">
        <v>0</v>
      </c>
      <c r="S399" s="75">
        <v>0</v>
      </c>
      <c r="T399" s="75">
        <v>0</v>
      </c>
      <c r="U399" s="75">
        <v>0</v>
      </c>
      <c r="V399" s="75">
        <v>0</v>
      </c>
      <c r="W399" s="75">
        <v>0</v>
      </c>
      <c r="X399" s="75">
        <v>0</v>
      </c>
      <c r="Y399" s="75">
        <v>0</v>
      </c>
      <c r="Z399" s="75">
        <v>0</v>
      </c>
      <c r="AA399" s="75">
        <v>0</v>
      </c>
      <c r="AB399" s="75">
        <v>0</v>
      </c>
      <c r="AC399" s="75">
        <v>0</v>
      </c>
      <c r="AD399" s="75">
        <v>0</v>
      </c>
      <c r="AE399" s="75">
        <v>0</v>
      </c>
      <c r="AF399" s="75">
        <v>0</v>
      </c>
      <c r="AG399" s="75">
        <v>0</v>
      </c>
      <c r="AH399" s="75">
        <v>0</v>
      </c>
      <c r="AI399" s="75">
        <v>0</v>
      </c>
      <c r="AJ399" s="75">
        <v>0</v>
      </c>
      <c r="AK399" s="75">
        <v>0</v>
      </c>
      <c r="AL399" s="75">
        <v>0</v>
      </c>
      <c r="AM399" s="75">
        <v>0</v>
      </c>
      <c r="AN399" s="75">
        <v>0</v>
      </c>
      <c r="AO399" s="75">
        <v>0</v>
      </c>
      <c r="AP399" s="75">
        <v>0</v>
      </c>
      <c r="AQ399" s="75">
        <v>0</v>
      </c>
      <c r="AR399" s="75">
        <v>0</v>
      </c>
      <c r="AS399" s="75">
        <v>0</v>
      </c>
      <c r="AT399" s="75">
        <v>0</v>
      </c>
      <c r="AU399" s="75">
        <v>0</v>
      </c>
      <c r="AV399" s="75">
        <v>0</v>
      </c>
      <c r="AW399" s="75">
        <v>0</v>
      </c>
      <c r="AX399" s="75">
        <v>0</v>
      </c>
      <c r="AY399" s="75">
        <v>0</v>
      </c>
      <c r="AZ399" s="75">
        <v>1</v>
      </c>
      <c r="BA399" s="75">
        <v>1</v>
      </c>
      <c r="BB399" s="75">
        <v>0</v>
      </c>
      <c r="BC399" s="75">
        <v>0</v>
      </c>
      <c r="BD399" s="75">
        <v>0</v>
      </c>
      <c r="BE399" s="75">
        <v>0</v>
      </c>
      <c r="BF399" s="75">
        <v>0</v>
      </c>
      <c r="BG399" s="75">
        <v>0</v>
      </c>
      <c r="BH399" s="75">
        <v>0</v>
      </c>
      <c r="BI399" s="75" t="s">
        <v>254</v>
      </c>
      <c r="BJ399" s="75" t="s">
        <v>254</v>
      </c>
      <c r="BK399" s="75" t="s">
        <v>254</v>
      </c>
      <c r="BL399" s="75">
        <v>0</v>
      </c>
      <c r="BM399" s="75">
        <f t="shared" si="82"/>
        <v>0</v>
      </c>
      <c r="BN399" s="75">
        <f t="shared" si="83"/>
        <v>0</v>
      </c>
      <c r="BO399" s="75">
        <f t="shared" si="84"/>
        <v>2</v>
      </c>
      <c r="BP399" s="75">
        <f t="shared" si="85"/>
        <v>2</v>
      </c>
      <c r="BQ399" s="66" t="s">
        <v>681</v>
      </c>
      <c r="BR399" s="262" t="s">
        <v>363</v>
      </c>
      <c r="BS399" s="110" t="s">
        <v>539</v>
      </c>
      <c r="BT399" s="110">
        <v>0</v>
      </c>
      <c r="BU399" s="75">
        <v>0</v>
      </c>
      <c r="BV399" s="195" t="s">
        <v>628</v>
      </c>
    </row>
    <row r="400" spans="3:74" x14ac:dyDescent="0.75">
      <c r="C400">
        <v>1416</v>
      </c>
      <c r="D400" s="75" t="s">
        <v>357</v>
      </c>
      <c r="E400" s="75" t="s">
        <v>358</v>
      </c>
      <c r="F400" s="75" t="s">
        <v>359</v>
      </c>
      <c r="G400" s="75" t="s">
        <v>87</v>
      </c>
      <c r="H400">
        <v>18.344638000854399</v>
      </c>
      <c r="I400">
        <v>-64.6839062927274</v>
      </c>
      <c r="J400" s="121">
        <v>45128</v>
      </c>
      <c r="K400" s="75" t="s">
        <v>628</v>
      </c>
      <c r="L400" s="75" t="s">
        <v>374</v>
      </c>
      <c r="M400" s="75">
        <v>1</v>
      </c>
      <c r="N400" s="75">
        <v>2</v>
      </c>
      <c r="O400" s="75" t="s">
        <v>362</v>
      </c>
      <c r="P400" s="88">
        <f>SUM(TreatmentUsed!E5131)</f>
        <v>12</v>
      </c>
      <c r="Q400" s="75">
        <v>0</v>
      </c>
      <c r="R400" s="75">
        <v>0</v>
      </c>
      <c r="S400" s="75">
        <v>0</v>
      </c>
      <c r="T400" s="75">
        <v>0</v>
      </c>
      <c r="U400" s="75">
        <v>0</v>
      </c>
      <c r="V400" s="75">
        <v>0</v>
      </c>
      <c r="W400" s="75">
        <v>0</v>
      </c>
      <c r="X400" s="75">
        <v>0</v>
      </c>
      <c r="Y400" s="75">
        <v>0</v>
      </c>
      <c r="Z400" s="75">
        <v>0</v>
      </c>
      <c r="AA400" s="75">
        <v>0</v>
      </c>
      <c r="AB400" s="75">
        <v>0</v>
      </c>
      <c r="AC400" s="75">
        <v>0</v>
      </c>
      <c r="AD400" s="75">
        <v>0</v>
      </c>
      <c r="AE400" s="75">
        <v>0</v>
      </c>
      <c r="AF400" s="84">
        <v>1</v>
      </c>
      <c r="AG400" s="75">
        <v>0</v>
      </c>
      <c r="AH400" s="75">
        <v>0</v>
      </c>
      <c r="AI400" s="75">
        <v>0</v>
      </c>
      <c r="AJ400" s="75">
        <v>0</v>
      </c>
      <c r="AK400" s="75">
        <v>0</v>
      </c>
      <c r="AL400" s="75">
        <v>0</v>
      </c>
      <c r="AM400" s="75">
        <v>0</v>
      </c>
      <c r="AN400" s="75">
        <v>0</v>
      </c>
      <c r="AO400" s="75">
        <v>0</v>
      </c>
      <c r="AP400" s="75">
        <v>0</v>
      </c>
      <c r="AQ400" s="75">
        <v>1</v>
      </c>
      <c r="AR400" s="75">
        <v>0</v>
      </c>
      <c r="AS400" s="75">
        <v>0</v>
      </c>
      <c r="AT400" s="75">
        <v>0</v>
      </c>
      <c r="AU400" s="75">
        <v>0</v>
      </c>
      <c r="AV400" s="75">
        <v>0</v>
      </c>
      <c r="AW400" s="75">
        <v>0</v>
      </c>
      <c r="AX400" s="75">
        <v>0</v>
      </c>
      <c r="AY400" s="75">
        <v>0</v>
      </c>
      <c r="AZ400" s="75">
        <v>0</v>
      </c>
      <c r="BA400" s="75">
        <v>0</v>
      </c>
      <c r="BB400" s="75">
        <v>0</v>
      </c>
      <c r="BC400" s="75">
        <v>0</v>
      </c>
      <c r="BD400" s="75">
        <v>0</v>
      </c>
      <c r="BE400" s="75">
        <v>0</v>
      </c>
      <c r="BF400" s="75">
        <v>0</v>
      </c>
      <c r="BG400" s="75">
        <v>0</v>
      </c>
      <c r="BH400" s="75">
        <v>0</v>
      </c>
      <c r="BI400" s="75" t="s">
        <v>254</v>
      </c>
      <c r="BJ400" s="75" t="s">
        <v>254</v>
      </c>
      <c r="BK400" s="75" t="s">
        <v>254</v>
      </c>
      <c r="BL400" s="75">
        <v>1</v>
      </c>
      <c r="BM400" s="75">
        <v>0</v>
      </c>
      <c r="BN400" s="75">
        <f t="shared" si="83"/>
        <v>1</v>
      </c>
      <c r="BO400" s="75">
        <f t="shared" si="84"/>
        <v>1</v>
      </c>
      <c r="BP400" s="75">
        <f t="shared" si="85"/>
        <v>2</v>
      </c>
      <c r="BQ400" s="241" t="s">
        <v>682</v>
      </c>
      <c r="BR400" s="262" t="s">
        <v>363</v>
      </c>
      <c r="BS400" s="110" t="s">
        <v>539</v>
      </c>
      <c r="BT400" s="110">
        <v>0</v>
      </c>
      <c r="BU400" s="84">
        <v>1</v>
      </c>
      <c r="BV400" s="195" t="s">
        <v>628</v>
      </c>
    </row>
    <row r="401" spans="1:74" x14ac:dyDescent="0.75">
      <c r="C401">
        <v>1417</v>
      </c>
      <c r="D401" s="75" t="s">
        <v>357</v>
      </c>
      <c r="E401" s="75" t="s">
        <v>358</v>
      </c>
      <c r="F401" s="75" t="s">
        <v>359</v>
      </c>
      <c r="G401" s="75" t="s">
        <v>116</v>
      </c>
      <c r="H401">
        <v>18.3506</v>
      </c>
      <c r="I401">
        <v>-64.699183000000005</v>
      </c>
      <c r="J401" s="3">
        <v>45133</v>
      </c>
      <c r="K401" s="75" t="s">
        <v>627</v>
      </c>
      <c r="L401" s="75" t="s">
        <v>374</v>
      </c>
      <c r="M401" s="75">
        <v>0</v>
      </c>
      <c r="N401" s="75">
        <v>2</v>
      </c>
      <c r="O401" s="75" t="s">
        <v>362</v>
      </c>
      <c r="P401" s="88">
        <f>SUM(TreatmentUsed!E5132:E5146)</f>
        <v>218</v>
      </c>
      <c r="Q401" s="75">
        <v>0</v>
      </c>
      <c r="R401" s="75">
        <v>0</v>
      </c>
      <c r="S401" s="75">
        <v>0</v>
      </c>
      <c r="T401" s="75">
        <v>0</v>
      </c>
      <c r="U401" s="75">
        <v>0</v>
      </c>
      <c r="V401" s="75">
        <v>0</v>
      </c>
      <c r="W401" s="75">
        <v>0</v>
      </c>
      <c r="X401" s="75">
        <v>0</v>
      </c>
      <c r="Y401" s="75">
        <v>0</v>
      </c>
      <c r="Z401" s="75">
        <v>0</v>
      </c>
      <c r="AA401" s="75">
        <v>0</v>
      </c>
      <c r="AB401" s="75">
        <v>0</v>
      </c>
      <c r="AC401" s="75">
        <v>0</v>
      </c>
      <c r="AD401" s="75">
        <v>0</v>
      </c>
      <c r="AE401" s="75">
        <v>0</v>
      </c>
      <c r="AF401" s="75">
        <v>0</v>
      </c>
      <c r="AG401" s="75">
        <v>0</v>
      </c>
      <c r="AH401" s="75">
        <v>0</v>
      </c>
      <c r="AI401" s="75">
        <v>0</v>
      </c>
      <c r="AJ401" s="75">
        <v>0</v>
      </c>
      <c r="AK401" s="75">
        <v>0</v>
      </c>
      <c r="AL401" s="75">
        <v>0</v>
      </c>
      <c r="AM401" s="75">
        <v>0</v>
      </c>
      <c r="AN401" s="75">
        <v>0</v>
      </c>
      <c r="AO401" s="75">
        <v>0</v>
      </c>
      <c r="AP401" s="75">
        <v>0</v>
      </c>
      <c r="AQ401" s="75">
        <v>0</v>
      </c>
      <c r="AR401" s="75">
        <v>0</v>
      </c>
      <c r="AS401" s="75">
        <v>0</v>
      </c>
      <c r="AT401" s="75">
        <v>0</v>
      </c>
      <c r="AU401" s="84">
        <v>2</v>
      </c>
      <c r="AV401" s="75">
        <v>0</v>
      </c>
      <c r="AW401" s="75">
        <v>0</v>
      </c>
      <c r="AX401" s="75">
        <v>0</v>
      </c>
      <c r="AY401" s="84">
        <v>6</v>
      </c>
      <c r="AZ401" s="75">
        <v>0</v>
      </c>
      <c r="BA401" s="75">
        <v>1</v>
      </c>
      <c r="BB401" s="75">
        <v>0</v>
      </c>
      <c r="BC401" s="84">
        <v>5</v>
      </c>
      <c r="BD401" s="75">
        <v>0</v>
      </c>
      <c r="BE401" s="75">
        <v>0</v>
      </c>
      <c r="BF401" s="84">
        <v>0</v>
      </c>
      <c r="BG401" s="75">
        <v>0</v>
      </c>
      <c r="BH401" s="75">
        <v>1</v>
      </c>
      <c r="BI401" s="75" t="s">
        <v>254</v>
      </c>
      <c r="BJ401" s="75" t="s">
        <v>254</v>
      </c>
      <c r="BK401" s="75" t="s">
        <v>254</v>
      </c>
      <c r="BL401" s="75">
        <v>0</v>
      </c>
      <c r="BM401" s="75">
        <f t="shared" si="82"/>
        <v>0</v>
      </c>
      <c r="BN401" s="75">
        <f t="shared" si="83"/>
        <v>0</v>
      </c>
      <c r="BO401" s="75">
        <f t="shared" si="84"/>
        <v>15</v>
      </c>
      <c r="BP401" s="75">
        <f t="shared" si="85"/>
        <v>15</v>
      </c>
      <c r="BQ401" s="85" t="s">
        <v>683</v>
      </c>
      <c r="BR401" s="252" t="s">
        <v>684</v>
      </c>
      <c r="BS401" s="110" t="s">
        <v>539</v>
      </c>
      <c r="BT401" s="110">
        <v>0</v>
      </c>
      <c r="BU401" s="75">
        <v>0</v>
      </c>
      <c r="BV401" t="s">
        <v>627</v>
      </c>
    </row>
    <row r="402" spans="1:74" x14ac:dyDescent="0.75">
      <c r="C402">
        <v>1418</v>
      </c>
      <c r="D402" s="75" t="s">
        <v>357</v>
      </c>
      <c r="E402" s="75" t="s">
        <v>358</v>
      </c>
      <c r="F402" s="75" t="s">
        <v>359</v>
      </c>
      <c r="G402" s="75" t="s">
        <v>116</v>
      </c>
      <c r="H402">
        <v>18.3506</v>
      </c>
      <c r="I402">
        <v>-64.699183000000005</v>
      </c>
      <c r="J402" s="3">
        <v>45133</v>
      </c>
      <c r="K402" s="75" t="s">
        <v>627</v>
      </c>
      <c r="L402" s="75" t="s">
        <v>374</v>
      </c>
      <c r="M402" s="75">
        <v>0</v>
      </c>
      <c r="N402" s="75">
        <v>2</v>
      </c>
      <c r="O402" s="75" t="s">
        <v>362</v>
      </c>
      <c r="P402" s="88">
        <f>SUM(TreatmentUsed!E5147:E5162)</f>
        <v>178</v>
      </c>
      <c r="Q402" s="75">
        <v>0</v>
      </c>
      <c r="R402" s="75">
        <v>0</v>
      </c>
      <c r="S402" s="75">
        <v>0</v>
      </c>
      <c r="T402" s="75">
        <v>0</v>
      </c>
      <c r="U402" s="75">
        <v>0</v>
      </c>
      <c r="V402" s="75">
        <v>0</v>
      </c>
      <c r="W402" s="75">
        <v>0</v>
      </c>
      <c r="X402" s="75">
        <v>0</v>
      </c>
      <c r="Y402" s="75">
        <v>0</v>
      </c>
      <c r="Z402" s="75">
        <v>0</v>
      </c>
      <c r="AA402" s="75">
        <v>0</v>
      </c>
      <c r="AB402" s="75">
        <v>0</v>
      </c>
      <c r="AC402" s="75">
        <v>0</v>
      </c>
      <c r="AD402" s="75">
        <v>0</v>
      </c>
      <c r="AE402" s="75">
        <v>0</v>
      </c>
      <c r="AF402" s="75">
        <v>0</v>
      </c>
      <c r="AG402" s="75">
        <v>0</v>
      </c>
      <c r="AH402" s="75">
        <v>0</v>
      </c>
      <c r="AI402" s="75">
        <v>0</v>
      </c>
      <c r="AJ402" s="75">
        <v>0</v>
      </c>
      <c r="AK402" s="75">
        <v>0</v>
      </c>
      <c r="AL402" s="75">
        <v>0</v>
      </c>
      <c r="AM402" s="75">
        <v>0</v>
      </c>
      <c r="AN402" s="75">
        <v>0</v>
      </c>
      <c r="AO402" s="75">
        <v>0</v>
      </c>
      <c r="AP402" s="75">
        <v>0</v>
      </c>
      <c r="AQ402" s="75">
        <v>0</v>
      </c>
      <c r="AR402" s="75">
        <v>2</v>
      </c>
      <c r="AS402" s="75">
        <v>0</v>
      </c>
      <c r="AT402" s="75">
        <v>0</v>
      </c>
      <c r="AU402" s="84">
        <v>2</v>
      </c>
      <c r="AV402" s="75">
        <v>0</v>
      </c>
      <c r="AW402" s="75">
        <v>0</v>
      </c>
      <c r="AX402" s="75">
        <v>0</v>
      </c>
      <c r="AY402" s="84">
        <v>6</v>
      </c>
      <c r="AZ402" s="75">
        <v>1</v>
      </c>
      <c r="BA402" s="75">
        <v>0</v>
      </c>
      <c r="BB402" s="75">
        <v>0</v>
      </c>
      <c r="BC402" s="84">
        <v>3</v>
      </c>
      <c r="BD402" s="75">
        <v>0</v>
      </c>
      <c r="BE402" s="75">
        <v>0</v>
      </c>
      <c r="BF402" s="84">
        <v>2</v>
      </c>
      <c r="BG402" s="75">
        <v>0</v>
      </c>
      <c r="BH402" s="75">
        <v>0</v>
      </c>
      <c r="BI402" s="75" t="s">
        <v>254</v>
      </c>
      <c r="BJ402" s="75" t="s">
        <v>254</v>
      </c>
      <c r="BK402" s="75" t="s">
        <v>254</v>
      </c>
      <c r="BL402" s="75">
        <v>0</v>
      </c>
      <c r="BM402" s="75">
        <f t="shared" si="82"/>
        <v>0</v>
      </c>
      <c r="BN402" s="75">
        <f t="shared" si="83"/>
        <v>0</v>
      </c>
      <c r="BO402" s="75">
        <f t="shared" si="84"/>
        <v>16</v>
      </c>
      <c r="BP402" s="75">
        <f t="shared" si="85"/>
        <v>16</v>
      </c>
      <c r="BQ402" s="241" t="s">
        <v>363</v>
      </c>
      <c r="BR402" s="252">
        <v>910</v>
      </c>
      <c r="BS402" s="110" t="s">
        <v>539</v>
      </c>
      <c r="BT402" s="110">
        <v>0</v>
      </c>
      <c r="BU402" s="75">
        <v>0</v>
      </c>
      <c r="BV402" t="s">
        <v>627</v>
      </c>
    </row>
    <row r="403" spans="1:74" x14ac:dyDescent="0.75">
      <c r="C403">
        <v>1419</v>
      </c>
      <c r="D403" s="75" t="s">
        <v>357</v>
      </c>
      <c r="E403" s="75" t="s">
        <v>358</v>
      </c>
      <c r="F403" s="75" t="s">
        <v>359</v>
      </c>
      <c r="G403" s="75" t="s">
        <v>116</v>
      </c>
      <c r="H403">
        <v>18.3506</v>
      </c>
      <c r="I403">
        <v>-64.699183000000005</v>
      </c>
      <c r="J403" s="3">
        <v>45133</v>
      </c>
      <c r="K403" s="75" t="s">
        <v>627</v>
      </c>
      <c r="L403" s="75" t="s">
        <v>374</v>
      </c>
      <c r="M403" s="75">
        <v>0</v>
      </c>
      <c r="N403" s="75">
        <v>2</v>
      </c>
      <c r="O403" s="75" t="s">
        <v>362</v>
      </c>
      <c r="P403" s="88">
        <f>SUM(TreatmentUsed!E5163:E5164)</f>
        <v>43</v>
      </c>
      <c r="Q403" s="75">
        <v>0</v>
      </c>
      <c r="R403" s="75">
        <v>0</v>
      </c>
      <c r="S403" s="75">
        <v>0</v>
      </c>
      <c r="T403" s="75">
        <v>0</v>
      </c>
      <c r="U403" s="75">
        <v>0</v>
      </c>
      <c r="V403" s="75">
        <v>0</v>
      </c>
      <c r="W403" s="75">
        <v>0</v>
      </c>
      <c r="X403" s="75">
        <v>0</v>
      </c>
      <c r="Y403" s="75">
        <v>0</v>
      </c>
      <c r="Z403" s="75">
        <v>0</v>
      </c>
      <c r="AA403" s="75">
        <v>0</v>
      </c>
      <c r="AB403" s="75">
        <v>0</v>
      </c>
      <c r="AC403" s="75">
        <v>0</v>
      </c>
      <c r="AD403" s="75">
        <v>0</v>
      </c>
      <c r="AE403" s="75">
        <v>0</v>
      </c>
      <c r="AF403" s="75">
        <v>0</v>
      </c>
      <c r="AG403" s="75">
        <v>0</v>
      </c>
      <c r="AH403" s="75">
        <v>0</v>
      </c>
      <c r="AI403" s="75">
        <v>0</v>
      </c>
      <c r="AJ403" s="75">
        <v>0</v>
      </c>
      <c r="AK403" s="75">
        <v>0</v>
      </c>
      <c r="AL403" s="75">
        <v>0</v>
      </c>
      <c r="AM403" s="75">
        <v>0</v>
      </c>
      <c r="AN403" s="75">
        <v>0</v>
      </c>
      <c r="AO403" s="75">
        <v>0</v>
      </c>
      <c r="AP403" s="75">
        <v>0</v>
      </c>
      <c r="AQ403" s="75">
        <v>0</v>
      </c>
      <c r="AR403" s="75">
        <v>2</v>
      </c>
      <c r="AS403" s="75">
        <v>0</v>
      </c>
      <c r="AT403" s="75">
        <v>0</v>
      </c>
      <c r="AU403" s="75">
        <v>0</v>
      </c>
      <c r="AV403" s="75">
        <v>0</v>
      </c>
      <c r="AW403" s="75">
        <v>0</v>
      </c>
      <c r="AX403" s="75">
        <v>0</v>
      </c>
      <c r="AY403" s="75">
        <v>0</v>
      </c>
      <c r="AZ403" s="75">
        <v>0</v>
      </c>
      <c r="BA403" s="75">
        <v>0</v>
      </c>
      <c r="BB403" s="75">
        <v>0</v>
      </c>
      <c r="BC403" s="75">
        <v>0</v>
      </c>
      <c r="BD403" s="75">
        <v>0</v>
      </c>
      <c r="BE403" s="75">
        <v>0</v>
      </c>
      <c r="BF403" s="75">
        <v>0</v>
      </c>
      <c r="BG403" s="75">
        <v>0</v>
      </c>
      <c r="BH403" s="75">
        <v>0</v>
      </c>
      <c r="BI403" s="75" t="s">
        <v>254</v>
      </c>
      <c r="BJ403" s="75" t="s">
        <v>254</v>
      </c>
      <c r="BK403" s="75" t="s">
        <v>254</v>
      </c>
      <c r="BL403" s="75">
        <v>0</v>
      </c>
      <c r="BM403" s="75">
        <f t="shared" si="82"/>
        <v>0</v>
      </c>
      <c r="BN403" s="75">
        <f t="shared" si="83"/>
        <v>0</v>
      </c>
      <c r="BO403" s="75">
        <f t="shared" si="84"/>
        <v>2</v>
      </c>
      <c r="BP403" s="75">
        <f t="shared" si="85"/>
        <v>2</v>
      </c>
      <c r="BQ403" s="241" t="s">
        <v>363</v>
      </c>
      <c r="BR403" s="252" t="s">
        <v>685</v>
      </c>
      <c r="BS403" s="110" t="s">
        <v>539</v>
      </c>
      <c r="BT403" s="110">
        <v>0</v>
      </c>
      <c r="BU403" s="75">
        <v>0</v>
      </c>
      <c r="BV403" t="s">
        <v>627</v>
      </c>
    </row>
    <row r="404" spans="1:74" x14ac:dyDescent="0.75">
      <c r="C404">
        <v>1420</v>
      </c>
      <c r="D404" s="75" t="s">
        <v>357</v>
      </c>
      <c r="E404" s="75" t="s">
        <v>358</v>
      </c>
      <c r="F404" s="75" t="s">
        <v>359</v>
      </c>
      <c r="G404" s="75" t="s">
        <v>116</v>
      </c>
      <c r="H404">
        <v>18.3506</v>
      </c>
      <c r="I404">
        <v>-64.699183000000005</v>
      </c>
      <c r="J404" s="3">
        <v>45134</v>
      </c>
      <c r="K404" s="75" t="s">
        <v>628</v>
      </c>
      <c r="L404" s="75" t="s">
        <v>374</v>
      </c>
      <c r="M404" s="75">
        <v>0</v>
      </c>
      <c r="N404" s="75">
        <v>2</v>
      </c>
      <c r="O404" s="75" t="s">
        <v>362</v>
      </c>
      <c r="P404" s="88">
        <f>SUM(TreatmentUsed!E5165:E5188)</f>
        <v>245</v>
      </c>
      <c r="Q404" s="75">
        <v>0</v>
      </c>
      <c r="R404" s="75">
        <v>0</v>
      </c>
      <c r="S404" s="75">
        <v>0</v>
      </c>
      <c r="T404" s="75">
        <v>0</v>
      </c>
      <c r="U404" s="75">
        <v>0</v>
      </c>
      <c r="V404" s="75">
        <v>0</v>
      </c>
      <c r="W404" s="75">
        <v>0</v>
      </c>
      <c r="X404" s="75">
        <v>0</v>
      </c>
      <c r="Y404" s="75">
        <v>0</v>
      </c>
      <c r="Z404" s="75">
        <v>0</v>
      </c>
      <c r="AA404" s="75">
        <v>0</v>
      </c>
      <c r="AB404" s="75">
        <v>0</v>
      </c>
      <c r="AC404" s="75">
        <v>0</v>
      </c>
      <c r="AD404" s="75">
        <v>0</v>
      </c>
      <c r="AE404" s="75">
        <v>0</v>
      </c>
      <c r="AF404" s="75">
        <v>0</v>
      </c>
      <c r="AG404" s="75">
        <v>0</v>
      </c>
      <c r="AH404" s="75">
        <v>0</v>
      </c>
      <c r="AI404" s="75">
        <v>0</v>
      </c>
      <c r="AJ404" s="75">
        <v>0</v>
      </c>
      <c r="AK404" s="75">
        <v>0</v>
      </c>
      <c r="AL404" s="75">
        <v>0</v>
      </c>
      <c r="AM404" s="75">
        <v>0</v>
      </c>
      <c r="AN404" s="75">
        <v>0</v>
      </c>
      <c r="AO404" s="75">
        <v>0</v>
      </c>
      <c r="AP404" s="75">
        <v>0</v>
      </c>
      <c r="AQ404" s="75">
        <v>0</v>
      </c>
      <c r="AR404" s="75">
        <v>6</v>
      </c>
      <c r="AS404" s="75">
        <v>0</v>
      </c>
      <c r="AT404" s="75">
        <v>0</v>
      </c>
      <c r="AU404" s="75">
        <v>2</v>
      </c>
      <c r="AV404" s="75">
        <v>0</v>
      </c>
      <c r="AW404" s="75">
        <v>0</v>
      </c>
      <c r="AX404" s="75">
        <v>0</v>
      </c>
      <c r="AY404" s="75">
        <v>1</v>
      </c>
      <c r="AZ404" s="75">
        <v>6</v>
      </c>
      <c r="BA404" s="84">
        <v>6</v>
      </c>
      <c r="BB404" s="75">
        <v>0</v>
      </c>
      <c r="BC404" s="75">
        <v>3</v>
      </c>
      <c r="BD404" s="75">
        <v>0</v>
      </c>
      <c r="BE404" s="75">
        <v>0</v>
      </c>
      <c r="BF404" s="75">
        <v>0</v>
      </c>
      <c r="BG404" s="75">
        <v>0</v>
      </c>
      <c r="BH404" s="75">
        <v>0</v>
      </c>
      <c r="BI404" s="75" t="s">
        <v>254</v>
      </c>
      <c r="BJ404" s="75" t="s">
        <v>254</v>
      </c>
      <c r="BK404" s="75" t="s">
        <v>254</v>
      </c>
      <c r="BL404" s="75">
        <v>0</v>
      </c>
      <c r="BM404" s="75">
        <f t="shared" si="82"/>
        <v>0</v>
      </c>
      <c r="BN404" s="75">
        <f t="shared" si="83"/>
        <v>0</v>
      </c>
      <c r="BO404" s="75">
        <f t="shared" si="84"/>
        <v>24</v>
      </c>
      <c r="BP404" s="75">
        <f t="shared" si="85"/>
        <v>24</v>
      </c>
      <c r="BQ404" s="80" t="s">
        <v>686</v>
      </c>
      <c r="BR404" s="263" t="s">
        <v>687</v>
      </c>
      <c r="BS404" s="110" t="s">
        <v>539</v>
      </c>
      <c r="BT404" s="110">
        <v>0</v>
      </c>
      <c r="BU404" s="75">
        <v>0</v>
      </c>
      <c r="BV404" s="195" t="s">
        <v>628</v>
      </c>
    </row>
    <row r="405" spans="1:74" x14ac:dyDescent="0.75">
      <c r="C405">
        <v>1421</v>
      </c>
      <c r="D405" s="75" t="s">
        <v>357</v>
      </c>
      <c r="E405" s="75" t="s">
        <v>358</v>
      </c>
      <c r="F405" s="75" t="s">
        <v>359</v>
      </c>
      <c r="G405" s="75" t="s">
        <v>116</v>
      </c>
      <c r="H405">
        <v>18.3506</v>
      </c>
      <c r="I405">
        <v>-64.699183000000005</v>
      </c>
      <c r="J405" s="3">
        <v>45134</v>
      </c>
      <c r="K405" s="75" t="s">
        <v>628</v>
      </c>
      <c r="L405" s="75" t="s">
        <v>374</v>
      </c>
      <c r="M405" s="75">
        <v>0</v>
      </c>
      <c r="N405" s="75">
        <v>2</v>
      </c>
      <c r="O405" s="75" t="s">
        <v>362</v>
      </c>
      <c r="P405" s="88">
        <f>SUM(TreatmentUsed!E5189:E5202)</f>
        <v>292</v>
      </c>
      <c r="Q405" s="75">
        <v>356</v>
      </c>
      <c r="R405" s="75">
        <v>0</v>
      </c>
      <c r="S405" s="75">
        <v>0</v>
      </c>
      <c r="T405" s="75">
        <v>0</v>
      </c>
      <c r="U405" s="75">
        <v>0</v>
      </c>
      <c r="V405" s="75">
        <v>0</v>
      </c>
      <c r="W405" s="75">
        <v>0</v>
      </c>
      <c r="X405" s="75">
        <v>0</v>
      </c>
      <c r="Y405" s="75">
        <v>0</v>
      </c>
      <c r="Z405" s="75">
        <v>0</v>
      </c>
      <c r="AA405" s="75">
        <v>0</v>
      </c>
      <c r="AB405" s="75">
        <v>0</v>
      </c>
      <c r="AC405" s="75">
        <v>0</v>
      </c>
      <c r="AD405" s="75">
        <v>0</v>
      </c>
      <c r="AE405" s="75">
        <v>0</v>
      </c>
      <c r="AF405" s="75">
        <v>0</v>
      </c>
      <c r="AG405" s="75">
        <v>0</v>
      </c>
      <c r="AH405" s="75">
        <v>0</v>
      </c>
      <c r="AI405" s="75">
        <v>0</v>
      </c>
      <c r="AJ405" s="75">
        <v>0</v>
      </c>
      <c r="AK405" s="75">
        <v>0</v>
      </c>
      <c r="AL405" s="75">
        <v>0</v>
      </c>
      <c r="AM405" s="75">
        <v>0</v>
      </c>
      <c r="AN405" s="75">
        <v>0</v>
      </c>
      <c r="AO405" s="75">
        <v>0</v>
      </c>
      <c r="AP405" s="75">
        <v>0</v>
      </c>
      <c r="AQ405" s="75">
        <v>0</v>
      </c>
      <c r="AR405" s="75">
        <v>6</v>
      </c>
      <c r="AS405" s="75">
        <v>0</v>
      </c>
      <c r="AT405" s="75">
        <v>0</v>
      </c>
      <c r="AU405" s="75">
        <v>3</v>
      </c>
      <c r="AV405" s="75">
        <v>0</v>
      </c>
      <c r="AW405" s="75">
        <v>0</v>
      </c>
      <c r="AX405" s="75">
        <v>0</v>
      </c>
      <c r="AY405" s="75">
        <v>0</v>
      </c>
      <c r="AZ405" s="75">
        <v>0</v>
      </c>
      <c r="BA405" s="75">
        <v>0</v>
      </c>
      <c r="BB405" s="75">
        <v>0</v>
      </c>
      <c r="BC405" s="75">
        <v>5</v>
      </c>
      <c r="BD405" s="75">
        <v>0</v>
      </c>
      <c r="BE405" s="75">
        <v>0</v>
      </c>
      <c r="BF405" s="75">
        <v>0</v>
      </c>
      <c r="BG405" s="75">
        <v>0</v>
      </c>
      <c r="BH405" s="75">
        <v>0</v>
      </c>
      <c r="BI405" s="75" t="s">
        <v>254</v>
      </c>
      <c r="BJ405" s="75" t="s">
        <v>254</v>
      </c>
      <c r="BK405" s="75" t="s">
        <v>254</v>
      </c>
      <c r="BL405" s="75">
        <v>1</v>
      </c>
      <c r="BM405" s="75">
        <f t="shared" si="82"/>
        <v>0</v>
      </c>
      <c r="BN405" s="75">
        <f t="shared" si="83"/>
        <v>0</v>
      </c>
      <c r="BO405" s="75">
        <f t="shared" si="84"/>
        <v>14</v>
      </c>
      <c r="BP405" s="75">
        <f t="shared" si="85"/>
        <v>14</v>
      </c>
      <c r="BQ405" s="80" t="s">
        <v>688</v>
      </c>
      <c r="BR405" s="254" t="s">
        <v>689</v>
      </c>
      <c r="BS405" s="110" t="s">
        <v>539</v>
      </c>
      <c r="BT405" s="110">
        <v>0</v>
      </c>
      <c r="BU405" s="75">
        <v>0</v>
      </c>
      <c r="BV405" s="75" t="s">
        <v>628</v>
      </c>
    </row>
    <row r="406" spans="1:74" s="205" customFormat="1" x14ac:dyDescent="0.75">
      <c r="A406" s="232"/>
      <c r="B406" s="235"/>
      <c r="C406" s="205">
        <v>1433</v>
      </c>
      <c r="D406" s="225" t="s">
        <v>357</v>
      </c>
      <c r="E406" s="225" t="s">
        <v>358</v>
      </c>
      <c r="F406" s="225" t="s">
        <v>359</v>
      </c>
      <c r="G406" s="225" t="s">
        <v>74</v>
      </c>
      <c r="H406" s="225">
        <v>18.342904000000001</v>
      </c>
      <c r="I406" s="225">
        <v>-64.676987999999994</v>
      </c>
      <c r="J406" s="201">
        <v>45139</v>
      </c>
      <c r="K406" s="225" t="s">
        <v>628</v>
      </c>
      <c r="L406" s="225" t="s">
        <v>374</v>
      </c>
      <c r="M406" s="225">
        <v>0</v>
      </c>
      <c r="N406" s="225">
        <v>2</v>
      </c>
      <c r="O406" s="225" t="s">
        <v>362</v>
      </c>
      <c r="P406" s="236">
        <f>SUM(TreatmentUsed!E5203:E5205)</f>
        <v>101</v>
      </c>
      <c r="Q406" s="225">
        <v>0</v>
      </c>
      <c r="R406" s="225">
        <v>0</v>
      </c>
      <c r="S406" s="225">
        <v>0</v>
      </c>
      <c r="T406" s="225">
        <v>0</v>
      </c>
      <c r="U406" s="225">
        <v>0</v>
      </c>
      <c r="V406" s="225">
        <v>0</v>
      </c>
      <c r="W406" s="225">
        <v>0</v>
      </c>
      <c r="X406" s="225">
        <v>0</v>
      </c>
      <c r="Y406" s="225">
        <v>0</v>
      </c>
      <c r="Z406" s="225">
        <v>0</v>
      </c>
      <c r="AA406" s="225">
        <v>0</v>
      </c>
      <c r="AB406" s="225">
        <v>0</v>
      </c>
      <c r="AC406" s="225">
        <v>0</v>
      </c>
      <c r="AD406" s="225">
        <v>0</v>
      </c>
      <c r="AE406" s="225">
        <v>0</v>
      </c>
      <c r="AF406" s="225">
        <v>0</v>
      </c>
      <c r="AG406" s="225">
        <v>0</v>
      </c>
      <c r="AH406" s="225">
        <v>0</v>
      </c>
      <c r="AI406" s="225">
        <v>0</v>
      </c>
      <c r="AJ406" s="225">
        <v>0</v>
      </c>
      <c r="AK406" s="225">
        <v>0</v>
      </c>
      <c r="AL406" s="225">
        <v>0</v>
      </c>
      <c r="AM406" s="225">
        <v>0</v>
      </c>
      <c r="AN406" s="225">
        <v>0</v>
      </c>
      <c r="AO406" s="225">
        <v>0</v>
      </c>
      <c r="AP406" s="225">
        <v>0</v>
      </c>
      <c r="AQ406" s="225">
        <v>2</v>
      </c>
      <c r="AR406" s="225">
        <v>0</v>
      </c>
      <c r="AS406" s="225">
        <v>0</v>
      </c>
      <c r="AT406" s="225">
        <v>0</v>
      </c>
      <c r="AU406" s="225">
        <v>0</v>
      </c>
      <c r="AV406" s="225">
        <v>0</v>
      </c>
      <c r="AW406" s="225">
        <v>0</v>
      </c>
      <c r="AX406" s="225">
        <v>0</v>
      </c>
      <c r="AY406" s="225">
        <v>0</v>
      </c>
      <c r="AZ406" s="225">
        <v>0</v>
      </c>
      <c r="BA406" s="225">
        <v>0</v>
      </c>
      <c r="BB406" s="225">
        <v>0</v>
      </c>
      <c r="BC406" s="225">
        <v>0</v>
      </c>
      <c r="BD406" s="225">
        <v>0</v>
      </c>
      <c r="BE406" s="225">
        <v>0</v>
      </c>
      <c r="BF406" s="225">
        <v>1</v>
      </c>
      <c r="BG406" s="225">
        <v>0</v>
      </c>
      <c r="BH406" s="225">
        <v>0</v>
      </c>
      <c r="BI406" s="225" t="s">
        <v>254</v>
      </c>
      <c r="BJ406" s="225" t="s">
        <v>254</v>
      </c>
      <c r="BK406" s="225" t="s">
        <v>254</v>
      </c>
      <c r="BL406" s="225">
        <v>0</v>
      </c>
      <c r="BM406" s="225">
        <f t="shared" si="82"/>
        <v>0</v>
      </c>
      <c r="BN406" s="225">
        <f t="shared" si="83"/>
        <v>0</v>
      </c>
      <c r="BO406" s="225">
        <f t="shared" si="84"/>
        <v>3</v>
      </c>
      <c r="BP406" s="225">
        <f t="shared" si="85"/>
        <v>3</v>
      </c>
      <c r="BQ406" s="308" t="s">
        <v>363</v>
      </c>
      <c r="BR406" s="308" t="s">
        <v>363</v>
      </c>
      <c r="BS406" s="230" t="s">
        <v>539</v>
      </c>
      <c r="BT406" s="230">
        <v>0</v>
      </c>
      <c r="BU406" s="225">
        <v>0</v>
      </c>
      <c r="BV406" s="225" t="s">
        <v>628</v>
      </c>
    </row>
    <row r="407" spans="1:74" x14ac:dyDescent="0.75">
      <c r="C407">
        <v>1434</v>
      </c>
      <c r="D407" s="75" t="s">
        <v>357</v>
      </c>
      <c r="E407" s="75" t="s">
        <v>358</v>
      </c>
      <c r="F407" s="75" t="s">
        <v>359</v>
      </c>
      <c r="G407" s="75" t="s">
        <v>87</v>
      </c>
      <c r="H407">
        <v>18.344638000854399</v>
      </c>
      <c r="I407">
        <v>-64.6839062927274</v>
      </c>
      <c r="J407" s="3">
        <v>45139</v>
      </c>
      <c r="K407" s="75" t="s">
        <v>628</v>
      </c>
      <c r="L407" s="75" t="s">
        <v>374</v>
      </c>
      <c r="M407" s="75">
        <v>0</v>
      </c>
      <c r="N407" s="75">
        <v>2</v>
      </c>
      <c r="O407" s="75" t="s">
        <v>362</v>
      </c>
      <c r="P407" s="88">
        <f>SUM(TreatmentUsed!E5206:E5214)</f>
        <v>120</v>
      </c>
      <c r="Q407" s="75">
        <v>0</v>
      </c>
      <c r="R407" s="75">
        <v>0</v>
      </c>
      <c r="S407" s="75">
        <v>0</v>
      </c>
      <c r="T407" s="75">
        <v>0</v>
      </c>
      <c r="U407" s="75">
        <v>0</v>
      </c>
      <c r="V407" s="75">
        <v>0</v>
      </c>
      <c r="W407" s="75">
        <v>0</v>
      </c>
      <c r="X407" s="75">
        <v>0</v>
      </c>
      <c r="Y407" s="75">
        <v>0</v>
      </c>
      <c r="Z407" s="75">
        <v>0</v>
      </c>
      <c r="AA407" s="75">
        <v>0</v>
      </c>
      <c r="AB407" s="75">
        <v>0</v>
      </c>
      <c r="AC407" s="75">
        <v>0</v>
      </c>
      <c r="AD407" s="75">
        <v>0</v>
      </c>
      <c r="AE407" s="75">
        <v>0</v>
      </c>
      <c r="AF407" s="75">
        <v>1</v>
      </c>
      <c r="AG407" s="75">
        <v>0</v>
      </c>
      <c r="AH407" s="75">
        <v>0</v>
      </c>
      <c r="AI407" s="75">
        <v>0</v>
      </c>
      <c r="AJ407" s="75">
        <v>0</v>
      </c>
      <c r="AK407" s="75">
        <v>0</v>
      </c>
      <c r="AL407" s="75">
        <v>0</v>
      </c>
      <c r="AM407" s="75">
        <v>0</v>
      </c>
      <c r="AN407" s="75">
        <v>0</v>
      </c>
      <c r="AO407" s="75">
        <v>0</v>
      </c>
      <c r="AP407" s="75">
        <v>0</v>
      </c>
      <c r="AQ407" s="75">
        <v>0</v>
      </c>
      <c r="AR407" s="75">
        <v>1</v>
      </c>
      <c r="AS407" s="75">
        <v>0</v>
      </c>
      <c r="AT407" s="75">
        <v>0</v>
      </c>
      <c r="AU407" s="75">
        <v>0</v>
      </c>
      <c r="AV407" s="75">
        <v>0</v>
      </c>
      <c r="AW407" s="75">
        <v>0</v>
      </c>
      <c r="AX407" s="75">
        <v>0</v>
      </c>
      <c r="AY407" s="75">
        <v>0</v>
      </c>
      <c r="AZ407" s="75">
        <v>2</v>
      </c>
      <c r="BA407" s="84">
        <v>4</v>
      </c>
      <c r="BB407" s="75">
        <v>0</v>
      </c>
      <c r="BC407" s="75">
        <v>2</v>
      </c>
      <c r="BD407" s="75">
        <v>0</v>
      </c>
      <c r="BE407" s="75">
        <v>0</v>
      </c>
      <c r="BF407" s="75">
        <v>0</v>
      </c>
      <c r="BG407" s="75">
        <v>0</v>
      </c>
      <c r="BH407" s="75">
        <v>1</v>
      </c>
      <c r="BI407" s="75" t="s">
        <v>254</v>
      </c>
      <c r="BJ407" s="75" t="s">
        <v>254</v>
      </c>
      <c r="BK407" s="75" t="s">
        <v>254</v>
      </c>
      <c r="BL407" s="75">
        <v>0</v>
      </c>
      <c r="BM407" s="75">
        <f t="shared" si="82"/>
        <v>0</v>
      </c>
      <c r="BN407" s="75">
        <f t="shared" si="83"/>
        <v>1</v>
      </c>
      <c r="BO407" s="75">
        <f t="shared" si="84"/>
        <v>10</v>
      </c>
      <c r="BP407" s="75">
        <f t="shared" si="85"/>
        <v>11</v>
      </c>
      <c r="BQ407" s="80" t="s">
        <v>690</v>
      </c>
      <c r="BR407" s="138">
        <v>187</v>
      </c>
      <c r="BS407" s="110" t="s">
        <v>539</v>
      </c>
      <c r="BT407" s="110">
        <v>0</v>
      </c>
      <c r="BU407" s="75">
        <v>0</v>
      </c>
      <c r="BV407" s="75" t="s">
        <v>628</v>
      </c>
    </row>
    <row r="408" spans="1:74" x14ac:dyDescent="0.75">
      <c r="C408">
        <v>1435</v>
      </c>
      <c r="D408" s="75" t="s">
        <v>357</v>
      </c>
      <c r="E408" s="75" t="s">
        <v>358</v>
      </c>
      <c r="F408" s="75" t="s">
        <v>359</v>
      </c>
      <c r="G408" s="75" t="s">
        <v>87</v>
      </c>
      <c r="H408">
        <v>18.344638000854399</v>
      </c>
      <c r="I408">
        <v>-64.6839062927274</v>
      </c>
      <c r="J408" s="3">
        <v>45139</v>
      </c>
      <c r="K408" s="75" t="s">
        <v>628</v>
      </c>
      <c r="L408" s="75" t="s">
        <v>374</v>
      </c>
      <c r="M408" s="75">
        <v>0</v>
      </c>
      <c r="N408" s="75">
        <v>2</v>
      </c>
      <c r="O408" s="75" t="s">
        <v>362</v>
      </c>
      <c r="P408" s="88">
        <f>SUM(TreatmentUsed!E5215:E5217)</f>
        <v>30</v>
      </c>
      <c r="Q408" s="75">
        <v>0</v>
      </c>
      <c r="R408" s="75">
        <v>0</v>
      </c>
      <c r="S408" s="75">
        <v>0</v>
      </c>
      <c r="T408" s="75">
        <v>0</v>
      </c>
      <c r="U408" s="75">
        <v>0</v>
      </c>
      <c r="V408" s="75">
        <v>0</v>
      </c>
      <c r="W408" s="75">
        <v>0</v>
      </c>
      <c r="X408" s="75">
        <v>0</v>
      </c>
      <c r="Y408" s="75">
        <v>0</v>
      </c>
      <c r="Z408" s="75">
        <v>0</v>
      </c>
      <c r="AA408" s="75">
        <v>0</v>
      </c>
      <c r="AB408" s="75">
        <v>0</v>
      </c>
      <c r="AC408" s="75">
        <v>0</v>
      </c>
      <c r="AD408" s="75">
        <v>0</v>
      </c>
      <c r="AE408" s="75">
        <v>0</v>
      </c>
      <c r="AF408" s="75">
        <v>0</v>
      </c>
      <c r="AG408" s="75">
        <v>0</v>
      </c>
      <c r="AH408" s="75">
        <v>0</v>
      </c>
      <c r="AI408" s="75">
        <v>0</v>
      </c>
      <c r="AJ408" s="75">
        <v>0</v>
      </c>
      <c r="AK408" s="75">
        <v>0</v>
      </c>
      <c r="AL408" s="75">
        <v>0</v>
      </c>
      <c r="AM408" s="75">
        <v>0</v>
      </c>
      <c r="AN408" s="75">
        <v>0</v>
      </c>
      <c r="AO408" s="75">
        <v>0</v>
      </c>
      <c r="AP408" s="75">
        <v>0</v>
      </c>
      <c r="AQ408" s="75">
        <v>0</v>
      </c>
      <c r="AR408" s="75">
        <v>0</v>
      </c>
      <c r="AS408" s="75">
        <v>0</v>
      </c>
      <c r="AT408" s="75">
        <v>0</v>
      </c>
      <c r="AU408" s="75">
        <v>0</v>
      </c>
      <c r="AV408" s="75">
        <v>0</v>
      </c>
      <c r="AW408" s="75">
        <v>0</v>
      </c>
      <c r="AX408" s="75">
        <v>0</v>
      </c>
      <c r="AY408" s="75">
        <v>0</v>
      </c>
      <c r="AZ408" s="75">
        <v>0</v>
      </c>
      <c r="BA408" s="75">
        <v>1</v>
      </c>
      <c r="BB408" s="75">
        <v>0</v>
      </c>
      <c r="BC408" s="75">
        <v>0</v>
      </c>
      <c r="BD408" s="75">
        <v>0</v>
      </c>
      <c r="BE408" s="75">
        <v>0</v>
      </c>
      <c r="BF408" s="75">
        <v>2</v>
      </c>
      <c r="BG408" s="75">
        <v>0</v>
      </c>
      <c r="BH408" s="75">
        <v>0</v>
      </c>
      <c r="BI408" s="75" t="s">
        <v>254</v>
      </c>
      <c r="BJ408" s="75" t="s">
        <v>254</v>
      </c>
      <c r="BK408" s="75" t="s">
        <v>254</v>
      </c>
      <c r="BL408" s="75">
        <v>0</v>
      </c>
      <c r="BM408" s="75">
        <f t="shared" si="82"/>
        <v>0</v>
      </c>
      <c r="BN408" s="75">
        <f t="shared" si="83"/>
        <v>0</v>
      </c>
      <c r="BO408" s="75">
        <f t="shared" si="84"/>
        <v>3</v>
      </c>
      <c r="BP408" s="75">
        <f t="shared" si="85"/>
        <v>3</v>
      </c>
      <c r="BQ408" s="293" t="s">
        <v>363</v>
      </c>
      <c r="BR408" s="263" t="s">
        <v>691</v>
      </c>
      <c r="BS408" s="110" t="s">
        <v>539</v>
      </c>
      <c r="BT408" s="110">
        <v>0</v>
      </c>
      <c r="BU408" s="75">
        <v>0</v>
      </c>
      <c r="BV408" s="75" t="s">
        <v>628</v>
      </c>
    </row>
    <row r="409" spans="1:74" x14ac:dyDescent="0.75">
      <c r="C409">
        <v>1436</v>
      </c>
      <c r="D409" s="75" t="s">
        <v>357</v>
      </c>
      <c r="E409" s="75" t="s">
        <v>358</v>
      </c>
      <c r="F409" s="75" t="s">
        <v>359</v>
      </c>
      <c r="G409" s="75" t="s">
        <v>120</v>
      </c>
      <c r="H409" s="84"/>
      <c r="I409" s="84"/>
      <c r="J409" s="121">
        <v>45140</v>
      </c>
      <c r="K409" s="75" t="s">
        <v>628</v>
      </c>
      <c r="L409" s="75" t="s">
        <v>374</v>
      </c>
      <c r="M409" s="75">
        <v>0</v>
      </c>
      <c r="N409" s="75">
        <v>3</v>
      </c>
      <c r="O409" s="75" t="s">
        <v>362</v>
      </c>
      <c r="P409" s="75">
        <v>0</v>
      </c>
      <c r="Q409" s="75">
        <v>157</v>
      </c>
      <c r="R409" s="75">
        <v>0</v>
      </c>
      <c r="S409" s="75">
        <v>0</v>
      </c>
      <c r="T409" s="75">
        <v>0</v>
      </c>
      <c r="U409" s="75">
        <v>0</v>
      </c>
      <c r="V409" s="75">
        <v>0</v>
      </c>
      <c r="W409" s="75">
        <v>0</v>
      </c>
      <c r="X409" s="75">
        <v>0</v>
      </c>
      <c r="Y409" s="75">
        <v>0</v>
      </c>
      <c r="Z409" s="75">
        <v>0</v>
      </c>
      <c r="AA409" s="75">
        <v>0</v>
      </c>
      <c r="AB409" s="75">
        <v>0</v>
      </c>
      <c r="AC409" s="75">
        <v>0</v>
      </c>
      <c r="AD409" s="75">
        <v>0</v>
      </c>
      <c r="AE409" s="75">
        <v>0</v>
      </c>
      <c r="AF409" s="75">
        <v>0</v>
      </c>
      <c r="AG409" s="75">
        <v>0</v>
      </c>
      <c r="AH409" s="75">
        <v>0</v>
      </c>
      <c r="AI409" s="75">
        <v>0</v>
      </c>
      <c r="AJ409" s="75">
        <v>0</v>
      </c>
      <c r="AK409" s="75">
        <v>0</v>
      </c>
      <c r="AL409" s="75">
        <v>0</v>
      </c>
      <c r="AM409" s="75">
        <v>0</v>
      </c>
      <c r="AN409" s="75">
        <v>0</v>
      </c>
      <c r="AO409" s="75">
        <v>0</v>
      </c>
      <c r="AP409" s="75">
        <v>0</v>
      </c>
      <c r="AQ409" s="75">
        <v>0</v>
      </c>
      <c r="AR409" s="75">
        <v>0</v>
      </c>
      <c r="AS409" s="75">
        <v>0</v>
      </c>
      <c r="AT409" s="75">
        <v>0</v>
      </c>
      <c r="AU409" s="75">
        <v>0</v>
      </c>
      <c r="AV409" s="75">
        <v>0</v>
      </c>
      <c r="AW409" s="75">
        <v>0</v>
      </c>
      <c r="AX409" s="75">
        <v>0</v>
      </c>
      <c r="AY409" s="75">
        <v>0</v>
      </c>
      <c r="AZ409" s="75">
        <v>0</v>
      </c>
      <c r="BA409" s="75">
        <v>0</v>
      </c>
      <c r="BB409" s="75">
        <v>0</v>
      </c>
      <c r="BC409" s="75">
        <v>0</v>
      </c>
      <c r="BD409" s="75">
        <v>0</v>
      </c>
      <c r="BE409" s="75">
        <v>0</v>
      </c>
      <c r="BF409" s="75">
        <v>0</v>
      </c>
      <c r="BG409" s="75">
        <v>0</v>
      </c>
      <c r="BH409" s="75">
        <v>0</v>
      </c>
      <c r="BI409" s="75" t="s">
        <v>254</v>
      </c>
      <c r="BJ409" s="75" t="s">
        <v>254</v>
      </c>
      <c r="BK409" s="75" t="s">
        <v>254</v>
      </c>
      <c r="BL409" s="75">
        <v>0</v>
      </c>
      <c r="BM409" s="75">
        <f t="shared" si="82"/>
        <v>0</v>
      </c>
      <c r="BN409" s="75">
        <f t="shared" si="83"/>
        <v>0</v>
      </c>
      <c r="BO409" s="75">
        <f t="shared" si="84"/>
        <v>0</v>
      </c>
      <c r="BP409" s="75">
        <f t="shared" si="85"/>
        <v>0</v>
      </c>
      <c r="BQ409" s="80" t="s">
        <v>692</v>
      </c>
      <c r="BR409" s="293" t="s">
        <v>363</v>
      </c>
      <c r="BS409" s="110" t="s">
        <v>390</v>
      </c>
      <c r="BT409" s="110">
        <v>2</v>
      </c>
      <c r="BU409" s="75">
        <v>0</v>
      </c>
      <c r="BV409" s="75" t="s">
        <v>628</v>
      </c>
    </row>
    <row r="410" spans="1:74" x14ac:dyDescent="0.75">
      <c r="C410">
        <v>1437</v>
      </c>
      <c r="D410" s="75" t="s">
        <v>357</v>
      </c>
      <c r="E410" s="75" t="s">
        <v>358</v>
      </c>
      <c r="F410" s="75" t="s">
        <v>359</v>
      </c>
      <c r="G410" s="75" t="s">
        <v>91</v>
      </c>
      <c r="H410" s="75">
        <v>18.302265542188699</v>
      </c>
      <c r="I410" s="75">
        <v>-64.709759103599794</v>
      </c>
      <c r="J410" s="81">
        <v>45160</v>
      </c>
      <c r="K410" s="75" t="s">
        <v>628</v>
      </c>
      <c r="L410" s="75" t="s">
        <v>374</v>
      </c>
      <c r="M410" s="75">
        <v>0</v>
      </c>
      <c r="N410" s="75">
        <v>2</v>
      </c>
      <c r="O410" s="75" t="s">
        <v>362</v>
      </c>
      <c r="P410" s="88">
        <f>SUM(TreatmentUsed!E5218:E5219)</f>
        <v>59</v>
      </c>
      <c r="Q410" s="75">
        <v>0</v>
      </c>
      <c r="R410" s="75">
        <v>0</v>
      </c>
      <c r="S410" s="75">
        <v>0</v>
      </c>
      <c r="T410" s="75">
        <v>0</v>
      </c>
      <c r="U410" s="75">
        <v>0</v>
      </c>
      <c r="V410" s="75">
        <v>0</v>
      </c>
      <c r="W410" s="75">
        <v>0</v>
      </c>
      <c r="X410" s="75">
        <v>0</v>
      </c>
      <c r="Y410" s="75">
        <v>0</v>
      </c>
      <c r="Z410" s="75">
        <v>0</v>
      </c>
      <c r="AA410" s="75">
        <v>0</v>
      </c>
      <c r="AB410" s="75">
        <v>0</v>
      </c>
      <c r="AC410" s="75">
        <v>0</v>
      </c>
      <c r="AD410" s="75">
        <v>0</v>
      </c>
      <c r="AE410" s="75">
        <v>0</v>
      </c>
      <c r="AF410" s="75">
        <v>0</v>
      </c>
      <c r="AG410" s="75">
        <v>0</v>
      </c>
      <c r="AH410" s="75">
        <v>0</v>
      </c>
      <c r="AI410" s="75">
        <v>0</v>
      </c>
      <c r="AJ410" s="75">
        <v>0</v>
      </c>
      <c r="AK410" s="75">
        <v>0</v>
      </c>
      <c r="AL410" s="75">
        <v>0</v>
      </c>
      <c r="AM410" s="75">
        <v>0</v>
      </c>
      <c r="AN410" s="75">
        <v>0</v>
      </c>
      <c r="AO410" s="75">
        <v>0</v>
      </c>
      <c r="AP410" s="75">
        <v>0</v>
      </c>
      <c r="AQ410" s="75">
        <v>0</v>
      </c>
      <c r="AR410" s="75">
        <v>0</v>
      </c>
      <c r="AS410" s="75">
        <v>0</v>
      </c>
      <c r="AT410" s="75">
        <v>0</v>
      </c>
      <c r="AU410" s="75">
        <v>0</v>
      </c>
      <c r="AV410" s="75">
        <v>0</v>
      </c>
      <c r="AW410" s="75">
        <v>0</v>
      </c>
      <c r="AX410" s="75">
        <v>0</v>
      </c>
      <c r="AY410" s="75">
        <v>0</v>
      </c>
      <c r="AZ410" s="75">
        <v>0</v>
      </c>
      <c r="BA410" s="84">
        <v>2</v>
      </c>
      <c r="BB410" s="75">
        <v>0</v>
      </c>
      <c r="BC410" s="75">
        <v>0</v>
      </c>
      <c r="BD410" s="75">
        <v>0</v>
      </c>
      <c r="BE410" s="75">
        <v>0</v>
      </c>
      <c r="BF410" s="75">
        <v>0</v>
      </c>
      <c r="BG410" s="75">
        <v>0</v>
      </c>
      <c r="BH410" s="75">
        <v>0</v>
      </c>
      <c r="BI410" s="75" t="s">
        <v>254</v>
      </c>
      <c r="BJ410" s="75" t="s">
        <v>254</v>
      </c>
      <c r="BK410" s="75" t="s">
        <v>254</v>
      </c>
      <c r="BL410" s="75">
        <v>0</v>
      </c>
      <c r="BM410" s="75">
        <f t="shared" ref="BM410" si="86">SUM(R410:AD410)</f>
        <v>0</v>
      </c>
      <c r="BN410" s="75">
        <f t="shared" ref="BN410" si="87">SUM(AE410:AN410)</f>
        <v>0</v>
      </c>
      <c r="BO410" s="75">
        <f t="shared" si="84"/>
        <v>2</v>
      </c>
      <c r="BP410" s="75">
        <f t="shared" si="85"/>
        <v>2</v>
      </c>
      <c r="BQ410" s="293" t="s">
        <v>363</v>
      </c>
      <c r="BR410" s="85" t="s">
        <v>363</v>
      </c>
      <c r="BS410" s="110" t="s">
        <v>539</v>
      </c>
      <c r="BT410" s="110">
        <v>0</v>
      </c>
      <c r="BU410" s="75">
        <v>0</v>
      </c>
      <c r="BV410" s="75" t="s">
        <v>628</v>
      </c>
    </row>
    <row r="411" spans="1:74" x14ac:dyDescent="0.75">
      <c r="C411">
        <v>1438</v>
      </c>
      <c r="D411" s="75" t="s">
        <v>357</v>
      </c>
      <c r="E411" s="75" t="s">
        <v>358</v>
      </c>
      <c r="F411" s="75" t="s">
        <v>359</v>
      </c>
      <c r="G411" s="75" t="s">
        <v>96</v>
      </c>
      <c r="H411">
        <v>18.309038942679699</v>
      </c>
      <c r="I411">
        <v>-64.723371360450898</v>
      </c>
      <c r="J411" s="81">
        <v>45160</v>
      </c>
      <c r="K411" s="75" t="s">
        <v>628</v>
      </c>
      <c r="L411" s="75" t="s">
        <v>374</v>
      </c>
      <c r="M411" s="75">
        <v>0</v>
      </c>
      <c r="N411" s="75">
        <v>2</v>
      </c>
      <c r="O411" s="75" t="s">
        <v>362</v>
      </c>
      <c r="P411" s="88">
        <f>SUM(TreatmentUsed!E5220:E5225)</f>
        <v>43</v>
      </c>
      <c r="Q411" s="75">
        <v>0</v>
      </c>
      <c r="R411" s="75">
        <v>0</v>
      </c>
      <c r="S411" s="75">
        <v>0</v>
      </c>
      <c r="T411" s="75">
        <v>0</v>
      </c>
      <c r="U411" s="75">
        <v>0</v>
      </c>
      <c r="V411" s="75">
        <v>0</v>
      </c>
      <c r="W411" s="75">
        <v>0</v>
      </c>
      <c r="X411" s="75">
        <v>0</v>
      </c>
      <c r="Y411" s="75">
        <v>0</v>
      </c>
      <c r="Z411" s="75">
        <v>0</v>
      </c>
      <c r="AA411" s="75">
        <v>0</v>
      </c>
      <c r="AB411" s="75">
        <v>0</v>
      </c>
      <c r="AC411" s="75">
        <v>0</v>
      </c>
      <c r="AD411" s="75">
        <v>0</v>
      </c>
      <c r="AE411" s="75">
        <v>0</v>
      </c>
      <c r="AF411" s="75">
        <v>0</v>
      </c>
      <c r="AG411" s="75">
        <v>0</v>
      </c>
      <c r="AH411" s="75">
        <v>0</v>
      </c>
      <c r="AI411" s="75">
        <v>0</v>
      </c>
      <c r="AJ411" s="75">
        <v>0</v>
      </c>
      <c r="AK411" s="75">
        <v>0</v>
      </c>
      <c r="AL411" s="75">
        <v>0</v>
      </c>
      <c r="AM411" s="75">
        <v>0</v>
      </c>
      <c r="AN411" s="75">
        <v>0</v>
      </c>
      <c r="AO411" s="75">
        <v>0</v>
      </c>
      <c r="AP411" s="75">
        <v>0</v>
      </c>
      <c r="AQ411" s="75">
        <v>0</v>
      </c>
      <c r="AR411" s="75">
        <v>1</v>
      </c>
      <c r="AS411" s="75">
        <v>0</v>
      </c>
      <c r="AT411" s="75">
        <v>0</v>
      </c>
      <c r="AU411" s="75">
        <v>0</v>
      </c>
      <c r="AV411" s="75">
        <v>0</v>
      </c>
      <c r="AW411" s="75">
        <v>0</v>
      </c>
      <c r="AX411" s="75">
        <v>0</v>
      </c>
      <c r="AY411" s="75">
        <v>0</v>
      </c>
      <c r="AZ411" s="84">
        <v>5</v>
      </c>
      <c r="BA411" s="84">
        <v>0</v>
      </c>
      <c r="BB411" s="75">
        <v>0</v>
      </c>
      <c r="BC411" s="75">
        <v>0</v>
      </c>
      <c r="BD411" s="75">
        <v>0</v>
      </c>
      <c r="BE411" s="75">
        <v>0</v>
      </c>
      <c r="BF411" s="75">
        <v>0</v>
      </c>
      <c r="BG411" s="75">
        <v>0</v>
      </c>
      <c r="BH411" s="75">
        <v>0</v>
      </c>
      <c r="BI411" s="75" t="s">
        <v>254</v>
      </c>
      <c r="BJ411" s="75" t="s">
        <v>254</v>
      </c>
      <c r="BK411" s="75" t="s">
        <v>254</v>
      </c>
      <c r="BL411" s="75">
        <v>0</v>
      </c>
      <c r="BM411" s="75">
        <f t="shared" si="82"/>
        <v>0</v>
      </c>
      <c r="BN411" s="75">
        <f t="shared" si="83"/>
        <v>0</v>
      </c>
      <c r="BO411" s="75">
        <f t="shared" si="84"/>
        <v>6</v>
      </c>
      <c r="BP411" s="75">
        <f t="shared" si="85"/>
        <v>6</v>
      </c>
      <c r="BQ411" s="293" t="s">
        <v>363</v>
      </c>
      <c r="BR411" s="263" t="s">
        <v>585</v>
      </c>
      <c r="BS411" s="110" t="s">
        <v>539</v>
      </c>
      <c r="BT411" s="110">
        <v>0</v>
      </c>
      <c r="BU411" s="75">
        <v>0</v>
      </c>
      <c r="BV411" s="75" t="s">
        <v>628</v>
      </c>
    </row>
    <row r="412" spans="1:74" x14ac:dyDescent="0.75">
      <c r="C412">
        <v>1439</v>
      </c>
      <c r="D412" s="75" t="s">
        <v>357</v>
      </c>
      <c r="E412" s="75" t="s">
        <v>358</v>
      </c>
      <c r="F412" s="75" t="s">
        <v>359</v>
      </c>
      <c r="G412" s="75" t="s">
        <v>28</v>
      </c>
      <c r="H412">
        <v>18.315639999999998</v>
      </c>
      <c r="I412">
        <v>-64.725899999999996</v>
      </c>
      <c r="J412" s="81">
        <v>45160</v>
      </c>
      <c r="K412" s="75" t="s">
        <v>628</v>
      </c>
      <c r="L412" s="75" t="s">
        <v>374</v>
      </c>
      <c r="M412" s="75">
        <v>0</v>
      </c>
      <c r="N412" s="75">
        <v>2</v>
      </c>
      <c r="O412" s="75" t="s">
        <v>362</v>
      </c>
      <c r="P412" s="75">
        <v>0</v>
      </c>
      <c r="Q412" s="75">
        <v>0</v>
      </c>
      <c r="R412" s="75">
        <v>0</v>
      </c>
      <c r="S412" s="75">
        <v>0</v>
      </c>
      <c r="T412" s="75">
        <v>0</v>
      </c>
      <c r="U412" s="75">
        <v>0</v>
      </c>
      <c r="V412" s="75">
        <v>0</v>
      </c>
      <c r="W412" s="75">
        <v>0</v>
      </c>
      <c r="X412" s="75">
        <v>0</v>
      </c>
      <c r="Y412" s="75">
        <v>0</v>
      </c>
      <c r="Z412" s="75">
        <v>0</v>
      </c>
      <c r="AA412" s="75">
        <v>0</v>
      </c>
      <c r="AB412" s="75">
        <v>0</v>
      </c>
      <c r="AC412" s="75">
        <v>0</v>
      </c>
      <c r="AD412" s="75">
        <v>0</v>
      </c>
      <c r="AE412" s="75">
        <v>0</v>
      </c>
      <c r="AF412" s="75">
        <v>0</v>
      </c>
      <c r="AG412" s="75">
        <v>0</v>
      </c>
      <c r="AH412" s="75">
        <v>0</v>
      </c>
      <c r="AI412" s="75">
        <v>0</v>
      </c>
      <c r="AJ412" s="75">
        <v>0</v>
      </c>
      <c r="AK412" s="75">
        <v>0</v>
      </c>
      <c r="AL412" s="75">
        <v>0</v>
      </c>
      <c r="AM412" s="75">
        <v>0</v>
      </c>
      <c r="AN412" s="75">
        <v>0</v>
      </c>
      <c r="AO412" s="75">
        <v>0</v>
      </c>
      <c r="AP412" s="75">
        <v>0</v>
      </c>
      <c r="AQ412" s="75">
        <v>0</v>
      </c>
      <c r="AR412" s="75">
        <v>0</v>
      </c>
      <c r="AS412" s="75">
        <v>0</v>
      </c>
      <c r="AT412" s="75">
        <v>0</v>
      </c>
      <c r="AU412" s="75">
        <v>0</v>
      </c>
      <c r="AV412" s="75">
        <v>0</v>
      </c>
      <c r="AW412" s="75">
        <v>0</v>
      </c>
      <c r="AX412" s="75">
        <v>0</v>
      </c>
      <c r="AY412" s="75">
        <v>0</v>
      </c>
      <c r="AZ412" s="84">
        <v>0</v>
      </c>
      <c r="BA412" s="75">
        <v>0</v>
      </c>
      <c r="BB412" s="75">
        <v>0</v>
      </c>
      <c r="BC412" s="75">
        <v>0</v>
      </c>
      <c r="BD412" s="75">
        <v>0</v>
      </c>
      <c r="BE412" s="75">
        <v>0</v>
      </c>
      <c r="BF412" s="75">
        <v>0</v>
      </c>
      <c r="BG412" s="75">
        <v>0</v>
      </c>
      <c r="BH412" s="75">
        <v>0</v>
      </c>
      <c r="BI412" s="75" t="s">
        <v>254</v>
      </c>
      <c r="BJ412" s="75" t="s">
        <v>254</v>
      </c>
      <c r="BK412" s="75" t="s">
        <v>254</v>
      </c>
      <c r="BL412" s="75">
        <v>0</v>
      </c>
      <c r="BM412" s="75">
        <f t="shared" si="82"/>
        <v>0</v>
      </c>
      <c r="BN412" s="75">
        <f t="shared" si="83"/>
        <v>0</v>
      </c>
      <c r="BO412" s="75">
        <f t="shared" si="84"/>
        <v>0</v>
      </c>
      <c r="BP412" s="75">
        <f t="shared" si="85"/>
        <v>0</v>
      </c>
      <c r="BQ412" s="293" t="s">
        <v>363</v>
      </c>
      <c r="BR412" s="138">
        <v>4190</v>
      </c>
      <c r="BS412" s="110" t="s">
        <v>539</v>
      </c>
      <c r="BT412" s="110">
        <v>0</v>
      </c>
      <c r="BU412" s="75">
        <v>0</v>
      </c>
      <c r="BV412" s="75" t="s">
        <v>628</v>
      </c>
    </row>
    <row r="413" spans="1:74" x14ac:dyDescent="0.75">
      <c r="C413">
        <v>1440</v>
      </c>
      <c r="D413" s="75" t="s">
        <v>357</v>
      </c>
      <c r="E413" s="75" t="s">
        <v>358</v>
      </c>
      <c r="F413" s="75" t="s">
        <v>359</v>
      </c>
      <c r="G413" s="75" t="s">
        <v>28</v>
      </c>
      <c r="H413">
        <v>18.315639999999998</v>
      </c>
      <c r="I413">
        <v>-64.725899999999996</v>
      </c>
      <c r="J413" s="81">
        <v>45160</v>
      </c>
      <c r="K413" s="75" t="s">
        <v>374</v>
      </c>
      <c r="L413" s="75" t="s">
        <v>374</v>
      </c>
      <c r="M413" s="75">
        <v>0</v>
      </c>
      <c r="N413" s="75">
        <v>2</v>
      </c>
      <c r="O413" s="75" t="s">
        <v>362</v>
      </c>
      <c r="P413" s="75">
        <v>0</v>
      </c>
      <c r="Q413" s="75">
        <v>0</v>
      </c>
      <c r="R413" s="75">
        <v>0</v>
      </c>
      <c r="S413" s="75">
        <v>0</v>
      </c>
      <c r="T413" s="75">
        <v>0</v>
      </c>
      <c r="U413" s="75">
        <v>0</v>
      </c>
      <c r="V413" s="75">
        <v>0</v>
      </c>
      <c r="W413" s="75">
        <v>0</v>
      </c>
      <c r="X413" s="75">
        <v>0</v>
      </c>
      <c r="Y413" s="75">
        <v>0</v>
      </c>
      <c r="Z413" s="75">
        <v>0</v>
      </c>
      <c r="AA413" s="75">
        <v>0</v>
      </c>
      <c r="AB413" s="75">
        <v>0</v>
      </c>
      <c r="AC413" s="75">
        <v>0</v>
      </c>
      <c r="AD413" s="75">
        <v>0</v>
      </c>
      <c r="AE413" s="75">
        <v>0</v>
      </c>
      <c r="AF413" s="75">
        <v>0</v>
      </c>
      <c r="AG413" s="75">
        <v>0</v>
      </c>
      <c r="AH413" s="75">
        <v>0</v>
      </c>
      <c r="AI413" s="75">
        <v>0</v>
      </c>
      <c r="AJ413" s="75">
        <v>0</v>
      </c>
      <c r="AK413" s="75">
        <v>0</v>
      </c>
      <c r="AL413" s="75">
        <v>0</v>
      </c>
      <c r="AM413" s="75">
        <v>0</v>
      </c>
      <c r="AN413" s="75">
        <v>0</v>
      </c>
      <c r="AO413" s="75">
        <v>0</v>
      </c>
      <c r="AP413" s="75">
        <v>0</v>
      </c>
      <c r="AQ413" s="75">
        <v>0</v>
      </c>
      <c r="AR413" s="75">
        <v>0</v>
      </c>
      <c r="AS413" s="75">
        <v>0</v>
      </c>
      <c r="AT413" s="75">
        <v>0</v>
      </c>
      <c r="AU413" s="75">
        <v>0</v>
      </c>
      <c r="AV413" s="75">
        <v>0</v>
      </c>
      <c r="AW413" s="75">
        <v>0</v>
      </c>
      <c r="AX413" s="75">
        <v>0</v>
      </c>
      <c r="AY413" s="75">
        <v>0</v>
      </c>
      <c r="AZ413" s="75">
        <v>0</v>
      </c>
      <c r="BA413" s="75">
        <v>0</v>
      </c>
      <c r="BB413" s="75">
        <v>0</v>
      </c>
      <c r="BC413" s="75">
        <v>0</v>
      </c>
      <c r="BD413" s="75">
        <v>0</v>
      </c>
      <c r="BE413" s="75">
        <v>0</v>
      </c>
      <c r="BF413" s="75">
        <v>0</v>
      </c>
      <c r="BG413" s="75">
        <v>0</v>
      </c>
      <c r="BH413" s="75">
        <v>0</v>
      </c>
      <c r="BI413" s="75" t="s">
        <v>254</v>
      </c>
      <c r="BJ413" s="75" t="s">
        <v>254</v>
      </c>
      <c r="BK413" s="75" t="s">
        <v>254</v>
      </c>
      <c r="BL413" s="75">
        <v>0</v>
      </c>
      <c r="BM413" s="75">
        <f>SUM(R413:AD413)</f>
        <v>0</v>
      </c>
      <c r="BN413" s="75">
        <f>SUM(AE413:AN413)</f>
        <v>0</v>
      </c>
      <c r="BO413" s="75">
        <f>SUM(AO413:BH413)</f>
        <v>0</v>
      </c>
      <c r="BP413" s="75">
        <f>SUM(BM413:BO413)</f>
        <v>0</v>
      </c>
      <c r="BQ413" s="293" t="s">
        <v>363</v>
      </c>
      <c r="BR413" s="138">
        <v>4133</v>
      </c>
      <c r="BS413" s="110" t="s">
        <v>539</v>
      </c>
      <c r="BT413" s="110">
        <v>0</v>
      </c>
      <c r="BU413" s="75">
        <v>0</v>
      </c>
      <c r="BV413" s="75" t="s">
        <v>374</v>
      </c>
    </row>
    <row r="414" spans="1:74" x14ac:dyDescent="0.75">
      <c r="C414">
        <v>1441</v>
      </c>
      <c r="D414" s="75" t="s">
        <v>357</v>
      </c>
      <c r="E414" s="75" t="s">
        <v>358</v>
      </c>
      <c r="F414" s="75" t="s">
        <v>359</v>
      </c>
      <c r="G414" s="75" t="s">
        <v>39</v>
      </c>
      <c r="H414">
        <v>18.357482999999998</v>
      </c>
      <c r="I414">
        <v>-64.751949999999994</v>
      </c>
      <c r="J414" s="3">
        <v>45161</v>
      </c>
      <c r="K414" t="s">
        <v>628</v>
      </c>
      <c r="L414" t="s">
        <v>374</v>
      </c>
      <c r="M414" s="75">
        <v>0</v>
      </c>
      <c r="N414" s="75">
        <v>2</v>
      </c>
      <c r="O414" s="75" t="s">
        <v>362</v>
      </c>
      <c r="P414" s="88">
        <f>SUM(TreatmentUsed!E5226:E5232)</f>
        <v>55</v>
      </c>
      <c r="Q414" s="75">
        <v>0</v>
      </c>
      <c r="R414" s="75">
        <v>0</v>
      </c>
      <c r="S414" s="75">
        <v>0</v>
      </c>
      <c r="T414" s="75">
        <v>0</v>
      </c>
      <c r="U414" s="75">
        <v>0</v>
      </c>
      <c r="V414" s="75">
        <v>0</v>
      </c>
      <c r="W414" s="75">
        <v>0</v>
      </c>
      <c r="X414" s="75">
        <v>0</v>
      </c>
      <c r="Y414" s="75">
        <v>0</v>
      </c>
      <c r="Z414" s="75">
        <v>0</v>
      </c>
      <c r="AA414" s="75">
        <v>0</v>
      </c>
      <c r="AB414" s="75">
        <v>0</v>
      </c>
      <c r="AC414" s="75">
        <v>0</v>
      </c>
      <c r="AD414" s="75">
        <v>0</v>
      </c>
      <c r="AE414" s="75">
        <v>0</v>
      </c>
      <c r="AF414" s="75">
        <v>0</v>
      </c>
      <c r="AG414" s="75">
        <v>0</v>
      </c>
      <c r="AH414" s="75">
        <v>0</v>
      </c>
      <c r="AI414" s="75">
        <v>0</v>
      </c>
      <c r="AJ414" s="75">
        <v>0</v>
      </c>
      <c r="AK414" s="75">
        <v>0</v>
      </c>
      <c r="AL414" s="75">
        <v>0</v>
      </c>
      <c r="AM414" s="75">
        <v>0</v>
      </c>
      <c r="AN414" s="75">
        <v>0</v>
      </c>
      <c r="AO414" s="75">
        <v>1</v>
      </c>
      <c r="AP414" s="75">
        <v>0</v>
      </c>
      <c r="AQ414" s="75">
        <v>0</v>
      </c>
      <c r="AR414" s="75">
        <v>0</v>
      </c>
      <c r="AS414" s="75">
        <v>0</v>
      </c>
      <c r="AT414" s="75">
        <v>2</v>
      </c>
      <c r="AU414" s="75">
        <v>0</v>
      </c>
      <c r="AV414" s="75">
        <v>0</v>
      </c>
      <c r="AW414" s="75">
        <v>0</v>
      </c>
      <c r="AX414" s="75">
        <v>0</v>
      </c>
      <c r="AY414" s="75">
        <v>0</v>
      </c>
      <c r="AZ414" s="75">
        <v>0</v>
      </c>
      <c r="BA414" s="75">
        <v>1</v>
      </c>
      <c r="BB414" s="75">
        <v>0</v>
      </c>
      <c r="BC414" s="75">
        <v>2</v>
      </c>
      <c r="BD414" s="75">
        <v>0</v>
      </c>
      <c r="BE414" s="75">
        <v>0</v>
      </c>
      <c r="BF414" s="75">
        <v>1</v>
      </c>
      <c r="BG414" s="75">
        <v>0</v>
      </c>
      <c r="BH414" s="75">
        <v>0</v>
      </c>
      <c r="BI414" s="75" t="s">
        <v>254</v>
      </c>
      <c r="BJ414" s="75" t="s">
        <v>254</v>
      </c>
      <c r="BK414" s="75" t="s">
        <v>254</v>
      </c>
      <c r="BL414" s="75">
        <v>0</v>
      </c>
      <c r="BM414" s="75">
        <f t="shared" si="82"/>
        <v>0</v>
      </c>
      <c r="BN414" s="75">
        <f t="shared" si="83"/>
        <v>0</v>
      </c>
      <c r="BO414" s="75">
        <f t="shared" si="84"/>
        <v>7</v>
      </c>
      <c r="BP414" s="75">
        <f t="shared" si="85"/>
        <v>7</v>
      </c>
      <c r="BQ414" s="85" t="s">
        <v>363</v>
      </c>
      <c r="BR414" s="255" t="s">
        <v>693</v>
      </c>
      <c r="BS414" s="110" t="s">
        <v>539</v>
      </c>
      <c r="BT414" s="110">
        <v>0</v>
      </c>
      <c r="BU414" s="75">
        <v>0</v>
      </c>
      <c r="BV414" s="75" t="s">
        <v>628</v>
      </c>
    </row>
    <row r="415" spans="1:74" x14ac:dyDescent="0.75">
      <c r="C415">
        <v>1442</v>
      </c>
      <c r="D415" s="75" t="s">
        <v>357</v>
      </c>
      <c r="E415" s="75" t="s">
        <v>358</v>
      </c>
      <c r="F415" s="75" t="s">
        <v>359</v>
      </c>
      <c r="G415" s="75" t="s">
        <v>64</v>
      </c>
      <c r="H415">
        <v>18.368383000000001</v>
      </c>
      <c r="I415">
        <v>-64.751450000000006</v>
      </c>
      <c r="J415" s="3">
        <v>45161</v>
      </c>
      <c r="K415" t="s">
        <v>628</v>
      </c>
      <c r="L415" t="s">
        <v>374</v>
      </c>
      <c r="M415" s="75">
        <v>0</v>
      </c>
      <c r="N415" s="75">
        <v>2</v>
      </c>
      <c r="O415" s="75" t="s">
        <v>362</v>
      </c>
      <c r="P415" s="88">
        <f>SUM(TreatmentUsed!E5233:E5234)</f>
        <v>32</v>
      </c>
      <c r="Q415" s="75">
        <v>0</v>
      </c>
      <c r="R415" s="75">
        <v>0</v>
      </c>
      <c r="S415" s="75">
        <v>0</v>
      </c>
      <c r="T415" s="75">
        <v>0</v>
      </c>
      <c r="U415" s="75">
        <v>0</v>
      </c>
      <c r="V415" s="75">
        <v>0</v>
      </c>
      <c r="W415" s="75">
        <v>0</v>
      </c>
      <c r="X415" s="75">
        <v>0</v>
      </c>
      <c r="Y415" s="75">
        <v>0</v>
      </c>
      <c r="Z415" s="75">
        <v>0</v>
      </c>
      <c r="AA415" s="75">
        <v>0</v>
      </c>
      <c r="AB415" s="75">
        <v>0</v>
      </c>
      <c r="AC415" s="75">
        <v>0</v>
      </c>
      <c r="AD415" s="75">
        <v>0</v>
      </c>
      <c r="AE415" s="75">
        <v>0</v>
      </c>
      <c r="AF415" s="75">
        <v>0</v>
      </c>
      <c r="AG415" s="75">
        <v>0</v>
      </c>
      <c r="AH415" s="75">
        <v>0</v>
      </c>
      <c r="AI415" s="75">
        <v>0</v>
      </c>
      <c r="AJ415" s="75">
        <v>0</v>
      </c>
      <c r="AK415" s="75">
        <v>0</v>
      </c>
      <c r="AL415" s="75">
        <v>0</v>
      </c>
      <c r="AM415" s="75">
        <v>0</v>
      </c>
      <c r="AN415" s="75">
        <v>0</v>
      </c>
      <c r="AO415" s="75">
        <v>0</v>
      </c>
      <c r="AP415" s="75">
        <v>0</v>
      </c>
      <c r="AQ415" s="75">
        <v>0</v>
      </c>
      <c r="AR415" s="75">
        <v>0</v>
      </c>
      <c r="AS415" s="75">
        <v>1</v>
      </c>
      <c r="AT415" s="75">
        <v>0</v>
      </c>
      <c r="AU415" s="75">
        <v>0</v>
      </c>
      <c r="AV415" s="75">
        <v>0</v>
      </c>
      <c r="AW415" s="75">
        <v>0</v>
      </c>
      <c r="AX415" s="75">
        <v>0</v>
      </c>
      <c r="AY415" s="75">
        <v>0</v>
      </c>
      <c r="AZ415" s="75">
        <v>0</v>
      </c>
      <c r="BA415" s="75">
        <v>0</v>
      </c>
      <c r="BB415" s="75">
        <v>0</v>
      </c>
      <c r="BC415" s="75">
        <v>1</v>
      </c>
      <c r="BD415" s="75">
        <v>0</v>
      </c>
      <c r="BE415" s="75">
        <v>0</v>
      </c>
      <c r="BF415" s="75">
        <v>0</v>
      </c>
      <c r="BG415" s="75">
        <v>0</v>
      </c>
      <c r="BH415" s="75">
        <v>0</v>
      </c>
      <c r="BI415" s="75" t="s">
        <v>254</v>
      </c>
      <c r="BJ415" s="75" t="s">
        <v>254</v>
      </c>
      <c r="BK415" s="75" t="s">
        <v>254</v>
      </c>
      <c r="BL415" s="75">
        <v>0</v>
      </c>
      <c r="BM415" s="75">
        <f t="shared" si="82"/>
        <v>0</v>
      </c>
      <c r="BN415" s="75">
        <f t="shared" si="83"/>
        <v>0</v>
      </c>
      <c r="BO415" s="75">
        <f t="shared" si="84"/>
        <v>2</v>
      </c>
      <c r="BP415" s="75">
        <f t="shared" si="85"/>
        <v>2</v>
      </c>
      <c r="BQ415" s="85" t="s">
        <v>363</v>
      </c>
      <c r="BR415" s="252" t="s">
        <v>575</v>
      </c>
      <c r="BS415" s="110" t="s">
        <v>539</v>
      </c>
      <c r="BT415" s="110">
        <v>0</v>
      </c>
      <c r="BU415" s="75">
        <v>0</v>
      </c>
      <c r="BV415" s="75" t="s">
        <v>628</v>
      </c>
    </row>
    <row r="416" spans="1:74" x14ac:dyDescent="0.75">
      <c r="C416">
        <v>1443</v>
      </c>
      <c r="D416" s="75" t="s">
        <v>357</v>
      </c>
      <c r="E416" s="75" t="s">
        <v>358</v>
      </c>
      <c r="F416" s="75" t="s">
        <v>359</v>
      </c>
      <c r="G416" s="75" t="s">
        <v>23</v>
      </c>
      <c r="H416">
        <v>18.365749999999998</v>
      </c>
      <c r="I416">
        <v>-64.773619999999994</v>
      </c>
      <c r="J416" s="3">
        <v>45161</v>
      </c>
      <c r="K416" t="s">
        <v>628</v>
      </c>
      <c r="L416" t="s">
        <v>374</v>
      </c>
      <c r="M416" s="75">
        <v>0</v>
      </c>
      <c r="N416" s="75">
        <v>2</v>
      </c>
      <c r="O416" s="75" t="s">
        <v>362</v>
      </c>
      <c r="P416" s="75">
        <v>0</v>
      </c>
      <c r="Q416" s="75">
        <v>0</v>
      </c>
      <c r="R416" s="75">
        <v>0</v>
      </c>
      <c r="S416" s="75">
        <v>0</v>
      </c>
      <c r="T416" s="75">
        <v>0</v>
      </c>
      <c r="U416" s="75">
        <v>0</v>
      </c>
      <c r="V416" s="75">
        <v>0</v>
      </c>
      <c r="W416" s="75">
        <v>0</v>
      </c>
      <c r="X416" s="75">
        <v>0</v>
      </c>
      <c r="Y416" s="75">
        <v>0</v>
      </c>
      <c r="Z416" s="75">
        <v>0</v>
      </c>
      <c r="AA416" s="75">
        <v>0</v>
      </c>
      <c r="AB416" s="75">
        <v>0</v>
      </c>
      <c r="AC416" s="75">
        <v>0</v>
      </c>
      <c r="AD416" s="75">
        <v>0</v>
      </c>
      <c r="AE416" s="75">
        <v>0</v>
      </c>
      <c r="AF416" s="75">
        <v>0</v>
      </c>
      <c r="AG416" s="75">
        <v>0</v>
      </c>
      <c r="AH416" s="75">
        <v>0</v>
      </c>
      <c r="AI416" s="75">
        <v>0</v>
      </c>
      <c r="AJ416" s="75">
        <v>0</v>
      </c>
      <c r="AK416" s="75">
        <v>0</v>
      </c>
      <c r="AL416" s="75">
        <v>0</v>
      </c>
      <c r="AM416" s="75">
        <v>0</v>
      </c>
      <c r="AN416" s="75">
        <v>0</v>
      </c>
      <c r="AO416" s="75">
        <v>0</v>
      </c>
      <c r="AP416" s="75">
        <v>0</v>
      </c>
      <c r="AQ416" s="75">
        <v>0</v>
      </c>
      <c r="AR416" s="75">
        <v>0</v>
      </c>
      <c r="AS416" s="75">
        <v>0</v>
      </c>
      <c r="AT416" s="75">
        <v>0</v>
      </c>
      <c r="AU416" s="75">
        <v>0</v>
      </c>
      <c r="AV416" s="75">
        <v>0</v>
      </c>
      <c r="AW416" s="75">
        <v>0</v>
      </c>
      <c r="AX416" s="75">
        <v>0</v>
      </c>
      <c r="AY416" s="75">
        <v>0</v>
      </c>
      <c r="AZ416" s="75">
        <v>0</v>
      </c>
      <c r="BA416" s="75">
        <v>0</v>
      </c>
      <c r="BB416" s="75">
        <v>0</v>
      </c>
      <c r="BC416" s="75">
        <v>0</v>
      </c>
      <c r="BD416" s="75">
        <v>0</v>
      </c>
      <c r="BE416" s="75">
        <v>0</v>
      </c>
      <c r="BF416" s="75">
        <v>0</v>
      </c>
      <c r="BG416" s="75">
        <v>0</v>
      </c>
      <c r="BH416" s="75">
        <v>0</v>
      </c>
      <c r="BI416" s="75" t="s">
        <v>254</v>
      </c>
      <c r="BJ416" s="75" t="s">
        <v>254</v>
      </c>
      <c r="BK416" s="75" t="s">
        <v>254</v>
      </c>
      <c r="BL416" s="75">
        <v>0</v>
      </c>
      <c r="BM416" s="75">
        <f t="shared" si="82"/>
        <v>0</v>
      </c>
      <c r="BN416" s="75">
        <f t="shared" si="83"/>
        <v>0</v>
      </c>
      <c r="BO416" s="75">
        <f t="shared" si="84"/>
        <v>0</v>
      </c>
      <c r="BP416" s="75">
        <f t="shared" si="85"/>
        <v>0</v>
      </c>
      <c r="BQ416" s="85" t="s">
        <v>363</v>
      </c>
      <c r="BR416" s="252" t="s">
        <v>508</v>
      </c>
      <c r="BS416" s="110" t="s">
        <v>539</v>
      </c>
      <c r="BT416" s="110">
        <v>0</v>
      </c>
      <c r="BU416" s="75">
        <v>0</v>
      </c>
      <c r="BV416" s="75" t="s">
        <v>628</v>
      </c>
    </row>
    <row r="417" spans="1:74" x14ac:dyDescent="0.75">
      <c r="C417">
        <v>1444</v>
      </c>
      <c r="D417" s="75" t="s">
        <v>357</v>
      </c>
      <c r="E417" s="75" t="s">
        <v>358</v>
      </c>
      <c r="F417" s="75" t="s">
        <v>359</v>
      </c>
      <c r="G417" s="75" t="s">
        <v>23</v>
      </c>
      <c r="H417">
        <v>18.365749999999998</v>
      </c>
      <c r="I417">
        <v>-64.773619999999994</v>
      </c>
      <c r="J417" s="3">
        <v>45161</v>
      </c>
      <c r="K417" t="s">
        <v>628</v>
      </c>
      <c r="L417" t="s">
        <v>374</v>
      </c>
      <c r="M417" s="75">
        <v>0</v>
      </c>
      <c r="N417" s="75">
        <v>2</v>
      </c>
      <c r="O417" s="75" t="s">
        <v>362</v>
      </c>
      <c r="P417" s="75">
        <v>0</v>
      </c>
      <c r="Q417" s="75">
        <v>0</v>
      </c>
      <c r="R417" s="75">
        <v>0</v>
      </c>
      <c r="S417" s="75">
        <v>0</v>
      </c>
      <c r="T417" s="75">
        <v>0</v>
      </c>
      <c r="U417" s="75">
        <v>0</v>
      </c>
      <c r="V417" s="75">
        <v>0</v>
      </c>
      <c r="W417" s="75">
        <v>0</v>
      </c>
      <c r="X417" s="75">
        <v>0</v>
      </c>
      <c r="Y417" s="75">
        <v>0</v>
      </c>
      <c r="Z417" s="75">
        <v>0</v>
      </c>
      <c r="AA417" s="75">
        <v>0</v>
      </c>
      <c r="AB417" s="75">
        <v>0</v>
      </c>
      <c r="AC417" s="75">
        <v>0</v>
      </c>
      <c r="AD417" s="75">
        <v>0</v>
      </c>
      <c r="AE417" s="75">
        <v>0</v>
      </c>
      <c r="AF417" s="75">
        <v>0</v>
      </c>
      <c r="AG417" s="75">
        <v>0</v>
      </c>
      <c r="AH417" s="75">
        <v>0</v>
      </c>
      <c r="AI417" s="75">
        <v>0</v>
      </c>
      <c r="AJ417" s="75">
        <v>0</v>
      </c>
      <c r="AK417" s="75">
        <v>0</v>
      </c>
      <c r="AL417" s="75">
        <v>0</v>
      </c>
      <c r="AM417" s="75">
        <v>0</v>
      </c>
      <c r="AN417" s="75">
        <v>0</v>
      </c>
      <c r="AO417" s="75">
        <v>0</v>
      </c>
      <c r="AP417" s="75">
        <v>0</v>
      </c>
      <c r="AQ417" s="75">
        <v>0</v>
      </c>
      <c r="AR417" s="75">
        <v>0</v>
      </c>
      <c r="AS417" s="75">
        <v>0</v>
      </c>
      <c r="AT417" s="75">
        <v>0</v>
      </c>
      <c r="AU417" s="75">
        <v>0</v>
      </c>
      <c r="AV417" s="75">
        <v>0</v>
      </c>
      <c r="AW417" s="75">
        <v>0</v>
      </c>
      <c r="AX417" s="75">
        <v>0</v>
      </c>
      <c r="AY417" s="75">
        <v>0</v>
      </c>
      <c r="AZ417" s="75">
        <v>0</v>
      </c>
      <c r="BA417" s="75">
        <v>0</v>
      </c>
      <c r="BB417" s="75">
        <v>0</v>
      </c>
      <c r="BC417" s="75">
        <v>0</v>
      </c>
      <c r="BD417" s="75">
        <v>0</v>
      </c>
      <c r="BE417" s="75">
        <v>0</v>
      </c>
      <c r="BF417" s="75">
        <v>0</v>
      </c>
      <c r="BG417" s="75">
        <v>0</v>
      </c>
      <c r="BH417" s="75">
        <v>0</v>
      </c>
      <c r="BI417" s="75" t="s">
        <v>254</v>
      </c>
      <c r="BJ417" s="75" t="s">
        <v>254</v>
      </c>
      <c r="BK417" s="75" t="s">
        <v>254</v>
      </c>
      <c r="BL417" s="75">
        <v>0</v>
      </c>
      <c r="BM417" s="75">
        <f t="shared" si="82"/>
        <v>0</v>
      </c>
      <c r="BN417" s="75">
        <f t="shared" si="83"/>
        <v>0</v>
      </c>
      <c r="BO417" s="75">
        <f t="shared" si="84"/>
        <v>0</v>
      </c>
      <c r="BP417" s="75">
        <f t="shared" si="85"/>
        <v>0</v>
      </c>
      <c r="BQ417" s="85" t="s">
        <v>363</v>
      </c>
      <c r="BR417" s="138">
        <v>945</v>
      </c>
      <c r="BS417" s="110" t="s">
        <v>539</v>
      </c>
      <c r="BT417" s="110">
        <v>0</v>
      </c>
      <c r="BU417" s="75">
        <v>0</v>
      </c>
      <c r="BV417" s="75" t="s">
        <v>628</v>
      </c>
    </row>
    <row r="418" spans="1:74" x14ac:dyDescent="0.75">
      <c r="C418">
        <v>1445</v>
      </c>
      <c r="D418" s="75" t="s">
        <v>357</v>
      </c>
      <c r="E418" s="75" t="s">
        <v>358</v>
      </c>
      <c r="F418" s="75" t="s">
        <v>359</v>
      </c>
      <c r="G418" s="75" t="s">
        <v>23</v>
      </c>
      <c r="H418">
        <v>18.365749999999998</v>
      </c>
      <c r="I418">
        <v>-64.773619999999994</v>
      </c>
      <c r="J418" s="3">
        <v>45162</v>
      </c>
      <c r="K418" t="s">
        <v>627</v>
      </c>
      <c r="L418" t="s">
        <v>628</v>
      </c>
      <c r="M418" s="75">
        <v>0</v>
      </c>
      <c r="N418" s="75">
        <v>2</v>
      </c>
      <c r="O418" s="75" t="s">
        <v>362</v>
      </c>
      <c r="P418" s="88">
        <f>SUM(TreatmentUsed!E5235:E5244)</f>
        <v>108</v>
      </c>
      <c r="Q418" s="75">
        <v>0</v>
      </c>
      <c r="R418" s="75">
        <v>0</v>
      </c>
      <c r="S418" s="75">
        <v>0</v>
      </c>
      <c r="T418" s="75">
        <v>0</v>
      </c>
      <c r="U418" s="75">
        <v>0</v>
      </c>
      <c r="V418" s="75">
        <v>0</v>
      </c>
      <c r="W418" s="75">
        <v>0</v>
      </c>
      <c r="X418" s="75">
        <v>0</v>
      </c>
      <c r="Y418" s="75">
        <v>0</v>
      </c>
      <c r="Z418" s="75">
        <v>0</v>
      </c>
      <c r="AA418" s="75">
        <v>0</v>
      </c>
      <c r="AB418" s="75">
        <v>0</v>
      </c>
      <c r="AC418" s="75">
        <v>0</v>
      </c>
      <c r="AD418" s="75">
        <v>0</v>
      </c>
      <c r="AE418" s="75">
        <v>0</v>
      </c>
      <c r="AF418" s="75">
        <v>0</v>
      </c>
      <c r="AG418" s="75">
        <v>0</v>
      </c>
      <c r="AH418" s="75">
        <v>0</v>
      </c>
      <c r="AI418" s="75">
        <v>0</v>
      </c>
      <c r="AJ418" s="75">
        <v>0</v>
      </c>
      <c r="AK418" s="75">
        <v>0</v>
      </c>
      <c r="AL418" s="75">
        <v>0</v>
      </c>
      <c r="AM418" s="75">
        <v>0</v>
      </c>
      <c r="AN418" s="75">
        <v>0</v>
      </c>
      <c r="AO418" s="84">
        <v>3</v>
      </c>
      <c r="AP418" s="75">
        <v>0</v>
      </c>
      <c r="AQ418" s="75">
        <v>0</v>
      </c>
      <c r="AR418" s="84">
        <v>0</v>
      </c>
      <c r="AS418" s="75">
        <v>0</v>
      </c>
      <c r="AT418" s="75">
        <v>0</v>
      </c>
      <c r="AU418" s="75">
        <v>0</v>
      </c>
      <c r="AV418" s="75">
        <v>0</v>
      </c>
      <c r="AW418" s="75">
        <v>0</v>
      </c>
      <c r="AX418" s="75">
        <v>1</v>
      </c>
      <c r="AY418" s="75">
        <v>1</v>
      </c>
      <c r="AZ418" s="84">
        <v>3</v>
      </c>
      <c r="BA418" s="84">
        <v>2</v>
      </c>
      <c r="BB418" s="75">
        <v>0</v>
      </c>
      <c r="BC418" s="75">
        <v>0</v>
      </c>
      <c r="BD418" s="75">
        <v>0</v>
      </c>
      <c r="BE418" s="75">
        <v>0</v>
      </c>
      <c r="BF418" s="75">
        <v>0</v>
      </c>
      <c r="BG418" s="75">
        <v>0</v>
      </c>
      <c r="BH418" s="75">
        <v>0</v>
      </c>
      <c r="BI418" s="75" t="s">
        <v>254</v>
      </c>
      <c r="BJ418" s="75" t="s">
        <v>254</v>
      </c>
      <c r="BK418" s="75" t="s">
        <v>254</v>
      </c>
      <c r="BL418" s="75">
        <v>0</v>
      </c>
      <c r="BM418" s="75">
        <f t="shared" si="82"/>
        <v>0</v>
      </c>
      <c r="BN418" s="75">
        <f t="shared" si="83"/>
        <v>0</v>
      </c>
      <c r="BO418" s="75">
        <f t="shared" si="84"/>
        <v>10</v>
      </c>
      <c r="BP418" s="75">
        <f t="shared" si="85"/>
        <v>10</v>
      </c>
      <c r="BQ418" s="85" t="s">
        <v>694</v>
      </c>
      <c r="BR418" s="252" t="s">
        <v>695</v>
      </c>
      <c r="BS418" s="110" t="s">
        <v>390</v>
      </c>
      <c r="BT418" s="110">
        <v>0</v>
      </c>
      <c r="BU418" s="75">
        <v>0</v>
      </c>
      <c r="BV418" s="75" t="s">
        <v>627</v>
      </c>
    </row>
    <row r="419" spans="1:74" x14ac:dyDescent="0.75">
      <c r="C419">
        <v>1446</v>
      </c>
      <c r="D419" s="75" t="s">
        <v>357</v>
      </c>
      <c r="E419" s="75" t="s">
        <v>358</v>
      </c>
      <c r="F419" s="75" t="s">
        <v>359</v>
      </c>
      <c r="G419" s="75" t="s">
        <v>23</v>
      </c>
      <c r="H419">
        <v>18.365749999999998</v>
      </c>
      <c r="I419">
        <v>-64.773619999999994</v>
      </c>
      <c r="J419" s="3">
        <v>45162</v>
      </c>
      <c r="K419" t="s">
        <v>627</v>
      </c>
      <c r="L419" t="s">
        <v>628</v>
      </c>
      <c r="M419" s="75">
        <v>0</v>
      </c>
      <c r="N419" s="75">
        <v>2</v>
      </c>
      <c r="O419" s="75" t="s">
        <v>362</v>
      </c>
      <c r="P419" s="88">
        <f>SUM(TreatmentUsed!E5245:E5254)</f>
        <v>139</v>
      </c>
      <c r="Q419" s="75">
        <v>0</v>
      </c>
      <c r="R419" s="75">
        <v>0</v>
      </c>
      <c r="S419" s="75">
        <v>0</v>
      </c>
      <c r="T419" s="75">
        <v>0</v>
      </c>
      <c r="U419" s="75">
        <v>0</v>
      </c>
      <c r="V419" s="75">
        <v>0</v>
      </c>
      <c r="W419" s="75">
        <v>0</v>
      </c>
      <c r="X419" s="75">
        <v>0</v>
      </c>
      <c r="Y419" s="75">
        <v>0</v>
      </c>
      <c r="Z419" s="75">
        <v>0</v>
      </c>
      <c r="AA419" s="75">
        <v>0</v>
      </c>
      <c r="AB419" s="75">
        <v>0</v>
      </c>
      <c r="AC419" s="75">
        <v>0</v>
      </c>
      <c r="AD419" s="75">
        <v>0</v>
      </c>
      <c r="AE419" s="75">
        <v>0</v>
      </c>
      <c r="AF419" s="75">
        <v>0</v>
      </c>
      <c r="AG419" s="75">
        <v>0</v>
      </c>
      <c r="AH419" s="75">
        <v>0</v>
      </c>
      <c r="AI419" s="75">
        <v>0</v>
      </c>
      <c r="AJ419" s="75">
        <v>0</v>
      </c>
      <c r="AK419" s="75">
        <v>0</v>
      </c>
      <c r="AL419" s="75">
        <v>0</v>
      </c>
      <c r="AM419" s="75">
        <v>0</v>
      </c>
      <c r="AN419" s="75">
        <v>0</v>
      </c>
      <c r="AO419" s="75">
        <v>1</v>
      </c>
      <c r="AP419" s="75">
        <v>0</v>
      </c>
      <c r="AQ419" s="75">
        <v>0</v>
      </c>
      <c r="AR419" s="75">
        <v>0</v>
      </c>
      <c r="AS419" s="75">
        <v>0</v>
      </c>
      <c r="AT419" s="75">
        <v>0</v>
      </c>
      <c r="AU419" s="75">
        <v>0</v>
      </c>
      <c r="AV419" s="75">
        <v>0</v>
      </c>
      <c r="AW419" s="75">
        <v>0</v>
      </c>
      <c r="AX419" s="75">
        <v>0</v>
      </c>
      <c r="AY419" s="84">
        <v>0</v>
      </c>
      <c r="AZ419" s="84">
        <v>4</v>
      </c>
      <c r="BA419" s="84">
        <v>4</v>
      </c>
      <c r="BB419" s="75">
        <v>0</v>
      </c>
      <c r="BC419" s="75">
        <v>0</v>
      </c>
      <c r="BD419" s="75">
        <v>0</v>
      </c>
      <c r="BE419" s="75">
        <v>0</v>
      </c>
      <c r="BF419" s="75">
        <v>1</v>
      </c>
      <c r="BG419" s="75">
        <v>0</v>
      </c>
      <c r="BH419" s="75">
        <v>0</v>
      </c>
      <c r="BI419" s="75" t="s">
        <v>254</v>
      </c>
      <c r="BJ419" s="75" t="s">
        <v>254</v>
      </c>
      <c r="BK419" s="75" t="s">
        <v>254</v>
      </c>
      <c r="BL419" s="75">
        <v>0</v>
      </c>
      <c r="BM419" s="75">
        <f t="shared" si="82"/>
        <v>0</v>
      </c>
      <c r="BN419" s="75">
        <f t="shared" si="83"/>
        <v>0</v>
      </c>
      <c r="BO419" s="75">
        <f t="shared" si="84"/>
        <v>10</v>
      </c>
      <c r="BP419" s="75">
        <f t="shared" si="85"/>
        <v>10</v>
      </c>
      <c r="BR419" s="252">
        <v>902</v>
      </c>
      <c r="BS419" s="110" t="s">
        <v>539</v>
      </c>
      <c r="BT419" s="110">
        <v>0</v>
      </c>
      <c r="BU419" s="75">
        <v>0</v>
      </c>
      <c r="BV419" s="75" t="s">
        <v>627</v>
      </c>
    </row>
    <row r="420" spans="1:74" x14ac:dyDescent="0.75">
      <c r="C420">
        <v>1447</v>
      </c>
      <c r="D420" s="75" t="s">
        <v>357</v>
      </c>
      <c r="E420" s="75" t="s">
        <v>358</v>
      </c>
      <c r="F420" s="75" t="s">
        <v>359</v>
      </c>
      <c r="G420" s="75" t="s">
        <v>69</v>
      </c>
      <c r="H420" s="75">
        <v>18.343233000000001</v>
      </c>
      <c r="I420" s="75">
        <v>-64.687667000000005</v>
      </c>
      <c r="J420" s="3">
        <v>45167</v>
      </c>
      <c r="K420" t="s">
        <v>628</v>
      </c>
      <c r="L420" t="s">
        <v>374</v>
      </c>
      <c r="M420" s="75">
        <v>0</v>
      </c>
      <c r="N420" s="75">
        <v>2</v>
      </c>
      <c r="O420" s="75" t="s">
        <v>362</v>
      </c>
      <c r="P420" s="88">
        <f>SUM(TreatmentUsed!E5255:E5264)</f>
        <v>185</v>
      </c>
      <c r="Q420" s="75">
        <v>0</v>
      </c>
      <c r="R420" s="75">
        <v>0</v>
      </c>
      <c r="S420" s="75">
        <v>0</v>
      </c>
      <c r="T420" s="75">
        <v>0</v>
      </c>
      <c r="U420" s="75">
        <v>0</v>
      </c>
      <c r="V420" s="75">
        <v>0</v>
      </c>
      <c r="W420" s="75">
        <v>0</v>
      </c>
      <c r="X420" s="75">
        <v>0</v>
      </c>
      <c r="Y420" s="75">
        <v>0</v>
      </c>
      <c r="Z420" s="75">
        <v>0</v>
      </c>
      <c r="AA420" s="75">
        <v>0</v>
      </c>
      <c r="AB420" s="75">
        <v>0</v>
      </c>
      <c r="AC420" s="75">
        <v>0</v>
      </c>
      <c r="AD420" s="75">
        <v>0</v>
      </c>
      <c r="AE420" s="75">
        <v>0</v>
      </c>
      <c r="AF420" s="75">
        <v>0</v>
      </c>
      <c r="AG420" s="75">
        <v>0</v>
      </c>
      <c r="AH420" s="75">
        <v>0</v>
      </c>
      <c r="AI420" s="75">
        <v>0</v>
      </c>
      <c r="AJ420" s="75">
        <v>0</v>
      </c>
      <c r="AK420" s="75">
        <v>0</v>
      </c>
      <c r="AL420" s="75">
        <v>0</v>
      </c>
      <c r="AM420" s="75">
        <v>0</v>
      </c>
      <c r="AN420" s="75">
        <v>0</v>
      </c>
      <c r="AO420" s="75">
        <v>0</v>
      </c>
      <c r="AP420" s="75">
        <v>0</v>
      </c>
      <c r="AQ420" s="75">
        <v>0</v>
      </c>
      <c r="AR420" s="75">
        <v>0</v>
      </c>
      <c r="AS420" s="75">
        <v>0</v>
      </c>
      <c r="AT420" s="75">
        <v>0</v>
      </c>
      <c r="AU420" s="75">
        <v>0</v>
      </c>
      <c r="AV420" s="75">
        <v>0</v>
      </c>
      <c r="AW420" s="75">
        <v>0</v>
      </c>
      <c r="AX420" s="75">
        <v>0</v>
      </c>
      <c r="AY420" s="75">
        <v>7</v>
      </c>
      <c r="AZ420" s="75">
        <v>0</v>
      </c>
      <c r="BA420" s="75">
        <v>3</v>
      </c>
      <c r="BB420" s="75">
        <v>0</v>
      </c>
      <c r="BC420" s="75">
        <v>0</v>
      </c>
      <c r="BD420" s="75">
        <v>0</v>
      </c>
      <c r="BE420" s="75">
        <v>0</v>
      </c>
      <c r="BF420" s="75">
        <v>0</v>
      </c>
      <c r="BG420" s="75">
        <v>0</v>
      </c>
      <c r="BH420" s="75">
        <v>0</v>
      </c>
      <c r="BI420" s="75" t="s">
        <v>254</v>
      </c>
      <c r="BJ420" s="75" t="s">
        <v>254</v>
      </c>
      <c r="BK420" s="75" t="s">
        <v>254</v>
      </c>
      <c r="BL420" s="75">
        <v>0</v>
      </c>
      <c r="BM420" s="75">
        <f t="shared" si="82"/>
        <v>0</v>
      </c>
      <c r="BN420" s="75">
        <f t="shared" si="83"/>
        <v>0</v>
      </c>
      <c r="BO420" s="75">
        <f t="shared" si="84"/>
        <v>10</v>
      </c>
      <c r="BP420" s="75">
        <f t="shared" si="85"/>
        <v>10</v>
      </c>
      <c r="BQ420" s="85" t="s">
        <v>363</v>
      </c>
      <c r="BR420" s="138" t="s">
        <v>696</v>
      </c>
      <c r="BS420" s="110" t="s">
        <v>539</v>
      </c>
      <c r="BT420" s="110">
        <v>0</v>
      </c>
      <c r="BU420" s="75">
        <v>0</v>
      </c>
      <c r="BV420" s="75" t="s">
        <v>628</v>
      </c>
    </row>
    <row r="421" spans="1:74" x14ac:dyDescent="0.75">
      <c r="C421">
        <v>1448</v>
      </c>
      <c r="D421" s="75" t="s">
        <v>357</v>
      </c>
      <c r="E421" s="75" t="s">
        <v>358</v>
      </c>
      <c r="F421" s="75" t="s">
        <v>359</v>
      </c>
      <c r="G421" s="75" t="s">
        <v>69</v>
      </c>
      <c r="H421" s="75">
        <v>18.343233000000001</v>
      </c>
      <c r="I421" s="75">
        <v>-64.687667000000005</v>
      </c>
      <c r="J421" s="3">
        <v>45167</v>
      </c>
      <c r="K421" t="s">
        <v>628</v>
      </c>
      <c r="L421" t="s">
        <v>374</v>
      </c>
      <c r="M421" s="75">
        <v>0</v>
      </c>
      <c r="N421" s="75">
        <v>2</v>
      </c>
      <c r="O421" s="75" t="s">
        <v>362</v>
      </c>
      <c r="P421" s="88">
        <f>SUM(TreatmentUsed!E5265:E5268)</f>
        <v>31</v>
      </c>
      <c r="Q421" s="75">
        <v>0</v>
      </c>
      <c r="R421" s="75">
        <v>0</v>
      </c>
      <c r="S421" s="75">
        <v>0</v>
      </c>
      <c r="T421" s="75">
        <v>0</v>
      </c>
      <c r="U421" s="75">
        <v>0</v>
      </c>
      <c r="V421" s="75">
        <v>0</v>
      </c>
      <c r="W421" s="75">
        <v>0</v>
      </c>
      <c r="X421" s="75">
        <v>0</v>
      </c>
      <c r="Y421" s="75">
        <v>0</v>
      </c>
      <c r="Z421" s="75">
        <v>0</v>
      </c>
      <c r="AA421" s="75">
        <v>0</v>
      </c>
      <c r="AB421" s="75">
        <v>0</v>
      </c>
      <c r="AC421" s="75">
        <v>0</v>
      </c>
      <c r="AD421" s="75">
        <v>0</v>
      </c>
      <c r="AE421" s="75">
        <v>0</v>
      </c>
      <c r="AF421" s="75">
        <v>0</v>
      </c>
      <c r="AG421" s="75">
        <v>0</v>
      </c>
      <c r="AH421" s="75">
        <v>0</v>
      </c>
      <c r="AI421" s="75">
        <v>0</v>
      </c>
      <c r="AJ421" s="75">
        <v>0</v>
      </c>
      <c r="AK421" s="75">
        <v>0</v>
      </c>
      <c r="AL421" s="75">
        <v>0</v>
      </c>
      <c r="AM421" s="75">
        <v>0</v>
      </c>
      <c r="AN421" s="75">
        <v>0</v>
      </c>
      <c r="AO421" s="75">
        <v>0</v>
      </c>
      <c r="AP421" s="75">
        <v>0</v>
      </c>
      <c r="AQ421" s="75">
        <v>0</v>
      </c>
      <c r="AR421" s="75">
        <v>1</v>
      </c>
      <c r="AS421" s="75">
        <v>0</v>
      </c>
      <c r="AT421" s="75">
        <v>0</v>
      </c>
      <c r="AU421" s="75">
        <v>0</v>
      </c>
      <c r="AV421" s="75">
        <v>0</v>
      </c>
      <c r="AW421" s="75">
        <v>0</v>
      </c>
      <c r="AX421" s="75">
        <v>0</v>
      </c>
      <c r="AY421" s="75">
        <v>0</v>
      </c>
      <c r="AZ421" s="75">
        <v>0</v>
      </c>
      <c r="BA421" s="75">
        <v>1</v>
      </c>
      <c r="BB421" s="75">
        <v>0</v>
      </c>
      <c r="BC421" s="75">
        <v>0</v>
      </c>
      <c r="BD421" s="75">
        <v>0</v>
      </c>
      <c r="BE421" s="75">
        <v>0</v>
      </c>
      <c r="BF421" s="75">
        <v>2</v>
      </c>
      <c r="BG421" s="75">
        <v>0</v>
      </c>
      <c r="BH421" s="75">
        <v>0</v>
      </c>
      <c r="BI421" s="75" t="s">
        <v>254</v>
      </c>
      <c r="BJ421" s="75" t="s">
        <v>254</v>
      </c>
      <c r="BK421" s="75" t="s">
        <v>254</v>
      </c>
      <c r="BL421" s="75">
        <v>0</v>
      </c>
      <c r="BM421" s="75">
        <f t="shared" si="82"/>
        <v>0</v>
      </c>
      <c r="BN421" s="75">
        <f t="shared" si="83"/>
        <v>0</v>
      </c>
      <c r="BO421" s="75">
        <f t="shared" si="84"/>
        <v>4</v>
      </c>
      <c r="BP421" s="75">
        <f t="shared" si="85"/>
        <v>4</v>
      </c>
      <c r="BQ421" s="85" t="s">
        <v>363</v>
      </c>
      <c r="BR421" s="138" t="s">
        <v>697</v>
      </c>
      <c r="BS421" s="110" t="s">
        <v>539</v>
      </c>
      <c r="BT421" s="110">
        <v>0</v>
      </c>
      <c r="BU421" s="75">
        <v>0</v>
      </c>
      <c r="BV421" s="75" t="s">
        <v>628</v>
      </c>
    </row>
    <row r="422" spans="1:74" x14ac:dyDescent="0.75">
      <c r="C422">
        <v>1449</v>
      </c>
      <c r="D422" s="75" t="s">
        <v>357</v>
      </c>
      <c r="E422" s="75" t="s">
        <v>358</v>
      </c>
      <c r="F422" s="75" t="s">
        <v>359</v>
      </c>
      <c r="G422" s="75" t="s">
        <v>116</v>
      </c>
      <c r="H422">
        <v>18.3506</v>
      </c>
      <c r="I422">
        <v>-64.699183000000005</v>
      </c>
      <c r="J422" s="81">
        <v>45168</v>
      </c>
      <c r="K422" s="75" t="s">
        <v>627</v>
      </c>
      <c r="L422" t="s">
        <v>628</v>
      </c>
      <c r="M422" s="75">
        <v>0</v>
      </c>
      <c r="N422" s="75">
        <v>2</v>
      </c>
      <c r="O422" s="75" t="s">
        <v>362</v>
      </c>
      <c r="P422" s="88">
        <f>SUM(TreatmentUsed!E5269:E5283)</f>
        <v>237</v>
      </c>
      <c r="Q422" s="75">
        <v>0</v>
      </c>
      <c r="R422" s="75">
        <v>0</v>
      </c>
      <c r="S422" s="75">
        <v>0</v>
      </c>
      <c r="T422" s="75">
        <v>0</v>
      </c>
      <c r="U422" s="75">
        <v>0</v>
      </c>
      <c r="V422" s="75">
        <v>0</v>
      </c>
      <c r="W422" s="75">
        <v>0</v>
      </c>
      <c r="X422" s="75">
        <v>0</v>
      </c>
      <c r="Y422" s="75">
        <v>0</v>
      </c>
      <c r="Z422" s="75">
        <v>0</v>
      </c>
      <c r="AA422" s="75">
        <v>0</v>
      </c>
      <c r="AB422" s="75">
        <v>0</v>
      </c>
      <c r="AC422" s="75">
        <v>0</v>
      </c>
      <c r="AD422" s="75">
        <v>0</v>
      </c>
      <c r="AE422" s="75">
        <v>0</v>
      </c>
      <c r="AF422" s="75">
        <v>0</v>
      </c>
      <c r="AG422" s="75">
        <v>0</v>
      </c>
      <c r="AH422" s="75">
        <v>0</v>
      </c>
      <c r="AI422" s="75">
        <v>0</v>
      </c>
      <c r="AJ422" s="75">
        <v>0</v>
      </c>
      <c r="AK422" s="75">
        <v>0</v>
      </c>
      <c r="AL422" s="75">
        <v>0</v>
      </c>
      <c r="AM422" s="75">
        <v>0</v>
      </c>
      <c r="AN422" s="75">
        <v>0</v>
      </c>
      <c r="AO422" s="75">
        <v>0</v>
      </c>
      <c r="AP422" s="75">
        <v>0</v>
      </c>
      <c r="AQ422" s="75">
        <v>0</v>
      </c>
      <c r="AR422" s="75">
        <v>2</v>
      </c>
      <c r="AS422" s="75">
        <v>0</v>
      </c>
      <c r="AT422" s="75">
        <v>0</v>
      </c>
      <c r="AU422" s="75">
        <v>0</v>
      </c>
      <c r="AV422" s="75">
        <v>0</v>
      </c>
      <c r="AW422" s="75">
        <v>0</v>
      </c>
      <c r="AX422" s="75">
        <v>0</v>
      </c>
      <c r="AY422" s="75">
        <v>4</v>
      </c>
      <c r="AZ422" s="84">
        <v>3</v>
      </c>
      <c r="BA422" s="84">
        <v>6</v>
      </c>
      <c r="BB422" s="75">
        <v>0</v>
      </c>
      <c r="BC422" s="75">
        <v>0</v>
      </c>
      <c r="BD422" s="75">
        <v>0</v>
      </c>
      <c r="BE422" s="75">
        <v>0</v>
      </c>
      <c r="BF422" s="75">
        <v>0</v>
      </c>
      <c r="BG422" s="75">
        <v>0</v>
      </c>
      <c r="BH422" s="75">
        <v>0</v>
      </c>
      <c r="BI422" s="75" t="s">
        <v>254</v>
      </c>
      <c r="BJ422" s="75" t="s">
        <v>254</v>
      </c>
      <c r="BK422" s="75" t="s">
        <v>254</v>
      </c>
      <c r="BL422" s="75">
        <v>0</v>
      </c>
      <c r="BM422" s="75">
        <f t="shared" si="82"/>
        <v>0</v>
      </c>
      <c r="BN422" s="75">
        <f t="shared" si="83"/>
        <v>0</v>
      </c>
      <c r="BO422" s="75">
        <f t="shared" si="84"/>
        <v>15</v>
      </c>
      <c r="BP422" s="75">
        <f t="shared" si="85"/>
        <v>15</v>
      </c>
      <c r="BQ422" s="138" t="s">
        <v>363</v>
      </c>
      <c r="BR422" s="138" t="s">
        <v>363</v>
      </c>
      <c r="BS422" s="110" t="s">
        <v>539</v>
      </c>
      <c r="BT422" s="110">
        <v>0</v>
      </c>
      <c r="BU422" s="75">
        <v>0</v>
      </c>
      <c r="BV422" s="75" t="s">
        <v>627</v>
      </c>
    </row>
    <row r="423" spans="1:74" x14ac:dyDescent="0.75">
      <c r="C423">
        <v>1450</v>
      </c>
      <c r="D423" s="75" t="s">
        <v>357</v>
      </c>
      <c r="E423" s="75" t="s">
        <v>358</v>
      </c>
      <c r="F423" s="75" t="s">
        <v>359</v>
      </c>
      <c r="G423" s="75" t="s">
        <v>116</v>
      </c>
      <c r="H423">
        <v>18.3506</v>
      </c>
      <c r="I423">
        <v>-64.699183000000005</v>
      </c>
      <c r="J423" s="81">
        <v>45168</v>
      </c>
      <c r="K423" s="75" t="s">
        <v>627</v>
      </c>
      <c r="L423" t="s">
        <v>628</v>
      </c>
      <c r="M423" s="75">
        <v>0</v>
      </c>
      <c r="N423" s="75">
        <v>2</v>
      </c>
      <c r="O423" s="75" t="s">
        <v>362</v>
      </c>
      <c r="P423" s="88">
        <f>SUM(TreatmentUsed!E5284:E5300)</f>
        <v>209</v>
      </c>
      <c r="Q423" s="75">
        <v>0</v>
      </c>
      <c r="R423" s="75">
        <v>0</v>
      </c>
      <c r="S423" s="75">
        <v>0</v>
      </c>
      <c r="T423" s="75">
        <v>0</v>
      </c>
      <c r="U423" s="75">
        <v>0</v>
      </c>
      <c r="V423" s="75">
        <v>0</v>
      </c>
      <c r="W423" s="75">
        <v>0</v>
      </c>
      <c r="X423" s="75">
        <v>0</v>
      </c>
      <c r="Y423" s="75">
        <v>0</v>
      </c>
      <c r="Z423" s="75">
        <v>0</v>
      </c>
      <c r="AA423" s="75">
        <v>0</v>
      </c>
      <c r="AB423" s="75">
        <v>0</v>
      </c>
      <c r="AC423" s="75">
        <v>0</v>
      </c>
      <c r="AD423" s="75">
        <v>0</v>
      </c>
      <c r="AE423" s="75">
        <v>0</v>
      </c>
      <c r="AF423" s="75">
        <v>0</v>
      </c>
      <c r="AG423" s="75">
        <v>0</v>
      </c>
      <c r="AH423" s="75">
        <v>0</v>
      </c>
      <c r="AI423" s="75">
        <v>0</v>
      </c>
      <c r="AJ423" s="75">
        <v>0</v>
      </c>
      <c r="AK423" s="75">
        <v>0</v>
      </c>
      <c r="AL423" s="75">
        <v>0</v>
      </c>
      <c r="AM423" s="75">
        <v>0</v>
      </c>
      <c r="AN423" s="75">
        <v>0</v>
      </c>
      <c r="AO423" s="75">
        <v>0</v>
      </c>
      <c r="AP423" s="75">
        <v>0</v>
      </c>
      <c r="AQ423" s="75">
        <v>0</v>
      </c>
      <c r="AR423" s="84">
        <v>1</v>
      </c>
      <c r="AS423" s="75">
        <v>0</v>
      </c>
      <c r="AT423" s="75">
        <v>0</v>
      </c>
      <c r="AU423" s="75">
        <v>5</v>
      </c>
      <c r="AV423" s="75">
        <v>0</v>
      </c>
      <c r="AW423" s="75">
        <v>0</v>
      </c>
      <c r="AX423" s="75">
        <v>0</v>
      </c>
      <c r="AY423" s="84">
        <v>1</v>
      </c>
      <c r="AZ423" s="84">
        <v>1</v>
      </c>
      <c r="BA423" s="84">
        <v>6</v>
      </c>
      <c r="BB423" s="75">
        <v>0</v>
      </c>
      <c r="BC423" s="75">
        <v>2</v>
      </c>
      <c r="BD423" s="75">
        <v>0</v>
      </c>
      <c r="BE423" s="75">
        <v>0</v>
      </c>
      <c r="BF423" s="75">
        <v>1</v>
      </c>
      <c r="BG423" s="75">
        <v>0</v>
      </c>
      <c r="BH423" s="75">
        <v>0</v>
      </c>
      <c r="BI423" s="75" t="s">
        <v>254</v>
      </c>
      <c r="BJ423" s="75" t="s">
        <v>254</v>
      </c>
      <c r="BK423" s="75" t="s">
        <v>254</v>
      </c>
      <c r="BL423" s="75">
        <v>0</v>
      </c>
      <c r="BM423" s="75">
        <f t="shared" si="82"/>
        <v>0</v>
      </c>
      <c r="BN423" s="75">
        <f t="shared" si="83"/>
        <v>0</v>
      </c>
      <c r="BO423" s="75">
        <f t="shared" si="84"/>
        <v>17</v>
      </c>
      <c r="BP423" s="75">
        <f t="shared" si="85"/>
        <v>17</v>
      </c>
      <c r="BR423" s="294" t="s">
        <v>698</v>
      </c>
      <c r="BS423" s="110" t="s">
        <v>539</v>
      </c>
      <c r="BT423" s="110">
        <v>0</v>
      </c>
      <c r="BU423" s="75">
        <v>0</v>
      </c>
      <c r="BV423" s="75" t="s">
        <v>627</v>
      </c>
    </row>
    <row r="424" spans="1:74" x14ac:dyDescent="0.75">
      <c r="C424">
        <v>1451</v>
      </c>
      <c r="D424" s="75" t="s">
        <v>357</v>
      </c>
      <c r="E424" s="75" t="s">
        <v>358</v>
      </c>
      <c r="F424" s="75" t="s">
        <v>359</v>
      </c>
      <c r="G424" s="75" t="s">
        <v>116</v>
      </c>
      <c r="H424">
        <v>18.3506</v>
      </c>
      <c r="I424">
        <v>-64.699183000000005</v>
      </c>
      <c r="J424" s="121">
        <v>45169</v>
      </c>
      <c r="K424" s="75" t="s">
        <v>627</v>
      </c>
      <c r="L424" t="s">
        <v>628</v>
      </c>
      <c r="M424" s="75">
        <v>0</v>
      </c>
      <c r="N424" s="75">
        <v>2</v>
      </c>
      <c r="O424" s="75" t="s">
        <v>362</v>
      </c>
      <c r="P424" s="88">
        <f>SUM(TreatmentUsed!E5301:E5304)</f>
        <v>43</v>
      </c>
      <c r="Q424" s="75">
        <v>0</v>
      </c>
      <c r="R424" s="75">
        <v>0</v>
      </c>
      <c r="S424" s="75">
        <v>0</v>
      </c>
      <c r="T424" s="75">
        <v>0</v>
      </c>
      <c r="U424" s="75">
        <v>0</v>
      </c>
      <c r="V424" s="75">
        <v>0</v>
      </c>
      <c r="W424" s="75">
        <v>0</v>
      </c>
      <c r="X424" s="75">
        <v>0</v>
      </c>
      <c r="Y424" s="75">
        <v>0</v>
      </c>
      <c r="Z424" s="75">
        <v>0</v>
      </c>
      <c r="AA424" s="75">
        <v>0</v>
      </c>
      <c r="AB424" s="75">
        <v>0</v>
      </c>
      <c r="AC424" s="75">
        <v>0</v>
      </c>
      <c r="AD424" s="75">
        <v>0</v>
      </c>
      <c r="AE424" s="75">
        <v>0</v>
      </c>
      <c r="AF424" s="75">
        <v>0</v>
      </c>
      <c r="AG424" s="75">
        <v>0</v>
      </c>
      <c r="AH424" s="75">
        <v>0</v>
      </c>
      <c r="AI424" s="75">
        <v>0</v>
      </c>
      <c r="AJ424" s="75">
        <v>0</v>
      </c>
      <c r="AK424" s="75">
        <v>0</v>
      </c>
      <c r="AL424" s="75">
        <v>0</v>
      </c>
      <c r="AM424" s="75">
        <v>0</v>
      </c>
      <c r="AN424" s="75">
        <v>0</v>
      </c>
      <c r="AO424" s="75">
        <v>0</v>
      </c>
      <c r="AP424" s="75">
        <v>0</v>
      </c>
      <c r="AQ424" s="75">
        <v>0</v>
      </c>
      <c r="AR424" s="75">
        <v>0</v>
      </c>
      <c r="AS424" s="75">
        <v>0</v>
      </c>
      <c r="AT424" s="75">
        <v>0</v>
      </c>
      <c r="AU424" s="75">
        <v>1</v>
      </c>
      <c r="AV424" s="75">
        <v>0</v>
      </c>
      <c r="AW424" s="75">
        <v>0</v>
      </c>
      <c r="AX424" s="75">
        <v>0</v>
      </c>
      <c r="AY424" s="75">
        <v>0</v>
      </c>
      <c r="AZ424" s="75">
        <v>0</v>
      </c>
      <c r="BA424" s="75">
        <v>1</v>
      </c>
      <c r="BB424" s="75">
        <v>0</v>
      </c>
      <c r="BC424" s="75">
        <v>2</v>
      </c>
      <c r="BD424" s="75">
        <v>0</v>
      </c>
      <c r="BE424" s="75">
        <v>0</v>
      </c>
      <c r="BF424" s="75">
        <v>0</v>
      </c>
      <c r="BG424" s="75">
        <v>0</v>
      </c>
      <c r="BH424" s="75">
        <v>0</v>
      </c>
      <c r="BI424" s="75" t="s">
        <v>254</v>
      </c>
      <c r="BJ424" s="75" t="s">
        <v>254</v>
      </c>
      <c r="BK424" s="75" t="s">
        <v>254</v>
      </c>
      <c r="BL424" s="75">
        <v>0</v>
      </c>
      <c r="BM424" s="75">
        <f t="shared" si="82"/>
        <v>0</v>
      </c>
      <c r="BN424" s="75">
        <f t="shared" si="83"/>
        <v>0</v>
      </c>
      <c r="BO424" s="75">
        <f t="shared" si="84"/>
        <v>4</v>
      </c>
      <c r="BP424" s="75">
        <f t="shared" si="85"/>
        <v>4</v>
      </c>
      <c r="BQ424" s="85" t="s">
        <v>699</v>
      </c>
      <c r="BR424" s="252" t="s">
        <v>700</v>
      </c>
      <c r="BS424" s="110" t="s">
        <v>390</v>
      </c>
      <c r="BT424" s="110">
        <v>0</v>
      </c>
      <c r="BU424" s="75">
        <v>0</v>
      </c>
      <c r="BV424" s="75" t="s">
        <v>627</v>
      </c>
    </row>
    <row r="425" spans="1:74" x14ac:dyDescent="0.75">
      <c r="C425">
        <v>1452</v>
      </c>
      <c r="D425" s="75" t="s">
        <v>357</v>
      </c>
      <c r="E425" s="75" t="s">
        <v>358</v>
      </c>
      <c r="F425" s="75" t="s">
        <v>359</v>
      </c>
      <c r="G425" s="75" t="s">
        <v>116</v>
      </c>
      <c r="H425">
        <v>18.3506</v>
      </c>
      <c r="I425">
        <v>-64.699183000000005</v>
      </c>
      <c r="J425" s="121">
        <v>45169</v>
      </c>
      <c r="K425" s="75" t="s">
        <v>627</v>
      </c>
      <c r="L425" t="s">
        <v>628</v>
      </c>
      <c r="M425" s="75">
        <v>0</v>
      </c>
      <c r="N425" s="75">
        <v>2</v>
      </c>
      <c r="O425" s="75" t="s">
        <v>362</v>
      </c>
      <c r="P425" s="88">
        <f>SUM(TreatmentUsed!E5305:E5311)</f>
        <v>62</v>
      </c>
      <c r="Q425" s="75">
        <v>0</v>
      </c>
      <c r="R425" s="75">
        <v>0</v>
      </c>
      <c r="S425" s="75">
        <v>0</v>
      </c>
      <c r="T425" s="75">
        <v>0</v>
      </c>
      <c r="U425" s="75">
        <v>0</v>
      </c>
      <c r="V425" s="75">
        <v>0</v>
      </c>
      <c r="W425" s="75">
        <v>0</v>
      </c>
      <c r="X425" s="75">
        <v>0</v>
      </c>
      <c r="Y425" s="75">
        <v>0</v>
      </c>
      <c r="Z425" s="75">
        <v>0</v>
      </c>
      <c r="AA425" s="75">
        <v>0</v>
      </c>
      <c r="AB425" s="75">
        <v>0</v>
      </c>
      <c r="AC425" s="75">
        <v>0</v>
      </c>
      <c r="AD425" s="75">
        <v>0</v>
      </c>
      <c r="AE425" s="75">
        <v>0</v>
      </c>
      <c r="AF425" s="75">
        <v>0</v>
      </c>
      <c r="AG425" s="75">
        <v>0</v>
      </c>
      <c r="AH425" s="75">
        <v>0</v>
      </c>
      <c r="AI425" s="75">
        <v>0</v>
      </c>
      <c r="AJ425" s="75">
        <v>0</v>
      </c>
      <c r="AK425" s="75">
        <v>0</v>
      </c>
      <c r="AL425" s="75">
        <v>0</v>
      </c>
      <c r="AM425" s="75">
        <v>0</v>
      </c>
      <c r="AN425" s="75">
        <v>0</v>
      </c>
      <c r="AO425" s="75">
        <v>0</v>
      </c>
      <c r="AP425" s="75">
        <v>1</v>
      </c>
      <c r="AQ425" s="75">
        <v>0</v>
      </c>
      <c r="AR425" s="84">
        <v>1</v>
      </c>
      <c r="AS425" s="75">
        <v>0</v>
      </c>
      <c r="AT425" s="75">
        <v>0</v>
      </c>
      <c r="AU425" s="84">
        <v>1</v>
      </c>
      <c r="AV425" s="75">
        <v>0</v>
      </c>
      <c r="AW425" s="75">
        <v>0</v>
      </c>
      <c r="AX425" s="75">
        <v>0</v>
      </c>
      <c r="AY425" s="75">
        <v>0</v>
      </c>
      <c r="AZ425" s="75">
        <v>0</v>
      </c>
      <c r="BA425" s="75">
        <v>3</v>
      </c>
      <c r="BB425" s="75">
        <v>0</v>
      </c>
      <c r="BC425" s="75">
        <v>0</v>
      </c>
      <c r="BD425" s="75">
        <v>0</v>
      </c>
      <c r="BE425" s="75">
        <v>0</v>
      </c>
      <c r="BF425" s="75">
        <v>1</v>
      </c>
      <c r="BG425" s="75">
        <v>0</v>
      </c>
      <c r="BH425" s="75">
        <v>0</v>
      </c>
      <c r="BI425" s="75" t="s">
        <v>254</v>
      </c>
      <c r="BJ425" s="75" t="s">
        <v>254</v>
      </c>
      <c r="BK425" s="75" t="s">
        <v>254</v>
      </c>
      <c r="BL425" s="75">
        <v>0</v>
      </c>
      <c r="BM425" s="75">
        <f t="shared" si="82"/>
        <v>0</v>
      </c>
      <c r="BN425" s="75">
        <f t="shared" si="83"/>
        <v>0</v>
      </c>
      <c r="BO425" s="75">
        <f t="shared" si="84"/>
        <v>7</v>
      </c>
      <c r="BP425" s="75">
        <f t="shared" si="85"/>
        <v>7</v>
      </c>
      <c r="BQ425" s="80" t="s">
        <v>701</v>
      </c>
      <c r="BR425" s="252" t="s">
        <v>702</v>
      </c>
      <c r="BS425" s="110" t="s">
        <v>539</v>
      </c>
      <c r="BT425" s="110">
        <v>0</v>
      </c>
      <c r="BU425" s="75">
        <v>0</v>
      </c>
      <c r="BV425" s="75" t="s">
        <v>627</v>
      </c>
    </row>
    <row r="426" spans="1:74" x14ac:dyDescent="0.75">
      <c r="C426">
        <v>1453</v>
      </c>
      <c r="D426" s="75" t="s">
        <v>357</v>
      </c>
      <c r="E426" s="75" t="s">
        <v>358</v>
      </c>
      <c r="F426" s="75" t="s">
        <v>359</v>
      </c>
      <c r="G426" s="75" t="s">
        <v>116</v>
      </c>
      <c r="H426">
        <v>18.3506</v>
      </c>
      <c r="I426">
        <v>-64.699183000000005</v>
      </c>
      <c r="J426" s="121">
        <v>45169</v>
      </c>
      <c r="K426" s="75" t="s">
        <v>627</v>
      </c>
      <c r="L426" t="s">
        <v>628</v>
      </c>
      <c r="M426" s="75">
        <v>0</v>
      </c>
      <c r="N426" s="75">
        <v>2</v>
      </c>
      <c r="O426" s="75" t="s">
        <v>362</v>
      </c>
      <c r="P426" s="88">
        <f>TreatmentUsed!E5312</f>
        <v>3</v>
      </c>
      <c r="Q426" s="75">
        <v>577</v>
      </c>
      <c r="R426" s="75">
        <v>0</v>
      </c>
      <c r="S426" s="75">
        <v>0</v>
      </c>
      <c r="T426" s="75">
        <v>0</v>
      </c>
      <c r="U426" s="75">
        <v>0</v>
      </c>
      <c r="V426" s="75">
        <v>0</v>
      </c>
      <c r="W426" s="75">
        <v>0</v>
      </c>
      <c r="X426" s="75">
        <v>0</v>
      </c>
      <c r="Y426" s="75">
        <v>0</v>
      </c>
      <c r="Z426" s="75">
        <v>0</v>
      </c>
      <c r="AA426" s="75">
        <v>0</v>
      </c>
      <c r="AB426" s="75">
        <v>0</v>
      </c>
      <c r="AC426" s="75">
        <v>0</v>
      </c>
      <c r="AD426" s="75">
        <v>0</v>
      </c>
      <c r="AE426" s="75">
        <v>0</v>
      </c>
      <c r="AF426" s="75">
        <v>0</v>
      </c>
      <c r="AG426" s="75">
        <v>0</v>
      </c>
      <c r="AH426" s="75">
        <v>0</v>
      </c>
      <c r="AI426" s="75">
        <v>0</v>
      </c>
      <c r="AJ426" s="75">
        <v>0</v>
      </c>
      <c r="AK426" s="75">
        <v>0</v>
      </c>
      <c r="AL426" s="75">
        <v>0</v>
      </c>
      <c r="AM426" s="75">
        <v>0</v>
      </c>
      <c r="AN426" s="75">
        <v>0</v>
      </c>
      <c r="AO426" s="75">
        <v>0</v>
      </c>
      <c r="AP426" s="75">
        <v>0</v>
      </c>
      <c r="AQ426" s="75">
        <v>0</v>
      </c>
      <c r="AR426" s="75">
        <v>0</v>
      </c>
      <c r="AS426" s="75">
        <v>0</v>
      </c>
      <c r="AT426" s="75">
        <v>0</v>
      </c>
      <c r="AU426" s="75">
        <v>0</v>
      </c>
      <c r="AV426" s="75">
        <v>0</v>
      </c>
      <c r="AW426" s="75">
        <v>0</v>
      </c>
      <c r="AX426" s="75">
        <v>0</v>
      </c>
      <c r="AY426" s="75">
        <v>0</v>
      </c>
      <c r="AZ426" s="75">
        <v>0</v>
      </c>
      <c r="BA426" s="75">
        <v>0</v>
      </c>
      <c r="BB426" s="75">
        <v>0</v>
      </c>
      <c r="BC426" s="75">
        <v>0</v>
      </c>
      <c r="BD426" s="75">
        <v>0</v>
      </c>
      <c r="BE426" s="75">
        <v>0</v>
      </c>
      <c r="BF426" s="75">
        <v>1</v>
      </c>
      <c r="BG426" s="75">
        <v>0</v>
      </c>
      <c r="BH426" s="75">
        <v>0</v>
      </c>
      <c r="BI426" s="75" t="s">
        <v>254</v>
      </c>
      <c r="BJ426" s="75" t="s">
        <v>254</v>
      </c>
      <c r="BK426" s="75" t="s">
        <v>254</v>
      </c>
      <c r="BL426" s="75">
        <v>0</v>
      </c>
      <c r="BM426" s="75">
        <f t="shared" ref="BM426:BM439" si="88">SUM(R426:AD426)</f>
        <v>0</v>
      </c>
      <c r="BN426" s="75">
        <f t="shared" si="83"/>
        <v>0</v>
      </c>
      <c r="BO426" s="75">
        <f t="shared" ref="BO426:BO440" si="89">SUM(AO426:BH426)</f>
        <v>1</v>
      </c>
      <c r="BP426" s="75">
        <f t="shared" ref="BP426:BP443" si="90">SUM(BM426:BO426)</f>
        <v>1</v>
      </c>
      <c r="BR426" s="252" t="s">
        <v>703</v>
      </c>
      <c r="BS426" s="110" t="s">
        <v>539</v>
      </c>
      <c r="BT426" s="110">
        <v>0</v>
      </c>
      <c r="BU426" s="75">
        <v>0</v>
      </c>
      <c r="BV426" s="75" t="s">
        <v>627</v>
      </c>
    </row>
    <row r="427" spans="1:74" s="205" customFormat="1" x14ac:dyDescent="0.75">
      <c r="A427" s="232"/>
      <c r="B427" s="235"/>
      <c r="C427" s="205">
        <v>1454</v>
      </c>
      <c r="D427" s="225" t="s">
        <v>357</v>
      </c>
      <c r="E427" s="225" t="s">
        <v>358</v>
      </c>
      <c r="F427" s="225" t="s">
        <v>359</v>
      </c>
      <c r="G427" s="225" t="s">
        <v>116</v>
      </c>
      <c r="H427" s="205">
        <v>18.3506</v>
      </c>
      <c r="I427" s="205">
        <v>-64.699183000000005</v>
      </c>
      <c r="J427" s="238">
        <v>45174</v>
      </c>
      <c r="K427" s="225" t="s">
        <v>627</v>
      </c>
      <c r="L427" s="205" t="s">
        <v>628</v>
      </c>
      <c r="M427" s="225">
        <v>0</v>
      </c>
      <c r="N427" s="225">
        <v>4</v>
      </c>
      <c r="O427" s="225" t="s">
        <v>362</v>
      </c>
      <c r="P427" s="236">
        <f>SUM(TreatmentUsed!E5313:E5321)</f>
        <v>178</v>
      </c>
      <c r="Q427" s="225">
        <v>0</v>
      </c>
      <c r="R427" s="225">
        <v>0</v>
      </c>
      <c r="S427" s="225">
        <v>0</v>
      </c>
      <c r="T427" s="225">
        <v>0</v>
      </c>
      <c r="U427" s="225">
        <v>0</v>
      </c>
      <c r="V427" s="225">
        <v>0</v>
      </c>
      <c r="W427" s="225">
        <v>0</v>
      </c>
      <c r="X427" s="225">
        <v>0</v>
      </c>
      <c r="Y427" s="225">
        <v>0</v>
      </c>
      <c r="Z427" s="225">
        <v>0</v>
      </c>
      <c r="AA427" s="225">
        <v>0</v>
      </c>
      <c r="AB427" s="225">
        <v>0</v>
      </c>
      <c r="AC427" s="225">
        <v>0</v>
      </c>
      <c r="AD427" s="225">
        <v>0</v>
      </c>
      <c r="AE427" s="225">
        <v>0</v>
      </c>
      <c r="AF427" s="225">
        <v>0</v>
      </c>
      <c r="AG427" s="225">
        <v>0</v>
      </c>
      <c r="AH427" s="225">
        <v>0</v>
      </c>
      <c r="AI427" s="225">
        <v>0</v>
      </c>
      <c r="AJ427" s="225">
        <v>0</v>
      </c>
      <c r="AK427" s="225">
        <v>0</v>
      </c>
      <c r="AL427" s="225">
        <v>0</v>
      </c>
      <c r="AM427" s="225">
        <v>0</v>
      </c>
      <c r="AN427" s="225">
        <v>0</v>
      </c>
      <c r="AO427" s="225">
        <v>0</v>
      </c>
      <c r="AP427" s="225">
        <v>0</v>
      </c>
      <c r="AQ427" s="225">
        <v>0</v>
      </c>
      <c r="AR427" s="225">
        <v>0</v>
      </c>
      <c r="AS427" s="225">
        <v>0</v>
      </c>
      <c r="AT427" s="225">
        <v>0</v>
      </c>
      <c r="AU427" s="225">
        <v>0</v>
      </c>
      <c r="AV427" s="225">
        <v>0</v>
      </c>
      <c r="AW427" s="225">
        <v>0</v>
      </c>
      <c r="AX427" s="225">
        <v>1</v>
      </c>
      <c r="AY427" s="225">
        <v>3</v>
      </c>
      <c r="AZ427" s="233">
        <v>2</v>
      </c>
      <c r="BA427" s="233">
        <v>3</v>
      </c>
      <c r="BB427" s="225">
        <v>0</v>
      </c>
      <c r="BC427" s="225">
        <v>0</v>
      </c>
      <c r="BD427" s="225">
        <v>0</v>
      </c>
      <c r="BE427" s="225">
        <v>0</v>
      </c>
      <c r="BF427" s="225">
        <v>0</v>
      </c>
      <c r="BG427" s="225">
        <v>0</v>
      </c>
      <c r="BH427" s="225">
        <v>0</v>
      </c>
      <c r="BI427" s="225" t="s">
        <v>254</v>
      </c>
      <c r="BJ427" s="225" t="s">
        <v>254</v>
      </c>
      <c r="BK427" s="225" t="s">
        <v>254</v>
      </c>
      <c r="BL427" s="225">
        <v>0</v>
      </c>
      <c r="BM427" s="225">
        <f t="shared" si="88"/>
        <v>0</v>
      </c>
      <c r="BN427" s="225">
        <f t="shared" ref="BN427:BN440" si="91">SUM(AE427:AN427)</f>
        <v>0</v>
      </c>
      <c r="BO427" s="225">
        <f t="shared" si="89"/>
        <v>9</v>
      </c>
      <c r="BP427" s="225">
        <f t="shared" si="90"/>
        <v>9</v>
      </c>
      <c r="BQ427" s="229"/>
      <c r="BR427" s="249" t="s">
        <v>704</v>
      </c>
      <c r="BS427" s="230" t="s">
        <v>539</v>
      </c>
      <c r="BT427" s="230">
        <v>0</v>
      </c>
      <c r="BU427" s="225">
        <v>0</v>
      </c>
      <c r="BV427" s="225" t="s">
        <v>627</v>
      </c>
    </row>
    <row r="428" spans="1:74" x14ac:dyDescent="0.75">
      <c r="C428">
        <v>1455</v>
      </c>
      <c r="D428" s="75" t="s">
        <v>357</v>
      </c>
      <c r="E428" s="75" t="s">
        <v>358</v>
      </c>
      <c r="F428" s="75" t="s">
        <v>359</v>
      </c>
      <c r="G428" s="75" t="s">
        <v>87</v>
      </c>
      <c r="H428">
        <v>18.344638000854399</v>
      </c>
      <c r="I428">
        <v>-64.6839062927274</v>
      </c>
      <c r="J428" s="121">
        <v>45175</v>
      </c>
      <c r="K428" s="75" t="s">
        <v>628</v>
      </c>
      <c r="L428" t="s">
        <v>628</v>
      </c>
      <c r="M428" s="75">
        <v>0</v>
      </c>
      <c r="N428" s="75">
        <v>3</v>
      </c>
      <c r="O428" s="75" t="s">
        <v>362</v>
      </c>
      <c r="P428" s="88">
        <f>SUM(TreatmentUsed!E5322:E5325)</f>
        <v>40</v>
      </c>
      <c r="Q428" s="75">
        <v>0</v>
      </c>
      <c r="R428" s="75">
        <v>0</v>
      </c>
      <c r="S428" s="75">
        <v>0</v>
      </c>
      <c r="T428" s="75">
        <v>0</v>
      </c>
      <c r="U428" s="75">
        <v>0</v>
      </c>
      <c r="V428" s="75">
        <v>0</v>
      </c>
      <c r="W428" s="75">
        <v>0</v>
      </c>
      <c r="X428" s="75">
        <v>0</v>
      </c>
      <c r="Y428" s="75">
        <v>0</v>
      </c>
      <c r="Z428" s="75">
        <v>0</v>
      </c>
      <c r="AA428" s="75">
        <v>0</v>
      </c>
      <c r="AB428" s="75">
        <v>0</v>
      </c>
      <c r="AC428" s="75">
        <v>0</v>
      </c>
      <c r="AD428" s="75">
        <v>0</v>
      </c>
      <c r="AE428" s="75">
        <v>0</v>
      </c>
      <c r="AF428" s="75">
        <v>0</v>
      </c>
      <c r="AG428" s="75">
        <v>0</v>
      </c>
      <c r="AH428" s="75">
        <v>0</v>
      </c>
      <c r="AI428" s="75">
        <v>0</v>
      </c>
      <c r="AJ428" s="75">
        <v>0</v>
      </c>
      <c r="AK428" s="75">
        <v>0</v>
      </c>
      <c r="AL428" s="75">
        <v>0</v>
      </c>
      <c r="AM428" s="75">
        <v>0</v>
      </c>
      <c r="AN428" s="75">
        <v>0</v>
      </c>
      <c r="AO428" s="75">
        <v>0</v>
      </c>
      <c r="AP428" s="75">
        <v>0</v>
      </c>
      <c r="AQ428" s="75">
        <v>0</v>
      </c>
      <c r="AR428" s="75">
        <v>1</v>
      </c>
      <c r="AS428" s="75">
        <v>0</v>
      </c>
      <c r="AT428" s="75">
        <v>0</v>
      </c>
      <c r="AU428" s="75">
        <v>0</v>
      </c>
      <c r="AV428" s="75">
        <v>0</v>
      </c>
      <c r="AW428" s="75">
        <v>0</v>
      </c>
      <c r="AX428" s="75">
        <v>0</v>
      </c>
      <c r="AY428" s="75">
        <v>0</v>
      </c>
      <c r="AZ428" s="75">
        <v>1</v>
      </c>
      <c r="BA428" s="75">
        <v>2</v>
      </c>
      <c r="BB428" s="75">
        <v>0</v>
      </c>
      <c r="BC428" s="75">
        <v>0</v>
      </c>
      <c r="BD428" s="75">
        <v>0</v>
      </c>
      <c r="BE428" s="75">
        <v>0</v>
      </c>
      <c r="BF428" s="75">
        <v>0</v>
      </c>
      <c r="BG428" s="75">
        <v>0</v>
      </c>
      <c r="BH428" s="75">
        <v>0</v>
      </c>
      <c r="BI428" s="75" t="s">
        <v>254</v>
      </c>
      <c r="BJ428" s="75" t="s">
        <v>254</v>
      </c>
      <c r="BK428" s="75" t="s">
        <v>254</v>
      </c>
      <c r="BL428" s="75">
        <v>0</v>
      </c>
      <c r="BM428" s="75">
        <f>SUM(R428:AD428)</f>
        <v>0</v>
      </c>
      <c r="BN428" s="75">
        <f>SUM(AE428:AN428)</f>
        <v>0</v>
      </c>
      <c r="BO428" s="75">
        <f>SUM(AO428:BH428)</f>
        <v>4</v>
      </c>
      <c r="BP428" s="75">
        <f>SUM(BM428:BO428)</f>
        <v>4</v>
      </c>
      <c r="BQ428" s="138" t="s">
        <v>363</v>
      </c>
      <c r="BR428" s="138" t="s">
        <v>363</v>
      </c>
      <c r="BS428" s="110" t="s">
        <v>539</v>
      </c>
      <c r="BT428" s="110">
        <v>0</v>
      </c>
      <c r="BU428" s="75">
        <v>0</v>
      </c>
      <c r="BV428" s="75" t="s">
        <v>628</v>
      </c>
    </row>
    <row r="429" spans="1:74" x14ac:dyDescent="0.75">
      <c r="C429">
        <v>1456</v>
      </c>
      <c r="D429" s="75" t="s">
        <v>357</v>
      </c>
      <c r="E429" s="75" t="s">
        <v>358</v>
      </c>
      <c r="F429" s="75" t="s">
        <v>359</v>
      </c>
      <c r="G429" s="75" t="s">
        <v>87</v>
      </c>
      <c r="H429">
        <v>18.344638000854399</v>
      </c>
      <c r="I429">
        <v>-64.6839062927274</v>
      </c>
      <c r="J429" s="121">
        <v>45175</v>
      </c>
      <c r="K429" s="75" t="s">
        <v>628</v>
      </c>
      <c r="L429" t="s">
        <v>628</v>
      </c>
      <c r="M429" s="75">
        <v>0</v>
      </c>
      <c r="N429" s="75">
        <v>3</v>
      </c>
      <c r="O429" s="75" t="s">
        <v>362</v>
      </c>
      <c r="P429" s="88">
        <f>SUM(TreatmentUsed!E5328:E5334)</f>
        <v>108</v>
      </c>
      <c r="Q429" s="75">
        <v>0</v>
      </c>
      <c r="R429" s="75">
        <v>0</v>
      </c>
      <c r="S429" s="75">
        <v>0</v>
      </c>
      <c r="T429" s="75">
        <v>0</v>
      </c>
      <c r="U429" s="75">
        <v>0</v>
      </c>
      <c r="V429" s="75">
        <v>0</v>
      </c>
      <c r="W429" s="75">
        <v>0</v>
      </c>
      <c r="X429" s="75">
        <v>0</v>
      </c>
      <c r="Y429" s="75">
        <v>0</v>
      </c>
      <c r="Z429" s="75">
        <v>0</v>
      </c>
      <c r="AA429" s="75">
        <v>0</v>
      </c>
      <c r="AB429" s="75">
        <v>0</v>
      </c>
      <c r="AC429" s="75">
        <v>0</v>
      </c>
      <c r="AD429" s="75">
        <v>0</v>
      </c>
      <c r="AE429" s="75">
        <v>0</v>
      </c>
      <c r="AF429" s="75">
        <v>0</v>
      </c>
      <c r="AG429" s="75">
        <v>0</v>
      </c>
      <c r="AH429" s="75">
        <v>0</v>
      </c>
      <c r="AI429" s="75">
        <v>0</v>
      </c>
      <c r="AJ429" s="75">
        <v>0</v>
      </c>
      <c r="AK429" s="75">
        <v>0</v>
      </c>
      <c r="AL429" s="75">
        <v>0</v>
      </c>
      <c r="AM429" s="75">
        <v>0</v>
      </c>
      <c r="AN429" s="75">
        <v>0</v>
      </c>
      <c r="AO429" s="75">
        <v>0</v>
      </c>
      <c r="AP429" s="75">
        <v>0</v>
      </c>
      <c r="AQ429" s="75">
        <v>0</v>
      </c>
      <c r="AR429" s="75">
        <v>0</v>
      </c>
      <c r="AS429" s="75">
        <v>0</v>
      </c>
      <c r="AT429" s="75">
        <v>0</v>
      </c>
      <c r="AU429" s="75">
        <v>0</v>
      </c>
      <c r="AV429" s="75">
        <v>0</v>
      </c>
      <c r="AW429" s="75">
        <v>0</v>
      </c>
      <c r="AX429" s="75">
        <v>0</v>
      </c>
      <c r="AY429" s="75">
        <v>0</v>
      </c>
      <c r="AZ429" s="75">
        <v>2</v>
      </c>
      <c r="BA429" s="75">
        <v>5</v>
      </c>
      <c r="BB429" s="75">
        <v>0</v>
      </c>
      <c r="BC429" s="75">
        <v>0</v>
      </c>
      <c r="BD429" s="75">
        <v>0</v>
      </c>
      <c r="BE429" s="75">
        <v>0</v>
      </c>
      <c r="BF429" s="75">
        <v>0</v>
      </c>
      <c r="BG429" s="75">
        <v>0</v>
      </c>
      <c r="BH429" s="75">
        <v>0</v>
      </c>
      <c r="BI429" s="75" t="s">
        <v>254</v>
      </c>
      <c r="BJ429" s="75" t="s">
        <v>254</v>
      </c>
      <c r="BK429" s="75" t="s">
        <v>254</v>
      </c>
      <c r="BL429" s="75">
        <v>0</v>
      </c>
      <c r="BM429" s="75">
        <f>SUM(R429:AD429)</f>
        <v>0</v>
      </c>
      <c r="BN429" s="75">
        <f>SUM(AE429:AN429)</f>
        <v>0</v>
      </c>
      <c r="BO429" s="75">
        <f>SUM(AO429:BH429)</f>
        <v>7</v>
      </c>
      <c r="BP429" s="75">
        <f>SUM(BM429:BO429)</f>
        <v>7</v>
      </c>
      <c r="BQ429" s="138" t="s">
        <v>363</v>
      </c>
      <c r="BR429" s="138" t="s">
        <v>363</v>
      </c>
      <c r="BS429" s="110" t="s">
        <v>539</v>
      </c>
      <c r="BT429" s="110">
        <v>0</v>
      </c>
      <c r="BU429" s="75">
        <v>0</v>
      </c>
      <c r="BV429" s="75" t="s">
        <v>628</v>
      </c>
    </row>
    <row r="430" spans="1:74" x14ac:dyDescent="0.75">
      <c r="C430">
        <v>1457</v>
      </c>
      <c r="D430" s="75" t="s">
        <v>357</v>
      </c>
      <c r="E430" s="75" t="s">
        <v>358</v>
      </c>
      <c r="F430" s="75" t="s">
        <v>359</v>
      </c>
      <c r="G430" s="75" t="s">
        <v>116</v>
      </c>
      <c r="H430">
        <v>18.3506</v>
      </c>
      <c r="I430">
        <v>-64.699183000000005</v>
      </c>
      <c r="J430" s="121">
        <v>45175</v>
      </c>
      <c r="K430" s="75" t="s">
        <v>627</v>
      </c>
      <c r="L430" t="s">
        <v>628</v>
      </c>
      <c r="M430" s="75">
        <v>0</v>
      </c>
      <c r="N430" s="75">
        <v>3</v>
      </c>
      <c r="O430" s="75" t="s">
        <v>362</v>
      </c>
      <c r="P430" s="88">
        <f>SUM(TreatmentUsed!E5326:E5327)</f>
        <v>45</v>
      </c>
      <c r="Q430" s="75">
        <v>82</v>
      </c>
      <c r="R430" s="75">
        <v>0</v>
      </c>
      <c r="S430" s="75">
        <v>0</v>
      </c>
      <c r="T430" s="75">
        <v>0</v>
      </c>
      <c r="U430" s="75">
        <v>0</v>
      </c>
      <c r="V430" s="75">
        <v>0</v>
      </c>
      <c r="W430" s="75">
        <v>0</v>
      </c>
      <c r="X430" s="75">
        <v>0</v>
      </c>
      <c r="Y430" s="75">
        <v>0</v>
      </c>
      <c r="Z430" s="75">
        <v>0</v>
      </c>
      <c r="AA430" s="75">
        <v>0</v>
      </c>
      <c r="AB430" s="75">
        <v>0</v>
      </c>
      <c r="AC430" s="75">
        <v>0</v>
      </c>
      <c r="AD430" s="75">
        <v>0</v>
      </c>
      <c r="AE430" s="75">
        <v>0</v>
      </c>
      <c r="AF430" s="75">
        <v>0</v>
      </c>
      <c r="AG430" s="75">
        <v>0</v>
      </c>
      <c r="AH430" s="75">
        <v>0</v>
      </c>
      <c r="AI430" s="75">
        <v>0</v>
      </c>
      <c r="AJ430" s="75">
        <v>0</v>
      </c>
      <c r="AK430" s="75">
        <v>0</v>
      </c>
      <c r="AL430" s="75">
        <v>0</v>
      </c>
      <c r="AM430" s="75">
        <v>0</v>
      </c>
      <c r="AN430" s="75">
        <v>0</v>
      </c>
      <c r="AO430" s="75">
        <v>0</v>
      </c>
      <c r="AP430" s="75">
        <v>0</v>
      </c>
      <c r="AQ430" s="75">
        <v>0</v>
      </c>
      <c r="AR430" s="75">
        <v>0</v>
      </c>
      <c r="AS430" s="75">
        <v>0</v>
      </c>
      <c r="AT430" s="75">
        <v>0</v>
      </c>
      <c r="AU430" s="75">
        <v>0</v>
      </c>
      <c r="AV430" s="75">
        <v>0</v>
      </c>
      <c r="AW430" s="75">
        <v>0</v>
      </c>
      <c r="AX430" s="75">
        <v>0</v>
      </c>
      <c r="AY430" s="84">
        <v>1</v>
      </c>
      <c r="AZ430" s="75">
        <v>0</v>
      </c>
      <c r="BA430" s="84">
        <v>1</v>
      </c>
      <c r="BB430" s="75">
        <v>0</v>
      </c>
      <c r="BC430" s="75">
        <v>0</v>
      </c>
      <c r="BD430" s="75">
        <v>0</v>
      </c>
      <c r="BE430" s="75">
        <v>0</v>
      </c>
      <c r="BF430" s="75">
        <v>0</v>
      </c>
      <c r="BG430" s="75">
        <v>0</v>
      </c>
      <c r="BH430" s="75">
        <v>0</v>
      </c>
      <c r="BI430" s="75" t="s">
        <v>254</v>
      </c>
      <c r="BJ430" s="75" t="s">
        <v>254</v>
      </c>
      <c r="BK430" s="75" t="s">
        <v>254</v>
      </c>
      <c r="BL430" s="75">
        <v>0</v>
      </c>
      <c r="BM430" s="75">
        <f t="shared" si="88"/>
        <v>0</v>
      </c>
      <c r="BN430" s="75">
        <f t="shared" si="91"/>
        <v>0</v>
      </c>
      <c r="BO430" s="75">
        <f t="shared" si="89"/>
        <v>2</v>
      </c>
      <c r="BP430" s="75">
        <f t="shared" si="90"/>
        <v>2</v>
      </c>
      <c r="BR430" s="138">
        <v>912</v>
      </c>
      <c r="BS430" s="110" t="s">
        <v>539</v>
      </c>
      <c r="BT430" s="110">
        <v>0</v>
      </c>
      <c r="BU430" s="75">
        <v>0</v>
      </c>
      <c r="BV430" s="75" t="s">
        <v>627</v>
      </c>
    </row>
    <row r="431" spans="1:74" x14ac:dyDescent="0.75">
      <c r="C431">
        <v>1458</v>
      </c>
      <c r="D431" s="75" t="s">
        <v>357</v>
      </c>
      <c r="E431" s="75" t="s">
        <v>358</v>
      </c>
      <c r="F431" s="75" t="s">
        <v>359</v>
      </c>
      <c r="G431" s="75" t="s">
        <v>127</v>
      </c>
      <c r="H431" s="84"/>
      <c r="I431" s="84"/>
      <c r="J431" s="121">
        <v>45181</v>
      </c>
      <c r="K431" s="75" t="s">
        <v>628</v>
      </c>
      <c r="L431" s="75" t="s">
        <v>374</v>
      </c>
      <c r="M431" s="75">
        <v>0</v>
      </c>
      <c r="N431" s="75">
        <v>3</v>
      </c>
      <c r="O431" s="75" t="s">
        <v>362</v>
      </c>
      <c r="P431" s="88">
        <f>SUM(TreatmentUsed!E5335:E5359)</f>
        <v>303</v>
      </c>
      <c r="Q431" s="75">
        <v>0</v>
      </c>
      <c r="R431" s="75">
        <v>0</v>
      </c>
      <c r="S431" s="75">
        <v>0</v>
      </c>
      <c r="T431" s="75">
        <v>0</v>
      </c>
      <c r="U431" s="75">
        <v>0</v>
      </c>
      <c r="V431" s="75">
        <v>0</v>
      </c>
      <c r="W431" s="75">
        <v>0</v>
      </c>
      <c r="X431" s="75">
        <v>0</v>
      </c>
      <c r="Y431" s="75">
        <v>0</v>
      </c>
      <c r="Z431" s="75">
        <v>0</v>
      </c>
      <c r="AA431" s="75">
        <v>0</v>
      </c>
      <c r="AB431" s="75">
        <v>0</v>
      </c>
      <c r="AC431" s="75">
        <v>0</v>
      </c>
      <c r="AD431" s="75">
        <v>0</v>
      </c>
      <c r="AE431" s="75">
        <v>0</v>
      </c>
      <c r="AF431" s="75">
        <v>0</v>
      </c>
      <c r="AG431" s="75">
        <v>0</v>
      </c>
      <c r="AH431" s="75">
        <v>0</v>
      </c>
      <c r="AI431" s="75">
        <v>0</v>
      </c>
      <c r="AJ431" s="75">
        <v>0</v>
      </c>
      <c r="AK431" s="75">
        <v>0</v>
      </c>
      <c r="AL431" s="75">
        <v>0</v>
      </c>
      <c r="AM431" s="75">
        <v>0</v>
      </c>
      <c r="AN431" s="75">
        <v>0</v>
      </c>
      <c r="AO431" s="75">
        <v>0</v>
      </c>
      <c r="AP431" s="75">
        <v>0</v>
      </c>
      <c r="AQ431" s="75">
        <v>0</v>
      </c>
      <c r="AR431" s="75">
        <v>1</v>
      </c>
      <c r="AS431" s="75">
        <v>0</v>
      </c>
      <c r="AT431" s="75">
        <v>0</v>
      </c>
      <c r="AU431" s="75">
        <v>0</v>
      </c>
      <c r="AV431" s="75">
        <v>0</v>
      </c>
      <c r="AW431" s="75">
        <v>0</v>
      </c>
      <c r="AX431" s="75">
        <v>0</v>
      </c>
      <c r="AY431" s="84">
        <v>8</v>
      </c>
      <c r="AZ431" s="84">
        <v>7</v>
      </c>
      <c r="BA431" s="84">
        <v>6</v>
      </c>
      <c r="BB431" s="75">
        <v>0</v>
      </c>
      <c r="BC431" s="75">
        <v>1</v>
      </c>
      <c r="BD431" s="75">
        <v>0</v>
      </c>
      <c r="BE431" s="75">
        <v>0</v>
      </c>
      <c r="BF431" s="75">
        <v>2</v>
      </c>
      <c r="BG431" s="75">
        <v>0</v>
      </c>
      <c r="BH431" s="75">
        <v>0</v>
      </c>
      <c r="BI431" s="75" t="s">
        <v>254</v>
      </c>
      <c r="BJ431" s="75" t="s">
        <v>254</v>
      </c>
      <c r="BK431" s="75" t="s">
        <v>254</v>
      </c>
      <c r="BL431" s="75">
        <v>0</v>
      </c>
      <c r="BM431" s="75">
        <f t="shared" si="88"/>
        <v>0</v>
      </c>
      <c r="BN431" s="75">
        <f t="shared" si="91"/>
        <v>0</v>
      </c>
      <c r="BO431" s="75">
        <f t="shared" si="89"/>
        <v>25</v>
      </c>
      <c r="BP431" s="75">
        <f t="shared" si="90"/>
        <v>25</v>
      </c>
      <c r="BQ431" s="80" t="s">
        <v>705</v>
      </c>
      <c r="BR431" s="85" t="s">
        <v>363</v>
      </c>
      <c r="BS431" s="110" t="s">
        <v>539</v>
      </c>
      <c r="BT431" s="110">
        <v>1</v>
      </c>
      <c r="BU431" s="75">
        <v>0</v>
      </c>
      <c r="BV431" s="75" t="s">
        <v>628</v>
      </c>
    </row>
    <row r="432" spans="1:74" x14ac:dyDescent="0.75">
      <c r="C432">
        <v>1459</v>
      </c>
      <c r="D432" s="75" t="s">
        <v>357</v>
      </c>
      <c r="E432" s="75" t="s">
        <v>358</v>
      </c>
      <c r="F432" s="75" t="s">
        <v>359</v>
      </c>
      <c r="G432" s="75" t="s">
        <v>124</v>
      </c>
      <c r="H432" s="84"/>
      <c r="I432" s="84"/>
      <c r="J432" s="121">
        <v>45181</v>
      </c>
      <c r="K432" s="75" t="s">
        <v>628</v>
      </c>
      <c r="L432" s="75" t="s">
        <v>374</v>
      </c>
      <c r="M432" s="75">
        <v>0</v>
      </c>
      <c r="N432" s="75">
        <v>3</v>
      </c>
      <c r="O432" s="75" t="s">
        <v>362</v>
      </c>
      <c r="P432" s="88">
        <f>SUM(TreatmentUsed!E5360:E5367)</f>
        <v>72</v>
      </c>
      <c r="Q432" s="75">
        <v>0</v>
      </c>
      <c r="R432" s="75">
        <v>0</v>
      </c>
      <c r="S432" s="75">
        <v>0</v>
      </c>
      <c r="T432" s="75">
        <v>0</v>
      </c>
      <c r="U432" s="75">
        <v>0</v>
      </c>
      <c r="V432" s="75">
        <v>0</v>
      </c>
      <c r="W432" s="75">
        <v>0</v>
      </c>
      <c r="X432" s="75">
        <v>0</v>
      </c>
      <c r="Y432" s="75">
        <v>0</v>
      </c>
      <c r="Z432" s="75">
        <v>0</v>
      </c>
      <c r="AA432" s="75">
        <v>0</v>
      </c>
      <c r="AB432" s="75">
        <v>0</v>
      </c>
      <c r="AC432" s="75">
        <v>0</v>
      </c>
      <c r="AD432" s="75">
        <v>0</v>
      </c>
      <c r="AE432" s="75">
        <v>0</v>
      </c>
      <c r="AF432" s="75">
        <v>0</v>
      </c>
      <c r="AG432" s="75">
        <v>0</v>
      </c>
      <c r="AH432" s="75">
        <v>0</v>
      </c>
      <c r="AI432" s="75">
        <v>0</v>
      </c>
      <c r="AJ432" s="75">
        <v>0</v>
      </c>
      <c r="AK432" s="75">
        <v>0</v>
      </c>
      <c r="AL432" s="75">
        <v>0</v>
      </c>
      <c r="AM432" s="75">
        <v>0</v>
      </c>
      <c r="AN432" s="75">
        <v>0</v>
      </c>
      <c r="AO432" s="75">
        <v>0</v>
      </c>
      <c r="AP432" s="75">
        <v>0</v>
      </c>
      <c r="AQ432" s="75">
        <v>0</v>
      </c>
      <c r="AR432" s="75">
        <v>0</v>
      </c>
      <c r="AS432" s="75">
        <v>1</v>
      </c>
      <c r="AT432" s="75">
        <v>0</v>
      </c>
      <c r="AU432" s="75">
        <v>0</v>
      </c>
      <c r="AV432" s="75">
        <v>0</v>
      </c>
      <c r="AW432" s="75">
        <v>0</v>
      </c>
      <c r="AX432" s="75">
        <v>0</v>
      </c>
      <c r="AY432" s="84">
        <v>1</v>
      </c>
      <c r="AZ432" s="75">
        <v>2</v>
      </c>
      <c r="BA432" s="84">
        <v>0</v>
      </c>
      <c r="BB432" s="75">
        <v>0</v>
      </c>
      <c r="BC432" s="75">
        <v>0</v>
      </c>
      <c r="BD432" s="75">
        <v>0</v>
      </c>
      <c r="BE432" s="75">
        <v>0</v>
      </c>
      <c r="BF432" s="75">
        <v>2</v>
      </c>
      <c r="BG432" s="75">
        <v>0</v>
      </c>
      <c r="BH432" s="75">
        <v>2</v>
      </c>
      <c r="BI432" s="75" t="s">
        <v>254</v>
      </c>
      <c r="BJ432" s="75" t="s">
        <v>254</v>
      </c>
      <c r="BK432" s="75" t="s">
        <v>254</v>
      </c>
      <c r="BL432" s="75">
        <v>0</v>
      </c>
      <c r="BM432" s="75">
        <f t="shared" si="88"/>
        <v>0</v>
      </c>
      <c r="BN432" s="75">
        <f t="shared" si="91"/>
        <v>0</v>
      </c>
      <c r="BO432" s="75">
        <f t="shared" si="89"/>
        <v>8</v>
      </c>
      <c r="BP432" s="75">
        <f t="shared" si="90"/>
        <v>8</v>
      </c>
      <c r="BQ432" s="80" t="s">
        <v>706</v>
      </c>
      <c r="BR432" s="85" t="s">
        <v>363</v>
      </c>
      <c r="BS432" s="110" t="s">
        <v>539</v>
      </c>
      <c r="BT432" s="110">
        <v>0</v>
      </c>
      <c r="BU432" s="75">
        <v>0</v>
      </c>
      <c r="BV432" s="75" t="s">
        <v>628</v>
      </c>
    </row>
    <row r="433" spans="1:74" x14ac:dyDescent="0.75">
      <c r="C433">
        <v>1460</v>
      </c>
      <c r="D433" s="75" t="s">
        <v>357</v>
      </c>
      <c r="E433" s="75" t="s">
        <v>358</v>
      </c>
      <c r="F433" s="75" t="s">
        <v>359</v>
      </c>
      <c r="G433" s="75" t="s">
        <v>127</v>
      </c>
      <c r="H433" s="84"/>
      <c r="I433" s="84"/>
      <c r="J433" s="121">
        <v>45183</v>
      </c>
      <c r="K433" s="75" t="s">
        <v>628</v>
      </c>
      <c r="L433" s="75" t="s">
        <v>374</v>
      </c>
      <c r="M433" s="75">
        <v>0</v>
      </c>
      <c r="N433" s="75">
        <v>2</v>
      </c>
      <c r="O433" s="75" t="s">
        <v>362</v>
      </c>
      <c r="P433" s="88">
        <f>SUM(TreatmentUsed!E5368:E5385)</f>
        <v>244</v>
      </c>
      <c r="Q433" s="75">
        <v>0</v>
      </c>
      <c r="R433" s="75">
        <v>0</v>
      </c>
      <c r="S433" s="75">
        <v>0</v>
      </c>
      <c r="T433" s="75">
        <v>0</v>
      </c>
      <c r="U433" s="75">
        <v>0</v>
      </c>
      <c r="V433" s="75">
        <v>0</v>
      </c>
      <c r="W433" s="75">
        <v>0</v>
      </c>
      <c r="X433" s="75">
        <v>0</v>
      </c>
      <c r="Y433" s="75">
        <v>0</v>
      </c>
      <c r="Z433" s="75">
        <v>0</v>
      </c>
      <c r="AA433" s="75">
        <v>0</v>
      </c>
      <c r="AB433" s="75">
        <v>0</v>
      </c>
      <c r="AC433" s="75">
        <v>0</v>
      </c>
      <c r="AD433" s="75">
        <v>0</v>
      </c>
      <c r="AE433" s="75">
        <v>0</v>
      </c>
      <c r="AF433" s="75">
        <v>0</v>
      </c>
      <c r="AG433" s="75">
        <v>0</v>
      </c>
      <c r="AH433" s="75">
        <v>0</v>
      </c>
      <c r="AI433" s="75">
        <v>0</v>
      </c>
      <c r="AJ433" s="75">
        <v>0</v>
      </c>
      <c r="AK433" s="75">
        <v>0</v>
      </c>
      <c r="AL433" s="75">
        <v>0</v>
      </c>
      <c r="AM433" s="75">
        <v>0</v>
      </c>
      <c r="AN433" s="75">
        <v>0</v>
      </c>
      <c r="AO433" s="75">
        <v>0</v>
      </c>
      <c r="AP433" s="75">
        <v>0</v>
      </c>
      <c r="AQ433" s="75">
        <v>0</v>
      </c>
      <c r="AR433" s="75">
        <v>0</v>
      </c>
      <c r="AS433" s="75">
        <v>0</v>
      </c>
      <c r="AT433" s="75">
        <v>0</v>
      </c>
      <c r="AU433" s="75">
        <v>2</v>
      </c>
      <c r="AV433" s="75">
        <v>0</v>
      </c>
      <c r="AW433" s="75">
        <v>0</v>
      </c>
      <c r="AX433" s="75">
        <v>0</v>
      </c>
      <c r="AY433" s="84">
        <v>11</v>
      </c>
      <c r="AZ433" s="75">
        <v>0</v>
      </c>
      <c r="BA433" s="84">
        <v>3</v>
      </c>
      <c r="BB433" s="75">
        <v>0</v>
      </c>
      <c r="BC433" s="75">
        <v>0</v>
      </c>
      <c r="BD433" s="75">
        <v>0</v>
      </c>
      <c r="BE433" s="75">
        <v>0</v>
      </c>
      <c r="BF433" s="75">
        <v>1</v>
      </c>
      <c r="BG433" s="75">
        <v>0</v>
      </c>
      <c r="BH433" s="75">
        <v>1</v>
      </c>
      <c r="BI433" s="75" t="s">
        <v>254</v>
      </c>
      <c r="BJ433" s="75" t="s">
        <v>254</v>
      </c>
      <c r="BK433" s="75" t="s">
        <v>254</v>
      </c>
      <c r="BL433" s="75">
        <v>0</v>
      </c>
      <c r="BM433" s="75">
        <f t="shared" si="88"/>
        <v>0</v>
      </c>
      <c r="BN433" s="75">
        <f t="shared" si="91"/>
        <v>0</v>
      </c>
      <c r="BO433" s="75">
        <f t="shared" si="89"/>
        <v>18</v>
      </c>
      <c r="BP433" s="75">
        <f t="shared" si="90"/>
        <v>18</v>
      </c>
      <c r="BQ433" s="80" t="s">
        <v>707</v>
      </c>
      <c r="BR433" s="85" t="s">
        <v>363</v>
      </c>
      <c r="BS433" s="110" t="s">
        <v>539</v>
      </c>
      <c r="BT433" s="110">
        <v>0</v>
      </c>
      <c r="BU433" s="75">
        <v>0</v>
      </c>
      <c r="BV433" s="75" t="s">
        <v>628</v>
      </c>
    </row>
    <row r="434" spans="1:74" x14ac:dyDescent="0.75">
      <c r="C434">
        <v>1461</v>
      </c>
      <c r="D434" s="75" t="s">
        <v>357</v>
      </c>
      <c r="E434" s="75" t="s">
        <v>358</v>
      </c>
      <c r="F434" s="75" t="s">
        <v>359</v>
      </c>
      <c r="G434" s="75" t="s">
        <v>124</v>
      </c>
      <c r="H434" s="84"/>
      <c r="I434" s="84"/>
      <c r="J434" s="121">
        <v>45183</v>
      </c>
      <c r="K434" s="75" t="s">
        <v>628</v>
      </c>
      <c r="L434" s="75" t="s">
        <v>374</v>
      </c>
      <c r="M434" s="75">
        <v>0</v>
      </c>
      <c r="N434" s="75">
        <v>2</v>
      </c>
      <c r="O434" s="75" t="s">
        <v>362</v>
      </c>
      <c r="P434" s="88">
        <f>SUM(TreatmentUsed!E5386:E5403)</f>
        <v>359</v>
      </c>
      <c r="Q434" s="75">
        <v>0</v>
      </c>
      <c r="R434" s="75">
        <v>0</v>
      </c>
      <c r="S434" s="75">
        <v>0</v>
      </c>
      <c r="T434" s="75">
        <v>0</v>
      </c>
      <c r="U434" s="75">
        <v>0</v>
      </c>
      <c r="V434" s="75">
        <v>0</v>
      </c>
      <c r="W434" s="75">
        <v>0</v>
      </c>
      <c r="X434" s="75">
        <v>0</v>
      </c>
      <c r="Y434" s="75">
        <v>0</v>
      </c>
      <c r="Z434" s="75">
        <v>0</v>
      </c>
      <c r="AA434" s="75">
        <v>0</v>
      </c>
      <c r="AB434" s="75">
        <v>0</v>
      </c>
      <c r="AC434" s="75">
        <v>0</v>
      </c>
      <c r="AD434" s="75">
        <v>0</v>
      </c>
      <c r="AE434" s="75">
        <v>0</v>
      </c>
      <c r="AF434" s="75">
        <v>0</v>
      </c>
      <c r="AG434" s="75">
        <v>0</v>
      </c>
      <c r="AH434" s="75">
        <v>0</v>
      </c>
      <c r="AI434" s="75">
        <v>0</v>
      </c>
      <c r="AJ434" s="75">
        <v>0</v>
      </c>
      <c r="AK434" s="75">
        <v>0</v>
      </c>
      <c r="AL434" s="75">
        <v>0</v>
      </c>
      <c r="AM434" s="75">
        <v>0</v>
      </c>
      <c r="AN434" s="75">
        <v>0</v>
      </c>
      <c r="AO434" s="75">
        <v>0</v>
      </c>
      <c r="AP434" s="75">
        <v>0</v>
      </c>
      <c r="AQ434" s="75">
        <v>0</v>
      </c>
      <c r="AR434" s="75">
        <v>0</v>
      </c>
      <c r="AS434" s="75">
        <v>1</v>
      </c>
      <c r="AT434" s="75">
        <v>0</v>
      </c>
      <c r="AU434" s="75">
        <v>1</v>
      </c>
      <c r="AV434" s="75">
        <v>0</v>
      </c>
      <c r="AW434" s="75">
        <v>0</v>
      </c>
      <c r="AX434" s="75">
        <v>0</v>
      </c>
      <c r="AY434" s="84">
        <v>4</v>
      </c>
      <c r="AZ434" s="84">
        <v>5</v>
      </c>
      <c r="BA434" s="84">
        <v>4</v>
      </c>
      <c r="BB434" s="75">
        <v>0</v>
      </c>
      <c r="BC434" s="75">
        <v>1</v>
      </c>
      <c r="BD434" s="75">
        <v>0</v>
      </c>
      <c r="BE434" s="75">
        <v>0</v>
      </c>
      <c r="BF434" s="75">
        <v>1</v>
      </c>
      <c r="BG434" s="75">
        <v>0</v>
      </c>
      <c r="BH434" s="75">
        <v>1</v>
      </c>
      <c r="BI434" s="75" t="s">
        <v>254</v>
      </c>
      <c r="BJ434" s="75" t="s">
        <v>254</v>
      </c>
      <c r="BK434" s="75" t="s">
        <v>254</v>
      </c>
      <c r="BL434" s="75">
        <v>0</v>
      </c>
      <c r="BM434" s="75">
        <f t="shared" si="88"/>
        <v>0</v>
      </c>
      <c r="BN434" s="75">
        <f t="shared" si="91"/>
        <v>0</v>
      </c>
      <c r="BO434" s="75">
        <f t="shared" si="89"/>
        <v>18</v>
      </c>
      <c r="BP434" s="75">
        <f t="shared" si="90"/>
        <v>18</v>
      </c>
      <c r="BQ434" s="80" t="s">
        <v>707</v>
      </c>
      <c r="BR434" s="85" t="s">
        <v>363</v>
      </c>
      <c r="BS434" s="110" t="s">
        <v>539</v>
      </c>
      <c r="BT434" s="110">
        <v>0</v>
      </c>
      <c r="BU434" s="75">
        <v>0</v>
      </c>
      <c r="BV434" s="75" t="s">
        <v>628</v>
      </c>
    </row>
    <row r="435" spans="1:74" x14ac:dyDescent="0.75">
      <c r="C435">
        <v>1462</v>
      </c>
      <c r="D435" s="75" t="s">
        <v>357</v>
      </c>
      <c r="E435" s="75" t="s">
        <v>358</v>
      </c>
      <c r="F435" s="75" t="s">
        <v>359</v>
      </c>
      <c r="G435" s="75" t="s">
        <v>124</v>
      </c>
      <c r="H435" s="84"/>
      <c r="I435" s="84"/>
      <c r="J435" s="121">
        <v>45183</v>
      </c>
      <c r="K435" s="75" t="s">
        <v>628</v>
      </c>
      <c r="L435" s="75" t="s">
        <v>374</v>
      </c>
      <c r="M435" s="75">
        <v>0</v>
      </c>
      <c r="N435" s="75">
        <v>2</v>
      </c>
      <c r="O435" s="75" t="s">
        <v>362</v>
      </c>
      <c r="P435" s="88">
        <f>SUM(TreatmentUsed!E5404:E5409)</f>
        <v>26</v>
      </c>
      <c r="Q435" s="75">
        <v>38</v>
      </c>
      <c r="R435" s="75">
        <v>0</v>
      </c>
      <c r="S435" s="75">
        <v>0</v>
      </c>
      <c r="T435" s="75">
        <v>0</v>
      </c>
      <c r="U435" s="75">
        <v>0</v>
      </c>
      <c r="V435" s="75">
        <v>0</v>
      </c>
      <c r="W435" s="75">
        <v>0</v>
      </c>
      <c r="X435" s="75">
        <v>0</v>
      </c>
      <c r="Y435" s="75">
        <v>0</v>
      </c>
      <c r="Z435" s="75">
        <v>0</v>
      </c>
      <c r="AA435" s="75">
        <v>0</v>
      </c>
      <c r="AB435" s="75">
        <v>0</v>
      </c>
      <c r="AC435" s="75">
        <v>0</v>
      </c>
      <c r="AD435" s="75">
        <v>0</v>
      </c>
      <c r="AE435" s="75">
        <v>0</v>
      </c>
      <c r="AF435" s="75">
        <v>0</v>
      </c>
      <c r="AG435" s="75">
        <v>0</v>
      </c>
      <c r="AH435" s="75">
        <v>0</v>
      </c>
      <c r="AI435" s="75">
        <v>0</v>
      </c>
      <c r="AJ435" s="75">
        <v>0</v>
      </c>
      <c r="AK435" s="75">
        <v>0</v>
      </c>
      <c r="AL435" s="75">
        <v>0</v>
      </c>
      <c r="AM435" s="75">
        <v>0</v>
      </c>
      <c r="AN435" s="75">
        <v>0</v>
      </c>
      <c r="AO435" s="75">
        <v>0</v>
      </c>
      <c r="AP435" s="75">
        <v>0</v>
      </c>
      <c r="AQ435" s="75">
        <v>0</v>
      </c>
      <c r="AR435" s="75">
        <v>0</v>
      </c>
      <c r="AS435" s="75">
        <v>0</v>
      </c>
      <c r="AT435" s="75">
        <v>0</v>
      </c>
      <c r="AU435" s="75">
        <v>0</v>
      </c>
      <c r="AV435" s="75">
        <v>0</v>
      </c>
      <c r="AW435" s="75">
        <v>0</v>
      </c>
      <c r="AX435" s="75">
        <v>0</v>
      </c>
      <c r="AY435" s="75">
        <v>0</v>
      </c>
      <c r="AZ435" s="75">
        <v>4</v>
      </c>
      <c r="BA435" s="75">
        <v>1</v>
      </c>
      <c r="BB435" s="75">
        <v>0</v>
      </c>
      <c r="BC435" s="75">
        <v>0</v>
      </c>
      <c r="BD435" s="75">
        <v>0</v>
      </c>
      <c r="BE435" s="75">
        <v>1</v>
      </c>
      <c r="BF435" s="75">
        <v>0</v>
      </c>
      <c r="BG435" s="75">
        <v>0</v>
      </c>
      <c r="BH435" s="295">
        <v>0</v>
      </c>
      <c r="BI435" s="75" t="s">
        <v>254</v>
      </c>
      <c r="BJ435" s="75" t="s">
        <v>254</v>
      </c>
      <c r="BK435" s="75" t="s">
        <v>254</v>
      </c>
      <c r="BL435" s="75">
        <v>0</v>
      </c>
      <c r="BM435" s="75">
        <f t="shared" si="88"/>
        <v>0</v>
      </c>
      <c r="BN435" s="75">
        <f t="shared" si="91"/>
        <v>0</v>
      </c>
      <c r="BO435" s="75">
        <f t="shared" si="89"/>
        <v>6</v>
      </c>
      <c r="BP435" s="75">
        <f t="shared" si="90"/>
        <v>6</v>
      </c>
      <c r="BQ435" s="293" t="s">
        <v>363</v>
      </c>
      <c r="BR435" s="85" t="s">
        <v>363</v>
      </c>
      <c r="BS435" s="110" t="s">
        <v>539</v>
      </c>
      <c r="BT435" s="110">
        <v>0</v>
      </c>
      <c r="BU435" s="75">
        <v>0</v>
      </c>
      <c r="BV435" s="75" t="s">
        <v>628</v>
      </c>
    </row>
    <row r="436" spans="1:74" x14ac:dyDescent="0.75">
      <c r="C436">
        <v>1463</v>
      </c>
      <c r="D436" s="75" t="s">
        <v>357</v>
      </c>
      <c r="E436" s="75" t="s">
        <v>358</v>
      </c>
      <c r="F436" s="75" t="s">
        <v>359</v>
      </c>
      <c r="G436" s="75" t="s">
        <v>48</v>
      </c>
      <c r="H436">
        <v>18.363399999999999</v>
      </c>
      <c r="I436">
        <v>-64.706067000000004</v>
      </c>
      <c r="J436" s="121">
        <v>45188</v>
      </c>
      <c r="K436" s="75" t="s">
        <v>627</v>
      </c>
      <c r="L436" s="75" t="s">
        <v>628</v>
      </c>
      <c r="M436" s="75">
        <v>0</v>
      </c>
      <c r="N436" s="75">
        <v>2</v>
      </c>
      <c r="O436" s="75" t="s">
        <v>362</v>
      </c>
      <c r="P436" s="88">
        <f>SUM(TreatmentUsed!E5410:E5431)</f>
        <v>272</v>
      </c>
      <c r="Q436" s="75">
        <v>0</v>
      </c>
      <c r="R436" s="75">
        <v>0</v>
      </c>
      <c r="S436" s="75">
        <v>0</v>
      </c>
      <c r="T436" s="75">
        <v>0</v>
      </c>
      <c r="U436" s="75">
        <v>0</v>
      </c>
      <c r="V436" s="75">
        <v>0</v>
      </c>
      <c r="W436" s="75">
        <v>0</v>
      </c>
      <c r="X436" s="75">
        <v>0</v>
      </c>
      <c r="Y436" s="75">
        <v>0</v>
      </c>
      <c r="Z436" s="75">
        <v>0</v>
      </c>
      <c r="AA436" s="75">
        <v>0</v>
      </c>
      <c r="AB436" s="75">
        <v>0</v>
      </c>
      <c r="AC436" s="75">
        <v>0</v>
      </c>
      <c r="AD436" s="75">
        <v>0</v>
      </c>
      <c r="AE436" s="75">
        <v>0</v>
      </c>
      <c r="AF436" s="75">
        <v>0</v>
      </c>
      <c r="AG436" s="75">
        <v>0</v>
      </c>
      <c r="AH436" s="75">
        <v>0</v>
      </c>
      <c r="AI436" s="75">
        <v>0</v>
      </c>
      <c r="AJ436" s="75">
        <v>0</v>
      </c>
      <c r="AK436" s="75">
        <v>0</v>
      </c>
      <c r="AL436" s="75">
        <v>0</v>
      </c>
      <c r="AM436" s="75">
        <v>0</v>
      </c>
      <c r="AN436" s="75">
        <v>0</v>
      </c>
      <c r="AO436" s="75">
        <v>0</v>
      </c>
      <c r="AP436" s="75">
        <v>0</v>
      </c>
      <c r="AQ436" s="75">
        <v>0</v>
      </c>
      <c r="AR436" s="75">
        <v>0</v>
      </c>
      <c r="AS436" s="75">
        <v>1</v>
      </c>
      <c r="AT436" s="75">
        <v>0</v>
      </c>
      <c r="AU436" s="75">
        <v>0</v>
      </c>
      <c r="AV436" s="75">
        <v>0</v>
      </c>
      <c r="AW436" s="75">
        <v>0</v>
      </c>
      <c r="AX436" s="75">
        <v>0</v>
      </c>
      <c r="AY436" s="75">
        <v>4</v>
      </c>
      <c r="AZ436" s="75">
        <v>2</v>
      </c>
      <c r="BA436" s="75">
        <v>6</v>
      </c>
      <c r="BB436" s="75">
        <v>0</v>
      </c>
      <c r="BC436" s="75">
        <v>0</v>
      </c>
      <c r="BD436" s="75">
        <v>0</v>
      </c>
      <c r="BE436" s="75">
        <v>0</v>
      </c>
      <c r="BF436" s="75">
        <v>8</v>
      </c>
      <c r="BG436" s="75">
        <v>0</v>
      </c>
      <c r="BH436" s="84">
        <v>1</v>
      </c>
      <c r="BI436" s="75" t="s">
        <v>254</v>
      </c>
      <c r="BJ436" s="75" t="s">
        <v>254</v>
      </c>
      <c r="BK436" s="75" t="s">
        <v>254</v>
      </c>
      <c r="BL436" s="84">
        <v>2</v>
      </c>
      <c r="BM436" s="75">
        <f t="shared" si="88"/>
        <v>0</v>
      </c>
      <c r="BN436" s="75">
        <f t="shared" si="91"/>
        <v>0</v>
      </c>
      <c r="BO436" s="75">
        <f t="shared" si="89"/>
        <v>22</v>
      </c>
      <c r="BP436" s="75">
        <f t="shared" si="90"/>
        <v>22</v>
      </c>
      <c r="BQ436" s="85" t="s">
        <v>708</v>
      </c>
      <c r="BS436" s="117" t="s">
        <v>390</v>
      </c>
      <c r="BT436" s="110">
        <v>0</v>
      </c>
      <c r="BU436" s="75">
        <v>0</v>
      </c>
      <c r="BV436" s="75" t="s">
        <v>627</v>
      </c>
    </row>
    <row r="437" spans="1:74" x14ac:dyDescent="0.75">
      <c r="C437">
        <v>1464</v>
      </c>
      <c r="D437" s="75" t="s">
        <v>357</v>
      </c>
      <c r="E437" s="75" t="s">
        <v>358</v>
      </c>
      <c r="F437" s="75" t="s">
        <v>359</v>
      </c>
      <c r="G437" s="75" t="s">
        <v>44</v>
      </c>
      <c r="H437">
        <v>18.364650000000001</v>
      </c>
      <c r="I437">
        <v>-64.726183000000006</v>
      </c>
      <c r="J437" s="121">
        <v>45189</v>
      </c>
      <c r="K437" s="75" t="s">
        <v>627</v>
      </c>
      <c r="L437" s="75" t="s">
        <v>628</v>
      </c>
      <c r="M437" s="75">
        <v>0</v>
      </c>
      <c r="N437" s="75">
        <v>2</v>
      </c>
      <c r="O437" s="75" t="s">
        <v>362</v>
      </c>
      <c r="P437" s="88">
        <f>SUM(TreatmentUsed!E5432:E5438)</f>
        <v>76</v>
      </c>
      <c r="Q437" s="75">
        <v>0</v>
      </c>
      <c r="R437" s="75">
        <v>0</v>
      </c>
      <c r="S437" s="75">
        <v>0</v>
      </c>
      <c r="T437" s="75">
        <v>0</v>
      </c>
      <c r="U437" s="75">
        <v>0</v>
      </c>
      <c r="V437" s="75">
        <v>0</v>
      </c>
      <c r="W437" s="75">
        <v>0</v>
      </c>
      <c r="X437" s="75">
        <v>0</v>
      </c>
      <c r="Y437" s="75">
        <v>0</v>
      </c>
      <c r="Z437" s="75">
        <v>0</v>
      </c>
      <c r="AA437" s="75">
        <v>0</v>
      </c>
      <c r="AB437" s="75">
        <v>0</v>
      </c>
      <c r="AC437" s="75">
        <v>0</v>
      </c>
      <c r="AD437" s="75">
        <v>0</v>
      </c>
      <c r="AE437" s="75">
        <v>0</v>
      </c>
      <c r="AF437" s="75">
        <v>0</v>
      </c>
      <c r="AG437" s="75">
        <v>0</v>
      </c>
      <c r="AH437" s="75">
        <v>0</v>
      </c>
      <c r="AI437" s="75">
        <v>0</v>
      </c>
      <c r="AJ437" s="75">
        <v>0</v>
      </c>
      <c r="AK437" s="75">
        <v>0</v>
      </c>
      <c r="AL437" s="75">
        <v>0</v>
      </c>
      <c r="AM437" s="75">
        <v>0</v>
      </c>
      <c r="AN437" s="75">
        <v>0</v>
      </c>
      <c r="AO437" s="75">
        <v>0</v>
      </c>
      <c r="AP437" s="75">
        <v>0</v>
      </c>
      <c r="AQ437" s="75">
        <v>0</v>
      </c>
      <c r="AR437" s="75">
        <v>0</v>
      </c>
      <c r="AS437" s="75">
        <v>1</v>
      </c>
      <c r="AT437" s="75">
        <v>0</v>
      </c>
      <c r="AU437" s="75">
        <v>1</v>
      </c>
      <c r="AV437" s="75">
        <v>0</v>
      </c>
      <c r="AW437" s="75">
        <v>0</v>
      </c>
      <c r="AX437" s="75">
        <v>0</v>
      </c>
      <c r="AY437" s="75">
        <v>1</v>
      </c>
      <c r="AZ437" s="75">
        <v>0</v>
      </c>
      <c r="BA437" s="75">
        <v>1</v>
      </c>
      <c r="BB437" s="75">
        <v>0</v>
      </c>
      <c r="BC437" s="75">
        <v>3</v>
      </c>
      <c r="BD437" s="75">
        <v>0</v>
      </c>
      <c r="BE437" s="75">
        <v>0</v>
      </c>
      <c r="BF437" s="75">
        <v>0</v>
      </c>
      <c r="BG437" s="75">
        <v>0</v>
      </c>
      <c r="BH437" s="75">
        <v>0</v>
      </c>
      <c r="BI437" s="75" t="s">
        <v>254</v>
      </c>
      <c r="BJ437" s="75" t="s">
        <v>254</v>
      </c>
      <c r="BK437" s="75" t="s">
        <v>254</v>
      </c>
      <c r="BL437" s="75">
        <v>0</v>
      </c>
      <c r="BM437" s="75">
        <f t="shared" si="88"/>
        <v>0</v>
      </c>
      <c r="BN437" s="75">
        <f t="shared" si="91"/>
        <v>0</v>
      </c>
      <c r="BO437" s="75">
        <f t="shared" si="89"/>
        <v>7</v>
      </c>
      <c r="BP437" s="75">
        <f t="shared" si="90"/>
        <v>7</v>
      </c>
      <c r="BR437" s="138" t="s">
        <v>709</v>
      </c>
      <c r="BS437" s="110" t="s">
        <v>539</v>
      </c>
      <c r="BT437" s="110">
        <v>0</v>
      </c>
      <c r="BU437" s="75">
        <v>0</v>
      </c>
      <c r="BV437" s="75" t="s">
        <v>627</v>
      </c>
    </row>
    <row r="438" spans="1:74" x14ac:dyDescent="0.75">
      <c r="C438">
        <v>1465</v>
      </c>
      <c r="D438" s="75" t="s">
        <v>357</v>
      </c>
      <c r="E438" s="75" t="s">
        <v>358</v>
      </c>
      <c r="F438" s="75" t="s">
        <v>359</v>
      </c>
      <c r="G438" s="75" t="s">
        <v>60</v>
      </c>
      <c r="H438">
        <v>18.367850000000001</v>
      </c>
      <c r="I438">
        <v>-64.732933000000003</v>
      </c>
      <c r="J438" s="121">
        <v>45189</v>
      </c>
      <c r="K438" s="75" t="s">
        <v>627</v>
      </c>
      <c r="L438" s="75" t="s">
        <v>628</v>
      </c>
      <c r="M438" s="75">
        <v>0</v>
      </c>
      <c r="N438" s="75">
        <v>2</v>
      </c>
      <c r="O438" s="75" t="s">
        <v>362</v>
      </c>
      <c r="P438" s="88">
        <f>SUM(TreatmentUsed!E5439:E5444)</f>
        <v>63</v>
      </c>
      <c r="Q438" s="75">
        <v>0</v>
      </c>
      <c r="R438" s="75">
        <v>0</v>
      </c>
      <c r="S438" s="75">
        <v>0</v>
      </c>
      <c r="T438" s="75">
        <v>0</v>
      </c>
      <c r="U438" s="75">
        <v>0</v>
      </c>
      <c r="V438" s="75">
        <v>0</v>
      </c>
      <c r="W438" s="75">
        <v>0</v>
      </c>
      <c r="X438" s="75">
        <v>0</v>
      </c>
      <c r="Y438" s="75">
        <v>0</v>
      </c>
      <c r="Z438" s="75">
        <v>0</v>
      </c>
      <c r="AA438" s="75">
        <v>0</v>
      </c>
      <c r="AB438" s="75">
        <v>0</v>
      </c>
      <c r="AC438" s="75">
        <v>0</v>
      </c>
      <c r="AD438" s="75">
        <v>0</v>
      </c>
      <c r="AE438" s="75">
        <v>0</v>
      </c>
      <c r="AF438" s="75">
        <v>0</v>
      </c>
      <c r="AG438" s="75">
        <v>0</v>
      </c>
      <c r="AH438" s="75">
        <v>0</v>
      </c>
      <c r="AI438" s="75">
        <v>0</v>
      </c>
      <c r="AJ438" s="75">
        <v>0</v>
      </c>
      <c r="AK438" s="75">
        <v>0</v>
      </c>
      <c r="AL438" s="75">
        <v>0</v>
      </c>
      <c r="AM438" s="75">
        <v>0</v>
      </c>
      <c r="AN438" s="75">
        <v>0</v>
      </c>
      <c r="AO438" s="75">
        <v>1</v>
      </c>
      <c r="AP438" s="75">
        <v>0</v>
      </c>
      <c r="AQ438" s="75">
        <v>0</v>
      </c>
      <c r="AR438" s="75">
        <v>0</v>
      </c>
      <c r="AS438" s="75">
        <v>0</v>
      </c>
      <c r="AT438" s="75">
        <v>0</v>
      </c>
      <c r="AU438" s="75">
        <v>0</v>
      </c>
      <c r="AV438" s="75">
        <v>0</v>
      </c>
      <c r="AW438" s="75">
        <v>0</v>
      </c>
      <c r="AX438" s="75">
        <v>0</v>
      </c>
      <c r="AY438" s="75">
        <v>2</v>
      </c>
      <c r="AZ438" s="84">
        <v>1</v>
      </c>
      <c r="BA438" s="84">
        <v>1</v>
      </c>
      <c r="BB438" s="75">
        <v>0</v>
      </c>
      <c r="BC438" s="75">
        <v>0</v>
      </c>
      <c r="BD438" s="75">
        <v>0</v>
      </c>
      <c r="BE438" s="75">
        <v>0</v>
      </c>
      <c r="BF438" s="75">
        <v>1</v>
      </c>
      <c r="BG438" s="75">
        <v>0</v>
      </c>
      <c r="BH438" s="75">
        <v>0</v>
      </c>
      <c r="BI438" s="75" t="s">
        <v>254</v>
      </c>
      <c r="BJ438" s="75" t="s">
        <v>254</v>
      </c>
      <c r="BK438" s="75" t="s">
        <v>254</v>
      </c>
      <c r="BL438" s="75">
        <v>0</v>
      </c>
      <c r="BM438" s="75">
        <f t="shared" si="88"/>
        <v>0</v>
      </c>
      <c r="BN438" s="75">
        <f t="shared" si="91"/>
        <v>0</v>
      </c>
      <c r="BO438" s="75">
        <f t="shared" si="89"/>
        <v>6</v>
      </c>
      <c r="BP438" s="75">
        <f t="shared" si="90"/>
        <v>6</v>
      </c>
      <c r="BS438" s="110" t="s">
        <v>390</v>
      </c>
      <c r="BT438" s="110">
        <v>0</v>
      </c>
      <c r="BU438" s="75">
        <v>0</v>
      </c>
      <c r="BV438" s="75" t="s">
        <v>627</v>
      </c>
    </row>
    <row r="439" spans="1:74" x14ac:dyDescent="0.75">
      <c r="C439">
        <v>1466</v>
      </c>
      <c r="D439" s="75" t="s">
        <v>357</v>
      </c>
      <c r="E439" s="75" t="s">
        <v>358</v>
      </c>
      <c r="F439" s="75" t="s">
        <v>359</v>
      </c>
      <c r="G439" s="75" t="s">
        <v>39</v>
      </c>
      <c r="H439">
        <v>18.357482999999998</v>
      </c>
      <c r="I439">
        <v>-64.751949999999994</v>
      </c>
      <c r="J439" s="121">
        <v>45189</v>
      </c>
      <c r="K439" s="75" t="s">
        <v>627</v>
      </c>
      <c r="L439" s="75" t="s">
        <v>628</v>
      </c>
      <c r="M439" s="75">
        <v>0</v>
      </c>
      <c r="N439" s="75">
        <v>2</v>
      </c>
      <c r="O439" s="75" t="s">
        <v>362</v>
      </c>
      <c r="P439" s="88">
        <f>SUM(TreatmentUsed!E5445)</f>
        <v>10</v>
      </c>
      <c r="Q439" s="75">
        <v>0</v>
      </c>
      <c r="R439" s="75">
        <v>0</v>
      </c>
      <c r="S439" s="75">
        <v>0</v>
      </c>
      <c r="T439" s="75">
        <v>0</v>
      </c>
      <c r="U439" s="75">
        <v>0</v>
      </c>
      <c r="V439" s="75">
        <v>0</v>
      </c>
      <c r="W439" s="75">
        <v>0</v>
      </c>
      <c r="X439" s="75">
        <v>0</v>
      </c>
      <c r="Y439" s="75">
        <v>0</v>
      </c>
      <c r="Z439" s="75">
        <v>0</v>
      </c>
      <c r="AA439" s="75">
        <v>0</v>
      </c>
      <c r="AB439" s="75">
        <v>0</v>
      </c>
      <c r="AC439" s="75">
        <v>0</v>
      </c>
      <c r="AD439" s="75">
        <v>0</v>
      </c>
      <c r="AE439" s="75">
        <v>0</v>
      </c>
      <c r="AF439" s="75">
        <v>0</v>
      </c>
      <c r="AG439" s="75">
        <v>0</v>
      </c>
      <c r="AH439" s="75">
        <v>0</v>
      </c>
      <c r="AI439" s="75">
        <v>0</v>
      </c>
      <c r="AJ439" s="75">
        <v>0</v>
      </c>
      <c r="AK439" s="75">
        <v>0</v>
      </c>
      <c r="AL439" s="75">
        <v>0</v>
      </c>
      <c r="AM439" s="75">
        <v>0</v>
      </c>
      <c r="AN439" s="75">
        <v>0</v>
      </c>
      <c r="AO439" s="75">
        <v>1</v>
      </c>
      <c r="AP439" s="75">
        <v>0</v>
      </c>
      <c r="AQ439" s="75">
        <v>0</v>
      </c>
      <c r="AR439" s="75">
        <v>0</v>
      </c>
      <c r="AS439" s="75">
        <v>0</v>
      </c>
      <c r="AT439" s="75">
        <v>0</v>
      </c>
      <c r="AU439" s="75">
        <v>0</v>
      </c>
      <c r="AV439" s="75">
        <v>0</v>
      </c>
      <c r="AW439" s="75">
        <v>0</v>
      </c>
      <c r="AX439" s="75">
        <v>0</v>
      </c>
      <c r="AY439" s="75">
        <v>0</v>
      </c>
      <c r="AZ439" s="75">
        <v>0</v>
      </c>
      <c r="BA439" s="75">
        <v>0</v>
      </c>
      <c r="BB439" s="75">
        <v>0</v>
      </c>
      <c r="BC439" s="75">
        <v>0</v>
      </c>
      <c r="BD439" s="75">
        <v>0</v>
      </c>
      <c r="BE439" s="75">
        <v>0</v>
      </c>
      <c r="BF439" s="75">
        <v>0</v>
      </c>
      <c r="BG439" s="75">
        <v>0</v>
      </c>
      <c r="BH439" s="75">
        <v>0</v>
      </c>
      <c r="BI439" s="75" t="s">
        <v>254</v>
      </c>
      <c r="BJ439" s="75" t="s">
        <v>254</v>
      </c>
      <c r="BK439" s="75" t="s">
        <v>254</v>
      </c>
      <c r="BL439" s="75">
        <v>0</v>
      </c>
      <c r="BM439" s="75">
        <f t="shared" si="88"/>
        <v>0</v>
      </c>
      <c r="BN439" s="75">
        <f t="shared" si="91"/>
        <v>0</v>
      </c>
      <c r="BO439" s="75">
        <f t="shared" si="89"/>
        <v>1</v>
      </c>
      <c r="BP439" s="75">
        <f t="shared" si="90"/>
        <v>1</v>
      </c>
      <c r="BQ439" s="80" t="s">
        <v>701</v>
      </c>
      <c r="BR439" s="138" t="s">
        <v>710</v>
      </c>
      <c r="BS439" s="110" t="s">
        <v>539</v>
      </c>
      <c r="BT439" s="110">
        <v>0</v>
      </c>
      <c r="BU439" s="75">
        <v>0</v>
      </c>
      <c r="BV439" s="75" t="s">
        <v>627</v>
      </c>
    </row>
    <row r="440" spans="1:74" x14ac:dyDescent="0.75">
      <c r="C440">
        <v>1467</v>
      </c>
      <c r="D440" s="75" t="s">
        <v>357</v>
      </c>
      <c r="E440" s="75" t="s">
        <v>358</v>
      </c>
      <c r="F440" s="75" t="s">
        <v>359</v>
      </c>
      <c r="G440" s="75" t="s">
        <v>39</v>
      </c>
      <c r="H440">
        <v>18.357482999999998</v>
      </c>
      <c r="I440">
        <v>-64.751949999999994</v>
      </c>
      <c r="J440" s="121">
        <v>45190</v>
      </c>
      <c r="K440" s="75" t="s">
        <v>627</v>
      </c>
      <c r="L440" s="75" t="s">
        <v>628</v>
      </c>
      <c r="M440" s="75">
        <v>0</v>
      </c>
      <c r="N440" s="75">
        <v>2</v>
      </c>
      <c r="O440" s="75" t="s">
        <v>362</v>
      </c>
      <c r="P440" s="88">
        <f>SUM(TreatmentUsed!E5446:E5447)</f>
        <v>13</v>
      </c>
      <c r="Q440" s="75">
        <v>0</v>
      </c>
      <c r="R440" s="75">
        <v>0</v>
      </c>
      <c r="S440" s="75">
        <v>0</v>
      </c>
      <c r="T440" s="75">
        <v>0</v>
      </c>
      <c r="U440" s="75">
        <v>0</v>
      </c>
      <c r="V440" s="75">
        <v>0</v>
      </c>
      <c r="W440" s="75">
        <v>0</v>
      </c>
      <c r="X440" s="75">
        <v>0</v>
      </c>
      <c r="Y440" s="75">
        <v>0</v>
      </c>
      <c r="Z440" s="75">
        <v>0</v>
      </c>
      <c r="AA440" s="75">
        <v>0</v>
      </c>
      <c r="AB440" s="75">
        <v>0</v>
      </c>
      <c r="AC440" s="75">
        <v>0</v>
      </c>
      <c r="AD440" s="75">
        <v>0</v>
      </c>
      <c r="AE440" s="75">
        <v>0</v>
      </c>
      <c r="AF440" s="75">
        <v>0</v>
      </c>
      <c r="AG440" s="75">
        <v>0</v>
      </c>
      <c r="AH440" s="75">
        <v>0</v>
      </c>
      <c r="AI440" s="75">
        <v>0</v>
      </c>
      <c r="AJ440" s="75">
        <v>0</v>
      </c>
      <c r="AK440" s="75">
        <v>0</v>
      </c>
      <c r="AL440" s="75">
        <v>0</v>
      </c>
      <c r="AM440" s="75">
        <v>0</v>
      </c>
      <c r="AN440" s="75">
        <v>0</v>
      </c>
      <c r="AO440" s="75">
        <v>0</v>
      </c>
      <c r="AP440" s="75">
        <v>0</v>
      </c>
      <c r="AQ440" s="75">
        <v>0</v>
      </c>
      <c r="AR440" s="75">
        <v>0</v>
      </c>
      <c r="AS440" s="75">
        <v>2</v>
      </c>
      <c r="AT440" s="75">
        <v>0</v>
      </c>
      <c r="AU440" s="75">
        <v>0</v>
      </c>
      <c r="AV440" s="75">
        <v>0</v>
      </c>
      <c r="AW440" s="75">
        <v>0</v>
      </c>
      <c r="AX440" s="75">
        <v>0</v>
      </c>
      <c r="AY440" s="75">
        <v>0</v>
      </c>
      <c r="AZ440" s="75">
        <v>0</v>
      </c>
      <c r="BA440" s="75">
        <v>0</v>
      </c>
      <c r="BB440" s="75">
        <v>0</v>
      </c>
      <c r="BC440" s="75">
        <v>0</v>
      </c>
      <c r="BD440" s="75">
        <v>0</v>
      </c>
      <c r="BE440" s="75">
        <v>0</v>
      </c>
      <c r="BF440" s="75">
        <v>0</v>
      </c>
      <c r="BG440" s="75">
        <v>0</v>
      </c>
      <c r="BH440" s="75">
        <v>0</v>
      </c>
      <c r="BI440" s="75" t="s">
        <v>254</v>
      </c>
      <c r="BJ440" s="75" t="s">
        <v>254</v>
      </c>
      <c r="BK440" s="75" t="s">
        <v>254</v>
      </c>
      <c r="BL440" s="75">
        <v>0</v>
      </c>
      <c r="BM440" s="75">
        <f t="shared" ref="BM440:BM447" si="92">SUM(R440:AD440)</f>
        <v>0</v>
      </c>
      <c r="BN440" s="75">
        <f t="shared" si="91"/>
        <v>0</v>
      </c>
      <c r="BO440" s="75">
        <f t="shared" si="89"/>
        <v>2</v>
      </c>
      <c r="BP440" s="75">
        <f t="shared" si="90"/>
        <v>2</v>
      </c>
      <c r="BR440" s="138" t="s">
        <v>711</v>
      </c>
      <c r="BS440" s="110" t="s">
        <v>539</v>
      </c>
      <c r="BT440" s="110">
        <v>0</v>
      </c>
      <c r="BU440" s="75">
        <v>0</v>
      </c>
      <c r="BV440" s="75" t="s">
        <v>627</v>
      </c>
    </row>
    <row r="441" spans="1:74" x14ac:dyDescent="0.75">
      <c r="C441" s="17"/>
      <c r="D441" s="75" t="s">
        <v>357</v>
      </c>
      <c r="E441" s="75" t="s">
        <v>358</v>
      </c>
      <c r="F441" s="75" t="s">
        <v>359</v>
      </c>
      <c r="G441" s="75" t="s">
        <v>64</v>
      </c>
      <c r="H441">
        <v>18.368383000000001</v>
      </c>
      <c r="I441">
        <v>-64.751450000000006</v>
      </c>
      <c r="J441" s="121">
        <v>45190</v>
      </c>
      <c r="K441" s="75" t="s">
        <v>627</v>
      </c>
      <c r="L441" s="75" t="s">
        <v>628</v>
      </c>
      <c r="M441" s="75">
        <v>0</v>
      </c>
      <c r="N441" s="75">
        <v>2</v>
      </c>
      <c r="O441" s="75" t="s">
        <v>362</v>
      </c>
      <c r="P441" s="75">
        <v>0</v>
      </c>
      <c r="Q441" s="75">
        <v>0</v>
      </c>
      <c r="R441" s="75">
        <v>0</v>
      </c>
      <c r="S441" s="75">
        <v>0</v>
      </c>
      <c r="T441" s="75">
        <v>0</v>
      </c>
      <c r="U441" s="75">
        <v>0</v>
      </c>
      <c r="V441" s="75">
        <v>0</v>
      </c>
      <c r="W441" s="75">
        <v>0</v>
      </c>
      <c r="X441" s="75">
        <v>0</v>
      </c>
      <c r="Y441" s="75">
        <v>0</v>
      </c>
      <c r="Z441" s="75">
        <v>0</v>
      </c>
      <c r="AA441" s="75">
        <v>0</v>
      </c>
      <c r="AB441" s="75">
        <v>0</v>
      </c>
      <c r="AC441" s="75">
        <v>0</v>
      </c>
      <c r="AD441" s="75">
        <v>0</v>
      </c>
      <c r="AE441" s="75">
        <v>0</v>
      </c>
      <c r="AF441" s="75">
        <v>0</v>
      </c>
      <c r="AG441" s="75">
        <v>0</v>
      </c>
      <c r="AH441" s="75">
        <v>0</v>
      </c>
      <c r="AI441" s="75">
        <v>0</v>
      </c>
      <c r="AJ441" s="75">
        <v>0</v>
      </c>
      <c r="AK441" s="75">
        <v>0</v>
      </c>
      <c r="AL441" s="75">
        <v>0</v>
      </c>
      <c r="AM441" s="75">
        <v>0</v>
      </c>
      <c r="AN441" s="75">
        <v>0</v>
      </c>
      <c r="AO441" s="75">
        <v>0</v>
      </c>
      <c r="AP441" s="75">
        <v>0</v>
      </c>
      <c r="AQ441" s="75">
        <v>0</v>
      </c>
      <c r="AR441" s="75">
        <v>0</v>
      </c>
      <c r="AS441" s="75">
        <v>0</v>
      </c>
      <c r="AT441" s="75">
        <v>0</v>
      </c>
      <c r="AU441" s="75">
        <v>0</v>
      </c>
      <c r="AV441" s="75">
        <v>0</v>
      </c>
      <c r="AW441" s="75">
        <v>0</v>
      </c>
      <c r="AX441" s="75">
        <v>0</v>
      </c>
      <c r="AY441" s="75">
        <v>0</v>
      </c>
      <c r="AZ441" s="75">
        <v>0</v>
      </c>
      <c r="BA441" s="75">
        <v>0</v>
      </c>
      <c r="BB441" s="75">
        <v>0</v>
      </c>
      <c r="BC441" s="75">
        <v>0</v>
      </c>
      <c r="BD441" s="75">
        <v>0</v>
      </c>
      <c r="BE441" s="75">
        <v>0</v>
      </c>
      <c r="BF441" s="75">
        <v>0</v>
      </c>
      <c r="BG441" s="75">
        <v>0</v>
      </c>
      <c r="BH441" s="75">
        <v>0</v>
      </c>
      <c r="BI441" s="75" t="s">
        <v>254</v>
      </c>
      <c r="BJ441" s="75" t="s">
        <v>254</v>
      </c>
      <c r="BK441" s="75" t="s">
        <v>254</v>
      </c>
      <c r="BL441" s="75">
        <v>0</v>
      </c>
      <c r="BM441" s="75">
        <f t="shared" si="92"/>
        <v>0</v>
      </c>
      <c r="BN441" s="75">
        <f t="shared" ref="BN441:BN447" si="93">SUM(AE441:AN441)</f>
        <v>0</v>
      </c>
      <c r="BO441" s="75">
        <f t="shared" ref="BO441:BO447" si="94">SUM(AO441:BH441)</f>
        <v>0</v>
      </c>
      <c r="BP441" s="75">
        <f t="shared" si="90"/>
        <v>0</v>
      </c>
      <c r="BQ441" s="80" t="s">
        <v>712</v>
      </c>
      <c r="BR441" s="252" t="s">
        <v>575</v>
      </c>
      <c r="BS441" s="110" t="s">
        <v>539</v>
      </c>
      <c r="BT441" s="110">
        <v>0</v>
      </c>
      <c r="BU441" s="75">
        <v>0</v>
      </c>
      <c r="BV441" s="75" t="s">
        <v>627</v>
      </c>
    </row>
    <row r="442" spans="1:74" x14ac:dyDescent="0.75">
      <c r="C442" s="17"/>
      <c r="D442" s="75" t="s">
        <v>357</v>
      </c>
      <c r="E442" s="75" t="s">
        <v>358</v>
      </c>
      <c r="F442" s="75" t="s">
        <v>359</v>
      </c>
      <c r="G442" s="75" t="s">
        <v>23</v>
      </c>
      <c r="H442">
        <v>18.365749999999998</v>
      </c>
      <c r="I442">
        <v>-64.773619999999994</v>
      </c>
      <c r="J442" s="121">
        <v>45190</v>
      </c>
      <c r="K442" s="75" t="s">
        <v>627</v>
      </c>
      <c r="L442" s="75" t="s">
        <v>628</v>
      </c>
      <c r="M442" s="75">
        <v>0</v>
      </c>
      <c r="N442" s="75">
        <v>2</v>
      </c>
      <c r="O442" s="75" t="s">
        <v>362</v>
      </c>
      <c r="P442" s="75">
        <v>0</v>
      </c>
      <c r="Q442" s="75">
        <v>0</v>
      </c>
      <c r="R442" s="75">
        <v>0</v>
      </c>
      <c r="S442" s="75">
        <v>0</v>
      </c>
      <c r="T442" s="75">
        <v>0</v>
      </c>
      <c r="U442" s="75">
        <v>0</v>
      </c>
      <c r="V442" s="75">
        <v>0</v>
      </c>
      <c r="W442" s="75">
        <v>0</v>
      </c>
      <c r="X442" s="75">
        <v>0</v>
      </c>
      <c r="Y442" s="75">
        <v>0</v>
      </c>
      <c r="Z442" s="75">
        <v>0</v>
      </c>
      <c r="AA442" s="75">
        <v>0</v>
      </c>
      <c r="AB442" s="75">
        <v>0</v>
      </c>
      <c r="AC442" s="75">
        <v>0</v>
      </c>
      <c r="AD442" s="75">
        <v>0</v>
      </c>
      <c r="AE442" s="75">
        <v>0</v>
      </c>
      <c r="AF442" s="75">
        <v>0</v>
      </c>
      <c r="AG442" s="75">
        <v>0</v>
      </c>
      <c r="AH442" s="75">
        <v>0</v>
      </c>
      <c r="AI442" s="75">
        <v>0</v>
      </c>
      <c r="AJ442" s="75">
        <v>0</v>
      </c>
      <c r="AK442" s="75">
        <v>0</v>
      </c>
      <c r="AL442" s="75">
        <v>0</v>
      </c>
      <c r="AM442" s="75">
        <v>0</v>
      </c>
      <c r="AN442" s="75">
        <v>0</v>
      </c>
      <c r="AO442" s="75">
        <v>0</v>
      </c>
      <c r="AP442" s="75">
        <v>0</v>
      </c>
      <c r="AQ442" s="75">
        <v>0</v>
      </c>
      <c r="AR442" s="75">
        <v>0</v>
      </c>
      <c r="AS442" s="75">
        <v>0</v>
      </c>
      <c r="AT442" s="75">
        <v>0</v>
      </c>
      <c r="AU442" s="75">
        <v>0</v>
      </c>
      <c r="AV442" s="75">
        <v>0</v>
      </c>
      <c r="AW442" s="75">
        <v>0</v>
      </c>
      <c r="AX442" s="75">
        <v>0</v>
      </c>
      <c r="AY442" s="75">
        <v>0</v>
      </c>
      <c r="AZ442" s="75">
        <v>0</v>
      </c>
      <c r="BA442" s="75">
        <v>0</v>
      </c>
      <c r="BB442" s="75">
        <v>0</v>
      </c>
      <c r="BC442" s="75">
        <v>0</v>
      </c>
      <c r="BD442" s="75">
        <v>0</v>
      </c>
      <c r="BE442" s="75">
        <v>0</v>
      </c>
      <c r="BF442" s="75">
        <v>0</v>
      </c>
      <c r="BG442" s="75">
        <v>0</v>
      </c>
      <c r="BH442" s="75">
        <v>0</v>
      </c>
      <c r="BI442" s="75" t="s">
        <v>254</v>
      </c>
      <c r="BJ442" s="75" t="s">
        <v>254</v>
      </c>
      <c r="BK442" s="75" t="s">
        <v>254</v>
      </c>
      <c r="BL442" s="75">
        <v>0</v>
      </c>
      <c r="BM442" s="75">
        <f t="shared" si="92"/>
        <v>0</v>
      </c>
      <c r="BN442" s="75">
        <f t="shared" si="93"/>
        <v>0</v>
      </c>
      <c r="BO442" s="75">
        <f t="shared" si="94"/>
        <v>0</v>
      </c>
      <c r="BP442" s="75">
        <f t="shared" si="90"/>
        <v>0</v>
      </c>
      <c r="BQ442" s="80" t="s">
        <v>713</v>
      </c>
      <c r="BR442" s="252" t="s">
        <v>508</v>
      </c>
      <c r="BS442" s="110" t="s">
        <v>539</v>
      </c>
      <c r="BT442" s="110">
        <v>0</v>
      </c>
      <c r="BU442" s="75">
        <v>0</v>
      </c>
      <c r="BV442" s="75" t="s">
        <v>627</v>
      </c>
    </row>
    <row r="443" spans="1:74" x14ac:dyDescent="0.75">
      <c r="C443" s="17"/>
      <c r="D443" s="75" t="s">
        <v>357</v>
      </c>
      <c r="E443" s="75" t="s">
        <v>358</v>
      </c>
      <c r="F443" s="75" t="s">
        <v>359</v>
      </c>
      <c r="G443" s="75" t="s">
        <v>23</v>
      </c>
      <c r="H443">
        <v>18.365749999999998</v>
      </c>
      <c r="I443">
        <v>-64.773619999999994</v>
      </c>
      <c r="J443" s="121">
        <v>45190</v>
      </c>
      <c r="K443" s="75" t="s">
        <v>627</v>
      </c>
      <c r="L443" s="75" t="s">
        <v>628</v>
      </c>
      <c r="M443" s="75">
        <v>0</v>
      </c>
      <c r="N443" s="75">
        <v>2</v>
      </c>
      <c r="O443" s="75" t="s">
        <v>362</v>
      </c>
      <c r="P443" s="75">
        <v>0</v>
      </c>
      <c r="Q443" s="75">
        <v>446</v>
      </c>
      <c r="R443" s="75">
        <v>0</v>
      </c>
      <c r="S443" s="75">
        <v>0</v>
      </c>
      <c r="T443" s="75">
        <v>0</v>
      </c>
      <c r="U443" s="75">
        <v>0</v>
      </c>
      <c r="V443" s="75">
        <v>0</v>
      </c>
      <c r="W443" s="75">
        <v>0</v>
      </c>
      <c r="X443" s="75">
        <v>0</v>
      </c>
      <c r="Y443" s="75">
        <v>0</v>
      </c>
      <c r="Z443" s="75">
        <v>0</v>
      </c>
      <c r="AA443" s="75">
        <v>0</v>
      </c>
      <c r="AB443" s="75">
        <v>0</v>
      </c>
      <c r="AC443" s="75">
        <v>0</v>
      </c>
      <c r="AD443" s="75">
        <v>0</v>
      </c>
      <c r="AE443" s="75">
        <v>0</v>
      </c>
      <c r="AF443" s="75">
        <v>0</v>
      </c>
      <c r="AG443" s="75">
        <v>0</v>
      </c>
      <c r="AH443" s="75">
        <v>0</v>
      </c>
      <c r="AI443" s="75">
        <v>0</v>
      </c>
      <c r="AJ443" s="75">
        <v>0</v>
      </c>
      <c r="AK443" s="75">
        <v>0</v>
      </c>
      <c r="AL443" s="75">
        <v>0</v>
      </c>
      <c r="AM443" s="75">
        <v>0</v>
      </c>
      <c r="AN443" s="75">
        <v>0</v>
      </c>
      <c r="AO443" s="75">
        <v>0</v>
      </c>
      <c r="AP443" s="75">
        <v>0</v>
      </c>
      <c r="AQ443" s="75">
        <v>0</v>
      </c>
      <c r="AR443" s="75">
        <v>0</v>
      </c>
      <c r="AS443" s="75">
        <v>0</v>
      </c>
      <c r="AT443" s="75">
        <v>0</v>
      </c>
      <c r="AU443" s="75">
        <v>0</v>
      </c>
      <c r="AV443" s="75">
        <v>0</v>
      </c>
      <c r="AW443" s="75">
        <v>0</v>
      </c>
      <c r="AX443" s="75">
        <v>0</v>
      </c>
      <c r="AY443" s="75">
        <v>0</v>
      </c>
      <c r="AZ443" s="75">
        <v>0</v>
      </c>
      <c r="BA443" s="75">
        <v>0</v>
      </c>
      <c r="BB443" s="75">
        <v>0</v>
      </c>
      <c r="BC443" s="75">
        <v>0</v>
      </c>
      <c r="BD443" s="75">
        <v>0</v>
      </c>
      <c r="BE443" s="75">
        <v>0</v>
      </c>
      <c r="BF443" s="75">
        <v>0</v>
      </c>
      <c r="BG443" s="75">
        <v>0</v>
      </c>
      <c r="BH443" s="75">
        <v>0</v>
      </c>
      <c r="BI443" s="75" t="s">
        <v>254</v>
      </c>
      <c r="BJ443" s="75" t="s">
        <v>254</v>
      </c>
      <c r="BK443" s="75" t="s">
        <v>254</v>
      </c>
      <c r="BL443" s="75">
        <v>0</v>
      </c>
      <c r="BM443" s="75">
        <f t="shared" si="92"/>
        <v>0</v>
      </c>
      <c r="BN443" s="75">
        <f t="shared" si="93"/>
        <v>0</v>
      </c>
      <c r="BO443" s="75">
        <f t="shared" si="94"/>
        <v>0</v>
      </c>
      <c r="BP443" s="75">
        <f t="shared" si="90"/>
        <v>0</v>
      </c>
      <c r="BQ443" s="80" t="s">
        <v>713</v>
      </c>
      <c r="BR443" s="138">
        <v>945</v>
      </c>
      <c r="BS443" s="110" t="s">
        <v>539</v>
      </c>
      <c r="BT443" s="110">
        <v>0</v>
      </c>
      <c r="BU443" s="75">
        <v>0</v>
      </c>
      <c r="BV443" s="75" t="s">
        <v>627</v>
      </c>
    </row>
    <row r="444" spans="1:74" s="213" customFormat="1" x14ac:dyDescent="0.75">
      <c r="A444" s="243"/>
      <c r="B444" s="244"/>
      <c r="D444" s="245" t="s">
        <v>357</v>
      </c>
      <c r="E444" s="245" t="s">
        <v>358</v>
      </c>
      <c r="F444" s="245" t="s">
        <v>359</v>
      </c>
      <c r="G444" s="245" t="s">
        <v>116</v>
      </c>
      <c r="H444" s="213">
        <v>18.3506</v>
      </c>
      <c r="I444" s="213">
        <v>-64.699183000000005</v>
      </c>
      <c r="J444" s="265">
        <v>45202</v>
      </c>
      <c r="K444" s="245" t="s">
        <v>627</v>
      </c>
      <c r="L444" s="245"/>
      <c r="M444" s="245">
        <v>0</v>
      </c>
      <c r="N444" s="245">
        <v>3</v>
      </c>
      <c r="O444" s="245" t="s">
        <v>362</v>
      </c>
      <c r="P444" s="245"/>
      <c r="Q444" s="245"/>
      <c r="R444" s="245">
        <v>0</v>
      </c>
      <c r="S444" s="245">
        <v>0</v>
      </c>
      <c r="T444" s="245">
        <v>0</v>
      </c>
      <c r="U444" s="245">
        <v>0</v>
      </c>
      <c r="V444" s="245">
        <v>0</v>
      </c>
      <c r="W444" s="245">
        <v>0</v>
      </c>
      <c r="X444" s="245">
        <v>0</v>
      </c>
      <c r="Y444" s="245">
        <v>0</v>
      </c>
      <c r="Z444" s="245">
        <v>0</v>
      </c>
      <c r="AA444" s="245">
        <v>0</v>
      </c>
      <c r="AB444" s="245">
        <v>0</v>
      </c>
      <c r="AC444" s="245">
        <v>0</v>
      </c>
      <c r="AD444" s="245">
        <v>0</v>
      </c>
      <c r="AE444" s="245">
        <v>0</v>
      </c>
      <c r="AF444" s="245">
        <v>0</v>
      </c>
      <c r="AG444" s="245">
        <v>0</v>
      </c>
      <c r="AH444" s="245">
        <v>0</v>
      </c>
      <c r="AI444" s="245">
        <v>0</v>
      </c>
      <c r="AJ444" s="245">
        <v>0</v>
      </c>
      <c r="AK444" s="245">
        <v>0</v>
      </c>
      <c r="AL444" s="245">
        <v>0</v>
      </c>
      <c r="AM444" s="245">
        <v>0</v>
      </c>
      <c r="AN444" s="245">
        <v>0</v>
      </c>
      <c r="AO444" s="245">
        <v>0</v>
      </c>
      <c r="AP444" s="245">
        <v>0</v>
      </c>
      <c r="AQ444" s="245">
        <v>0</v>
      </c>
      <c r="AR444" s="245">
        <v>0</v>
      </c>
      <c r="AS444" s="245">
        <v>0</v>
      </c>
      <c r="AT444" s="245">
        <v>0</v>
      </c>
      <c r="AU444" s="245">
        <v>0</v>
      </c>
      <c r="AV444" s="245">
        <v>0</v>
      </c>
      <c r="AW444" s="245">
        <v>0</v>
      </c>
      <c r="AX444" s="245">
        <v>0</v>
      </c>
      <c r="AY444" s="245">
        <v>1</v>
      </c>
      <c r="AZ444" s="245">
        <v>0</v>
      </c>
      <c r="BA444" s="245">
        <v>0</v>
      </c>
      <c r="BB444" s="245">
        <v>0</v>
      </c>
      <c r="BC444" s="245">
        <v>0</v>
      </c>
      <c r="BD444" s="245">
        <v>0</v>
      </c>
      <c r="BE444" s="245">
        <v>0</v>
      </c>
      <c r="BF444" s="245">
        <v>2</v>
      </c>
      <c r="BG444" s="245">
        <v>0</v>
      </c>
      <c r="BH444" s="245">
        <v>0</v>
      </c>
      <c r="BI444" s="245" t="s">
        <v>254</v>
      </c>
      <c r="BJ444" s="245" t="s">
        <v>254</v>
      </c>
      <c r="BK444" s="245" t="s">
        <v>254</v>
      </c>
      <c r="BL444" s="245">
        <v>0</v>
      </c>
      <c r="BM444" s="245">
        <f t="shared" si="92"/>
        <v>0</v>
      </c>
      <c r="BN444" s="245">
        <f t="shared" si="93"/>
        <v>0</v>
      </c>
      <c r="BO444" s="245">
        <f t="shared" si="94"/>
        <v>3</v>
      </c>
      <c r="BP444" s="245">
        <f t="shared" ref="BP444:BP459" si="95">SUM(BM444:BO444)</f>
        <v>3</v>
      </c>
      <c r="BQ444" s="246" t="s">
        <v>701</v>
      </c>
      <c r="BR444" s="275" t="s">
        <v>714</v>
      </c>
      <c r="BS444" s="247" t="s">
        <v>539</v>
      </c>
      <c r="BT444" s="247">
        <v>0</v>
      </c>
      <c r="BU444" s="245">
        <v>0</v>
      </c>
      <c r="BV444" s="245" t="s">
        <v>627</v>
      </c>
    </row>
    <row r="445" spans="1:74" x14ac:dyDescent="0.75">
      <c r="D445" s="75" t="s">
        <v>357</v>
      </c>
      <c r="E445" s="75" t="s">
        <v>358</v>
      </c>
      <c r="F445" s="75" t="s">
        <v>359</v>
      </c>
      <c r="G445" s="75" t="s">
        <v>116</v>
      </c>
      <c r="H445">
        <v>18.3506</v>
      </c>
      <c r="I445">
        <v>-64.699183000000005</v>
      </c>
      <c r="J445" s="121">
        <v>45202</v>
      </c>
      <c r="K445" s="75" t="s">
        <v>627</v>
      </c>
      <c r="M445" s="75">
        <v>0</v>
      </c>
      <c r="N445" s="75">
        <v>3</v>
      </c>
      <c r="O445" s="75" t="s">
        <v>362</v>
      </c>
      <c r="R445" s="75">
        <v>0</v>
      </c>
      <c r="S445" s="75">
        <v>0</v>
      </c>
      <c r="T445" s="75">
        <v>0</v>
      </c>
      <c r="U445" s="75">
        <v>0</v>
      </c>
      <c r="V445" s="75">
        <v>0</v>
      </c>
      <c r="W445" s="75">
        <v>0</v>
      </c>
      <c r="X445" s="75">
        <v>0</v>
      </c>
      <c r="Y445" s="75">
        <v>0</v>
      </c>
      <c r="Z445" s="75">
        <v>0</v>
      </c>
      <c r="AA445" s="75">
        <v>0</v>
      </c>
      <c r="AB445" s="75">
        <v>0</v>
      </c>
      <c r="AC445" s="75">
        <v>0</v>
      </c>
      <c r="AD445" s="75">
        <v>0</v>
      </c>
      <c r="AE445" s="75">
        <v>0</v>
      </c>
      <c r="AF445" s="75">
        <v>0</v>
      </c>
      <c r="AG445" s="75">
        <v>0</v>
      </c>
      <c r="AH445" s="75">
        <v>0</v>
      </c>
      <c r="AI445" s="75">
        <v>0</v>
      </c>
      <c r="AJ445" s="75">
        <v>0</v>
      </c>
      <c r="AK445" s="75">
        <v>0</v>
      </c>
      <c r="AL445" s="75">
        <v>0</v>
      </c>
      <c r="AM445" s="75">
        <v>0</v>
      </c>
      <c r="AN445" s="75">
        <v>0</v>
      </c>
      <c r="AO445" s="75">
        <v>0</v>
      </c>
      <c r="AP445" s="75">
        <v>0</v>
      </c>
      <c r="AQ445" s="75">
        <v>0</v>
      </c>
      <c r="AR445" s="75">
        <v>0</v>
      </c>
      <c r="AS445" s="75">
        <v>0</v>
      </c>
      <c r="AT445" s="75">
        <v>0</v>
      </c>
      <c r="AU445" s="75">
        <v>0</v>
      </c>
      <c r="AV445" s="75">
        <v>0</v>
      </c>
      <c r="AW445" s="75">
        <v>0</v>
      </c>
      <c r="AX445" s="75">
        <v>0</v>
      </c>
      <c r="AY445" s="75">
        <v>1</v>
      </c>
      <c r="AZ445" s="75">
        <v>0</v>
      </c>
      <c r="BA445" s="75">
        <v>0</v>
      </c>
      <c r="BB445" s="75">
        <v>0</v>
      </c>
      <c r="BC445" s="75">
        <v>1</v>
      </c>
      <c r="BD445" s="75">
        <v>0</v>
      </c>
      <c r="BE445" s="75">
        <v>0</v>
      </c>
      <c r="BF445" s="75">
        <v>0</v>
      </c>
      <c r="BG445" s="75">
        <v>0</v>
      </c>
      <c r="BH445" s="75">
        <v>0</v>
      </c>
      <c r="BI445" s="75" t="s">
        <v>254</v>
      </c>
      <c r="BJ445" s="75" t="s">
        <v>254</v>
      </c>
      <c r="BK445" s="75" t="s">
        <v>254</v>
      </c>
      <c r="BL445" s="75">
        <v>0</v>
      </c>
      <c r="BM445" s="75">
        <f t="shared" si="92"/>
        <v>0</v>
      </c>
      <c r="BN445" s="75">
        <f t="shared" si="93"/>
        <v>0</v>
      </c>
      <c r="BO445" s="75">
        <f t="shared" si="94"/>
        <v>2</v>
      </c>
      <c r="BP445" s="75">
        <f t="shared" si="95"/>
        <v>2</v>
      </c>
      <c r="BQ445" s="80" t="s">
        <v>715</v>
      </c>
      <c r="BR445" s="138" t="s">
        <v>716</v>
      </c>
      <c r="BS445" s="110" t="s">
        <v>539</v>
      </c>
      <c r="BT445" s="110">
        <v>0</v>
      </c>
      <c r="BU445" s="75">
        <v>0</v>
      </c>
      <c r="BV445" s="75" t="s">
        <v>627</v>
      </c>
    </row>
    <row r="446" spans="1:74" x14ac:dyDescent="0.75">
      <c r="D446" s="75" t="s">
        <v>357</v>
      </c>
      <c r="E446" s="75" t="s">
        <v>358</v>
      </c>
      <c r="F446" s="75" t="s">
        <v>359</v>
      </c>
      <c r="G446" s="75" t="s">
        <v>116</v>
      </c>
      <c r="H446">
        <v>18.3506</v>
      </c>
      <c r="I446">
        <v>-64.699183000000005</v>
      </c>
      <c r="J446" s="121">
        <v>45202</v>
      </c>
      <c r="K446" s="75" t="s">
        <v>627</v>
      </c>
      <c r="M446" s="75">
        <v>0</v>
      </c>
      <c r="N446" s="75">
        <v>3</v>
      </c>
      <c r="O446" s="75" t="s">
        <v>362</v>
      </c>
      <c r="R446" s="75">
        <v>0</v>
      </c>
      <c r="S446" s="75">
        <v>0</v>
      </c>
      <c r="T446" s="75">
        <v>0</v>
      </c>
      <c r="U446" s="75">
        <v>0</v>
      </c>
      <c r="V446" s="75">
        <v>0</v>
      </c>
      <c r="W446" s="75">
        <v>0</v>
      </c>
      <c r="X446" s="75">
        <v>0</v>
      </c>
      <c r="Y446" s="75">
        <v>0</v>
      </c>
      <c r="Z446" s="75">
        <v>0</v>
      </c>
      <c r="AA446" s="75">
        <v>0</v>
      </c>
      <c r="AB446" s="75">
        <v>0</v>
      </c>
      <c r="AC446" s="75">
        <v>0</v>
      </c>
      <c r="AD446" s="75">
        <v>0</v>
      </c>
      <c r="AE446" s="75">
        <v>0</v>
      </c>
      <c r="AF446" s="75">
        <v>0</v>
      </c>
      <c r="AG446" s="75">
        <v>0</v>
      </c>
      <c r="AH446" s="75">
        <v>0</v>
      </c>
      <c r="AI446" s="75">
        <v>0</v>
      </c>
      <c r="AJ446" s="75">
        <v>0</v>
      </c>
      <c r="AK446" s="75">
        <v>0</v>
      </c>
      <c r="AL446" s="75">
        <v>0</v>
      </c>
      <c r="AM446" s="75">
        <v>0</v>
      </c>
      <c r="AN446" s="75">
        <v>0</v>
      </c>
      <c r="AO446" s="75">
        <v>0</v>
      </c>
      <c r="AP446" s="75">
        <v>0</v>
      </c>
      <c r="AQ446" s="75">
        <v>0</v>
      </c>
      <c r="AR446" s="75">
        <v>1</v>
      </c>
      <c r="AS446" s="75">
        <v>0</v>
      </c>
      <c r="AT446" s="75">
        <v>0</v>
      </c>
      <c r="AU446" s="75">
        <v>0</v>
      </c>
      <c r="AV446" s="75">
        <v>0</v>
      </c>
      <c r="AW446" s="75">
        <v>0</v>
      </c>
      <c r="AX446" s="75">
        <v>0</v>
      </c>
      <c r="AY446" s="75">
        <v>0</v>
      </c>
      <c r="AZ446" s="75">
        <v>0</v>
      </c>
      <c r="BA446" s="75">
        <v>0</v>
      </c>
      <c r="BB446" s="75">
        <v>0</v>
      </c>
      <c r="BC446" s="75">
        <v>0</v>
      </c>
      <c r="BD446" s="75">
        <v>0</v>
      </c>
      <c r="BE446" s="75">
        <v>0</v>
      </c>
      <c r="BF446" s="75">
        <v>1</v>
      </c>
      <c r="BG446" s="75">
        <v>0</v>
      </c>
      <c r="BH446" s="75">
        <v>0</v>
      </c>
      <c r="BI446" s="75" t="s">
        <v>254</v>
      </c>
      <c r="BJ446" s="75" t="s">
        <v>254</v>
      </c>
      <c r="BK446" s="75" t="s">
        <v>254</v>
      </c>
      <c r="BL446" s="75">
        <v>0</v>
      </c>
      <c r="BM446" s="75">
        <f t="shared" si="92"/>
        <v>0</v>
      </c>
      <c r="BN446" s="75">
        <f t="shared" si="93"/>
        <v>0</v>
      </c>
      <c r="BO446" s="75">
        <f t="shared" si="94"/>
        <v>2</v>
      </c>
      <c r="BP446" s="75">
        <f t="shared" si="95"/>
        <v>2</v>
      </c>
      <c r="BQ446" s="66" t="s">
        <v>717</v>
      </c>
      <c r="BR446" s="138">
        <v>912</v>
      </c>
      <c r="BS446" s="110" t="s">
        <v>539</v>
      </c>
      <c r="BT446" s="110">
        <v>0</v>
      </c>
      <c r="BU446" s="75">
        <v>0</v>
      </c>
      <c r="BV446" s="75" t="s">
        <v>627</v>
      </c>
    </row>
    <row r="447" spans="1:74" x14ac:dyDescent="0.75">
      <c r="D447" s="75" t="s">
        <v>357</v>
      </c>
      <c r="E447" s="75" t="s">
        <v>358</v>
      </c>
      <c r="F447" s="75" t="s">
        <v>359</v>
      </c>
      <c r="G447" s="75" t="s">
        <v>116</v>
      </c>
      <c r="H447">
        <v>18.3506</v>
      </c>
      <c r="I447">
        <v>-64.699183000000005</v>
      </c>
      <c r="J447" s="121">
        <v>45202</v>
      </c>
      <c r="K447" s="75" t="s">
        <v>627</v>
      </c>
      <c r="M447" s="75">
        <v>0</v>
      </c>
      <c r="N447" s="75">
        <v>3</v>
      </c>
      <c r="O447" s="75" t="s">
        <v>362</v>
      </c>
      <c r="R447" s="75">
        <v>0</v>
      </c>
      <c r="S447" s="75">
        <v>0</v>
      </c>
      <c r="T447" s="75">
        <v>0</v>
      </c>
      <c r="U447" s="75">
        <v>0</v>
      </c>
      <c r="V447" s="75">
        <v>0</v>
      </c>
      <c r="W447" s="75">
        <v>0</v>
      </c>
      <c r="X447" s="75">
        <v>0</v>
      </c>
      <c r="Y447" s="75">
        <v>0</v>
      </c>
      <c r="Z447" s="75">
        <v>0</v>
      </c>
      <c r="AA447" s="75">
        <v>0</v>
      </c>
      <c r="AB447" s="75">
        <v>0</v>
      </c>
      <c r="AC447" s="75">
        <v>0</v>
      </c>
      <c r="AD447" s="75">
        <v>0</v>
      </c>
      <c r="AE447" s="75">
        <v>0</v>
      </c>
      <c r="AF447" s="75">
        <v>0</v>
      </c>
      <c r="AG447" s="75">
        <v>0</v>
      </c>
      <c r="AH447" s="75">
        <v>0</v>
      </c>
      <c r="AI447" s="75">
        <v>0</v>
      </c>
      <c r="AJ447" s="75">
        <v>0</v>
      </c>
      <c r="AK447" s="75">
        <v>0</v>
      </c>
      <c r="AL447" s="75">
        <v>0</v>
      </c>
      <c r="AM447" s="75">
        <v>0</v>
      </c>
      <c r="AN447" s="75">
        <v>0</v>
      </c>
      <c r="AO447" s="75">
        <v>0</v>
      </c>
      <c r="AP447" s="75">
        <v>0</v>
      </c>
      <c r="AQ447" s="75">
        <v>0</v>
      </c>
      <c r="AR447" s="75">
        <v>0</v>
      </c>
      <c r="AS447" s="75">
        <v>0</v>
      </c>
      <c r="AT447" s="75">
        <v>0</v>
      </c>
      <c r="AU447" s="75">
        <v>0</v>
      </c>
      <c r="AV447" s="75">
        <v>0</v>
      </c>
      <c r="AW447" s="75">
        <v>0</v>
      </c>
      <c r="AX447" s="75">
        <v>0</v>
      </c>
      <c r="AY447" s="75">
        <v>0</v>
      </c>
      <c r="AZ447" s="75">
        <v>0</v>
      </c>
      <c r="BA447" s="75">
        <v>0</v>
      </c>
      <c r="BB447" s="75">
        <v>0</v>
      </c>
      <c r="BC447" s="75">
        <v>0</v>
      </c>
      <c r="BD447" s="75">
        <v>0</v>
      </c>
      <c r="BE447" s="75">
        <v>0</v>
      </c>
      <c r="BF447" s="75">
        <v>0</v>
      </c>
      <c r="BG447" s="75">
        <v>0</v>
      </c>
      <c r="BH447" s="75">
        <v>0</v>
      </c>
      <c r="BI447" s="75" t="s">
        <v>254</v>
      </c>
      <c r="BJ447" s="75" t="s">
        <v>254</v>
      </c>
      <c r="BK447" s="75" t="s">
        <v>254</v>
      </c>
      <c r="BL447" s="75">
        <v>0</v>
      </c>
      <c r="BM447" s="75">
        <f t="shared" si="92"/>
        <v>0</v>
      </c>
      <c r="BN447" s="75">
        <f t="shared" si="93"/>
        <v>0</v>
      </c>
      <c r="BO447" s="75">
        <f t="shared" si="94"/>
        <v>0</v>
      </c>
      <c r="BP447" s="75">
        <f t="shared" si="95"/>
        <v>0</v>
      </c>
      <c r="BQ447" s="80" t="s">
        <v>718</v>
      </c>
      <c r="BR447" s="138" t="s">
        <v>719</v>
      </c>
      <c r="BS447" s="110" t="s">
        <v>539</v>
      </c>
      <c r="BT447" s="110">
        <v>0</v>
      </c>
      <c r="BU447" s="75">
        <v>0</v>
      </c>
      <c r="BV447" s="75" t="s">
        <v>627</v>
      </c>
    </row>
    <row r="448" spans="1:74" x14ac:dyDescent="0.75">
      <c r="D448" s="75" t="s">
        <v>357</v>
      </c>
      <c r="E448" s="75" t="s">
        <v>358</v>
      </c>
      <c r="F448" s="75" t="s">
        <v>359</v>
      </c>
      <c r="G448" s="75" t="s">
        <v>23</v>
      </c>
      <c r="H448">
        <v>18.365749999999998</v>
      </c>
      <c r="I448">
        <v>-64.773619999999994</v>
      </c>
      <c r="J448" s="81">
        <v>45209</v>
      </c>
      <c r="K448" s="75" t="s">
        <v>628</v>
      </c>
      <c r="M448" s="75">
        <v>0</v>
      </c>
      <c r="N448" s="75">
        <v>2</v>
      </c>
      <c r="O448" s="75" t="s">
        <v>362</v>
      </c>
      <c r="R448" s="75">
        <v>0</v>
      </c>
      <c r="S448" s="75">
        <v>0</v>
      </c>
      <c r="T448" s="75">
        <v>0</v>
      </c>
      <c r="U448" s="75">
        <v>0</v>
      </c>
      <c r="V448" s="75">
        <v>0</v>
      </c>
      <c r="W448" s="75">
        <v>0</v>
      </c>
      <c r="X448" s="75">
        <v>0</v>
      </c>
      <c r="Y448" s="75">
        <v>0</v>
      </c>
      <c r="Z448" s="75">
        <v>0</v>
      </c>
      <c r="AA448" s="75">
        <v>0</v>
      </c>
      <c r="AB448" s="75">
        <v>0</v>
      </c>
      <c r="AC448" s="75">
        <v>0</v>
      </c>
      <c r="AD448" s="75">
        <v>0</v>
      </c>
      <c r="AE448" s="75">
        <v>0</v>
      </c>
      <c r="AF448" s="75">
        <v>0</v>
      </c>
      <c r="AG448" s="75">
        <v>0</v>
      </c>
      <c r="AH448" s="75">
        <v>0</v>
      </c>
      <c r="AI448" s="75">
        <v>0</v>
      </c>
      <c r="AJ448" s="75">
        <v>0</v>
      </c>
      <c r="AK448" s="75">
        <v>0</v>
      </c>
      <c r="AL448" s="75">
        <v>0</v>
      </c>
      <c r="AM448" s="75">
        <v>0</v>
      </c>
      <c r="AN448" s="75">
        <v>0</v>
      </c>
      <c r="AO448" s="75">
        <v>0</v>
      </c>
      <c r="AP448" s="75">
        <v>0</v>
      </c>
      <c r="AQ448" s="75">
        <v>0</v>
      </c>
      <c r="AR448" s="75">
        <v>0</v>
      </c>
      <c r="AS448" s="75">
        <v>0</v>
      </c>
      <c r="AT448" s="75">
        <v>0</v>
      </c>
      <c r="AU448" s="75">
        <v>0</v>
      </c>
      <c r="AV448" s="75">
        <v>0</v>
      </c>
      <c r="AW448" s="75">
        <v>0</v>
      </c>
      <c r="AX448" s="75">
        <v>0</v>
      </c>
      <c r="AY448" s="75">
        <v>0</v>
      </c>
      <c r="AZ448" s="75">
        <v>0</v>
      </c>
      <c r="BA448" s="75">
        <v>0</v>
      </c>
      <c r="BB448" s="75">
        <v>0</v>
      </c>
      <c r="BC448" s="75">
        <v>0</v>
      </c>
      <c r="BD448" s="75">
        <v>0</v>
      </c>
      <c r="BE448" s="75">
        <v>0</v>
      </c>
      <c r="BF448" s="75">
        <v>0</v>
      </c>
      <c r="BG448" s="75">
        <v>0</v>
      </c>
      <c r="BH448" s="75">
        <v>0</v>
      </c>
      <c r="BI448" s="75" t="s">
        <v>254</v>
      </c>
      <c r="BJ448" s="75" t="s">
        <v>254</v>
      </c>
      <c r="BK448" s="75" t="s">
        <v>254</v>
      </c>
      <c r="BL448" s="75">
        <v>0</v>
      </c>
      <c r="BM448" s="75">
        <f t="shared" ref="BM448:BM452" si="96">SUM(R448:AD448)</f>
        <v>0</v>
      </c>
      <c r="BN448" s="75">
        <f t="shared" ref="BN448:BN459" si="97">SUM(AE448:AN448)</f>
        <v>0</v>
      </c>
      <c r="BO448" s="75">
        <f t="shared" ref="BO448:BO459" si="98">SUM(AO448:BH448)</f>
        <v>0</v>
      </c>
      <c r="BP448" s="75">
        <f t="shared" si="95"/>
        <v>0</v>
      </c>
      <c r="BR448" s="138" t="s">
        <v>720</v>
      </c>
      <c r="BS448" s="110" t="s">
        <v>539</v>
      </c>
      <c r="BT448" s="110">
        <v>0</v>
      </c>
      <c r="BU448" s="75">
        <v>0</v>
      </c>
      <c r="BV448" s="75" t="s">
        <v>628</v>
      </c>
    </row>
    <row r="449" spans="4:74" x14ac:dyDescent="0.75">
      <c r="D449" s="75" t="s">
        <v>357</v>
      </c>
      <c r="E449" s="75" t="s">
        <v>358</v>
      </c>
      <c r="F449" s="75" t="s">
        <v>359</v>
      </c>
      <c r="G449" s="75" t="s">
        <v>23</v>
      </c>
      <c r="H449">
        <v>18.365749999999998</v>
      </c>
      <c r="I449">
        <v>-64.773619999999994</v>
      </c>
      <c r="J449" s="81">
        <v>45209</v>
      </c>
      <c r="K449" s="75" t="s">
        <v>628</v>
      </c>
      <c r="M449" s="75">
        <v>0</v>
      </c>
      <c r="N449" s="75">
        <v>2</v>
      </c>
      <c r="O449" s="75" t="s">
        <v>362</v>
      </c>
      <c r="R449" s="75">
        <v>0</v>
      </c>
      <c r="S449" s="75">
        <v>0</v>
      </c>
      <c r="T449" s="75">
        <v>0</v>
      </c>
      <c r="U449" s="75">
        <v>0</v>
      </c>
      <c r="V449" s="75">
        <v>0</v>
      </c>
      <c r="W449" s="75">
        <v>0</v>
      </c>
      <c r="X449" s="75">
        <v>0</v>
      </c>
      <c r="Y449" s="75">
        <v>0</v>
      </c>
      <c r="Z449" s="75">
        <v>0</v>
      </c>
      <c r="AA449" s="75">
        <v>0</v>
      </c>
      <c r="AB449" s="75">
        <v>0</v>
      </c>
      <c r="AC449" s="75">
        <v>0</v>
      </c>
      <c r="AD449" s="75">
        <v>0</v>
      </c>
      <c r="AE449" s="75">
        <v>0</v>
      </c>
      <c r="AF449" s="75">
        <v>0</v>
      </c>
      <c r="AG449" s="75">
        <v>0</v>
      </c>
      <c r="AH449" s="75">
        <v>0</v>
      </c>
      <c r="AI449" s="75">
        <v>0</v>
      </c>
      <c r="AJ449" s="75">
        <v>0</v>
      </c>
      <c r="AK449" s="75">
        <v>0</v>
      </c>
      <c r="AL449" s="75">
        <v>0</v>
      </c>
      <c r="AM449" s="75">
        <v>0</v>
      </c>
      <c r="AN449" s="75">
        <v>0</v>
      </c>
      <c r="AO449" s="75">
        <v>2</v>
      </c>
      <c r="AP449" s="75">
        <v>0</v>
      </c>
      <c r="AQ449" s="75">
        <v>0</v>
      </c>
      <c r="AR449" s="75">
        <v>0</v>
      </c>
      <c r="AS449" s="75">
        <v>0</v>
      </c>
      <c r="AT449" s="75">
        <v>0</v>
      </c>
      <c r="AU449" s="75">
        <v>0</v>
      </c>
      <c r="AV449" s="75">
        <v>0</v>
      </c>
      <c r="AW449" s="75">
        <v>0</v>
      </c>
      <c r="AX449" s="75">
        <v>0</v>
      </c>
      <c r="AY449" s="75">
        <v>0</v>
      </c>
      <c r="AZ449" s="75">
        <v>0</v>
      </c>
      <c r="BA449" s="75">
        <v>0</v>
      </c>
      <c r="BB449" s="75">
        <v>0</v>
      </c>
      <c r="BC449" s="75">
        <v>0</v>
      </c>
      <c r="BD449" s="75">
        <v>0</v>
      </c>
      <c r="BE449" s="75">
        <v>0</v>
      </c>
      <c r="BF449" s="75">
        <v>0</v>
      </c>
      <c r="BG449" s="75">
        <v>0</v>
      </c>
      <c r="BH449" s="75">
        <v>0</v>
      </c>
      <c r="BI449" s="75" t="s">
        <v>254</v>
      </c>
      <c r="BJ449" s="75" t="s">
        <v>254</v>
      </c>
      <c r="BK449" s="75" t="s">
        <v>254</v>
      </c>
      <c r="BL449" s="75">
        <v>0</v>
      </c>
      <c r="BM449" s="75">
        <f t="shared" si="96"/>
        <v>0</v>
      </c>
      <c r="BN449" s="75">
        <f t="shared" si="97"/>
        <v>0</v>
      </c>
      <c r="BO449" s="75">
        <f t="shared" si="98"/>
        <v>2</v>
      </c>
      <c r="BP449" s="75">
        <f t="shared" si="95"/>
        <v>2</v>
      </c>
      <c r="BQ449" s="80" t="s">
        <v>721</v>
      </c>
      <c r="BR449" s="138">
        <v>902</v>
      </c>
      <c r="BS449" s="110" t="s">
        <v>539</v>
      </c>
      <c r="BT449" s="110">
        <v>1</v>
      </c>
      <c r="BU449" s="75">
        <v>0</v>
      </c>
      <c r="BV449" s="75" t="s">
        <v>628</v>
      </c>
    </row>
    <row r="450" spans="4:74" x14ac:dyDescent="0.75">
      <c r="D450" s="75" t="s">
        <v>357</v>
      </c>
      <c r="E450" s="75" t="s">
        <v>358</v>
      </c>
      <c r="F450" s="75" t="s">
        <v>359</v>
      </c>
      <c r="G450" t="s">
        <v>722</v>
      </c>
      <c r="J450" s="81">
        <v>45209</v>
      </c>
      <c r="K450" s="75" t="s">
        <v>628</v>
      </c>
      <c r="M450" s="75">
        <v>0</v>
      </c>
      <c r="N450" s="75">
        <v>2</v>
      </c>
      <c r="O450" s="75" t="s">
        <v>362</v>
      </c>
      <c r="R450" s="75">
        <v>0</v>
      </c>
      <c r="S450" s="75">
        <v>0</v>
      </c>
      <c r="T450" s="75">
        <v>0</v>
      </c>
      <c r="U450" s="75">
        <v>0</v>
      </c>
      <c r="V450" s="75">
        <v>0</v>
      </c>
      <c r="W450" s="75">
        <v>0</v>
      </c>
      <c r="X450" s="75">
        <v>0</v>
      </c>
      <c r="Y450" s="75">
        <v>0</v>
      </c>
      <c r="Z450" s="75">
        <v>0</v>
      </c>
      <c r="AA450" s="75">
        <v>0</v>
      </c>
      <c r="AB450" s="75">
        <v>0</v>
      </c>
      <c r="AC450" s="75">
        <v>0</v>
      </c>
      <c r="AD450" s="75">
        <v>0</v>
      </c>
      <c r="AE450" s="75">
        <v>0</v>
      </c>
      <c r="AF450" s="75">
        <v>0</v>
      </c>
      <c r="AG450" s="75">
        <v>0</v>
      </c>
      <c r="AH450" s="75">
        <v>0</v>
      </c>
      <c r="AI450" s="75">
        <v>0</v>
      </c>
      <c r="AJ450" s="75">
        <v>0</v>
      </c>
      <c r="AK450" s="75">
        <v>0</v>
      </c>
      <c r="AL450" s="75">
        <v>0</v>
      </c>
      <c r="AM450" s="75">
        <v>0</v>
      </c>
      <c r="AN450" s="75">
        <v>0</v>
      </c>
      <c r="AO450" s="75">
        <v>0</v>
      </c>
      <c r="AP450" s="75">
        <v>0</v>
      </c>
      <c r="AQ450" s="75">
        <v>0</v>
      </c>
      <c r="AR450" s="75">
        <v>0</v>
      </c>
      <c r="AS450" s="75">
        <v>0</v>
      </c>
      <c r="AT450" s="75">
        <v>0</v>
      </c>
      <c r="AU450" s="75">
        <v>0</v>
      </c>
      <c r="AV450" s="75">
        <v>0</v>
      </c>
      <c r="AW450" s="75">
        <v>0</v>
      </c>
      <c r="AX450" s="75">
        <v>0</v>
      </c>
      <c r="AY450" s="75">
        <v>0</v>
      </c>
      <c r="AZ450" s="75">
        <v>0</v>
      </c>
      <c r="BA450" s="75">
        <v>0</v>
      </c>
      <c r="BB450" s="75">
        <v>0</v>
      </c>
      <c r="BC450" s="75">
        <v>0</v>
      </c>
      <c r="BD450" s="75">
        <v>0</v>
      </c>
      <c r="BE450" s="75">
        <v>0</v>
      </c>
      <c r="BF450" s="75">
        <v>1</v>
      </c>
      <c r="BG450" s="75">
        <v>0</v>
      </c>
      <c r="BH450" s="75">
        <v>0</v>
      </c>
      <c r="BI450" s="75" t="s">
        <v>254</v>
      </c>
      <c r="BJ450" s="75" t="s">
        <v>254</v>
      </c>
      <c r="BK450" s="75" t="s">
        <v>254</v>
      </c>
      <c r="BL450" s="75">
        <v>0</v>
      </c>
      <c r="BM450" s="75">
        <f t="shared" si="96"/>
        <v>0</v>
      </c>
      <c r="BN450" s="75">
        <f t="shared" si="97"/>
        <v>0</v>
      </c>
      <c r="BO450" s="75">
        <f t="shared" si="98"/>
        <v>1</v>
      </c>
      <c r="BP450" s="75">
        <f t="shared" si="95"/>
        <v>1</v>
      </c>
      <c r="BR450" s="138" t="s">
        <v>363</v>
      </c>
      <c r="BS450" s="110" t="s">
        <v>539</v>
      </c>
      <c r="BT450" s="110">
        <v>0</v>
      </c>
      <c r="BU450" s="75">
        <v>0</v>
      </c>
      <c r="BV450" s="75" t="s">
        <v>628</v>
      </c>
    </row>
    <row r="451" spans="4:74" x14ac:dyDescent="0.75">
      <c r="D451" s="75" t="s">
        <v>357</v>
      </c>
      <c r="E451" s="75" t="s">
        <v>358</v>
      </c>
      <c r="F451" s="75" t="s">
        <v>359</v>
      </c>
      <c r="G451" s="75" t="s">
        <v>723</v>
      </c>
      <c r="J451" s="81">
        <v>45210</v>
      </c>
      <c r="K451" s="75" t="s">
        <v>628</v>
      </c>
      <c r="M451" s="75">
        <v>0</v>
      </c>
      <c r="N451" s="75">
        <v>2</v>
      </c>
      <c r="O451" s="75" t="s">
        <v>362</v>
      </c>
      <c r="R451" s="75">
        <v>0</v>
      </c>
      <c r="S451" s="75">
        <v>0</v>
      </c>
      <c r="T451" s="75">
        <v>0</v>
      </c>
      <c r="U451" s="75">
        <v>0</v>
      </c>
      <c r="V451" s="75">
        <v>0</v>
      </c>
      <c r="W451" s="75">
        <v>0</v>
      </c>
      <c r="X451" s="75">
        <v>0</v>
      </c>
      <c r="Y451" s="75">
        <v>0</v>
      </c>
      <c r="Z451" s="75">
        <v>0</v>
      </c>
      <c r="AA451" s="75">
        <v>0</v>
      </c>
      <c r="AB451" s="75">
        <v>0</v>
      </c>
      <c r="AC451" s="75">
        <v>0</v>
      </c>
      <c r="AD451" s="75">
        <v>0</v>
      </c>
      <c r="AE451" s="75">
        <v>0</v>
      </c>
      <c r="AF451" s="75">
        <v>0</v>
      </c>
      <c r="AG451" s="75">
        <v>0</v>
      </c>
      <c r="AH451" s="75">
        <v>0</v>
      </c>
      <c r="AI451" s="75">
        <v>0</v>
      </c>
      <c r="AJ451" s="75">
        <v>0</v>
      </c>
      <c r="AK451" s="75">
        <v>0</v>
      </c>
      <c r="AL451" s="75">
        <v>0</v>
      </c>
      <c r="AM451" s="75">
        <v>0</v>
      </c>
      <c r="AN451" s="75">
        <v>0</v>
      </c>
      <c r="AO451" s="75">
        <v>1</v>
      </c>
      <c r="AP451" s="75">
        <v>0</v>
      </c>
      <c r="AQ451" s="75">
        <v>0</v>
      </c>
      <c r="AR451" s="75">
        <v>0</v>
      </c>
      <c r="AS451" s="75">
        <v>0</v>
      </c>
      <c r="AT451" s="75">
        <v>0</v>
      </c>
      <c r="AU451" s="75">
        <v>0</v>
      </c>
      <c r="AV451" s="75">
        <v>0</v>
      </c>
      <c r="AW451" s="75">
        <v>0</v>
      </c>
      <c r="AX451" s="75">
        <v>0</v>
      </c>
      <c r="AY451" s="75">
        <v>0</v>
      </c>
      <c r="AZ451" s="75">
        <v>0</v>
      </c>
      <c r="BA451" s="75">
        <v>0</v>
      </c>
      <c r="BB451" s="75">
        <v>0</v>
      </c>
      <c r="BC451" s="75">
        <v>0</v>
      </c>
      <c r="BD451" s="75">
        <v>0</v>
      </c>
      <c r="BE451" s="75">
        <v>0</v>
      </c>
      <c r="BF451" s="75">
        <v>0</v>
      </c>
      <c r="BG451" s="75">
        <v>0</v>
      </c>
      <c r="BH451" s="75">
        <v>0</v>
      </c>
      <c r="BI451" s="75" t="s">
        <v>254</v>
      </c>
      <c r="BJ451" s="75" t="s">
        <v>254</v>
      </c>
      <c r="BK451" s="75" t="s">
        <v>254</v>
      </c>
      <c r="BL451" s="75">
        <v>0</v>
      </c>
      <c r="BM451" s="75">
        <f t="shared" si="96"/>
        <v>0</v>
      </c>
      <c r="BN451" s="75">
        <f t="shared" si="97"/>
        <v>0</v>
      </c>
      <c r="BO451" s="75">
        <f t="shared" si="98"/>
        <v>1</v>
      </c>
      <c r="BP451" s="75">
        <f t="shared" si="95"/>
        <v>1</v>
      </c>
      <c r="BR451" s="138" t="s">
        <v>363</v>
      </c>
      <c r="BS451" s="110" t="s">
        <v>539</v>
      </c>
      <c r="BT451" s="110">
        <v>0</v>
      </c>
      <c r="BU451" s="75">
        <v>0</v>
      </c>
      <c r="BV451" s="75" t="s">
        <v>628</v>
      </c>
    </row>
    <row r="452" spans="4:74" x14ac:dyDescent="0.75">
      <c r="D452" s="75" t="s">
        <v>357</v>
      </c>
      <c r="E452" s="75" t="s">
        <v>358</v>
      </c>
      <c r="F452" s="75" t="s">
        <v>359</v>
      </c>
      <c r="G452" s="75" t="s">
        <v>116</v>
      </c>
      <c r="H452">
        <v>18.3506</v>
      </c>
      <c r="I452">
        <v>-64.699183000000005</v>
      </c>
      <c r="J452" s="81">
        <v>45210</v>
      </c>
      <c r="K452" s="75" t="s">
        <v>628</v>
      </c>
      <c r="M452" s="75">
        <v>0</v>
      </c>
      <c r="N452" s="75">
        <v>2</v>
      </c>
      <c r="O452" s="75" t="s">
        <v>362</v>
      </c>
      <c r="R452" s="75">
        <v>0</v>
      </c>
      <c r="S452" s="75">
        <v>0</v>
      </c>
      <c r="T452" s="75">
        <v>0</v>
      </c>
      <c r="U452" s="75">
        <v>0</v>
      </c>
      <c r="V452" s="75">
        <v>0</v>
      </c>
      <c r="W452" s="75">
        <v>0</v>
      </c>
      <c r="X452" s="75">
        <v>0</v>
      </c>
      <c r="Y452" s="75">
        <v>0</v>
      </c>
      <c r="Z452" s="75">
        <v>0</v>
      </c>
      <c r="AA452" s="75">
        <v>0</v>
      </c>
      <c r="AB452" s="75">
        <v>0</v>
      </c>
      <c r="AC452" s="75">
        <v>0</v>
      </c>
      <c r="AD452" s="75">
        <v>0</v>
      </c>
      <c r="AE452" s="75">
        <v>0</v>
      </c>
      <c r="AF452" s="75">
        <v>0</v>
      </c>
      <c r="AG452" s="75">
        <v>0</v>
      </c>
      <c r="AH452" s="75">
        <v>0</v>
      </c>
      <c r="AI452" s="75">
        <v>0</v>
      </c>
      <c r="AJ452" s="75">
        <v>0</v>
      </c>
      <c r="AK452" s="75">
        <v>0</v>
      </c>
      <c r="AL452" s="75">
        <v>0</v>
      </c>
      <c r="AM452" s="75">
        <v>0</v>
      </c>
      <c r="AN452" s="75">
        <v>0</v>
      </c>
      <c r="AO452" s="75">
        <v>0</v>
      </c>
      <c r="AP452" s="75">
        <v>0</v>
      </c>
      <c r="AQ452" s="75">
        <v>0</v>
      </c>
      <c r="AR452" s="75">
        <v>0</v>
      </c>
      <c r="AS452" s="75">
        <v>3</v>
      </c>
      <c r="AT452" s="75">
        <v>0</v>
      </c>
      <c r="AU452" s="75">
        <v>0</v>
      </c>
      <c r="AV452" s="75">
        <v>0</v>
      </c>
      <c r="AW452" s="75">
        <v>0</v>
      </c>
      <c r="AX452" s="75">
        <v>0</v>
      </c>
      <c r="AY452" s="75">
        <v>0</v>
      </c>
      <c r="AZ452" s="75">
        <v>0</v>
      </c>
      <c r="BA452" s="75">
        <v>0</v>
      </c>
      <c r="BB452" s="75">
        <v>0</v>
      </c>
      <c r="BC452" s="75">
        <v>0</v>
      </c>
      <c r="BD452" s="75">
        <v>0</v>
      </c>
      <c r="BE452" s="75">
        <v>0</v>
      </c>
      <c r="BF452" s="75">
        <v>0</v>
      </c>
      <c r="BG452" s="75">
        <v>0</v>
      </c>
      <c r="BH452" s="75">
        <v>0</v>
      </c>
      <c r="BI452" s="75" t="s">
        <v>254</v>
      </c>
      <c r="BJ452" s="75" t="s">
        <v>254</v>
      </c>
      <c r="BK452" s="75" t="s">
        <v>254</v>
      </c>
      <c r="BL452" s="75">
        <v>0</v>
      </c>
      <c r="BM452" s="75">
        <f t="shared" si="96"/>
        <v>0</v>
      </c>
      <c r="BN452" s="75">
        <f t="shared" si="97"/>
        <v>0</v>
      </c>
      <c r="BO452" s="75">
        <f t="shared" si="98"/>
        <v>3</v>
      </c>
      <c r="BP452" s="75">
        <f t="shared" si="95"/>
        <v>3</v>
      </c>
      <c r="BQ452" s="80" t="s">
        <v>724</v>
      </c>
      <c r="BR452" s="138" t="s">
        <v>363</v>
      </c>
      <c r="BS452" s="110" t="s">
        <v>539</v>
      </c>
      <c r="BT452" s="110">
        <v>0</v>
      </c>
      <c r="BU452" s="75">
        <v>0</v>
      </c>
      <c r="BV452" s="75" t="s">
        <v>628</v>
      </c>
    </row>
    <row r="453" spans="4:74" x14ac:dyDescent="0.75">
      <c r="D453" s="75" t="s">
        <v>357</v>
      </c>
      <c r="E453" s="75" t="s">
        <v>358</v>
      </c>
      <c r="F453" s="75" t="s">
        <v>359</v>
      </c>
      <c r="G453" s="75" t="s">
        <v>116</v>
      </c>
      <c r="H453">
        <v>18.3506</v>
      </c>
      <c r="I453">
        <v>-64.699183000000005</v>
      </c>
      <c r="J453" s="81">
        <v>45211</v>
      </c>
      <c r="K453" s="75" t="s">
        <v>361</v>
      </c>
      <c r="M453" s="75">
        <v>0</v>
      </c>
      <c r="N453" s="75">
        <v>2</v>
      </c>
      <c r="O453" s="75" t="s">
        <v>362</v>
      </c>
      <c r="R453" s="75">
        <v>0</v>
      </c>
      <c r="S453" s="75">
        <v>0</v>
      </c>
      <c r="T453" s="75">
        <v>0</v>
      </c>
      <c r="U453" s="75">
        <v>0</v>
      </c>
      <c r="V453" s="75">
        <v>0</v>
      </c>
      <c r="W453" s="75">
        <v>0</v>
      </c>
      <c r="X453" s="75">
        <v>0</v>
      </c>
      <c r="Y453" s="75">
        <v>0</v>
      </c>
      <c r="Z453" s="75">
        <v>0</v>
      </c>
      <c r="AA453" s="75">
        <v>0</v>
      </c>
      <c r="AB453" s="75">
        <v>0</v>
      </c>
      <c r="AC453" s="75">
        <v>0</v>
      </c>
      <c r="AD453" s="75">
        <v>0</v>
      </c>
      <c r="AE453" s="75">
        <v>0</v>
      </c>
      <c r="AF453" s="75">
        <v>0</v>
      </c>
      <c r="AG453" s="75">
        <v>0</v>
      </c>
      <c r="AH453" s="75">
        <v>0</v>
      </c>
      <c r="AI453" s="75">
        <v>0</v>
      </c>
      <c r="AJ453" s="75">
        <v>0</v>
      </c>
      <c r="AK453" s="75">
        <v>0</v>
      </c>
      <c r="AL453" s="75">
        <v>0</v>
      </c>
      <c r="AM453" s="75">
        <v>0</v>
      </c>
      <c r="AN453" s="75">
        <v>0</v>
      </c>
      <c r="AO453" s="75">
        <v>0</v>
      </c>
      <c r="AP453" s="75">
        <v>0</v>
      </c>
      <c r="AQ453" s="75">
        <v>0</v>
      </c>
      <c r="AR453" s="75">
        <v>0</v>
      </c>
      <c r="AS453" s="75">
        <v>0</v>
      </c>
      <c r="AT453" s="75">
        <v>0</v>
      </c>
      <c r="AU453" s="75">
        <v>0</v>
      </c>
      <c r="AV453" s="75">
        <v>0</v>
      </c>
      <c r="AW453" s="75">
        <v>0</v>
      </c>
      <c r="AX453" s="75">
        <v>0</v>
      </c>
      <c r="AY453" s="75">
        <v>0</v>
      </c>
      <c r="AZ453" s="75">
        <v>0</v>
      </c>
      <c r="BA453" s="75">
        <v>0</v>
      </c>
      <c r="BB453" s="75">
        <v>0</v>
      </c>
      <c r="BC453" s="75">
        <v>0</v>
      </c>
      <c r="BD453" s="75">
        <v>0</v>
      </c>
      <c r="BE453" s="75">
        <v>0</v>
      </c>
      <c r="BF453" s="75">
        <v>0</v>
      </c>
      <c r="BG453" s="75">
        <v>0</v>
      </c>
      <c r="BH453" s="75">
        <v>0</v>
      </c>
      <c r="BL453" s="75">
        <v>0</v>
      </c>
      <c r="BM453" s="75">
        <v>0</v>
      </c>
      <c r="BN453" s="75">
        <f t="shared" si="97"/>
        <v>0</v>
      </c>
      <c r="BO453" s="75">
        <f t="shared" si="98"/>
        <v>0</v>
      </c>
      <c r="BP453" s="75">
        <f t="shared" si="95"/>
        <v>0</v>
      </c>
      <c r="BS453" s="110" t="s">
        <v>539</v>
      </c>
      <c r="BT453" s="110">
        <v>0</v>
      </c>
      <c r="BU453" s="75">
        <v>0</v>
      </c>
    </row>
    <row r="454" spans="4:74" x14ac:dyDescent="0.75">
      <c r="D454" s="75" t="s">
        <v>357</v>
      </c>
      <c r="E454" s="75" t="s">
        <v>358</v>
      </c>
      <c r="F454" s="75" t="s">
        <v>359</v>
      </c>
      <c r="J454" s="81">
        <v>45211</v>
      </c>
      <c r="K454" s="75" t="s">
        <v>361</v>
      </c>
      <c r="M454" s="75">
        <v>0</v>
      </c>
      <c r="N454" s="75">
        <v>2</v>
      </c>
      <c r="O454" s="75" t="s">
        <v>362</v>
      </c>
      <c r="R454" s="75">
        <v>0</v>
      </c>
      <c r="S454" s="75">
        <v>0</v>
      </c>
      <c r="T454" s="75">
        <v>0</v>
      </c>
      <c r="U454" s="75">
        <v>0</v>
      </c>
      <c r="V454" s="75">
        <v>0</v>
      </c>
      <c r="W454" s="75">
        <v>0</v>
      </c>
      <c r="X454" s="75">
        <v>0</v>
      </c>
      <c r="Y454" s="75">
        <v>0</v>
      </c>
      <c r="Z454" s="75">
        <v>0</v>
      </c>
      <c r="AA454" s="75">
        <v>0</v>
      </c>
      <c r="AB454" s="75">
        <v>0</v>
      </c>
      <c r="AC454" s="75">
        <v>0</v>
      </c>
      <c r="AD454" s="75">
        <v>0</v>
      </c>
      <c r="AE454" s="75">
        <v>0</v>
      </c>
      <c r="AF454" s="75">
        <v>0</v>
      </c>
      <c r="AG454" s="75">
        <v>0</v>
      </c>
      <c r="AH454" s="75">
        <v>0</v>
      </c>
      <c r="AI454" s="75">
        <v>0</v>
      </c>
      <c r="AJ454" s="75">
        <v>0</v>
      </c>
      <c r="AK454" s="75">
        <v>0</v>
      </c>
      <c r="AL454" s="75">
        <v>0</v>
      </c>
      <c r="AM454" s="75">
        <v>0</v>
      </c>
      <c r="AN454" s="75">
        <v>0</v>
      </c>
      <c r="AO454" s="75">
        <v>0</v>
      </c>
      <c r="AP454" s="75">
        <v>0</v>
      </c>
      <c r="AQ454" s="75">
        <v>0</v>
      </c>
      <c r="AR454" s="75">
        <v>0</v>
      </c>
      <c r="AS454" s="75">
        <v>0</v>
      </c>
      <c r="AT454" s="75">
        <v>0</v>
      </c>
      <c r="AU454" s="75">
        <v>0</v>
      </c>
      <c r="AV454" s="75">
        <v>0</v>
      </c>
      <c r="AW454" s="75">
        <v>0</v>
      </c>
      <c r="AX454" s="75">
        <v>0</v>
      </c>
      <c r="AY454" s="75">
        <v>0</v>
      </c>
      <c r="AZ454" s="75">
        <v>0</v>
      </c>
      <c r="BA454" s="75">
        <v>0</v>
      </c>
      <c r="BB454" s="75">
        <v>0</v>
      </c>
      <c r="BC454" s="75">
        <v>0</v>
      </c>
      <c r="BD454" s="75">
        <v>0</v>
      </c>
      <c r="BE454" s="75">
        <v>0</v>
      </c>
      <c r="BF454" s="75">
        <v>0</v>
      </c>
      <c r="BG454" s="75">
        <v>0</v>
      </c>
      <c r="BH454" s="75">
        <v>0</v>
      </c>
      <c r="BL454" s="75">
        <v>0</v>
      </c>
      <c r="BM454" s="75">
        <f>SUM(R454:AD454)</f>
        <v>0</v>
      </c>
      <c r="BN454" s="75">
        <f t="shared" si="97"/>
        <v>0</v>
      </c>
      <c r="BO454" s="75">
        <f t="shared" si="98"/>
        <v>0</v>
      </c>
      <c r="BP454" s="75">
        <f t="shared" si="95"/>
        <v>0</v>
      </c>
      <c r="BS454" s="110" t="s">
        <v>539</v>
      </c>
      <c r="BT454" s="110">
        <v>0</v>
      </c>
      <c r="BU454" s="75">
        <v>0</v>
      </c>
    </row>
    <row r="455" spans="4:74" x14ac:dyDescent="0.75">
      <c r="D455" s="75" t="s">
        <v>357</v>
      </c>
      <c r="E455" s="75" t="s">
        <v>358</v>
      </c>
      <c r="F455" s="75" t="s">
        <v>359</v>
      </c>
      <c r="G455" s="75" t="s">
        <v>100</v>
      </c>
      <c r="H455">
        <v>18.344525365211499</v>
      </c>
      <c r="I455">
        <v>-64.693964686489494</v>
      </c>
      <c r="J455" s="81">
        <v>45211</v>
      </c>
      <c r="K455" s="75" t="s">
        <v>361</v>
      </c>
      <c r="M455" s="75">
        <v>0</v>
      </c>
      <c r="N455" s="75">
        <v>2</v>
      </c>
      <c r="O455" s="75" t="s">
        <v>362</v>
      </c>
      <c r="R455" s="75">
        <v>0</v>
      </c>
      <c r="S455" s="75">
        <v>0</v>
      </c>
      <c r="T455" s="75">
        <v>0</v>
      </c>
      <c r="U455" s="75">
        <v>0</v>
      </c>
      <c r="V455" s="75">
        <v>0</v>
      </c>
      <c r="W455" s="75">
        <v>0</v>
      </c>
      <c r="X455" s="75">
        <v>0</v>
      </c>
      <c r="Y455" s="75">
        <v>0</v>
      </c>
      <c r="Z455" s="75">
        <v>0</v>
      </c>
      <c r="AA455" s="75">
        <v>0</v>
      </c>
      <c r="AB455" s="75">
        <v>0</v>
      </c>
      <c r="AC455" s="75">
        <v>0</v>
      </c>
      <c r="AD455" s="75">
        <v>0</v>
      </c>
      <c r="AE455" s="75">
        <v>0</v>
      </c>
      <c r="AF455" s="75">
        <v>0</v>
      </c>
      <c r="AG455" s="75">
        <v>0</v>
      </c>
      <c r="AH455" s="75">
        <v>0</v>
      </c>
      <c r="AI455" s="75">
        <v>0</v>
      </c>
      <c r="AJ455" s="75">
        <v>0</v>
      </c>
      <c r="AK455" s="75">
        <v>0</v>
      </c>
      <c r="AL455" s="75">
        <v>0</v>
      </c>
      <c r="AM455" s="75">
        <v>0</v>
      </c>
      <c r="AN455" s="75">
        <v>0</v>
      </c>
      <c r="AO455" s="75">
        <v>0</v>
      </c>
      <c r="AP455" s="75">
        <v>0</v>
      </c>
      <c r="AQ455" s="75">
        <v>0</v>
      </c>
      <c r="AR455" s="75">
        <v>0</v>
      </c>
      <c r="AS455" s="75">
        <v>0</v>
      </c>
      <c r="AT455" s="75">
        <v>0</v>
      </c>
      <c r="AU455" s="75">
        <v>0</v>
      </c>
      <c r="AV455" s="75">
        <v>0</v>
      </c>
      <c r="AW455" s="75">
        <v>0</v>
      </c>
      <c r="AX455" s="75">
        <v>0</v>
      </c>
      <c r="AY455" s="75">
        <v>0</v>
      </c>
      <c r="AZ455" s="75">
        <v>0</v>
      </c>
      <c r="BA455" s="75">
        <v>0</v>
      </c>
      <c r="BB455" s="75">
        <v>0</v>
      </c>
      <c r="BC455" s="75">
        <v>0</v>
      </c>
      <c r="BD455" s="75">
        <v>0</v>
      </c>
      <c r="BE455" s="75">
        <v>0</v>
      </c>
      <c r="BF455" s="75">
        <v>0</v>
      </c>
      <c r="BG455" s="75">
        <v>0</v>
      </c>
      <c r="BH455" s="75">
        <v>0</v>
      </c>
      <c r="BL455" s="75">
        <v>0</v>
      </c>
      <c r="BM455" s="75">
        <f>SUM(R455:AD455)</f>
        <v>0</v>
      </c>
      <c r="BN455" s="75">
        <f t="shared" si="97"/>
        <v>0</v>
      </c>
      <c r="BO455" s="75">
        <f t="shared" si="98"/>
        <v>0</v>
      </c>
      <c r="BP455" s="75">
        <f t="shared" si="95"/>
        <v>0</v>
      </c>
      <c r="BS455" s="110" t="s">
        <v>539</v>
      </c>
      <c r="BT455" s="110">
        <v>0</v>
      </c>
      <c r="BU455" s="75">
        <v>0</v>
      </c>
    </row>
    <row r="456" spans="4:74" x14ac:dyDescent="0.75">
      <c r="D456" s="75" t="s">
        <v>357</v>
      </c>
      <c r="E456" s="75" t="s">
        <v>358</v>
      </c>
      <c r="F456" s="75" t="s">
        <v>359</v>
      </c>
      <c r="G456" s="75" t="s">
        <v>96</v>
      </c>
      <c r="H456">
        <v>18.309038942679699</v>
      </c>
      <c r="I456">
        <v>-64.723371360450898</v>
      </c>
      <c r="J456" s="81">
        <v>45216</v>
      </c>
      <c r="K456" s="75" t="s">
        <v>361</v>
      </c>
      <c r="M456" s="75">
        <v>0</v>
      </c>
      <c r="N456" s="75">
        <v>2</v>
      </c>
      <c r="O456" s="75" t="s">
        <v>362</v>
      </c>
      <c r="R456" s="75">
        <v>0</v>
      </c>
      <c r="S456" s="75">
        <v>0</v>
      </c>
      <c r="T456" s="75">
        <v>0</v>
      </c>
      <c r="U456" s="75">
        <v>0</v>
      </c>
      <c r="V456" s="75">
        <v>0</v>
      </c>
      <c r="W456" s="75">
        <v>0</v>
      </c>
      <c r="X456" s="75">
        <v>0</v>
      </c>
      <c r="Y456" s="75">
        <v>0</v>
      </c>
      <c r="Z456" s="75">
        <v>0</v>
      </c>
      <c r="AA456" s="75">
        <v>0</v>
      </c>
      <c r="AB456" s="75">
        <v>0</v>
      </c>
      <c r="AC456" s="75">
        <v>0</v>
      </c>
      <c r="AD456" s="75">
        <v>0</v>
      </c>
      <c r="AE456" s="75">
        <v>0</v>
      </c>
      <c r="AF456" s="75">
        <v>0</v>
      </c>
      <c r="AG456" s="75">
        <v>0</v>
      </c>
      <c r="AH456" s="75">
        <v>0</v>
      </c>
      <c r="AI456" s="75">
        <v>0</v>
      </c>
      <c r="AJ456" s="75">
        <v>0</v>
      </c>
      <c r="AK456" s="75">
        <v>0</v>
      </c>
      <c r="AL456" s="75">
        <v>0</v>
      </c>
      <c r="AM456" s="75">
        <v>0</v>
      </c>
      <c r="AN456" s="75">
        <v>0</v>
      </c>
      <c r="AO456" s="75">
        <v>1</v>
      </c>
      <c r="AP456" s="75">
        <v>0</v>
      </c>
      <c r="AQ456" s="75">
        <v>0</v>
      </c>
      <c r="AR456" s="75">
        <v>0</v>
      </c>
      <c r="AS456" s="75">
        <v>0</v>
      </c>
      <c r="AT456" s="75">
        <v>0</v>
      </c>
      <c r="AU456" s="75">
        <v>0</v>
      </c>
      <c r="AV456" s="75">
        <v>0</v>
      </c>
      <c r="AW456" s="75">
        <v>0</v>
      </c>
      <c r="AX456" s="75">
        <v>0</v>
      </c>
      <c r="AY456" s="75">
        <v>0</v>
      </c>
      <c r="AZ456" s="75">
        <v>0</v>
      </c>
      <c r="BA456" s="75">
        <v>0</v>
      </c>
      <c r="BB456" s="75">
        <v>0</v>
      </c>
      <c r="BC456" s="75">
        <v>0</v>
      </c>
      <c r="BD456" s="75">
        <v>0</v>
      </c>
      <c r="BE456" s="75">
        <v>0</v>
      </c>
      <c r="BF456" s="75">
        <v>0</v>
      </c>
      <c r="BG456" s="75">
        <v>0</v>
      </c>
      <c r="BH456" s="75">
        <v>0</v>
      </c>
      <c r="BL456" s="75">
        <v>0</v>
      </c>
      <c r="BM456" s="75">
        <f>SUM(R456:AD456)</f>
        <v>0</v>
      </c>
      <c r="BN456" s="75">
        <f t="shared" si="97"/>
        <v>0</v>
      </c>
      <c r="BO456" s="75">
        <f t="shared" si="98"/>
        <v>1</v>
      </c>
      <c r="BP456" s="75">
        <f t="shared" si="95"/>
        <v>1</v>
      </c>
      <c r="BR456" s="138" t="s">
        <v>725</v>
      </c>
      <c r="BS456" s="110" t="s">
        <v>539</v>
      </c>
      <c r="BT456" s="110">
        <v>0</v>
      </c>
      <c r="BU456" s="75">
        <v>0</v>
      </c>
    </row>
    <row r="457" spans="4:74" x14ac:dyDescent="0.75">
      <c r="D457" s="75" t="s">
        <v>357</v>
      </c>
      <c r="E457" s="75" t="s">
        <v>358</v>
      </c>
      <c r="F457" s="75" t="s">
        <v>359</v>
      </c>
      <c r="G457" s="75" t="s">
        <v>116</v>
      </c>
      <c r="H457">
        <v>18.3506</v>
      </c>
      <c r="I457">
        <v>-64.699183000000005</v>
      </c>
      <c r="J457" s="81">
        <v>45217</v>
      </c>
      <c r="K457" s="75" t="s">
        <v>361</v>
      </c>
      <c r="M457" s="75">
        <v>0</v>
      </c>
      <c r="N457" s="75">
        <v>2</v>
      </c>
      <c r="O457" s="75" t="s">
        <v>362</v>
      </c>
      <c r="R457" s="75">
        <v>0</v>
      </c>
      <c r="S457" s="75">
        <v>0</v>
      </c>
      <c r="T457" s="75">
        <v>0</v>
      </c>
      <c r="U457" s="75">
        <v>0</v>
      </c>
      <c r="V457" s="75">
        <v>0</v>
      </c>
      <c r="W457" s="75">
        <v>0</v>
      </c>
      <c r="X457" s="75">
        <v>0</v>
      </c>
      <c r="Y457" s="75">
        <v>0</v>
      </c>
      <c r="Z457" s="75">
        <v>0</v>
      </c>
      <c r="AA457" s="75">
        <v>0</v>
      </c>
      <c r="AB457" s="75">
        <v>0</v>
      </c>
      <c r="AC457" s="75">
        <v>0</v>
      </c>
      <c r="AD457" s="75">
        <v>0</v>
      </c>
      <c r="AE457" s="75">
        <v>0</v>
      </c>
      <c r="AF457" s="75">
        <v>0</v>
      </c>
      <c r="AG457" s="75">
        <v>0</v>
      </c>
      <c r="AH457" s="75">
        <v>0</v>
      </c>
      <c r="AI457" s="75">
        <v>0</v>
      </c>
      <c r="AJ457" s="75">
        <v>0</v>
      </c>
      <c r="AK457" s="75">
        <v>0</v>
      </c>
      <c r="AL457" s="75">
        <v>0</v>
      </c>
      <c r="AM457" s="75">
        <v>0</v>
      </c>
      <c r="AN457" s="75">
        <v>0</v>
      </c>
      <c r="AO457" s="75">
        <v>0</v>
      </c>
      <c r="AP457" s="75">
        <v>0</v>
      </c>
      <c r="AQ457" s="75">
        <v>0</v>
      </c>
      <c r="AR457" s="75">
        <v>0</v>
      </c>
      <c r="AS457" s="75">
        <v>0</v>
      </c>
      <c r="AT457" s="75">
        <v>0</v>
      </c>
      <c r="AU457" s="75">
        <v>0</v>
      </c>
      <c r="AV457" s="75">
        <v>0</v>
      </c>
      <c r="AW457" s="75">
        <v>0</v>
      </c>
      <c r="AX457" s="75">
        <v>0</v>
      </c>
      <c r="AY457" s="75">
        <v>0</v>
      </c>
      <c r="AZ457" s="75">
        <v>0</v>
      </c>
      <c r="BA457" s="75">
        <v>0</v>
      </c>
      <c r="BB457" s="75">
        <v>0</v>
      </c>
      <c r="BC457" s="75">
        <v>0</v>
      </c>
      <c r="BD457" s="75">
        <v>0</v>
      </c>
      <c r="BE457" s="75">
        <v>0</v>
      </c>
      <c r="BF457" s="75">
        <v>0</v>
      </c>
      <c r="BG457" s="75">
        <v>0</v>
      </c>
      <c r="BH457" s="75">
        <v>0</v>
      </c>
      <c r="BL457" s="75">
        <v>0</v>
      </c>
      <c r="BM457" s="75">
        <f>SUM(R457:AD457)</f>
        <v>0</v>
      </c>
      <c r="BN457" s="75">
        <f t="shared" si="97"/>
        <v>0</v>
      </c>
      <c r="BO457" s="75">
        <f t="shared" si="98"/>
        <v>0</v>
      </c>
      <c r="BP457" s="75">
        <f t="shared" si="95"/>
        <v>0</v>
      </c>
      <c r="BR457" s="138" t="s">
        <v>726</v>
      </c>
      <c r="BS457" s="110" t="s">
        <v>539</v>
      </c>
      <c r="BT457" s="110">
        <v>0</v>
      </c>
      <c r="BU457" s="75">
        <v>0</v>
      </c>
    </row>
    <row r="458" spans="4:74" x14ac:dyDescent="0.75">
      <c r="D458" s="75" t="s">
        <v>357</v>
      </c>
      <c r="E458" s="75" t="s">
        <v>358</v>
      </c>
      <c r="F458" s="75" t="s">
        <v>359</v>
      </c>
      <c r="G458" s="75" t="s">
        <v>28</v>
      </c>
      <c r="H458">
        <v>18.315639999999998</v>
      </c>
      <c r="I458">
        <v>-64.725899999999996</v>
      </c>
      <c r="J458" s="81">
        <v>45217</v>
      </c>
      <c r="K458" s="75" t="s">
        <v>361</v>
      </c>
      <c r="M458" s="75">
        <v>0</v>
      </c>
      <c r="N458" s="75">
        <v>2</v>
      </c>
      <c r="O458" s="75" t="s">
        <v>362</v>
      </c>
      <c r="R458" s="75">
        <v>0</v>
      </c>
      <c r="S458" s="75">
        <v>0</v>
      </c>
      <c r="T458" s="75">
        <v>0</v>
      </c>
      <c r="U458" s="75">
        <v>0</v>
      </c>
      <c r="V458" s="75">
        <v>0</v>
      </c>
      <c r="W458" s="75">
        <v>0</v>
      </c>
      <c r="X458" s="75">
        <v>0</v>
      </c>
      <c r="Y458" s="75">
        <v>0</v>
      </c>
      <c r="Z458" s="75">
        <v>0</v>
      </c>
      <c r="AA458" s="75">
        <v>0</v>
      </c>
      <c r="AB458" s="75">
        <v>0</v>
      </c>
      <c r="AC458" s="75">
        <v>0</v>
      </c>
      <c r="AD458" s="75">
        <v>0</v>
      </c>
      <c r="AE458" s="75">
        <v>0</v>
      </c>
      <c r="AF458" s="75">
        <v>0</v>
      </c>
      <c r="AG458" s="75">
        <v>0</v>
      </c>
      <c r="AH458" s="75">
        <v>0</v>
      </c>
      <c r="AI458" s="75">
        <v>0</v>
      </c>
      <c r="AJ458" s="75">
        <v>0</v>
      </c>
      <c r="AK458" s="75">
        <v>0</v>
      </c>
      <c r="AL458" s="75">
        <v>0</v>
      </c>
      <c r="AM458" s="75">
        <v>0</v>
      </c>
      <c r="AN458" s="75">
        <v>0</v>
      </c>
      <c r="AO458" s="75">
        <v>0</v>
      </c>
      <c r="AP458" s="75">
        <v>0</v>
      </c>
      <c r="AQ458" s="75">
        <v>0</v>
      </c>
      <c r="AR458" s="75">
        <v>0</v>
      </c>
      <c r="AS458" s="75">
        <v>0</v>
      </c>
      <c r="AT458" s="75">
        <v>0</v>
      </c>
      <c r="AU458" s="75">
        <v>0</v>
      </c>
      <c r="AV458" s="75">
        <v>0</v>
      </c>
      <c r="AW458" s="75">
        <v>0</v>
      </c>
      <c r="AX458" s="75">
        <v>0</v>
      </c>
      <c r="AY458" s="75">
        <v>0</v>
      </c>
      <c r="AZ458" s="75">
        <v>0</v>
      </c>
      <c r="BA458" s="75">
        <v>0</v>
      </c>
      <c r="BB458" s="75">
        <v>0</v>
      </c>
      <c r="BC458" s="75">
        <v>0</v>
      </c>
      <c r="BD458" s="75">
        <v>0</v>
      </c>
      <c r="BE458" s="75">
        <v>0</v>
      </c>
      <c r="BF458" s="75">
        <v>0</v>
      </c>
      <c r="BG458" s="75">
        <v>0</v>
      </c>
      <c r="BH458" s="75">
        <v>0</v>
      </c>
      <c r="BL458" s="75">
        <v>0</v>
      </c>
      <c r="BM458" s="75">
        <f>SUM(R458:AD458)</f>
        <v>0</v>
      </c>
      <c r="BN458" s="75">
        <f t="shared" si="97"/>
        <v>0</v>
      </c>
      <c r="BO458" s="75">
        <f t="shared" si="98"/>
        <v>0</v>
      </c>
      <c r="BP458" s="75">
        <f t="shared" si="95"/>
        <v>0</v>
      </c>
      <c r="BR458" s="138">
        <v>4190</v>
      </c>
      <c r="BS458" s="110" t="s">
        <v>539</v>
      </c>
      <c r="BT458" s="110">
        <v>0</v>
      </c>
      <c r="BU458" s="75">
        <v>0</v>
      </c>
    </row>
    <row r="459" spans="4:74" x14ac:dyDescent="0.75">
      <c r="D459" s="75" t="s">
        <v>357</v>
      </c>
      <c r="E459" s="75" t="s">
        <v>358</v>
      </c>
      <c r="F459" s="75" t="s">
        <v>359</v>
      </c>
      <c r="G459" s="75" t="s">
        <v>28</v>
      </c>
      <c r="H459">
        <v>18.315639999999998</v>
      </c>
      <c r="I459">
        <v>-64.725899999999996</v>
      </c>
      <c r="J459" s="81">
        <v>45217</v>
      </c>
      <c r="K459" s="75" t="s">
        <v>361</v>
      </c>
      <c r="M459" s="75">
        <v>0</v>
      </c>
      <c r="N459" s="75">
        <v>2</v>
      </c>
      <c r="O459" s="75" t="s">
        <v>362</v>
      </c>
      <c r="R459" s="75">
        <v>0</v>
      </c>
      <c r="S459" s="75">
        <v>0</v>
      </c>
      <c r="T459" s="75">
        <v>0</v>
      </c>
      <c r="U459" s="75">
        <v>0</v>
      </c>
      <c r="V459" s="75">
        <v>0</v>
      </c>
      <c r="W459" s="75">
        <v>0</v>
      </c>
      <c r="X459" s="75">
        <v>0</v>
      </c>
      <c r="Y459" s="75">
        <v>0</v>
      </c>
      <c r="Z459" s="75">
        <v>0</v>
      </c>
      <c r="AA459" s="75">
        <v>0</v>
      </c>
      <c r="AB459" s="75">
        <v>0</v>
      </c>
      <c r="AC459" s="75">
        <v>0</v>
      </c>
      <c r="AD459" s="75">
        <v>0</v>
      </c>
      <c r="AE459" s="75">
        <v>0</v>
      </c>
      <c r="AF459" s="75">
        <v>0</v>
      </c>
      <c r="AG459" s="75">
        <v>0</v>
      </c>
      <c r="AH459" s="75">
        <v>0</v>
      </c>
      <c r="AI459" s="75">
        <v>0</v>
      </c>
      <c r="AJ459" s="75">
        <v>0</v>
      </c>
      <c r="AK459" s="75">
        <v>0</v>
      </c>
      <c r="AL459" s="75">
        <v>0</v>
      </c>
      <c r="AM459" s="75">
        <v>0</v>
      </c>
      <c r="AN459" s="75">
        <v>0</v>
      </c>
      <c r="AO459" s="75">
        <v>0</v>
      </c>
      <c r="AP459" s="75">
        <v>0</v>
      </c>
      <c r="AQ459" s="75">
        <v>0</v>
      </c>
      <c r="AR459" s="75">
        <v>0</v>
      </c>
      <c r="AS459" s="75">
        <v>0</v>
      </c>
      <c r="AT459" s="75">
        <v>0</v>
      </c>
      <c r="AU459" s="75">
        <v>0</v>
      </c>
      <c r="AV459" s="75">
        <v>0</v>
      </c>
      <c r="AW459" s="75">
        <v>0</v>
      </c>
      <c r="AX459" s="75">
        <v>0</v>
      </c>
      <c r="AY459" s="75">
        <v>0</v>
      </c>
      <c r="AZ459" s="75">
        <v>0</v>
      </c>
      <c r="BA459" s="75">
        <v>0</v>
      </c>
      <c r="BB459" s="75">
        <v>0</v>
      </c>
      <c r="BC459" s="75">
        <v>0</v>
      </c>
      <c r="BD459" s="75">
        <v>0</v>
      </c>
      <c r="BE459" s="75">
        <v>0</v>
      </c>
      <c r="BF459" s="75">
        <v>0</v>
      </c>
      <c r="BG459" s="75">
        <v>0</v>
      </c>
      <c r="BH459" s="75">
        <v>0</v>
      </c>
      <c r="BL459" s="75">
        <v>0</v>
      </c>
      <c r="BM459" s="75">
        <v>0</v>
      </c>
      <c r="BN459" s="75">
        <f t="shared" si="97"/>
        <v>0</v>
      </c>
      <c r="BO459" s="75">
        <f t="shared" si="98"/>
        <v>0</v>
      </c>
      <c r="BP459" s="75">
        <f t="shared" si="95"/>
        <v>0</v>
      </c>
      <c r="BR459" s="138">
        <v>4133</v>
      </c>
      <c r="BS459" s="110" t="s">
        <v>539</v>
      </c>
      <c r="BT459" s="110">
        <v>0</v>
      </c>
      <c r="BU459" s="75">
        <v>0</v>
      </c>
    </row>
    <row r="460" spans="4:74" x14ac:dyDescent="0.75">
      <c r="D460" s="75" t="s">
        <v>357</v>
      </c>
      <c r="E460" s="75" t="s">
        <v>358</v>
      </c>
      <c r="F460" s="75" t="s">
        <v>359</v>
      </c>
      <c r="G460" s="75" t="s">
        <v>723</v>
      </c>
      <c r="J460" s="81">
        <v>45230</v>
      </c>
      <c r="K460" s="75" t="s">
        <v>628</v>
      </c>
      <c r="M460" s="75">
        <v>25</v>
      </c>
      <c r="N460" s="75">
        <v>3</v>
      </c>
      <c r="O460" s="75" t="s">
        <v>362</v>
      </c>
      <c r="R460" s="75">
        <v>0</v>
      </c>
      <c r="S460" s="75">
        <v>0</v>
      </c>
      <c r="T460" s="75">
        <v>0</v>
      </c>
      <c r="U460" s="75">
        <v>0</v>
      </c>
      <c r="V460" s="75">
        <v>0</v>
      </c>
      <c r="W460" s="75">
        <v>0</v>
      </c>
      <c r="X460" s="75">
        <v>0</v>
      </c>
      <c r="Y460" s="75">
        <v>0</v>
      </c>
      <c r="Z460" s="75">
        <v>0</v>
      </c>
      <c r="AA460" s="75">
        <v>0</v>
      </c>
      <c r="AB460" s="75">
        <v>0</v>
      </c>
      <c r="AC460" s="75">
        <v>0</v>
      </c>
      <c r="AD460" s="75">
        <v>0</v>
      </c>
      <c r="AE460" s="75">
        <v>0</v>
      </c>
      <c r="AF460" s="75">
        <v>0</v>
      </c>
      <c r="AG460" s="75">
        <v>0</v>
      </c>
      <c r="AH460" s="75">
        <v>0</v>
      </c>
      <c r="AI460" s="75">
        <v>0</v>
      </c>
      <c r="AJ460" s="75">
        <v>0</v>
      </c>
      <c r="AK460" s="75">
        <v>0</v>
      </c>
      <c r="AL460" s="75">
        <v>0</v>
      </c>
      <c r="AM460" s="75">
        <v>0</v>
      </c>
      <c r="AN460" s="75">
        <v>0</v>
      </c>
      <c r="AO460" s="75">
        <v>0</v>
      </c>
      <c r="AP460" s="75">
        <v>0</v>
      </c>
      <c r="AQ460" s="75">
        <v>0</v>
      </c>
      <c r="AR460" s="75">
        <v>0</v>
      </c>
      <c r="AS460" s="75">
        <v>0</v>
      </c>
      <c r="AT460" s="75">
        <v>0</v>
      </c>
      <c r="AU460" s="75">
        <v>0</v>
      </c>
      <c r="AV460" s="75">
        <v>0</v>
      </c>
      <c r="AW460" s="75">
        <v>0</v>
      </c>
      <c r="AX460" s="75">
        <v>0</v>
      </c>
      <c r="AY460" s="75">
        <v>0</v>
      </c>
      <c r="AZ460" s="75">
        <v>0</v>
      </c>
      <c r="BA460" s="75">
        <v>0</v>
      </c>
      <c r="BB460" s="75">
        <v>0</v>
      </c>
      <c r="BC460" s="75">
        <v>0</v>
      </c>
      <c r="BD460" s="75">
        <v>0</v>
      </c>
      <c r="BE460" s="75">
        <v>0</v>
      </c>
      <c r="BF460" s="75">
        <v>0</v>
      </c>
      <c r="BG460" s="75">
        <v>0</v>
      </c>
      <c r="BH460" s="75">
        <v>0</v>
      </c>
      <c r="BI460" s="75" t="s">
        <v>254</v>
      </c>
      <c r="BJ460" s="75" t="s">
        <v>254</v>
      </c>
      <c r="BK460" s="75" t="s">
        <v>254</v>
      </c>
      <c r="BL460" s="75">
        <v>0</v>
      </c>
      <c r="BM460" s="75">
        <v>0</v>
      </c>
      <c r="BN460" s="75">
        <f t="shared" ref="BN460:BN467" si="99">SUM(AE460:AN460)</f>
        <v>0</v>
      </c>
      <c r="BO460" s="75">
        <f t="shared" ref="BO460:BO467" si="100">SUM(AO460:BH460)</f>
        <v>0</v>
      </c>
      <c r="BP460" s="75">
        <f t="shared" ref="BP460:BP467" si="101">SUM(BM460:BO460)</f>
        <v>0</v>
      </c>
      <c r="BR460" s="138" t="s">
        <v>727</v>
      </c>
      <c r="BS460" s="110" t="s">
        <v>539</v>
      </c>
      <c r="BT460" s="110">
        <v>0</v>
      </c>
      <c r="BU460" s="75">
        <v>0</v>
      </c>
    </row>
    <row r="461" spans="4:74" x14ac:dyDescent="0.75">
      <c r="D461" s="75" t="s">
        <v>357</v>
      </c>
      <c r="E461" s="75" t="s">
        <v>358</v>
      </c>
      <c r="F461" s="75" t="s">
        <v>359</v>
      </c>
      <c r="G461" s="75" t="s">
        <v>723</v>
      </c>
      <c r="J461" s="81">
        <v>45230</v>
      </c>
      <c r="K461" s="75" t="s">
        <v>628</v>
      </c>
      <c r="M461" s="75">
        <v>30</v>
      </c>
      <c r="N461" s="75">
        <v>3</v>
      </c>
      <c r="O461" s="75" t="s">
        <v>362</v>
      </c>
      <c r="R461" s="75">
        <v>0</v>
      </c>
      <c r="S461" s="75">
        <v>0</v>
      </c>
      <c r="T461" s="75">
        <v>0</v>
      </c>
      <c r="U461" s="75">
        <v>0</v>
      </c>
      <c r="V461" s="75">
        <v>0</v>
      </c>
      <c r="W461" s="75">
        <v>0</v>
      </c>
      <c r="X461" s="75">
        <v>0</v>
      </c>
      <c r="Y461" s="75">
        <v>0</v>
      </c>
      <c r="Z461" s="75">
        <v>0</v>
      </c>
      <c r="AA461" s="75">
        <v>0</v>
      </c>
      <c r="AB461" s="75">
        <v>0</v>
      </c>
      <c r="AC461" s="75">
        <v>0</v>
      </c>
      <c r="AD461" s="75">
        <v>0</v>
      </c>
      <c r="AE461" s="75">
        <v>0</v>
      </c>
      <c r="AF461" s="75">
        <v>0</v>
      </c>
      <c r="AG461" s="75">
        <v>0</v>
      </c>
      <c r="AH461" s="75">
        <v>0</v>
      </c>
      <c r="AI461" s="75">
        <v>0</v>
      </c>
      <c r="AJ461" s="75">
        <v>0</v>
      </c>
      <c r="AK461" s="75">
        <v>0</v>
      </c>
      <c r="AL461" s="75">
        <v>0</v>
      </c>
      <c r="AM461" s="75">
        <v>0</v>
      </c>
      <c r="AN461" s="75">
        <v>0</v>
      </c>
      <c r="AO461" s="75">
        <v>0</v>
      </c>
      <c r="AP461" s="75">
        <v>0</v>
      </c>
      <c r="AQ461" s="75">
        <v>0</v>
      </c>
      <c r="AR461" s="75">
        <v>0</v>
      </c>
      <c r="AS461" s="75">
        <v>0</v>
      </c>
      <c r="AT461" s="75">
        <v>0</v>
      </c>
      <c r="AU461" s="75">
        <v>0</v>
      </c>
      <c r="AV461" s="75">
        <v>0</v>
      </c>
      <c r="AW461" s="75">
        <v>0</v>
      </c>
      <c r="AX461" s="75">
        <v>0</v>
      </c>
      <c r="AY461" s="75">
        <v>0</v>
      </c>
      <c r="AZ461" s="75">
        <v>0</v>
      </c>
      <c r="BA461" s="75">
        <v>0</v>
      </c>
      <c r="BB461" s="75">
        <v>0</v>
      </c>
      <c r="BC461" s="75">
        <v>0</v>
      </c>
      <c r="BD461" s="75">
        <v>0</v>
      </c>
      <c r="BE461" s="75">
        <v>0</v>
      </c>
      <c r="BF461" s="75">
        <v>0</v>
      </c>
      <c r="BG461" s="75">
        <v>0</v>
      </c>
      <c r="BH461" s="75">
        <v>0</v>
      </c>
      <c r="BI461" s="75" t="s">
        <v>254</v>
      </c>
      <c r="BJ461" s="75" t="s">
        <v>254</v>
      </c>
      <c r="BK461" s="75" t="s">
        <v>254</v>
      </c>
      <c r="BL461" s="75">
        <v>0</v>
      </c>
      <c r="BM461" s="75">
        <v>0</v>
      </c>
      <c r="BN461" s="75">
        <f t="shared" si="99"/>
        <v>0</v>
      </c>
      <c r="BO461" s="75">
        <f t="shared" si="100"/>
        <v>0</v>
      </c>
      <c r="BP461" s="75">
        <f t="shared" si="101"/>
        <v>0</v>
      </c>
      <c r="BR461" s="138" t="s">
        <v>728</v>
      </c>
      <c r="BS461" s="110" t="s">
        <v>539</v>
      </c>
      <c r="BT461" s="110">
        <v>0</v>
      </c>
      <c r="BU461" s="75">
        <v>0</v>
      </c>
    </row>
    <row r="462" spans="4:74" x14ac:dyDescent="0.75">
      <c r="D462" s="75" t="s">
        <v>357</v>
      </c>
      <c r="E462" s="75" t="s">
        <v>358</v>
      </c>
      <c r="F462" s="75" t="s">
        <v>359</v>
      </c>
      <c r="G462" s="75" t="s">
        <v>723</v>
      </c>
      <c r="J462" s="81">
        <v>45230</v>
      </c>
      <c r="K462" s="75" t="s">
        <v>628</v>
      </c>
      <c r="M462" s="75">
        <v>16</v>
      </c>
      <c r="N462" s="75">
        <v>2</v>
      </c>
      <c r="O462" s="75" t="s">
        <v>362</v>
      </c>
      <c r="R462" s="75">
        <v>0</v>
      </c>
      <c r="S462" s="75">
        <v>0</v>
      </c>
      <c r="T462" s="75">
        <v>0</v>
      </c>
      <c r="U462" s="75">
        <v>0</v>
      </c>
      <c r="V462" s="75">
        <v>0</v>
      </c>
      <c r="W462" s="75">
        <v>0</v>
      </c>
      <c r="X462" s="75">
        <v>0</v>
      </c>
      <c r="Y462" s="75">
        <v>0</v>
      </c>
      <c r="Z462" s="75">
        <v>0</v>
      </c>
      <c r="AA462" s="75">
        <v>0</v>
      </c>
      <c r="AB462" s="75">
        <v>0</v>
      </c>
      <c r="AC462" s="75">
        <v>0</v>
      </c>
      <c r="AD462" s="75">
        <v>0</v>
      </c>
      <c r="AE462" s="75">
        <v>0</v>
      </c>
      <c r="AF462" s="75">
        <v>0</v>
      </c>
      <c r="AG462" s="75">
        <v>0</v>
      </c>
      <c r="AH462" s="75">
        <v>0</v>
      </c>
      <c r="AI462" s="75">
        <v>0</v>
      </c>
      <c r="AJ462" s="75">
        <v>0</v>
      </c>
      <c r="AK462" s="75">
        <v>0</v>
      </c>
      <c r="AL462" s="75">
        <v>0</v>
      </c>
      <c r="AM462" s="75">
        <v>0</v>
      </c>
      <c r="AN462" s="75">
        <v>0</v>
      </c>
      <c r="AO462" s="75">
        <v>0</v>
      </c>
      <c r="AP462" s="75">
        <v>0</v>
      </c>
      <c r="AQ462" s="75">
        <v>0</v>
      </c>
      <c r="AR462" s="75">
        <v>0</v>
      </c>
      <c r="AS462" s="75">
        <v>0</v>
      </c>
      <c r="AT462" s="75">
        <v>0</v>
      </c>
      <c r="AU462" s="75">
        <v>0</v>
      </c>
      <c r="AV462" s="75">
        <v>0</v>
      </c>
      <c r="AW462" s="75">
        <v>0</v>
      </c>
      <c r="AX462" s="75">
        <v>0</v>
      </c>
      <c r="AY462" s="75">
        <v>0</v>
      </c>
      <c r="AZ462" s="75">
        <v>0</v>
      </c>
      <c r="BA462" s="75">
        <v>0</v>
      </c>
      <c r="BB462" s="75">
        <v>0</v>
      </c>
      <c r="BC462" s="75">
        <v>0</v>
      </c>
      <c r="BD462" s="75">
        <v>0</v>
      </c>
      <c r="BE462" s="75">
        <v>0</v>
      </c>
      <c r="BF462" s="75">
        <v>0</v>
      </c>
      <c r="BG462" s="75">
        <v>0</v>
      </c>
      <c r="BH462" s="75">
        <v>0</v>
      </c>
      <c r="BI462" s="75" t="s">
        <v>254</v>
      </c>
      <c r="BJ462" s="75" t="s">
        <v>254</v>
      </c>
      <c r="BK462" s="75" t="s">
        <v>254</v>
      </c>
      <c r="BL462" s="75">
        <v>0</v>
      </c>
      <c r="BM462" s="75">
        <v>0</v>
      </c>
      <c r="BN462" s="75">
        <f t="shared" si="99"/>
        <v>0</v>
      </c>
      <c r="BO462" s="75">
        <f t="shared" si="100"/>
        <v>0</v>
      </c>
      <c r="BP462" s="75">
        <f t="shared" si="101"/>
        <v>0</v>
      </c>
      <c r="BR462" s="138" t="s">
        <v>729</v>
      </c>
      <c r="BS462" s="110" t="s">
        <v>539</v>
      </c>
      <c r="BT462" s="110">
        <v>0</v>
      </c>
      <c r="BU462" s="75">
        <v>0</v>
      </c>
    </row>
    <row r="463" spans="4:74" x14ac:dyDescent="0.75">
      <c r="D463" s="75" t="s">
        <v>357</v>
      </c>
      <c r="E463" s="75" t="s">
        <v>358</v>
      </c>
      <c r="F463" s="75" t="s">
        <v>359</v>
      </c>
      <c r="G463" s="75" t="s">
        <v>69</v>
      </c>
      <c r="H463" s="75">
        <v>18.343233000000001</v>
      </c>
      <c r="I463" s="75">
        <v>-64.687667000000005</v>
      </c>
      <c r="J463" s="81">
        <v>45237</v>
      </c>
      <c r="M463" s="75">
        <v>0</v>
      </c>
      <c r="N463" s="75">
        <v>2</v>
      </c>
      <c r="O463" s="75" t="s">
        <v>362</v>
      </c>
      <c r="BM463" s="75">
        <v>0</v>
      </c>
      <c r="BN463" s="75">
        <f t="shared" si="99"/>
        <v>0</v>
      </c>
      <c r="BO463" s="75">
        <f t="shared" si="100"/>
        <v>0</v>
      </c>
      <c r="BP463" s="75">
        <f t="shared" si="101"/>
        <v>0</v>
      </c>
    </row>
    <row r="464" spans="4:74" x14ac:dyDescent="0.75">
      <c r="D464" s="75" t="s">
        <v>357</v>
      </c>
      <c r="E464" s="75" t="s">
        <v>358</v>
      </c>
      <c r="F464" s="75" t="s">
        <v>359</v>
      </c>
      <c r="G464" s="75" t="s">
        <v>69</v>
      </c>
      <c r="H464" s="75">
        <v>18.343233000000001</v>
      </c>
      <c r="I464" s="75">
        <v>-64.687667000000005</v>
      </c>
      <c r="J464" s="81">
        <v>45237</v>
      </c>
      <c r="M464" s="75">
        <v>0</v>
      </c>
      <c r="N464" s="75">
        <v>2</v>
      </c>
      <c r="O464" s="75" t="s">
        <v>362</v>
      </c>
      <c r="BM464" s="75">
        <v>0</v>
      </c>
      <c r="BN464" s="75">
        <f t="shared" si="99"/>
        <v>0</v>
      </c>
      <c r="BO464" s="75">
        <f t="shared" si="100"/>
        <v>0</v>
      </c>
      <c r="BP464" s="75">
        <f t="shared" si="101"/>
        <v>0</v>
      </c>
    </row>
    <row r="465" spans="4:68" x14ac:dyDescent="0.75">
      <c r="D465" s="75" t="s">
        <v>357</v>
      </c>
      <c r="E465" s="75" t="s">
        <v>358</v>
      </c>
      <c r="F465" s="75" t="s">
        <v>359</v>
      </c>
      <c r="G465" s="75" t="s">
        <v>87</v>
      </c>
      <c r="H465">
        <v>18.344638000854399</v>
      </c>
      <c r="I465">
        <v>-64.6839062927274</v>
      </c>
      <c r="J465" s="81">
        <v>45237</v>
      </c>
      <c r="M465" s="75">
        <v>0</v>
      </c>
      <c r="N465" s="75">
        <v>2</v>
      </c>
      <c r="O465" s="75" t="s">
        <v>362</v>
      </c>
      <c r="BM465" s="75">
        <v>0</v>
      </c>
      <c r="BN465" s="75">
        <f t="shared" si="99"/>
        <v>0</v>
      </c>
      <c r="BO465" s="75">
        <f t="shared" si="100"/>
        <v>0</v>
      </c>
      <c r="BP465" s="75">
        <f t="shared" si="101"/>
        <v>0</v>
      </c>
    </row>
    <row r="466" spans="4:68" x14ac:dyDescent="0.75">
      <c r="D466" s="75" t="s">
        <v>357</v>
      </c>
      <c r="E466" s="75" t="s">
        <v>358</v>
      </c>
      <c r="F466" s="75" t="s">
        <v>359</v>
      </c>
      <c r="G466" s="75" t="s">
        <v>116</v>
      </c>
      <c r="H466">
        <v>18.3506</v>
      </c>
      <c r="I466">
        <v>-64.699183000000005</v>
      </c>
      <c r="J466" s="81">
        <v>45239</v>
      </c>
      <c r="M466" s="75">
        <v>0</v>
      </c>
      <c r="N466" s="75">
        <v>2</v>
      </c>
      <c r="O466" s="75" t="s">
        <v>362</v>
      </c>
      <c r="BM466" s="75">
        <v>0</v>
      </c>
      <c r="BN466" s="75">
        <f t="shared" si="99"/>
        <v>0</v>
      </c>
      <c r="BO466" s="75">
        <f t="shared" si="100"/>
        <v>0</v>
      </c>
      <c r="BP466" s="75">
        <f t="shared" si="101"/>
        <v>0</v>
      </c>
    </row>
    <row r="467" spans="4:68" x14ac:dyDescent="0.75">
      <c r="D467" s="75" t="s">
        <v>357</v>
      </c>
      <c r="E467" s="75" t="s">
        <v>358</v>
      </c>
      <c r="F467" s="75" t="s">
        <v>359</v>
      </c>
      <c r="G467" s="75" t="s">
        <v>116</v>
      </c>
      <c r="H467">
        <v>18.3506</v>
      </c>
      <c r="I467">
        <v>-64.699183000000005</v>
      </c>
      <c r="J467" s="81">
        <v>45239</v>
      </c>
      <c r="M467" s="75">
        <v>0</v>
      </c>
      <c r="N467" s="75">
        <v>2</v>
      </c>
      <c r="O467" s="75" t="s">
        <v>362</v>
      </c>
      <c r="BM467" s="75">
        <v>0</v>
      </c>
      <c r="BN467" s="75">
        <f t="shared" si="99"/>
        <v>0</v>
      </c>
      <c r="BO467" s="75">
        <f t="shared" si="100"/>
        <v>0</v>
      </c>
      <c r="BP467" s="75">
        <f t="shared" si="101"/>
        <v>0</v>
      </c>
    </row>
  </sheetData>
  <autoFilter ref="A1:BV443" xr:uid="{00000000-0001-0000-0000-000000000000}"/>
  <sortState xmlns:xlrd2="http://schemas.microsoft.com/office/spreadsheetml/2017/richdata2" ref="A2:BV238">
    <sortCondition ref="J2:J238"/>
  </sortState>
  <conditionalFormatting sqref="BH2:BH447 BH453:BH456 BH463:BH1048576">
    <cfRule type="cellIs" dxfId="3" priority="1" operator="greaterThan">
      <formula>0</formula>
    </cfRule>
  </conditionalFormatting>
  <conditionalFormatting sqref="BM2:BN1048576">
    <cfRule type="cellIs" dxfId="2" priority="2" operator="greaterThan">
      <formula>0</formula>
    </cfRule>
  </conditionalFormatting>
  <dataValidations count="22">
    <dataValidation allowBlank="1" showInputMessage="1" showErrorMessage="1" sqref="D1" xr:uid="{4B97D429-A516-42E3-AC2C-7294B6EA4504}"/>
    <dataValidation type="list" allowBlank="1" showInputMessage="1" showErrorMessage="1" sqref="L11:L14" xr:uid="{E01E70F2-BADE-4455-8B85-788AD31493A5}">
      <formula1>"SG,KAB,SVH,MS"</formula1>
    </dataValidation>
    <dataValidation type="decimal" allowBlank="1" showInputMessage="1" showErrorMessage="1" sqref="H2:H103 H105 H182:H185 H166:H179 H143:H145 H133:H137 H159 H149:H153 H118:H126 H231:H232 H211:H212 H227 H242:H243 H249:H250 H302:H305 H284 H263 H265:H267 H362 H406 I409 H416:H419 H431:H435 H442:H443 H448:H451 H454 H460:H462 H468:H1048576" xr:uid="{FE9A4C35-15F0-42DD-A43C-EEB0534EFCBF}">
      <formula1>18</formula1>
      <formula2>18.5</formula2>
    </dataValidation>
    <dataValidation type="decimal" allowBlank="1" showInputMessage="1" showErrorMessage="1" sqref="I2:I103 I105 I118:I126 I149:I153 I143:I145 I133:I137 I159 I182:I188 I166:I179 I227:I232 I211:I212 I219 I214:I215 I242:I243 I249:I250 I265:I267 I284 I259:I263 I302:I305 I314 I362 I406 I409 I431:I435 I450:I451 I454 I460:I462 I468:I1048576" xr:uid="{E0FE135D-6E7D-4DAD-9A42-87B6BD1CC1AD}">
      <formula1>-64.8</formula1>
      <formula2>-64.6</formula2>
    </dataValidation>
    <dataValidation type="whole" operator="greaterThanOrEqual" allowBlank="1" showInputMessage="1" showErrorMessage="1" sqref="BQ98 BP2:BP1048576" xr:uid="{92396D40-868E-404D-B628-2DF2BEB06417}">
      <formula1>1</formula1>
    </dataValidation>
    <dataValidation type="date" operator="greaterThan" allowBlank="1" showInputMessage="1" showErrorMessage="1" sqref="J2:J170 J193:J238 J256:J264 J286:J383 J391:J393 J401:J408 J410:J423 J448:J1048576" xr:uid="{4CB960DA-D356-4C52-BE69-75E9F41EAFB4}">
      <formula1>44581</formula1>
    </dataValidation>
    <dataValidation type="list" allowBlank="1" showInputMessage="1" showErrorMessage="1" sqref="F199 E2:E1048576" xr:uid="{4A9BB33C-A54C-4DBF-8D9E-473CFC13801E}">
      <formula1>"NPS_STJ_HIM"</formula1>
    </dataValidation>
    <dataValidation type="whole" operator="greaterThanOrEqual" allowBlank="1" showInputMessage="1" showErrorMessage="1" sqref="AL244:AN244 AN247 V244:X244 Z244:AB244 AD244:AF244 AH244:AJ244 R244:T244 T247 V247 X247 Z247 AB247 AD247 AF247 AH247 AJ247 AL247 R247 AO247:AO253 R263:AN264 AP313:AS313 AT312:BH313 R2:AN241 AO2:AO243 R270:AN311 AP2:BH311 AO256:AO311 M344 R344:BH344 AP345:BH345 R346:AO346 R335:BH342 R313:AO334 R347:AN347 R349:AN353 R355:AN358 R360:AN365 M346:M373 M2:M342 AP314:BH334 S372:AQ373 R376:AN376 R367:R374 S367:AN371 AO347:AQ371 S374:AN374 AR347:BH383 AO374:AQ383 S378:AN414 AO384:BH414 BM2:BO1048576 R378:R1048576 M375:M1048576 S415:BH1048576" xr:uid="{15C55DA8-6F2C-44B3-9AFD-D6EB4E7AE508}">
      <formula1>0</formula1>
    </dataValidation>
    <dataValidation type="whole" operator="greaterThan" allowBlank="1" showInputMessage="1" showErrorMessage="1" sqref="C2:C238 C240:C241 C251 C263 C265:C270 C272:C273 C276:C283 C285:C296 C298 C300 C318:C325 C327:C393 A2:B393 A394:C1048576" xr:uid="{70A55117-BA07-4CEA-A82F-8006B814FA24}">
      <formula1>479</formula1>
    </dataValidation>
    <dataValidation type="custom" operator="equal" allowBlank="1" showInputMessage="1" showErrorMessage="1" sqref="BI1:BL1" xr:uid="{42FA80D0-D00A-4CBF-8492-275F70F8C758}">
      <formula1>"N/A"</formula1>
    </dataValidation>
    <dataValidation type="list" allowBlank="1" showInputMessage="1" showErrorMessage="1" sqref="O344 O346:O373 O2:O342 O375:O1048576" xr:uid="{15EB86A1-55E6-4F00-936E-6A9EA90FC117}">
      <formula1>"Standard,Experimental"</formula1>
    </dataValidation>
    <dataValidation type="whole" operator="greaterThanOrEqual" allowBlank="1" showInputMessage="1" showErrorMessage="1" sqref="N344 N346:N373 N2:N342 N375:N1048576" xr:uid="{9854DCFD-51A2-4AE8-997E-D645A5578377}">
      <formula1>2</formula1>
    </dataValidation>
    <dataValidation type="whole" allowBlank="1" showInputMessage="1" showErrorMessage="1" sqref="BU2:BU357 BU359:BU1048576" xr:uid="{55EA1421-1984-4882-AFE6-47309C0B59EC}">
      <formula1>0</formula1>
      <formula2>10</formula2>
    </dataValidation>
    <dataValidation type="whole" allowBlank="1" showInputMessage="1" showErrorMessage="1" sqref="BU358 BT2:BT343 BU344 BT345:BT1048576 BL2:BL1048576" xr:uid="{E3150DCC-2F07-43BA-A789-5E75711FD4D5}">
      <formula1>0</formula1>
      <formula2>50</formula2>
    </dataValidation>
    <dataValidation type="list" allowBlank="1" showInputMessage="1" showErrorMessage="1" sqref="L92:L387 L431:L435 L394:L417 L420:L421 L444:L1048576" xr:uid="{0801DD79-6DA2-45AF-8CFE-256BC8CB6BE3}">
      <formula1>"KAB, MS"</formula1>
    </dataValidation>
    <dataValidation type="list" allowBlank="1" showInputMessage="1" showErrorMessage="1" sqref="L388:L393" xr:uid="{84A8B82E-6296-41BF-BE10-1049D4BE5C64}">
      <formula1>"KAB, MS, SGJ"</formula1>
    </dataValidation>
    <dataValidation type="list" allowBlank="1" showInputMessage="1" showErrorMessage="1" sqref="L422:L430 L418:L419 K2:K1048576" xr:uid="{A59AEC13-7DEE-4E64-A750-FA31DE23EECB}">
      <formula1>"SG,KAB,SVH,MS,AB,ND"</formula1>
    </dataValidation>
    <dataValidation type="list" allowBlank="1" showInputMessage="1" showErrorMessage="1" sqref="BS2:BS1048576" xr:uid="{DA253860-5E39-4703-90D9-24AC7B5DBB61}">
      <formula1>"Y, N"</formula1>
    </dataValidation>
    <dataValidation type="list" allowBlank="1" showInputMessage="1" showErrorMessage="1" sqref="BV2:BV1048576" xr:uid="{1AFD26AD-1CAB-4A0B-9BBC-EEE395CC8E78}">
      <formula1>"KAB,MS,ND,AB,SGJ"</formula1>
    </dataValidation>
    <dataValidation type="list" allowBlank="1" showInputMessage="1" showErrorMessage="1" sqref="D2:D1048576" xr:uid="{54B2B889-DDED-4E32-87F9-640D10671EBE}">
      <formula1>"STJ"</formula1>
    </dataValidation>
    <dataValidation type="list" allowBlank="1" showInputMessage="1" showErrorMessage="1" sqref="F2:F1048576" xr:uid="{6F04400C-59B7-45DC-B893-BC7B42977EF4}">
      <formula1>"UVI"</formula1>
    </dataValidation>
    <dataValidation type="list" operator="equal" allowBlank="1" showInputMessage="1" showErrorMessage="1" sqref="BI2:BL1048576" xr:uid="{F3670043-8309-45D2-A6F7-214C3FE426A0}">
      <formula1>"N/A"</formula1>
    </dataValidation>
  </dataValidations>
  <pageMargins left="0.7" right="0.7" top="0.75" bottom="0.75" header="0.3" footer="0.3"/>
  <pageSetup orientation="portrait" r:id="rId1"/>
  <ignoredErrors>
    <ignoredError sqref="BN80" formulaRange="1"/>
  </ignoredError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E1FAF3A-BFF9-48B7-A29E-7B88FDBF7A55}">
          <x14:formula1>
            <xm:f>Metadata!$B$9:$B$34</xm:f>
          </x14:formula1>
          <xm:sqref>G2:G449 G451:G1048576</xm:sqref>
        </x14:dataValidation>
        <x14:dataValidation type="list" allowBlank="1" showInputMessage="1" showErrorMessage="1" xr:uid="{4629A7C0-AEBD-49BB-8829-E219094FEF55}">
          <x14:formula1>
            <xm:f>Metadata!$B$9:$B$43</xm:f>
          </x14:formula1>
          <xm:sqref>G450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A9B26-5658-439C-9530-00CC879A7858}">
  <dimension ref="A1:P5455"/>
  <sheetViews>
    <sheetView zoomScale="80" zoomScaleNormal="80" workbookViewId="0">
      <pane ySplit="1" topLeftCell="A5440" activePane="bottomLeft" state="frozen"/>
      <selection activeCell="G1" sqref="G1"/>
      <selection pane="bottomLeft" activeCell="E5313" sqref="E5313"/>
    </sheetView>
  </sheetViews>
  <sheetFormatPr defaultRowHeight="14.75" x14ac:dyDescent="0.75"/>
  <cols>
    <col min="1" max="1" width="18.26953125" customWidth="1"/>
    <col min="2" max="2" width="11.40625" style="3" bestFit="1" customWidth="1"/>
    <col min="3" max="3" width="6.40625" customWidth="1"/>
    <col min="4" max="4" width="7.26953125" bestFit="1" customWidth="1"/>
    <col min="5" max="5" width="20.7265625" style="22" customWidth="1"/>
    <col min="6" max="6" width="10.86328125" customWidth="1"/>
    <col min="7" max="7" width="13.26953125" customWidth="1"/>
    <col min="10" max="10" width="11.40625" bestFit="1" customWidth="1"/>
    <col min="11" max="11" width="56.54296875" customWidth="1"/>
  </cols>
  <sheetData>
    <row r="1" spans="1:12" s="5" customFormat="1" ht="30.65" customHeight="1" x14ac:dyDescent="0.75">
      <c r="A1" s="6" t="s">
        <v>155</v>
      </c>
      <c r="B1" s="18" t="s">
        <v>62</v>
      </c>
      <c r="C1" s="7" t="s">
        <v>162</v>
      </c>
      <c r="D1" s="5" t="s">
        <v>166</v>
      </c>
      <c r="E1" s="51" t="s">
        <v>730</v>
      </c>
      <c r="F1" s="5" t="s">
        <v>174</v>
      </c>
      <c r="G1" s="5" t="s">
        <v>178</v>
      </c>
      <c r="H1" s="5" t="s">
        <v>731</v>
      </c>
      <c r="I1" s="5" t="s">
        <v>71</v>
      </c>
      <c r="J1" s="5" t="s">
        <v>189</v>
      </c>
      <c r="K1" s="5" t="s">
        <v>18</v>
      </c>
      <c r="L1" s="5" t="s">
        <v>732</v>
      </c>
    </row>
    <row r="2" spans="1:12" s="23" customFormat="1" x14ac:dyDescent="0.75">
      <c r="A2" s="23" t="s">
        <v>28</v>
      </c>
      <c r="B2" s="24">
        <v>44639</v>
      </c>
      <c r="C2" s="23">
        <v>1</v>
      </c>
      <c r="D2" s="23" t="s">
        <v>160</v>
      </c>
      <c r="E2" s="52">
        <f>42-8</f>
        <v>34</v>
      </c>
      <c r="F2" s="23">
        <v>4190</v>
      </c>
      <c r="G2" s="23" t="s">
        <v>733</v>
      </c>
      <c r="K2" s="23" t="s">
        <v>734</v>
      </c>
    </row>
    <row r="3" spans="1:12" s="23" customFormat="1" x14ac:dyDescent="0.75">
      <c r="A3" s="23" t="s">
        <v>28</v>
      </c>
      <c r="B3" s="24">
        <v>44639</v>
      </c>
      <c r="C3" s="23">
        <v>1</v>
      </c>
      <c r="D3" s="23" t="s">
        <v>191</v>
      </c>
      <c r="E3" s="52">
        <f>42-32</f>
        <v>10</v>
      </c>
      <c r="F3" s="23" t="s">
        <v>363</v>
      </c>
      <c r="G3" s="23" t="s">
        <v>367</v>
      </c>
    </row>
    <row r="4" spans="1:12" s="25" customFormat="1" x14ac:dyDescent="0.75">
      <c r="A4" s="23" t="s">
        <v>28</v>
      </c>
      <c r="B4" s="24">
        <v>44639</v>
      </c>
      <c r="C4" s="23">
        <v>1</v>
      </c>
      <c r="D4" s="23" t="s">
        <v>194</v>
      </c>
      <c r="E4" s="52">
        <f>32-30</f>
        <v>2</v>
      </c>
      <c r="F4" s="23" t="s">
        <v>363</v>
      </c>
      <c r="G4" s="23" t="s">
        <v>367</v>
      </c>
      <c r="H4" s="23"/>
      <c r="I4" s="23"/>
      <c r="J4" s="23"/>
      <c r="K4" s="23"/>
    </row>
    <row r="5" spans="1:12" s="25" customFormat="1" x14ac:dyDescent="0.75">
      <c r="A5" s="23" t="s">
        <v>28</v>
      </c>
      <c r="B5" s="24">
        <v>44639</v>
      </c>
      <c r="C5" s="23">
        <v>1</v>
      </c>
      <c r="D5" s="23" t="s">
        <v>197</v>
      </c>
      <c r="E5" s="52">
        <f>30-22</f>
        <v>8</v>
      </c>
      <c r="F5" s="23" t="s">
        <v>363</v>
      </c>
      <c r="G5" s="23" t="s">
        <v>367</v>
      </c>
      <c r="H5" s="23"/>
      <c r="I5" s="23"/>
      <c r="J5" s="23"/>
      <c r="K5" s="23"/>
    </row>
    <row r="6" spans="1:12" s="23" customFormat="1" x14ac:dyDescent="0.75">
      <c r="A6" s="23" t="s">
        <v>28</v>
      </c>
      <c r="B6" s="24">
        <v>44639</v>
      </c>
      <c r="C6" s="23">
        <v>1</v>
      </c>
      <c r="D6" s="23" t="s">
        <v>215</v>
      </c>
      <c r="E6" s="52">
        <f>22-20</f>
        <v>2</v>
      </c>
      <c r="F6" s="23" t="s">
        <v>363</v>
      </c>
      <c r="G6" s="23" t="s">
        <v>367</v>
      </c>
    </row>
    <row r="7" spans="1:12" s="23" customFormat="1" x14ac:dyDescent="0.75">
      <c r="A7" s="23" t="s">
        <v>28</v>
      </c>
      <c r="B7" s="24">
        <v>44639</v>
      </c>
      <c r="C7" s="23">
        <v>1</v>
      </c>
      <c r="D7" s="23" t="s">
        <v>201</v>
      </c>
      <c r="E7" s="52">
        <f>37-27</f>
        <v>10</v>
      </c>
      <c r="F7" s="23" t="s">
        <v>363</v>
      </c>
      <c r="G7" s="23" t="s">
        <v>361</v>
      </c>
    </row>
    <row r="8" spans="1:12" s="23" customFormat="1" x14ac:dyDescent="0.75">
      <c r="A8" s="23" t="s">
        <v>28</v>
      </c>
      <c r="B8" s="24">
        <v>44639</v>
      </c>
      <c r="C8" s="23">
        <v>1</v>
      </c>
      <c r="D8" s="23" t="s">
        <v>197</v>
      </c>
      <c r="E8" s="52">
        <f>27-20</f>
        <v>7</v>
      </c>
      <c r="F8" s="23" t="s">
        <v>363</v>
      </c>
      <c r="G8" s="23" t="s">
        <v>361</v>
      </c>
    </row>
    <row r="9" spans="1:12" s="23" customFormat="1" x14ac:dyDescent="0.75">
      <c r="A9" s="23" t="s">
        <v>28</v>
      </c>
      <c r="B9" s="24">
        <v>44639</v>
      </c>
      <c r="C9" s="23">
        <v>1</v>
      </c>
      <c r="D9" s="23" t="s">
        <v>150</v>
      </c>
      <c r="E9" s="52">
        <f>20-6</f>
        <v>14</v>
      </c>
      <c r="F9" s="23" t="s">
        <v>363</v>
      </c>
      <c r="G9" s="23" t="s">
        <v>361</v>
      </c>
    </row>
    <row r="10" spans="1:12" s="23" customFormat="1" x14ac:dyDescent="0.75">
      <c r="A10" s="23" t="s">
        <v>28</v>
      </c>
      <c r="B10" s="24">
        <v>44639</v>
      </c>
      <c r="C10" s="23">
        <v>1</v>
      </c>
      <c r="D10" s="23" t="s">
        <v>215</v>
      </c>
      <c r="E10" s="52">
        <f>8-5</f>
        <v>3</v>
      </c>
      <c r="F10" s="23" t="s">
        <v>363</v>
      </c>
      <c r="G10" s="23" t="s">
        <v>733</v>
      </c>
    </row>
    <row r="11" spans="1:12" s="23" customFormat="1" x14ac:dyDescent="0.75">
      <c r="A11" s="23" t="s">
        <v>28</v>
      </c>
      <c r="B11" s="24">
        <v>44639</v>
      </c>
      <c r="C11" s="23">
        <v>1</v>
      </c>
      <c r="D11" s="23" t="s">
        <v>191</v>
      </c>
      <c r="E11" s="52">
        <f>37-30</f>
        <v>7</v>
      </c>
      <c r="F11" s="23" t="s">
        <v>363</v>
      </c>
      <c r="G11" s="23" t="s">
        <v>374</v>
      </c>
    </row>
    <row r="12" spans="1:12" s="23" customFormat="1" x14ac:dyDescent="0.75">
      <c r="A12" s="23" t="s">
        <v>28</v>
      </c>
      <c r="B12" s="24">
        <v>44639</v>
      </c>
      <c r="C12" s="23">
        <v>1</v>
      </c>
      <c r="D12" s="23" t="s">
        <v>191</v>
      </c>
      <c r="E12" s="52">
        <f>30-18</f>
        <v>12</v>
      </c>
      <c r="F12" s="23" t="s">
        <v>363</v>
      </c>
      <c r="G12" s="23" t="s">
        <v>374</v>
      </c>
    </row>
    <row r="13" spans="1:12" s="23" customFormat="1" x14ac:dyDescent="0.75">
      <c r="A13" s="23" t="s">
        <v>28</v>
      </c>
      <c r="B13" s="24">
        <v>44639</v>
      </c>
      <c r="C13" s="23">
        <v>1</v>
      </c>
      <c r="D13" s="23" t="s">
        <v>191</v>
      </c>
      <c r="E13" s="52">
        <f>42-13</f>
        <v>29</v>
      </c>
      <c r="F13" s="23" t="s">
        <v>363</v>
      </c>
      <c r="G13" s="23" t="s">
        <v>374</v>
      </c>
    </row>
    <row r="14" spans="1:12" s="23" customFormat="1" x14ac:dyDescent="0.75">
      <c r="A14" s="23" t="s">
        <v>28</v>
      </c>
      <c r="B14" s="24">
        <v>44639</v>
      </c>
      <c r="C14" s="23">
        <v>1</v>
      </c>
      <c r="D14" s="23" t="s">
        <v>215</v>
      </c>
      <c r="E14" s="52">
        <f>13-10</f>
        <v>3</v>
      </c>
      <c r="F14" s="23" t="s">
        <v>363</v>
      </c>
      <c r="G14" s="23" t="s">
        <v>374</v>
      </c>
    </row>
    <row r="15" spans="1:12" s="23" customFormat="1" x14ac:dyDescent="0.75">
      <c r="A15" s="23" t="s">
        <v>28</v>
      </c>
      <c r="B15" s="24">
        <v>44639</v>
      </c>
      <c r="C15" s="23">
        <v>1</v>
      </c>
      <c r="D15" s="23" t="s">
        <v>215</v>
      </c>
      <c r="E15" s="52">
        <f>10-8</f>
        <v>2</v>
      </c>
      <c r="F15" s="23" t="s">
        <v>363</v>
      </c>
      <c r="G15" s="23" t="s">
        <v>374</v>
      </c>
    </row>
    <row r="16" spans="1:12" s="23" customFormat="1" x14ac:dyDescent="0.75">
      <c r="A16" s="23" t="s">
        <v>28</v>
      </c>
      <c r="B16" s="24">
        <v>44639</v>
      </c>
      <c r="C16" s="23">
        <v>1</v>
      </c>
      <c r="D16" s="23" t="s">
        <v>191</v>
      </c>
      <c r="E16" s="52">
        <f>8-5</f>
        <v>3</v>
      </c>
      <c r="F16" s="23" t="s">
        <v>363</v>
      </c>
      <c r="G16" s="23" t="s">
        <v>374</v>
      </c>
    </row>
    <row r="17" spans="1:11" s="23" customFormat="1" x14ac:dyDescent="0.75">
      <c r="A17" s="23" t="s">
        <v>28</v>
      </c>
      <c r="B17" s="24">
        <v>44639</v>
      </c>
      <c r="C17" s="23">
        <v>1</v>
      </c>
      <c r="D17" s="23" t="s">
        <v>194</v>
      </c>
      <c r="E17" s="52">
        <v>18</v>
      </c>
      <c r="F17" s="23" t="s">
        <v>363</v>
      </c>
      <c r="G17" s="23" t="s">
        <v>374</v>
      </c>
    </row>
    <row r="18" spans="1:11" x14ac:dyDescent="0.75">
      <c r="A18" t="s">
        <v>28</v>
      </c>
      <c r="B18" s="3">
        <v>44639</v>
      </c>
      <c r="C18">
        <v>2</v>
      </c>
      <c r="D18" t="s">
        <v>191</v>
      </c>
      <c r="E18" s="22">
        <f>42-13</f>
        <v>29</v>
      </c>
      <c r="F18" t="s">
        <v>363</v>
      </c>
      <c r="G18" t="s">
        <v>374</v>
      </c>
    </row>
    <row r="19" spans="1:11" x14ac:dyDescent="0.75">
      <c r="A19" t="s">
        <v>28</v>
      </c>
      <c r="B19" s="3">
        <v>44639</v>
      </c>
      <c r="C19">
        <v>2</v>
      </c>
      <c r="D19" t="s">
        <v>191</v>
      </c>
      <c r="E19" s="22">
        <f>13-10</f>
        <v>3</v>
      </c>
      <c r="F19" t="s">
        <v>363</v>
      </c>
      <c r="G19" t="s">
        <v>374</v>
      </c>
    </row>
    <row r="20" spans="1:11" x14ac:dyDescent="0.75">
      <c r="A20" t="s">
        <v>28</v>
      </c>
      <c r="B20" s="3">
        <v>44639</v>
      </c>
      <c r="C20">
        <v>2</v>
      </c>
      <c r="D20" t="s">
        <v>191</v>
      </c>
      <c r="E20" s="22">
        <f>10-4</f>
        <v>6</v>
      </c>
      <c r="F20" t="s">
        <v>363</v>
      </c>
      <c r="G20" t="s">
        <v>374</v>
      </c>
    </row>
    <row r="21" spans="1:11" x14ac:dyDescent="0.75">
      <c r="A21" t="s">
        <v>28</v>
      </c>
      <c r="B21" s="3">
        <v>44639</v>
      </c>
      <c r="C21">
        <v>2</v>
      </c>
      <c r="D21" t="s">
        <v>191</v>
      </c>
      <c r="E21" s="22">
        <v>4</v>
      </c>
      <c r="F21" t="s">
        <v>363</v>
      </c>
      <c r="G21" t="s">
        <v>374</v>
      </c>
    </row>
    <row r="22" spans="1:11" x14ac:dyDescent="0.75">
      <c r="A22" t="s">
        <v>28</v>
      </c>
      <c r="B22" s="3">
        <v>44639</v>
      </c>
      <c r="C22">
        <v>2</v>
      </c>
      <c r="D22" t="s">
        <v>197</v>
      </c>
      <c r="E22" s="22">
        <f>36+5+4</f>
        <v>45</v>
      </c>
      <c r="F22" t="s">
        <v>363</v>
      </c>
      <c r="G22" t="s">
        <v>374</v>
      </c>
    </row>
    <row r="23" spans="1:11" x14ac:dyDescent="0.75">
      <c r="A23" t="s">
        <v>28</v>
      </c>
      <c r="B23" s="3">
        <v>44639</v>
      </c>
      <c r="C23">
        <v>2</v>
      </c>
      <c r="D23" t="s">
        <v>197</v>
      </c>
      <c r="E23" s="22">
        <f>16-14</f>
        <v>2</v>
      </c>
      <c r="F23" t="s">
        <v>363</v>
      </c>
      <c r="G23" t="s">
        <v>374</v>
      </c>
    </row>
    <row r="24" spans="1:11" x14ac:dyDescent="0.75">
      <c r="A24" t="s">
        <v>28</v>
      </c>
      <c r="B24" s="3">
        <v>44639</v>
      </c>
      <c r="C24">
        <v>2</v>
      </c>
      <c r="D24" t="s">
        <v>168</v>
      </c>
      <c r="E24" s="22">
        <f>15-4</f>
        <v>11</v>
      </c>
      <c r="F24" t="s">
        <v>363</v>
      </c>
      <c r="G24" t="s">
        <v>374</v>
      </c>
    </row>
    <row r="25" spans="1:11" x14ac:dyDescent="0.75">
      <c r="A25" t="s">
        <v>28</v>
      </c>
      <c r="B25" s="3">
        <v>44639</v>
      </c>
      <c r="C25">
        <v>2</v>
      </c>
      <c r="D25" t="s">
        <v>197</v>
      </c>
      <c r="E25" s="22">
        <v>11</v>
      </c>
      <c r="F25" t="s">
        <v>363</v>
      </c>
      <c r="G25" t="s">
        <v>733</v>
      </c>
    </row>
    <row r="26" spans="1:11" x14ac:dyDescent="0.75">
      <c r="A26" t="s">
        <v>28</v>
      </c>
      <c r="B26" s="3">
        <v>44639</v>
      </c>
      <c r="C26">
        <v>2</v>
      </c>
      <c r="D26" t="s">
        <v>168</v>
      </c>
      <c r="E26" s="22">
        <f>34-32</f>
        <v>2</v>
      </c>
      <c r="F26" t="s">
        <v>363</v>
      </c>
      <c r="G26" t="s">
        <v>733</v>
      </c>
    </row>
    <row r="27" spans="1:11" x14ac:dyDescent="0.75">
      <c r="A27" t="s">
        <v>28</v>
      </c>
      <c r="B27" s="3">
        <v>44639</v>
      </c>
      <c r="C27">
        <v>2</v>
      </c>
      <c r="D27" t="s">
        <v>191</v>
      </c>
      <c r="E27" s="22">
        <f>32-28</f>
        <v>4</v>
      </c>
      <c r="F27" t="s">
        <v>363</v>
      </c>
      <c r="G27" t="s">
        <v>733</v>
      </c>
    </row>
    <row r="28" spans="1:11" x14ac:dyDescent="0.75">
      <c r="A28" t="s">
        <v>28</v>
      </c>
      <c r="B28" s="3">
        <v>44639</v>
      </c>
      <c r="C28">
        <v>2</v>
      </c>
      <c r="D28" t="s">
        <v>153</v>
      </c>
      <c r="E28" s="22">
        <f>28-20</f>
        <v>8</v>
      </c>
      <c r="F28" t="s">
        <v>363</v>
      </c>
      <c r="G28" t="s">
        <v>733</v>
      </c>
    </row>
    <row r="29" spans="1:11" x14ac:dyDescent="0.75">
      <c r="A29" t="s">
        <v>28</v>
      </c>
      <c r="B29" s="3">
        <v>44639</v>
      </c>
      <c r="C29">
        <v>2</v>
      </c>
      <c r="D29" t="s">
        <v>197</v>
      </c>
      <c r="E29" s="22" t="s">
        <v>363</v>
      </c>
      <c r="F29" t="s">
        <v>363</v>
      </c>
      <c r="G29" t="s">
        <v>733</v>
      </c>
      <c r="K29" t="s">
        <v>735</v>
      </c>
    </row>
    <row r="30" spans="1:11" x14ac:dyDescent="0.75">
      <c r="A30" t="s">
        <v>28</v>
      </c>
      <c r="B30" s="3">
        <v>44639</v>
      </c>
      <c r="C30">
        <v>2</v>
      </c>
      <c r="D30" t="s">
        <v>191</v>
      </c>
      <c r="E30" s="22">
        <f>33-26</f>
        <v>7</v>
      </c>
      <c r="F30" t="s">
        <v>363</v>
      </c>
      <c r="G30" t="s">
        <v>367</v>
      </c>
    </row>
    <row r="31" spans="1:11" x14ac:dyDescent="0.75">
      <c r="A31" t="s">
        <v>28</v>
      </c>
      <c r="B31" s="3">
        <v>44639</v>
      </c>
      <c r="C31">
        <v>2</v>
      </c>
      <c r="D31" t="s">
        <v>197</v>
      </c>
      <c r="E31" s="22">
        <f>26-23</f>
        <v>3</v>
      </c>
      <c r="F31" t="s">
        <v>363</v>
      </c>
      <c r="G31" t="s">
        <v>367</v>
      </c>
    </row>
    <row r="32" spans="1:11" x14ac:dyDescent="0.75">
      <c r="A32" t="s">
        <v>28</v>
      </c>
      <c r="B32" s="3">
        <v>44639</v>
      </c>
      <c r="C32">
        <v>2</v>
      </c>
      <c r="D32" t="s">
        <v>191</v>
      </c>
      <c r="E32" s="22">
        <f>23-21</f>
        <v>2</v>
      </c>
      <c r="F32" t="s">
        <v>363</v>
      </c>
      <c r="G32" t="s">
        <v>367</v>
      </c>
    </row>
    <row r="33" spans="1:7" x14ac:dyDescent="0.75">
      <c r="A33" t="s">
        <v>28</v>
      </c>
      <c r="B33" s="3">
        <v>44639</v>
      </c>
      <c r="C33">
        <v>2</v>
      </c>
      <c r="D33" t="s">
        <v>191</v>
      </c>
      <c r="E33" s="22">
        <f>21-19</f>
        <v>2</v>
      </c>
      <c r="F33" t="s">
        <v>363</v>
      </c>
      <c r="G33" t="s">
        <v>367</v>
      </c>
    </row>
    <row r="34" spans="1:7" x14ac:dyDescent="0.75">
      <c r="A34" t="s">
        <v>28</v>
      </c>
      <c r="B34" s="3">
        <v>44639</v>
      </c>
      <c r="C34">
        <v>2</v>
      </c>
      <c r="D34" t="s">
        <v>194</v>
      </c>
      <c r="E34" s="22">
        <f>34-23</f>
        <v>11</v>
      </c>
      <c r="F34" t="s">
        <v>363</v>
      </c>
      <c r="G34" t="s">
        <v>361</v>
      </c>
    </row>
    <row r="35" spans="1:7" x14ac:dyDescent="0.75">
      <c r="A35" t="s">
        <v>28</v>
      </c>
      <c r="B35" s="3">
        <v>44639</v>
      </c>
      <c r="C35">
        <v>2</v>
      </c>
      <c r="D35" t="s">
        <v>194</v>
      </c>
      <c r="E35" s="22">
        <f>23-20</f>
        <v>3</v>
      </c>
      <c r="F35" t="s">
        <v>363</v>
      </c>
      <c r="G35" t="s">
        <v>361</v>
      </c>
    </row>
    <row r="36" spans="1:7" x14ac:dyDescent="0.75">
      <c r="A36" t="s">
        <v>28</v>
      </c>
      <c r="B36" s="3">
        <v>44639</v>
      </c>
      <c r="C36">
        <v>2</v>
      </c>
      <c r="D36" t="s">
        <v>191</v>
      </c>
      <c r="E36" s="22">
        <f>20-16</f>
        <v>4</v>
      </c>
      <c r="F36" t="s">
        <v>363</v>
      </c>
      <c r="G36" t="s">
        <v>361</v>
      </c>
    </row>
    <row r="37" spans="1:7" x14ac:dyDescent="0.75">
      <c r="A37" t="s">
        <v>28</v>
      </c>
      <c r="B37" s="3">
        <v>44639</v>
      </c>
      <c r="C37">
        <v>2</v>
      </c>
      <c r="D37" t="s">
        <v>191</v>
      </c>
      <c r="E37" s="22">
        <f>16</f>
        <v>16</v>
      </c>
      <c r="F37" t="s">
        <v>363</v>
      </c>
      <c r="G37" t="s">
        <v>361</v>
      </c>
    </row>
    <row r="38" spans="1:7" x14ac:dyDescent="0.75">
      <c r="A38" t="s">
        <v>28</v>
      </c>
      <c r="B38" s="3">
        <v>44639</v>
      </c>
      <c r="C38">
        <v>2</v>
      </c>
      <c r="D38" t="s">
        <v>197</v>
      </c>
      <c r="E38" s="22">
        <f>20-16</f>
        <v>4</v>
      </c>
      <c r="F38" t="s">
        <v>363</v>
      </c>
      <c r="G38" t="s">
        <v>361</v>
      </c>
    </row>
    <row r="39" spans="1:7" s="23" customFormat="1" x14ac:dyDescent="0.75">
      <c r="A39" s="23" t="s">
        <v>28</v>
      </c>
      <c r="B39" s="24">
        <v>44639</v>
      </c>
      <c r="C39" s="23">
        <v>3</v>
      </c>
      <c r="D39" s="23" t="s">
        <v>191</v>
      </c>
      <c r="E39" s="52">
        <f>13+30+6</f>
        <v>49</v>
      </c>
      <c r="F39" s="23">
        <v>4133</v>
      </c>
      <c r="G39" s="23" t="s">
        <v>736</v>
      </c>
    </row>
    <row r="40" spans="1:7" s="23" customFormat="1" x14ac:dyDescent="0.75">
      <c r="A40" s="23" t="s">
        <v>28</v>
      </c>
      <c r="B40" s="24">
        <v>44639</v>
      </c>
      <c r="C40" s="23">
        <v>3</v>
      </c>
      <c r="D40" s="23" t="s">
        <v>160</v>
      </c>
      <c r="E40" s="52">
        <f>24-6</f>
        <v>18</v>
      </c>
      <c r="F40" s="23" t="s">
        <v>363</v>
      </c>
      <c r="G40" s="23" t="s">
        <v>733</v>
      </c>
    </row>
    <row r="41" spans="1:7" x14ac:dyDescent="0.75">
      <c r="A41" t="s">
        <v>23</v>
      </c>
      <c r="B41" s="3">
        <v>44641</v>
      </c>
      <c r="C41">
        <v>1</v>
      </c>
      <c r="D41" t="s">
        <v>201</v>
      </c>
      <c r="E41" s="22">
        <f>35-29</f>
        <v>6</v>
      </c>
      <c r="F41" t="s">
        <v>363</v>
      </c>
      <c r="G41" t="s">
        <v>361</v>
      </c>
    </row>
    <row r="42" spans="1:7" x14ac:dyDescent="0.75">
      <c r="A42" t="s">
        <v>23</v>
      </c>
      <c r="B42" s="3">
        <v>44641</v>
      </c>
      <c r="C42">
        <v>1</v>
      </c>
      <c r="D42" t="s">
        <v>153</v>
      </c>
      <c r="E42" s="22">
        <f>15-6</f>
        <v>9</v>
      </c>
      <c r="F42" t="s">
        <v>363</v>
      </c>
      <c r="G42" t="s">
        <v>733</v>
      </c>
    </row>
    <row r="43" spans="1:7" x14ac:dyDescent="0.75">
      <c r="A43" t="s">
        <v>23</v>
      </c>
      <c r="B43" s="3">
        <v>44641</v>
      </c>
      <c r="C43">
        <v>1</v>
      </c>
      <c r="D43" t="s">
        <v>194</v>
      </c>
      <c r="E43" s="22">
        <f>(29-15)*(0.4)</f>
        <v>5.6000000000000005</v>
      </c>
      <c r="F43" t="s">
        <v>363</v>
      </c>
      <c r="G43" t="s">
        <v>733</v>
      </c>
    </row>
    <row r="44" spans="1:7" x14ac:dyDescent="0.75">
      <c r="A44" t="s">
        <v>23</v>
      </c>
      <c r="B44" s="3">
        <v>44641</v>
      </c>
      <c r="C44">
        <v>1</v>
      </c>
      <c r="D44" t="s">
        <v>209</v>
      </c>
      <c r="E44" s="22">
        <f>31-29</f>
        <v>2</v>
      </c>
      <c r="F44" t="s">
        <v>363</v>
      </c>
      <c r="G44" t="s">
        <v>733</v>
      </c>
    </row>
    <row r="45" spans="1:7" x14ac:dyDescent="0.75">
      <c r="A45" t="s">
        <v>23</v>
      </c>
      <c r="B45" s="3">
        <v>44641</v>
      </c>
      <c r="C45">
        <v>1</v>
      </c>
      <c r="D45" t="s">
        <v>197</v>
      </c>
      <c r="E45" s="22">
        <f>(29-15)*(0.6)</f>
        <v>8.4</v>
      </c>
      <c r="F45" t="s">
        <v>363</v>
      </c>
      <c r="G45" t="s">
        <v>733</v>
      </c>
    </row>
    <row r="46" spans="1:7" x14ac:dyDescent="0.75">
      <c r="A46" t="s">
        <v>23</v>
      </c>
      <c r="B46" s="3">
        <v>44641</v>
      </c>
      <c r="C46">
        <v>1</v>
      </c>
      <c r="D46" t="s">
        <v>201</v>
      </c>
      <c r="E46" s="22">
        <f>38-31</f>
        <v>7</v>
      </c>
      <c r="F46" t="s">
        <v>363</v>
      </c>
      <c r="G46" t="s">
        <v>374</v>
      </c>
    </row>
    <row r="47" spans="1:7" x14ac:dyDescent="0.75">
      <c r="A47" t="s">
        <v>23</v>
      </c>
      <c r="B47" s="3">
        <v>44641</v>
      </c>
      <c r="C47">
        <v>1</v>
      </c>
      <c r="D47" t="s">
        <v>197</v>
      </c>
      <c r="E47" s="22">
        <f>31+31-26</f>
        <v>36</v>
      </c>
      <c r="F47" t="s">
        <v>363</v>
      </c>
      <c r="G47" t="s">
        <v>374</v>
      </c>
    </row>
    <row r="48" spans="1:7" x14ac:dyDescent="0.75">
      <c r="A48" t="s">
        <v>23</v>
      </c>
      <c r="B48" s="3">
        <v>44641</v>
      </c>
      <c r="C48">
        <v>1</v>
      </c>
      <c r="D48" t="s">
        <v>194</v>
      </c>
      <c r="E48" s="22">
        <f>26-16</f>
        <v>10</v>
      </c>
      <c r="F48" t="s">
        <v>363</v>
      </c>
      <c r="G48" t="s">
        <v>374</v>
      </c>
    </row>
    <row r="49" spans="1:7" x14ac:dyDescent="0.75">
      <c r="A49" t="s">
        <v>23</v>
      </c>
      <c r="B49" s="3">
        <v>44641</v>
      </c>
      <c r="C49">
        <v>1</v>
      </c>
      <c r="D49" t="s">
        <v>197</v>
      </c>
      <c r="E49" s="22">
        <f>16-11</f>
        <v>5</v>
      </c>
      <c r="F49" t="s">
        <v>363</v>
      </c>
      <c r="G49" t="s">
        <v>374</v>
      </c>
    </row>
    <row r="50" spans="1:7" x14ac:dyDescent="0.75">
      <c r="A50" t="s">
        <v>23</v>
      </c>
      <c r="B50" s="3">
        <v>44641</v>
      </c>
      <c r="C50">
        <v>1</v>
      </c>
      <c r="D50" t="s">
        <v>197</v>
      </c>
      <c r="E50" s="22">
        <f>11-6</f>
        <v>5</v>
      </c>
      <c r="F50" t="s">
        <v>363</v>
      </c>
      <c r="G50" t="s">
        <v>374</v>
      </c>
    </row>
    <row r="51" spans="1:7" x14ac:dyDescent="0.75">
      <c r="A51" t="s">
        <v>23</v>
      </c>
      <c r="B51" s="3">
        <v>44641</v>
      </c>
      <c r="C51">
        <v>1</v>
      </c>
      <c r="D51" t="s">
        <v>197</v>
      </c>
      <c r="E51" s="22">
        <f>38-28</f>
        <v>10</v>
      </c>
      <c r="F51" t="s">
        <v>363</v>
      </c>
      <c r="G51" t="s">
        <v>374</v>
      </c>
    </row>
    <row r="52" spans="1:7" x14ac:dyDescent="0.75">
      <c r="A52" t="s">
        <v>23</v>
      </c>
      <c r="B52" s="3">
        <v>44641</v>
      </c>
      <c r="C52">
        <v>1</v>
      </c>
      <c r="D52" t="s">
        <v>197</v>
      </c>
      <c r="E52" s="22">
        <f>28-25</f>
        <v>3</v>
      </c>
      <c r="F52" t="s">
        <v>363</v>
      </c>
      <c r="G52" t="s">
        <v>374</v>
      </c>
    </row>
    <row r="53" spans="1:7" x14ac:dyDescent="0.75">
      <c r="A53" t="s">
        <v>23</v>
      </c>
      <c r="B53" s="3">
        <v>44641</v>
      </c>
      <c r="C53">
        <v>1</v>
      </c>
      <c r="D53" t="s">
        <v>197</v>
      </c>
      <c r="E53" s="22">
        <f>37-32</f>
        <v>5</v>
      </c>
      <c r="F53" t="s">
        <v>363</v>
      </c>
      <c r="G53" t="s">
        <v>367</v>
      </c>
    </row>
    <row r="54" spans="1:7" x14ac:dyDescent="0.75">
      <c r="A54" t="s">
        <v>23</v>
      </c>
      <c r="B54" s="3">
        <v>44641</v>
      </c>
      <c r="C54">
        <v>1</v>
      </c>
      <c r="D54" t="s">
        <v>197</v>
      </c>
      <c r="E54" s="22">
        <f>32-28</f>
        <v>4</v>
      </c>
      <c r="F54" t="s">
        <v>363</v>
      </c>
      <c r="G54" t="s">
        <v>367</v>
      </c>
    </row>
    <row r="55" spans="1:7" x14ac:dyDescent="0.75">
      <c r="A55" t="s">
        <v>23</v>
      </c>
      <c r="B55" s="3">
        <v>44641</v>
      </c>
      <c r="C55">
        <v>1</v>
      </c>
      <c r="D55" t="s">
        <v>197</v>
      </c>
      <c r="E55" s="22">
        <f>28-26</f>
        <v>2</v>
      </c>
      <c r="F55" t="s">
        <v>363</v>
      </c>
      <c r="G55" t="s">
        <v>367</v>
      </c>
    </row>
    <row r="56" spans="1:7" x14ac:dyDescent="0.75">
      <c r="A56" t="s">
        <v>23</v>
      </c>
      <c r="B56" s="3">
        <v>44641</v>
      </c>
      <c r="C56">
        <v>1</v>
      </c>
      <c r="D56" t="s">
        <v>197</v>
      </c>
      <c r="E56" s="22">
        <f>26-21</f>
        <v>5</v>
      </c>
      <c r="F56" t="s">
        <v>363</v>
      </c>
      <c r="G56" t="s">
        <v>367</v>
      </c>
    </row>
    <row r="57" spans="1:7" x14ac:dyDescent="0.75">
      <c r="A57" t="s">
        <v>23</v>
      </c>
      <c r="B57" s="3">
        <v>44641</v>
      </c>
      <c r="C57">
        <v>1</v>
      </c>
      <c r="D57" t="s">
        <v>153</v>
      </c>
      <c r="E57" s="22">
        <f>21-17</f>
        <v>4</v>
      </c>
      <c r="F57" t="s">
        <v>363</v>
      </c>
      <c r="G57" t="s">
        <v>367</v>
      </c>
    </row>
    <row r="58" spans="1:7" s="23" customFormat="1" x14ac:dyDescent="0.75">
      <c r="A58" s="23" t="s">
        <v>23</v>
      </c>
      <c r="B58" s="24">
        <v>44641</v>
      </c>
      <c r="C58" s="23">
        <v>2</v>
      </c>
      <c r="D58" s="23" t="s">
        <v>197</v>
      </c>
      <c r="E58" s="52">
        <f>26-24</f>
        <v>2</v>
      </c>
      <c r="F58" s="23">
        <v>4112</v>
      </c>
      <c r="G58" s="23" t="s">
        <v>733</v>
      </c>
    </row>
    <row r="59" spans="1:7" s="23" customFormat="1" x14ac:dyDescent="0.75">
      <c r="A59" s="23" t="s">
        <v>23</v>
      </c>
      <c r="B59" s="24">
        <v>44641</v>
      </c>
      <c r="C59" s="23">
        <v>2</v>
      </c>
      <c r="D59" s="23" t="s">
        <v>197</v>
      </c>
      <c r="E59" s="52">
        <f>37-28</f>
        <v>9</v>
      </c>
      <c r="F59" s="23" t="s">
        <v>363</v>
      </c>
      <c r="G59" s="23" t="s">
        <v>367</v>
      </c>
    </row>
    <row r="60" spans="1:7" s="23" customFormat="1" x14ac:dyDescent="0.75">
      <c r="A60" s="23" t="s">
        <v>23</v>
      </c>
      <c r="B60" s="24">
        <v>44641</v>
      </c>
      <c r="C60" s="23">
        <v>2</v>
      </c>
      <c r="D60" s="23" t="s">
        <v>201</v>
      </c>
      <c r="E60" s="52">
        <f>28-22</f>
        <v>6</v>
      </c>
      <c r="F60" s="23" t="s">
        <v>363</v>
      </c>
      <c r="G60" s="23" t="s">
        <v>367</v>
      </c>
    </row>
    <row r="61" spans="1:7" s="23" customFormat="1" x14ac:dyDescent="0.75">
      <c r="A61" s="23" t="s">
        <v>23</v>
      </c>
      <c r="B61" s="24">
        <v>44641</v>
      </c>
      <c r="C61" s="23">
        <v>2</v>
      </c>
      <c r="D61" s="23" t="s">
        <v>197</v>
      </c>
      <c r="E61" s="52">
        <f>22-12</f>
        <v>10</v>
      </c>
      <c r="F61" s="23" t="s">
        <v>363</v>
      </c>
      <c r="G61" s="23" t="s">
        <v>367</v>
      </c>
    </row>
    <row r="62" spans="1:7" s="23" customFormat="1" x14ac:dyDescent="0.75">
      <c r="A62" s="23" t="s">
        <v>23</v>
      </c>
      <c r="B62" s="24">
        <v>44641</v>
      </c>
      <c r="C62" s="23">
        <v>2</v>
      </c>
      <c r="D62" s="23" t="s">
        <v>153</v>
      </c>
      <c r="E62" s="52">
        <f>12-6</f>
        <v>6</v>
      </c>
      <c r="F62" s="23" t="s">
        <v>363</v>
      </c>
      <c r="G62" s="23" t="s">
        <v>367</v>
      </c>
    </row>
    <row r="63" spans="1:7" s="23" customFormat="1" x14ac:dyDescent="0.75">
      <c r="A63" s="23" t="s">
        <v>23</v>
      </c>
      <c r="B63" s="24">
        <v>44641</v>
      </c>
      <c r="C63" s="23">
        <v>2</v>
      </c>
      <c r="D63" s="23" t="s">
        <v>197</v>
      </c>
      <c r="E63" s="52">
        <f>6+14+7-3</f>
        <v>24</v>
      </c>
      <c r="F63" s="23" t="s">
        <v>363</v>
      </c>
      <c r="G63" s="23" t="s">
        <v>367</v>
      </c>
    </row>
    <row r="64" spans="1:7" s="23" customFormat="1" x14ac:dyDescent="0.75">
      <c r="A64" s="23" t="s">
        <v>23</v>
      </c>
      <c r="B64" s="24">
        <v>44641</v>
      </c>
      <c r="C64" s="23">
        <v>2</v>
      </c>
      <c r="D64" s="23" t="s">
        <v>153</v>
      </c>
      <c r="E64" s="52">
        <f>6-4</f>
        <v>2</v>
      </c>
      <c r="F64" s="23" t="s">
        <v>363</v>
      </c>
      <c r="G64" s="23" t="s">
        <v>374</v>
      </c>
    </row>
    <row r="65" spans="1:11" s="23" customFormat="1" x14ac:dyDescent="0.75">
      <c r="A65" s="23" t="s">
        <v>23</v>
      </c>
      <c r="B65" s="24">
        <v>44641</v>
      </c>
      <c r="C65" s="23">
        <v>2</v>
      </c>
      <c r="D65" s="23" t="s">
        <v>197</v>
      </c>
      <c r="E65" s="52">
        <f>6+(32-26)</f>
        <v>12</v>
      </c>
      <c r="F65" s="23" t="s">
        <v>363</v>
      </c>
      <c r="G65" s="23" t="s">
        <v>733</v>
      </c>
    </row>
    <row r="66" spans="1:11" s="23" customFormat="1" x14ac:dyDescent="0.75">
      <c r="A66" s="23" t="s">
        <v>23</v>
      </c>
      <c r="B66" s="24">
        <v>44641</v>
      </c>
      <c r="C66" s="23">
        <v>2</v>
      </c>
      <c r="D66" s="23" t="s">
        <v>153</v>
      </c>
      <c r="E66" s="52">
        <f>29-26</f>
        <v>3</v>
      </c>
      <c r="F66" s="23" t="s">
        <v>737</v>
      </c>
      <c r="G66" s="23" t="s">
        <v>733</v>
      </c>
    </row>
    <row r="67" spans="1:11" s="23" customFormat="1" x14ac:dyDescent="0.75">
      <c r="A67" s="23" t="s">
        <v>23</v>
      </c>
      <c r="B67" s="24">
        <v>44641</v>
      </c>
      <c r="C67" s="23">
        <v>2</v>
      </c>
      <c r="D67" s="23" t="s">
        <v>197</v>
      </c>
      <c r="E67" s="52">
        <v>4</v>
      </c>
      <c r="F67" s="23" t="s">
        <v>363</v>
      </c>
      <c r="G67" s="23" t="s">
        <v>374</v>
      </c>
    </row>
    <row r="68" spans="1:11" s="23" customFormat="1" x14ac:dyDescent="0.75">
      <c r="A68" s="23" t="s">
        <v>23</v>
      </c>
      <c r="B68" s="24">
        <v>44641</v>
      </c>
      <c r="C68" s="23">
        <v>2</v>
      </c>
      <c r="D68" s="23" t="s">
        <v>194</v>
      </c>
      <c r="E68" s="52">
        <f>17-8</f>
        <v>9</v>
      </c>
      <c r="F68" s="23" t="s">
        <v>363</v>
      </c>
      <c r="G68" s="23" t="s">
        <v>374</v>
      </c>
    </row>
    <row r="69" spans="1:11" s="23" customFormat="1" x14ac:dyDescent="0.75">
      <c r="A69" s="23" t="s">
        <v>23</v>
      </c>
      <c r="B69" s="24">
        <v>44641</v>
      </c>
      <c r="C69" s="23">
        <v>2</v>
      </c>
      <c r="D69" s="23" t="s">
        <v>197</v>
      </c>
      <c r="E69" s="52">
        <f>25-16</f>
        <v>9</v>
      </c>
      <c r="F69" s="23" t="s">
        <v>363</v>
      </c>
      <c r="G69" s="23" t="s">
        <v>374</v>
      </c>
    </row>
    <row r="70" spans="1:11" s="23" customFormat="1" x14ac:dyDescent="0.75">
      <c r="A70" s="23" t="s">
        <v>23</v>
      </c>
      <c r="B70" s="24">
        <v>44641</v>
      </c>
      <c r="C70" s="23">
        <v>2</v>
      </c>
      <c r="D70" s="23" t="s">
        <v>194</v>
      </c>
      <c r="E70" s="52">
        <f>16-8</f>
        <v>8</v>
      </c>
      <c r="F70" s="23" t="s">
        <v>363</v>
      </c>
      <c r="G70" s="23" t="s">
        <v>374</v>
      </c>
    </row>
    <row r="71" spans="1:11" s="23" customFormat="1" x14ac:dyDescent="0.75">
      <c r="A71" s="23" t="s">
        <v>23</v>
      </c>
      <c r="B71" s="24">
        <v>44641</v>
      </c>
      <c r="C71" s="23">
        <v>2</v>
      </c>
      <c r="D71" s="23" t="s">
        <v>197</v>
      </c>
      <c r="E71" s="52">
        <f>20-14</f>
        <v>6</v>
      </c>
      <c r="F71" s="23" t="s">
        <v>363</v>
      </c>
      <c r="G71" s="23" t="s">
        <v>374</v>
      </c>
    </row>
    <row r="72" spans="1:11" s="23" customFormat="1" x14ac:dyDescent="0.75">
      <c r="A72" s="23" t="s">
        <v>23</v>
      </c>
      <c r="B72" s="24">
        <v>44641</v>
      </c>
      <c r="C72" s="23">
        <v>2</v>
      </c>
      <c r="D72" s="23" t="s">
        <v>207</v>
      </c>
      <c r="E72" s="52">
        <f>12-10</f>
        <v>2</v>
      </c>
      <c r="F72" s="23" t="s">
        <v>363</v>
      </c>
      <c r="G72" s="23" t="s">
        <v>374</v>
      </c>
    </row>
    <row r="73" spans="1:11" s="23" customFormat="1" x14ac:dyDescent="0.75">
      <c r="A73" s="23" t="s">
        <v>23</v>
      </c>
      <c r="B73" s="24">
        <v>44641</v>
      </c>
      <c r="C73" s="23">
        <v>2</v>
      </c>
      <c r="D73" s="23" t="s">
        <v>197</v>
      </c>
      <c r="E73" s="52">
        <f>10-6</f>
        <v>4</v>
      </c>
      <c r="F73" s="23" t="s">
        <v>363</v>
      </c>
      <c r="G73" s="23" t="s">
        <v>374</v>
      </c>
    </row>
    <row r="74" spans="1:11" x14ac:dyDescent="0.75">
      <c r="A74" t="s">
        <v>23</v>
      </c>
      <c r="B74" s="3">
        <v>44641</v>
      </c>
      <c r="C74">
        <v>3</v>
      </c>
      <c r="D74" t="s">
        <v>160</v>
      </c>
      <c r="E74" s="22">
        <f>17+22+23</f>
        <v>62</v>
      </c>
      <c r="F74">
        <v>3884</v>
      </c>
      <c r="G74" t="s">
        <v>733</v>
      </c>
      <c r="K74" t="s">
        <v>738</v>
      </c>
    </row>
    <row r="75" spans="1:11" x14ac:dyDescent="0.75">
      <c r="A75" t="s">
        <v>23</v>
      </c>
      <c r="B75" s="3">
        <v>44641</v>
      </c>
      <c r="C75">
        <v>3</v>
      </c>
      <c r="D75" t="s">
        <v>207</v>
      </c>
      <c r="E75" s="22">
        <f>34-10</f>
        <v>24</v>
      </c>
      <c r="F75" t="s">
        <v>363</v>
      </c>
      <c r="G75" t="s">
        <v>374</v>
      </c>
    </row>
    <row r="76" spans="1:11" s="23" customFormat="1" x14ac:dyDescent="0.75">
      <c r="A76" s="23" t="s">
        <v>139</v>
      </c>
      <c r="B76" s="24">
        <v>44642</v>
      </c>
      <c r="C76" s="23">
        <v>1</v>
      </c>
      <c r="D76" s="23" t="s">
        <v>176</v>
      </c>
      <c r="E76" s="52">
        <f>40-32</f>
        <v>8</v>
      </c>
      <c r="F76" s="23" t="s">
        <v>363</v>
      </c>
      <c r="G76" s="23" t="s">
        <v>733</v>
      </c>
    </row>
    <row r="77" spans="1:11" s="23" customFormat="1" x14ac:dyDescent="0.75">
      <c r="A77" s="23" t="s">
        <v>139</v>
      </c>
      <c r="B77" s="24">
        <v>44642</v>
      </c>
      <c r="C77" s="23">
        <v>1</v>
      </c>
      <c r="D77" s="23" t="s">
        <v>176</v>
      </c>
      <c r="E77" s="52">
        <f>37-22</f>
        <v>15</v>
      </c>
      <c r="F77" s="23" t="s">
        <v>363</v>
      </c>
      <c r="G77" s="23" t="s">
        <v>733</v>
      </c>
    </row>
    <row r="78" spans="1:11" s="23" customFormat="1" x14ac:dyDescent="0.75">
      <c r="A78" s="23" t="s">
        <v>139</v>
      </c>
      <c r="B78" s="24">
        <v>44642</v>
      </c>
      <c r="C78" s="23">
        <v>1</v>
      </c>
      <c r="D78" s="23" t="s">
        <v>197</v>
      </c>
      <c r="E78" s="52">
        <f>22-12</f>
        <v>10</v>
      </c>
      <c r="F78" s="23" t="s">
        <v>363</v>
      </c>
      <c r="G78" s="23" t="s">
        <v>374</v>
      </c>
    </row>
    <row r="79" spans="1:11" s="23" customFormat="1" x14ac:dyDescent="0.75">
      <c r="A79" s="23" t="s">
        <v>139</v>
      </c>
      <c r="B79" s="24">
        <v>44642</v>
      </c>
      <c r="C79" s="23">
        <v>1</v>
      </c>
      <c r="D79" s="23" t="s">
        <v>215</v>
      </c>
      <c r="E79" s="52">
        <f>12-10</f>
        <v>2</v>
      </c>
      <c r="F79" s="23" t="s">
        <v>363</v>
      </c>
      <c r="G79" s="23" t="s">
        <v>374</v>
      </c>
    </row>
    <row r="80" spans="1:11" x14ac:dyDescent="0.75">
      <c r="A80" t="s">
        <v>23</v>
      </c>
      <c r="B80" s="3">
        <v>44642</v>
      </c>
      <c r="C80">
        <v>1</v>
      </c>
      <c r="D80" t="s">
        <v>160</v>
      </c>
      <c r="E80" s="22">
        <f>38+32+38-12</f>
        <v>96</v>
      </c>
      <c r="F80">
        <v>3884</v>
      </c>
      <c r="G80" t="s">
        <v>733</v>
      </c>
    </row>
    <row r="81" spans="1:7" s="23" customFormat="1" x14ac:dyDescent="0.75">
      <c r="A81" s="23" t="s">
        <v>44</v>
      </c>
      <c r="B81" s="24">
        <v>44648</v>
      </c>
      <c r="C81" s="23">
        <v>1</v>
      </c>
      <c r="D81" s="23" t="s">
        <v>201</v>
      </c>
      <c r="E81" s="52">
        <f>36-18</f>
        <v>18</v>
      </c>
      <c r="F81" s="23" t="s">
        <v>363</v>
      </c>
      <c r="G81" s="23" t="s">
        <v>361</v>
      </c>
    </row>
    <row r="82" spans="1:7" s="23" customFormat="1" x14ac:dyDescent="0.75">
      <c r="A82" s="23" t="s">
        <v>44</v>
      </c>
      <c r="B82" s="24">
        <v>44648</v>
      </c>
      <c r="C82" s="23">
        <v>1</v>
      </c>
      <c r="D82" s="23" t="s">
        <v>201</v>
      </c>
      <c r="E82" s="52">
        <f>18+46-37</f>
        <v>27</v>
      </c>
      <c r="F82" s="23" t="s">
        <v>363</v>
      </c>
      <c r="G82" s="23" t="s">
        <v>361</v>
      </c>
    </row>
    <row r="83" spans="1:7" s="23" customFormat="1" x14ac:dyDescent="0.75">
      <c r="A83" s="23" t="s">
        <v>44</v>
      </c>
      <c r="B83" s="24">
        <v>44648</v>
      </c>
      <c r="C83" s="23">
        <v>1</v>
      </c>
      <c r="D83" s="23" t="s">
        <v>176</v>
      </c>
      <c r="E83" s="52">
        <f>41-28</f>
        <v>13</v>
      </c>
      <c r="F83" s="23" t="s">
        <v>363</v>
      </c>
      <c r="G83" s="23" t="s">
        <v>733</v>
      </c>
    </row>
    <row r="84" spans="1:7" s="23" customFormat="1" x14ac:dyDescent="0.75">
      <c r="A84" s="23" t="s">
        <v>44</v>
      </c>
      <c r="B84" s="24">
        <v>44648</v>
      </c>
      <c r="C84" s="23">
        <v>1</v>
      </c>
      <c r="D84" s="23" t="s">
        <v>194</v>
      </c>
      <c r="E84" s="52">
        <f>39-21</f>
        <v>18</v>
      </c>
      <c r="F84" s="23" t="s">
        <v>363</v>
      </c>
      <c r="G84" s="23" t="s">
        <v>733</v>
      </c>
    </row>
    <row r="85" spans="1:7" s="23" customFormat="1" x14ac:dyDescent="0.75">
      <c r="A85" s="23" t="s">
        <v>44</v>
      </c>
      <c r="B85" s="24">
        <v>44648</v>
      </c>
      <c r="C85" s="23">
        <v>1</v>
      </c>
      <c r="D85" s="23" t="s">
        <v>201</v>
      </c>
      <c r="E85" s="52">
        <f>21-10</f>
        <v>11</v>
      </c>
      <c r="F85" s="23" t="s">
        <v>363</v>
      </c>
      <c r="G85" s="23" t="s">
        <v>733</v>
      </c>
    </row>
    <row r="86" spans="1:7" x14ac:dyDescent="0.75">
      <c r="A86" t="s">
        <v>60</v>
      </c>
      <c r="B86" s="3">
        <v>44648</v>
      </c>
      <c r="C86">
        <v>1</v>
      </c>
      <c r="D86" t="s">
        <v>191</v>
      </c>
      <c r="E86" s="22">
        <f>10-2</f>
        <v>8</v>
      </c>
      <c r="F86" t="s">
        <v>363</v>
      </c>
      <c r="G86" t="s">
        <v>733</v>
      </c>
    </row>
    <row r="87" spans="1:7" x14ac:dyDescent="0.75">
      <c r="A87" t="s">
        <v>60</v>
      </c>
      <c r="B87" s="3">
        <v>44648</v>
      </c>
      <c r="C87">
        <v>1</v>
      </c>
      <c r="D87" t="s">
        <v>191</v>
      </c>
      <c r="E87" s="22">
        <f>2+29-10</f>
        <v>21</v>
      </c>
      <c r="F87" t="s">
        <v>363</v>
      </c>
      <c r="G87" t="s">
        <v>733</v>
      </c>
    </row>
    <row r="88" spans="1:7" x14ac:dyDescent="0.75">
      <c r="A88" t="s">
        <v>60</v>
      </c>
      <c r="B88" s="3">
        <v>44648</v>
      </c>
      <c r="C88">
        <v>1</v>
      </c>
      <c r="D88" t="s">
        <v>191</v>
      </c>
      <c r="E88" s="22">
        <f>38-32</f>
        <v>6</v>
      </c>
      <c r="F88" t="s">
        <v>363</v>
      </c>
      <c r="G88" t="s">
        <v>361</v>
      </c>
    </row>
    <row r="89" spans="1:7" x14ac:dyDescent="0.75">
      <c r="A89" t="s">
        <v>60</v>
      </c>
      <c r="B89" s="3">
        <v>44648</v>
      </c>
      <c r="C89">
        <v>1</v>
      </c>
      <c r="D89" t="s">
        <v>201</v>
      </c>
      <c r="E89" s="22">
        <f>32-30</f>
        <v>2</v>
      </c>
      <c r="F89" t="s">
        <v>363</v>
      </c>
      <c r="G89" t="s">
        <v>361</v>
      </c>
    </row>
    <row r="90" spans="1:7" x14ac:dyDescent="0.75">
      <c r="A90" t="s">
        <v>60</v>
      </c>
      <c r="B90" s="3">
        <v>44648</v>
      </c>
      <c r="C90">
        <v>1</v>
      </c>
      <c r="D90" t="s">
        <v>197</v>
      </c>
      <c r="E90" s="22">
        <v>30</v>
      </c>
      <c r="F90" t="s">
        <v>363</v>
      </c>
      <c r="G90" t="s">
        <v>361</v>
      </c>
    </row>
    <row r="91" spans="1:7" x14ac:dyDescent="0.75">
      <c r="A91" t="s">
        <v>60</v>
      </c>
      <c r="B91" s="3">
        <v>44648</v>
      </c>
      <c r="C91">
        <v>1</v>
      </c>
      <c r="D91" t="s">
        <v>197</v>
      </c>
      <c r="E91" s="22">
        <f>14-6</f>
        <v>8</v>
      </c>
      <c r="F91" t="s">
        <v>363</v>
      </c>
      <c r="G91" t="s">
        <v>361</v>
      </c>
    </row>
    <row r="92" spans="1:7" x14ac:dyDescent="0.75">
      <c r="A92" t="s">
        <v>60</v>
      </c>
      <c r="B92" s="3">
        <v>44648</v>
      </c>
      <c r="C92">
        <v>1</v>
      </c>
      <c r="D92" t="s">
        <v>197</v>
      </c>
      <c r="E92" s="22">
        <v>2</v>
      </c>
      <c r="F92" t="s">
        <v>363</v>
      </c>
      <c r="G92" t="s">
        <v>361</v>
      </c>
    </row>
    <row r="93" spans="1:7" x14ac:dyDescent="0.75">
      <c r="A93" t="s">
        <v>60</v>
      </c>
      <c r="B93" s="3">
        <v>44648</v>
      </c>
      <c r="C93">
        <v>1</v>
      </c>
      <c r="D93" t="s">
        <v>191</v>
      </c>
      <c r="E93" s="22">
        <f>38-32</f>
        <v>6</v>
      </c>
      <c r="F93" t="s">
        <v>363</v>
      </c>
      <c r="G93" t="s">
        <v>361</v>
      </c>
    </row>
    <row r="94" spans="1:7" s="23" customFormat="1" x14ac:dyDescent="0.75">
      <c r="A94" s="23" t="s">
        <v>56</v>
      </c>
      <c r="B94" s="24">
        <v>44648</v>
      </c>
      <c r="C94" s="23">
        <v>1</v>
      </c>
      <c r="D94" s="23" t="s">
        <v>164</v>
      </c>
      <c r="E94" s="52">
        <f>30-29</f>
        <v>1</v>
      </c>
      <c r="F94" s="23" t="s">
        <v>363</v>
      </c>
      <c r="G94" s="23" t="s">
        <v>733</v>
      </c>
    </row>
    <row r="95" spans="1:7" s="23" customFormat="1" x14ac:dyDescent="0.75">
      <c r="A95" s="23" t="s">
        <v>56</v>
      </c>
      <c r="B95" s="24">
        <v>44648</v>
      </c>
      <c r="C95" s="23">
        <v>1</v>
      </c>
      <c r="D95" s="23" t="s">
        <v>153</v>
      </c>
      <c r="E95" s="52">
        <f>29-26</f>
        <v>3</v>
      </c>
      <c r="F95" s="23" t="s">
        <v>363</v>
      </c>
      <c r="G95" s="23" t="s">
        <v>733</v>
      </c>
    </row>
    <row r="96" spans="1:7" s="23" customFormat="1" x14ac:dyDescent="0.75">
      <c r="A96" s="23" t="s">
        <v>56</v>
      </c>
      <c r="B96" s="24">
        <v>44648</v>
      </c>
      <c r="C96" s="23">
        <v>1</v>
      </c>
      <c r="D96" s="23" t="s">
        <v>168</v>
      </c>
      <c r="E96" s="52">
        <f>26-13</f>
        <v>13</v>
      </c>
      <c r="F96" s="23" t="s">
        <v>363</v>
      </c>
      <c r="G96" s="23" t="s">
        <v>733</v>
      </c>
    </row>
    <row r="97" spans="1:11" s="23" customFormat="1" x14ac:dyDescent="0.75">
      <c r="A97" s="23" t="s">
        <v>56</v>
      </c>
      <c r="B97" s="24">
        <v>44648</v>
      </c>
      <c r="C97" s="23">
        <v>1</v>
      </c>
      <c r="D97" s="23" t="s">
        <v>164</v>
      </c>
      <c r="E97" s="52">
        <f>13+30-23</f>
        <v>20</v>
      </c>
      <c r="F97" s="23" t="s">
        <v>363</v>
      </c>
      <c r="G97" s="23" t="s">
        <v>733</v>
      </c>
    </row>
    <row r="98" spans="1:11" x14ac:dyDescent="0.75">
      <c r="A98" t="s">
        <v>48</v>
      </c>
      <c r="B98" s="3">
        <v>44649</v>
      </c>
      <c r="C98">
        <v>1</v>
      </c>
      <c r="D98" t="s">
        <v>199</v>
      </c>
      <c r="E98" s="22">
        <f>34-13</f>
        <v>21</v>
      </c>
      <c r="F98" t="s">
        <v>363</v>
      </c>
      <c r="G98" t="s">
        <v>361</v>
      </c>
    </row>
    <row r="99" spans="1:11" x14ac:dyDescent="0.75">
      <c r="A99" t="s">
        <v>48</v>
      </c>
      <c r="B99" s="3">
        <v>44649</v>
      </c>
      <c r="C99">
        <v>1</v>
      </c>
      <c r="D99" t="s">
        <v>197</v>
      </c>
      <c r="E99" s="22">
        <f>13-1+39-22</f>
        <v>29</v>
      </c>
      <c r="F99" t="s">
        <v>363</v>
      </c>
      <c r="G99" t="s">
        <v>361</v>
      </c>
    </row>
    <row r="100" spans="1:11" x14ac:dyDescent="0.75">
      <c r="A100" t="s">
        <v>48</v>
      </c>
      <c r="B100" s="3">
        <v>44649</v>
      </c>
      <c r="C100">
        <v>1</v>
      </c>
      <c r="D100" t="s">
        <v>168</v>
      </c>
      <c r="E100" s="22">
        <f>23-1</f>
        <v>22</v>
      </c>
      <c r="F100" t="s">
        <v>363</v>
      </c>
      <c r="G100" t="s">
        <v>733</v>
      </c>
    </row>
    <row r="101" spans="1:11" x14ac:dyDescent="0.75">
      <c r="A101" t="s">
        <v>48</v>
      </c>
      <c r="B101" s="3">
        <v>44649</v>
      </c>
      <c r="C101">
        <v>1</v>
      </c>
      <c r="D101" t="s">
        <v>197</v>
      </c>
      <c r="E101" s="22">
        <f>1+44-31</f>
        <v>14</v>
      </c>
      <c r="F101" t="s">
        <v>363</v>
      </c>
      <c r="G101" t="s">
        <v>733</v>
      </c>
    </row>
    <row r="102" spans="1:11" x14ac:dyDescent="0.75">
      <c r="A102" t="s">
        <v>48</v>
      </c>
      <c r="B102" s="3">
        <v>44649</v>
      </c>
      <c r="C102">
        <v>1</v>
      </c>
      <c r="D102" t="s">
        <v>197</v>
      </c>
      <c r="E102" s="22">
        <f>31-2</f>
        <v>29</v>
      </c>
      <c r="F102" t="s">
        <v>363</v>
      </c>
      <c r="G102" t="s">
        <v>733</v>
      </c>
    </row>
    <row r="103" spans="1:11" x14ac:dyDescent="0.75">
      <c r="A103" t="s">
        <v>48</v>
      </c>
      <c r="B103" s="3">
        <v>44649</v>
      </c>
      <c r="C103">
        <v>1</v>
      </c>
      <c r="D103" t="s">
        <v>168</v>
      </c>
      <c r="E103" s="22" t="s">
        <v>363</v>
      </c>
      <c r="F103" t="s">
        <v>363</v>
      </c>
      <c r="G103" t="s">
        <v>733</v>
      </c>
      <c r="K103" t="s">
        <v>735</v>
      </c>
    </row>
    <row r="104" spans="1:11" s="23" customFormat="1" x14ac:dyDescent="0.75">
      <c r="A104" s="23" t="s">
        <v>28</v>
      </c>
      <c r="B104" s="24">
        <v>44655</v>
      </c>
      <c r="C104" s="23">
        <v>1</v>
      </c>
      <c r="D104" s="23" t="s">
        <v>160</v>
      </c>
      <c r="E104" s="52">
        <f>32-2</f>
        <v>30</v>
      </c>
      <c r="F104" s="23">
        <v>4190</v>
      </c>
      <c r="G104" s="23" t="s">
        <v>733</v>
      </c>
    </row>
    <row r="105" spans="1:11" s="23" customFormat="1" x14ac:dyDescent="0.75">
      <c r="A105" s="23" t="s">
        <v>28</v>
      </c>
      <c r="B105" s="24">
        <v>44655</v>
      </c>
      <c r="C105" s="23">
        <v>1</v>
      </c>
      <c r="D105" s="23" t="s">
        <v>191</v>
      </c>
      <c r="E105" s="52">
        <f>2+19-17</f>
        <v>4</v>
      </c>
      <c r="F105" s="23" t="s">
        <v>363</v>
      </c>
      <c r="G105" s="23" t="s">
        <v>733</v>
      </c>
    </row>
    <row r="106" spans="1:11" s="23" customFormat="1" x14ac:dyDescent="0.75">
      <c r="A106" s="23" t="s">
        <v>28</v>
      </c>
      <c r="B106" s="24">
        <v>44655</v>
      </c>
      <c r="C106" s="23">
        <v>1</v>
      </c>
      <c r="D106" s="23" t="s">
        <v>197</v>
      </c>
      <c r="E106" s="52">
        <f>17-4</f>
        <v>13</v>
      </c>
      <c r="F106" s="23" t="s">
        <v>363</v>
      </c>
      <c r="G106" s="23" t="s">
        <v>733</v>
      </c>
    </row>
    <row r="107" spans="1:11" s="23" customFormat="1" x14ac:dyDescent="0.75">
      <c r="A107" s="23" t="s">
        <v>28</v>
      </c>
      <c r="B107" s="24">
        <v>44655</v>
      </c>
      <c r="C107" s="23">
        <v>1</v>
      </c>
      <c r="D107" s="23" t="s">
        <v>194</v>
      </c>
      <c r="E107" s="52">
        <f>4+45-31</f>
        <v>18</v>
      </c>
      <c r="F107" s="23" t="s">
        <v>363</v>
      </c>
      <c r="G107" s="23" t="s">
        <v>733</v>
      </c>
    </row>
    <row r="108" spans="1:11" s="23" customFormat="1" x14ac:dyDescent="0.75">
      <c r="A108" s="23" t="s">
        <v>28</v>
      </c>
      <c r="B108" s="24">
        <v>44655</v>
      </c>
      <c r="C108" s="23">
        <v>1</v>
      </c>
      <c r="D108" s="23" t="s">
        <v>164</v>
      </c>
      <c r="E108" s="52">
        <f>31-22</f>
        <v>9</v>
      </c>
      <c r="F108" s="23" t="s">
        <v>363</v>
      </c>
      <c r="G108" s="23" t="s">
        <v>733</v>
      </c>
    </row>
    <row r="109" spans="1:11" s="23" customFormat="1" x14ac:dyDescent="0.75">
      <c r="A109" s="23" t="s">
        <v>28</v>
      </c>
      <c r="B109" s="24">
        <v>44655</v>
      </c>
      <c r="C109" s="23">
        <v>1</v>
      </c>
      <c r="D109" s="23" t="s">
        <v>201</v>
      </c>
      <c r="E109" s="52">
        <f>22-14</f>
        <v>8</v>
      </c>
      <c r="F109" s="23" t="s">
        <v>363</v>
      </c>
      <c r="G109" s="23" t="s">
        <v>733</v>
      </c>
    </row>
    <row r="110" spans="1:11" s="23" customFormat="1" x14ac:dyDescent="0.75">
      <c r="A110" s="23" t="s">
        <v>28</v>
      </c>
      <c r="B110" s="24">
        <v>44655</v>
      </c>
      <c r="C110" s="23">
        <v>1</v>
      </c>
      <c r="D110" s="23" t="s">
        <v>197</v>
      </c>
      <c r="E110" s="52">
        <v>14</v>
      </c>
      <c r="F110" s="23" t="s">
        <v>363</v>
      </c>
      <c r="G110" s="23" t="s">
        <v>733</v>
      </c>
    </row>
    <row r="111" spans="1:11" s="23" customFormat="1" x14ac:dyDescent="0.75">
      <c r="A111" s="23" t="s">
        <v>28</v>
      </c>
      <c r="B111" s="24">
        <v>44655</v>
      </c>
      <c r="C111" s="23">
        <v>1</v>
      </c>
      <c r="D111" s="23" t="s">
        <v>197</v>
      </c>
      <c r="E111" s="52">
        <f>45-35</f>
        <v>10</v>
      </c>
      <c r="F111" s="23" t="s">
        <v>363</v>
      </c>
      <c r="G111" s="23" t="s">
        <v>361</v>
      </c>
    </row>
    <row r="112" spans="1:11" s="23" customFormat="1" x14ac:dyDescent="0.75">
      <c r="A112" s="23" t="s">
        <v>28</v>
      </c>
      <c r="B112" s="24">
        <v>44655</v>
      </c>
      <c r="C112" s="23">
        <v>1</v>
      </c>
      <c r="D112" s="23" t="s">
        <v>150</v>
      </c>
      <c r="E112" s="52">
        <f>35-28</f>
        <v>7</v>
      </c>
      <c r="F112" s="23" t="s">
        <v>363</v>
      </c>
      <c r="G112" s="23" t="s">
        <v>361</v>
      </c>
    </row>
    <row r="113" spans="1:11" s="23" customFormat="1" x14ac:dyDescent="0.75">
      <c r="A113" s="23" t="s">
        <v>28</v>
      </c>
      <c r="B113" s="24">
        <v>44655</v>
      </c>
      <c r="C113" s="23">
        <v>1</v>
      </c>
      <c r="D113" s="23" t="s">
        <v>194</v>
      </c>
      <c r="E113" s="52">
        <f>28-21</f>
        <v>7</v>
      </c>
      <c r="F113" s="23" t="s">
        <v>363</v>
      </c>
      <c r="G113" s="23" t="s">
        <v>361</v>
      </c>
    </row>
    <row r="114" spans="1:11" s="23" customFormat="1" x14ac:dyDescent="0.75">
      <c r="A114" s="23" t="s">
        <v>28</v>
      </c>
      <c r="B114" s="24">
        <v>44655</v>
      </c>
      <c r="C114" s="23">
        <v>1</v>
      </c>
      <c r="D114" s="23" t="s">
        <v>191</v>
      </c>
      <c r="E114" s="52">
        <f>21-15</f>
        <v>6</v>
      </c>
      <c r="F114" s="23" t="s">
        <v>363</v>
      </c>
      <c r="G114" s="23" t="s">
        <v>361</v>
      </c>
    </row>
    <row r="115" spans="1:11" s="23" customFormat="1" x14ac:dyDescent="0.75">
      <c r="A115" s="23" t="s">
        <v>28</v>
      </c>
      <c r="B115" s="24">
        <v>44655</v>
      </c>
      <c r="C115" s="23">
        <v>1</v>
      </c>
      <c r="D115" s="23" t="s">
        <v>194</v>
      </c>
      <c r="E115" s="52">
        <f>15-10</f>
        <v>5</v>
      </c>
      <c r="F115" s="23" t="s">
        <v>363</v>
      </c>
      <c r="G115" s="23" t="s">
        <v>361</v>
      </c>
    </row>
    <row r="116" spans="1:11" s="23" customFormat="1" x14ac:dyDescent="0.75">
      <c r="A116" s="23" t="s">
        <v>28</v>
      </c>
      <c r="B116" s="24">
        <v>44655</v>
      </c>
      <c r="C116" s="23">
        <v>1</v>
      </c>
      <c r="D116" s="23" t="s">
        <v>194</v>
      </c>
      <c r="E116" s="52">
        <f>10-3</f>
        <v>7</v>
      </c>
      <c r="F116" s="23" t="s">
        <v>363</v>
      </c>
      <c r="G116" s="23" t="s">
        <v>361</v>
      </c>
    </row>
    <row r="117" spans="1:11" s="23" customFormat="1" x14ac:dyDescent="0.75">
      <c r="A117" s="23" t="s">
        <v>28</v>
      </c>
      <c r="B117" s="24">
        <v>44655</v>
      </c>
      <c r="C117" s="23">
        <v>1</v>
      </c>
      <c r="D117" s="23" t="s">
        <v>191</v>
      </c>
      <c r="E117" s="52">
        <f>42-34</f>
        <v>8</v>
      </c>
      <c r="F117" s="23" t="s">
        <v>363</v>
      </c>
      <c r="G117" s="23" t="s">
        <v>367</v>
      </c>
    </row>
    <row r="118" spans="1:11" s="23" customFormat="1" x14ac:dyDescent="0.75">
      <c r="A118" s="23" t="s">
        <v>28</v>
      </c>
      <c r="B118" s="24">
        <v>44655</v>
      </c>
      <c r="C118" s="23">
        <v>1</v>
      </c>
      <c r="D118" s="23" t="s">
        <v>197</v>
      </c>
      <c r="E118" s="52" t="s">
        <v>363</v>
      </c>
      <c r="F118" s="23" t="s">
        <v>363</v>
      </c>
      <c r="G118" s="23" t="s">
        <v>367</v>
      </c>
      <c r="K118" s="23" t="s">
        <v>739</v>
      </c>
    </row>
    <row r="119" spans="1:11" x14ac:dyDescent="0.75">
      <c r="A119" t="s">
        <v>28</v>
      </c>
      <c r="B119" s="3">
        <v>44655</v>
      </c>
      <c r="C119">
        <v>2</v>
      </c>
      <c r="D119" t="s">
        <v>191</v>
      </c>
      <c r="E119" s="22">
        <f>10+38-32+36-32</f>
        <v>20</v>
      </c>
      <c r="F119">
        <v>4133</v>
      </c>
      <c r="G119" t="s">
        <v>740</v>
      </c>
    </row>
    <row r="120" spans="1:11" x14ac:dyDescent="0.75">
      <c r="A120" t="s">
        <v>28</v>
      </c>
      <c r="B120" s="3">
        <v>44655</v>
      </c>
      <c r="C120">
        <v>2</v>
      </c>
      <c r="D120" t="s">
        <v>160</v>
      </c>
      <c r="E120" s="22">
        <f>41-22</f>
        <v>19</v>
      </c>
      <c r="F120" t="s">
        <v>363</v>
      </c>
      <c r="G120" t="s">
        <v>733</v>
      </c>
    </row>
    <row r="121" spans="1:11" x14ac:dyDescent="0.75">
      <c r="A121" t="s">
        <v>28</v>
      </c>
      <c r="B121" s="3">
        <v>44655</v>
      </c>
      <c r="C121">
        <v>2</v>
      </c>
      <c r="D121" t="s">
        <v>160</v>
      </c>
      <c r="E121" s="22">
        <f>22-10</f>
        <v>12</v>
      </c>
      <c r="F121" t="s">
        <v>363</v>
      </c>
      <c r="G121" t="s">
        <v>733</v>
      </c>
    </row>
    <row r="122" spans="1:11" x14ac:dyDescent="0.75">
      <c r="A122" t="s">
        <v>28</v>
      </c>
      <c r="B122" s="3">
        <v>44655</v>
      </c>
      <c r="C122">
        <v>2</v>
      </c>
      <c r="D122" t="s">
        <v>207</v>
      </c>
      <c r="E122" s="22">
        <f>31-29</f>
        <v>2</v>
      </c>
      <c r="F122" t="s">
        <v>363</v>
      </c>
      <c r="G122" t="s">
        <v>733</v>
      </c>
    </row>
    <row r="123" spans="1:11" x14ac:dyDescent="0.75">
      <c r="A123" t="s">
        <v>28</v>
      </c>
      <c r="B123" s="3">
        <v>44655</v>
      </c>
      <c r="C123">
        <v>2</v>
      </c>
      <c r="D123" t="s">
        <v>197</v>
      </c>
      <c r="E123" s="22">
        <f>44-36</f>
        <v>8</v>
      </c>
      <c r="F123" t="s">
        <v>363</v>
      </c>
      <c r="G123" t="s">
        <v>361</v>
      </c>
    </row>
    <row r="124" spans="1:11" s="23" customFormat="1" x14ac:dyDescent="0.75">
      <c r="A124" s="23" t="s">
        <v>28</v>
      </c>
      <c r="B124" s="24">
        <v>44655</v>
      </c>
      <c r="C124" s="23">
        <v>3</v>
      </c>
      <c r="D124" s="23" t="s">
        <v>164</v>
      </c>
      <c r="E124" s="52">
        <f>30-28</f>
        <v>2</v>
      </c>
      <c r="F124" s="23" t="s">
        <v>363</v>
      </c>
      <c r="G124" s="23" t="s">
        <v>733</v>
      </c>
    </row>
    <row r="125" spans="1:11" s="23" customFormat="1" x14ac:dyDescent="0.75">
      <c r="A125" s="23" t="s">
        <v>28</v>
      </c>
      <c r="B125" s="24">
        <v>44655</v>
      </c>
      <c r="C125" s="23">
        <v>3</v>
      </c>
      <c r="D125" s="23" t="s">
        <v>191</v>
      </c>
      <c r="E125" s="52">
        <f>32+34-18</f>
        <v>48</v>
      </c>
      <c r="F125" s="23" t="s">
        <v>363</v>
      </c>
      <c r="G125" s="23" t="s">
        <v>733</v>
      </c>
    </row>
    <row r="126" spans="1:11" s="23" customFormat="1" x14ac:dyDescent="0.75">
      <c r="A126" s="23" t="s">
        <v>28</v>
      </c>
      <c r="B126" s="24">
        <v>44655</v>
      </c>
      <c r="C126" s="23">
        <v>3</v>
      </c>
      <c r="D126" s="23" t="s">
        <v>176</v>
      </c>
      <c r="E126" s="52">
        <f>19-18</f>
        <v>1</v>
      </c>
      <c r="F126" s="23" t="s">
        <v>363</v>
      </c>
      <c r="G126" s="23" t="s">
        <v>733</v>
      </c>
    </row>
    <row r="127" spans="1:11" s="23" customFormat="1" x14ac:dyDescent="0.75">
      <c r="A127" s="23" t="s">
        <v>28</v>
      </c>
      <c r="B127" s="24">
        <v>44655</v>
      </c>
      <c r="C127" s="23">
        <v>3</v>
      </c>
      <c r="D127" s="23" t="s">
        <v>164</v>
      </c>
      <c r="E127" s="52">
        <v>11</v>
      </c>
      <c r="F127" s="23" t="s">
        <v>363</v>
      </c>
      <c r="G127" s="23" t="s">
        <v>733</v>
      </c>
      <c r="K127" s="23" t="s">
        <v>741</v>
      </c>
    </row>
    <row r="128" spans="1:11" s="23" customFormat="1" x14ac:dyDescent="0.75">
      <c r="A128" s="23" t="s">
        <v>28</v>
      </c>
      <c r="B128" s="24">
        <v>44655</v>
      </c>
      <c r="C128" s="23">
        <v>3</v>
      </c>
      <c r="D128" s="23" t="s">
        <v>197</v>
      </c>
      <c r="E128" s="52">
        <f>28-24</f>
        <v>4</v>
      </c>
      <c r="F128" s="23" t="s">
        <v>363</v>
      </c>
      <c r="G128" s="23" t="s">
        <v>367</v>
      </c>
    </row>
    <row r="129" spans="1:11" s="23" customFormat="1" x14ac:dyDescent="0.75">
      <c r="A129" s="23" t="s">
        <v>28</v>
      </c>
      <c r="B129" s="24">
        <v>44655</v>
      </c>
      <c r="C129" s="23">
        <v>3</v>
      </c>
      <c r="D129" s="23" t="s">
        <v>191</v>
      </c>
      <c r="E129" s="52">
        <f>24-22</f>
        <v>2</v>
      </c>
      <c r="F129" s="23" t="s">
        <v>363</v>
      </c>
      <c r="G129" s="23" t="s">
        <v>367</v>
      </c>
    </row>
    <row r="130" spans="1:11" s="23" customFormat="1" x14ac:dyDescent="0.75">
      <c r="A130" s="23" t="s">
        <v>28</v>
      </c>
      <c r="B130" s="24">
        <v>44655</v>
      </c>
      <c r="C130" s="23">
        <v>3</v>
      </c>
      <c r="D130" s="23" t="s">
        <v>191</v>
      </c>
      <c r="E130" s="52">
        <f>22</f>
        <v>22</v>
      </c>
      <c r="F130" s="23" t="s">
        <v>363</v>
      </c>
      <c r="G130" s="23" t="s">
        <v>367</v>
      </c>
    </row>
    <row r="131" spans="1:11" s="23" customFormat="1" x14ac:dyDescent="0.75">
      <c r="A131" s="23" t="s">
        <v>28</v>
      </c>
      <c r="B131" s="24">
        <v>44655</v>
      </c>
      <c r="C131" s="23">
        <v>3</v>
      </c>
      <c r="D131" s="23" t="s">
        <v>191</v>
      </c>
      <c r="E131" s="52">
        <f>18-13</f>
        <v>5</v>
      </c>
      <c r="F131" s="23" t="s">
        <v>363</v>
      </c>
      <c r="G131" s="23" t="s">
        <v>367</v>
      </c>
    </row>
    <row r="132" spans="1:11" s="23" customFormat="1" x14ac:dyDescent="0.75">
      <c r="A132" s="23" t="s">
        <v>28</v>
      </c>
      <c r="B132" s="24">
        <v>44655</v>
      </c>
      <c r="C132" s="23">
        <v>3</v>
      </c>
      <c r="D132" s="23" t="s">
        <v>197</v>
      </c>
      <c r="E132" s="52" t="s">
        <v>363</v>
      </c>
      <c r="F132" s="23" t="s">
        <v>363</v>
      </c>
      <c r="G132" s="23" t="s">
        <v>367</v>
      </c>
      <c r="K132" s="23" t="s">
        <v>739</v>
      </c>
    </row>
    <row r="133" spans="1:11" x14ac:dyDescent="0.75">
      <c r="A133" s="4" t="s">
        <v>39</v>
      </c>
      <c r="B133" s="16">
        <v>44656</v>
      </c>
      <c r="C133" s="4">
        <v>1</v>
      </c>
      <c r="D133" s="4" t="s">
        <v>201</v>
      </c>
      <c r="E133" s="53">
        <f>35-16</f>
        <v>19</v>
      </c>
      <c r="F133" s="4">
        <v>3883</v>
      </c>
      <c r="G133" s="4" t="s">
        <v>733</v>
      </c>
      <c r="H133" s="4"/>
      <c r="I133" s="4"/>
      <c r="J133" s="4"/>
      <c r="K133" s="4"/>
    </row>
    <row r="134" spans="1:11" x14ac:dyDescent="0.75">
      <c r="A134" t="s">
        <v>39</v>
      </c>
      <c r="B134" s="3">
        <v>44656</v>
      </c>
      <c r="C134">
        <v>1</v>
      </c>
      <c r="D134" t="s">
        <v>172</v>
      </c>
      <c r="E134" s="22">
        <f>25-4</f>
        <v>21</v>
      </c>
      <c r="F134">
        <v>3881</v>
      </c>
      <c r="G134" t="s">
        <v>733</v>
      </c>
    </row>
    <row r="135" spans="1:11" x14ac:dyDescent="0.75">
      <c r="A135" t="s">
        <v>39</v>
      </c>
      <c r="B135" s="3">
        <v>44656</v>
      </c>
      <c r="C135">
        <v>1</v>
      </c>
      <c r="D135" t="s">
        <v>172</v>
      </c>
      <c r="E135" s="22">
        <f>41-39</f>
        <v>2</v>
      </c>
      <c r="F135">
        <v>3882</v>
      </c>
      <c r="G135" t="s">
        <v>733</v>
      </c>
    </row>
    <row r="136" spans="1:11" x14ac:dyDescent="0.75">
      <c r="A136" t="s">
        <v>39</v>
      </c>
      <c r="B136" s="3">
        <v>44656</v>
      </c>
      <c r="C136">
        <v>1</v>
      </c>
      <c r="D136" t="s">
        <v>201</v>
      </c>
      <c r="E136" s="22">
        <f>46-36</f>
        <v>10</v>
      </c>
      <c r="F136" t="s">
        <v>363</v>
      </c>
      <c r="G136" t="s">
        <v>733</v>
      </c>
    </row>
    <row r="137" spans="1:11" x14ac:dyDescent="0.75">
      <c r="A137" t="s">
        <v>39</v>
      </c>
      <c r="B137" s="3">
        <v>44656</v>
      </c>
      <c r="C137">
        <v>1</v>
      </c>
      <c r="D137" t="s">
        <v>207</v>
      </c>
      <c r="E137" s="22">
        <f>36-35</f>
        <v>1</v>
      </c>
      <c r="F137" t="s">
        <v>363</v>
      </c>
      <c r="G137" t="s">
        <v>733</v>
      </c>
    </row>
    <row r="138" spans="1:11" x14ac:dyDescent="0.75">
      <c r="A138" t="s">
        <v>39</v>
      </c>
      <c r="B138" s="3">
        <v>44656</v>
      </c>
      <c r="C138">
        <v>1</v>
      </c>
      <c r="D138" t="s">
        <v>201</v>
      </c>
      <c r="E138" s="22">
        <f>16-7</f>
        <v>9</v>
      </c>
      <c r="F138" t="s">
        <v>363</v>
      </c>
      <c r="G138" t="s">
        <v>733</v>
      </c>
    </row>
    <row r="139" spans="1:11" x14ac:dyDescent="0.75">
      <c r="A139" t="s">
        <v>39</v>
      </c>
      <c r="B139" s="3">
        <v>44656</v>
      </c>
      <c r="C139">
        <v>1</v>
      </c>
      <c r="D139" t="s">
        <v>207</v>
      </c>
      <c r="E139" s="22">
        <f>7+39-37</f>
        <v>9</v>
      </c>
      <c r="F139" t="s">
        <v>363</v>
      </c>
      <c r="G139" t="s">
        <v>733</v>
      </c>
    </row>
    <row r="140" spans="1:11" x14ac:dyDescent="0.75">
      <c r="A140" t="s">
        <v>39</v>
      </c>
      <c r="B140" s="3">
        <v>44656</v>
      </c>
      <c r="C140">
        <v>1</v>
      </c>
      <c r="D140" t="s">
        <v>201</v>
      </c>
      <c r="E140" s="22">
        <f>37-36</f>
        <v>1</v>
      </c>
      <c r="F140" t="s">
        <v>363</v>
      </c>
      <c r="G140" t="s">
        <v>733</v>
      </c>
    </row>
    <row r="141" spans="1:11" x14ac:dyDescent="0.75">
      <c r="A141" t="s">
        <v>39</v>
      </c>
      <c r="B141" s="3">
        <v>44656</v>
      </c>
      <c r="C141">
        <v>1</v>
      </c>
      <c r="D141" t="s">
        <v>207</v>
      </c>
      <c r="E141" s="22">
        <f>51-42</f>
        <v>9</v>
      </c>
      <c r="F141" t="s">
        <v>363</v>
      </c>
      <c r="G141" t="s">
        <v>367</v>
      </c>
    </row>
    <row r="142" spans="1:11" x14ac:dyDescent="0.75">
      <c r="A142" t="s">
        <v>39</v>
      </c>
      <c r="B142" s="3">
        <v>44656</v>
      </c>
      <c r="C142">
        <v>1</v>
      </c>
      <c r="D142" t="s">
        <v>201</v>
      </c>
      <c r="E142" s="22">
        <f>42-28</f>
        <v>14</v>
      </c>
      <c r="F142" t="s">
        <v>363</v>
      </c>
      <c r="G142" t="s">
        <v>367</v>
      </c>
    </row>
    <row r="143" spans="1:11" x14ac:dyDescent="0.75">
      <c r="A143" t="s">
        <v>39</v>
      </c>
      <c r="B143" s="3">
        <v>44656</v>
      </c>
      <c r="C143">
        <v>1</v>
      </c>
      <c r="D143" t="s">
        <v>168</v>
      </c>
      <c r="E143" s="22">
        <f>28-24</f>
        <v>4</v>
      </c>
      <c r="F143" t="s">
        <v>363</v>
      </c>
      <c r="G143" t="s">
        <v>367</v>
      </c>
    </row>
    <row r="144" spans="1:11" x14ac:dyDescent="0.75">
      <c r="A144" t="s">
        <v>39</v>
      </c>
      <c r="B144" s="3">
        <v>44656</v>
      </c>
      <c r="C144">
        <v>1</v>
      </c>
      <c r="D144" t="s">
        <v>201</v>
      </c>
      <c r="E144" s="22">
        <f>36-6</f>
        <v>30</v>
      </c>
      <c r="F144" t="s">
        <v>363</v>
      </c>
      <c r="G144" t="s">
        <v>733</v>
      </c>
    </row>
    <row r="145" spans="1:11" x14ac:dyDescent="0.75">
      <c r="A145" t="s">
        <v>39</v>
      </c>
      <c r="B145" s="3">
        <v>44656</v>
      </c>
      <c r="C145">
        <v>1</v>
      </c>
      <c r="D145" t="s">
        <v>168</v>
      </c>
      <c r="E145" s="22">
        <f>6-2</f>
        <v>4</v>
      </c>
      <c r="F145" t="s">
        <v>363</v>
      </c>
      <c r="G145" t="s">
        <v>733</v>
      </c>
    </row>
    <row r="146" spans="1:11" s="23" customFormat="1" x14ac:dyDescent="0.75">
      <c r="A146" s="23" t="s">
        <v>39</v>
      </c>
      <c r="B146" s="24">
        <v>44656</v>
      </c>
      <c r="C146" s="23">
        <v>2</v>
      </c>
      <c r="D146" s="23" t="s">
        <v>172</v>
      </c>
      <c r="E146" s="52">
        <f>35-19</f>
        <v>16</v>
      </c>
      <c r="F146" s="23" t="s">
        <v>363</v>
      </c>
      <c r="G146" s="23" t="s">
        <v>733</v>
      </c>
    </row>
    <row r="147" spans="1:11" s="23" customFormat="1" x14ac:dyDescent="0.75">
      <c r="A147" s="23" t="s">
        <v>39</v>
      </c>
      <c r="B147" s="24">
        <v>44656</v>
      </c>
      <c r="C147" s="23">
        <v>2</v>
      </c>
      <c r="D147" s="23" t="s">
        <v>168</v>
      </c>
      <c r="E147" s="52">
        <f>37-5</f>
        <v>32</v>
      </c>
      <c r="F147" s="23" t="s">
        <v>363</v>
      </c>
      <c r="G147" s="23" t="s">
        <v>733</v>
      </c>
    </row>
    <row r="148" spans="1:11" s="23" customFormat="1" x14ac:dyDescent="0.75">
      <c r="A148" s="23" t="s">
        <v>39</v>
      </c>
      <c r="B148" s="24">
        <v>44656</v>
      </c>
      <c r="C148" s="23">
        <v>2</v>
      </c>
      <c r="D148" s="23" t="s">
        <v>172</v>
      </c>
      <c r="E148" s="52">
        <f>5-4</f>
        <v>1</v>
      </c>
      <c r="F148" s="23" t="s">
        <v>363</v>
      </c>
      <c r="G148" s="23" t="s">
        <v>733</v>
      </c>
    </row>
    <row r="149" spans="1:11" s="23" customFormat="1" x14ac:dyDescent="0.75">
      <c r="A149" s="23" t="s">
        <v>39</v>
      </c>
      <c r="B149" s="24">
        <v>44656</v>
      </c>
      <c r="C149" s="23">
        <v>2</v>
      </c>
      <c r="D149" s="23" t="s">
        <v>168</v>
      </c>
      <c r="E149" s="52">
        <f>4+54-36</f>
        <v>22</v>
      </c>
      <c r="F149" s="23" t="s">
        <v>363</v>
      </c>
      <c r="G149" s="23" t="s">
        <v>733</v>
      </c>
    </row>
    <row r="150" spans="1:11" s="23" customFormat="1" x14ac:dyDescent="0.75">
      <c r="A150" s="23" t="s">
        <v>39</v>
      </c>
      <c r="B150" s="24">
        <v>44656</v>
      </c>
      <c r="C150" s="23">
        <v>2</v>
      </c>
      <c r="D150" s="23" t="s">
        <v>168</v>
      </c>
      <c r="E150" s="52">
        <f>36-6</f>
        <v>30</v>
      </c>
      <c r="F150" s="23" t="s">
        <v>363</v>
      </c>
      <c r="G150" s="23" t="s">
        <v>733</v>
      </c>
    </row>
    <row r="151" spans="1:11" s="23" customFormat="1" x14ac:dyDescent="0.75">
      <c r="A151" s="23" t="s">
        <v>39</v>
      </c>
      <c r="B151" s="24">
        <v>44656</v>
      </c>
      <c r="C151" s="23">
        <v>2</v>
      </c>
      <c r="D151" s="23" t="s">
        <v>168</v>
      </c>
      <c r="E151" s="52">
        <v>6</v>
      </c>
      <c r="F151" s="23" t="s">
        <v>363</v>
      </c>
      <c r="G151" s="23" t="s">
        <v>733</v>
      </c>
    </row>
    <row r="152" spans="1:11" s="23" customFormat="1" x14ac:dyDescent="0.75">
      <c r="A152" s="23" t="s">
        <v>39</v>
      </c>
      <c r="B152" s="24">
        <v>44656</v>
      </c>
      <c r="C152" s="23">
        <v>2</v>
      </c>
      <c r="D152" s="23" t="s">
        <v>172</v>
      </c>
      <c r="E152" s="52">
        <f>3</f>
        <v>3</v>
      </c>
      <c r="F152" s="23" t="s">
        <v>363</v>
      </c>
      <c r="G152" s="23" t="s">
        <v>361</v>
      </c>
    </row>
    <row r="153" spans="1:11" s="23" customFormat="1" x14ac:dyDescent="0.75">
      <c r="A153" s="23" t="s">
        <v>39</v>
      </c>
      <c r="B153" s="24">
        <v>44656</v>
      </c>
      <c r="C153" s="23">
        <v>2</v>
      </c>
      <c r="D153" s="23" t="s">
        <v>201</v>
      </c>
      <c r="E153" s="52" t="s">
        <v>363</v>
      </c>
      <c r="F153" s="23" t="s">
        <v>363</v>
      </c>
      <c r="G153" s="23" t="s">
        <v>367</v>
      </c>
      <c r="K153" s="23" t="s">
        <v>742</v>
      </c>
    </row>
    <row r="154" spans="1:11" s="23" customFormat="1" x14ac:dyDescent="0.75">
      <c r="A154" s="23" t="s">
        <v>39</v>
      </c>
      <c r="B154" s="24">
        <v>44656</v>
      </c>
      <c r="C154" s="23">
        <v>2</v>
      </c>
      <c r="D154" s="23" t="s">
        <v>168</v>
      </c>
      <c r="E154" s="52">
        <f>26-12</f>
        <v>14</v>
      </c>
      <c r="F154" s="23" t="s">
        <v>363</v>
      </c>
      <c r="G154" s="23" t="s">
        <v>367</v>
      </c>
    </row>
    <row r="155" spans="1:11" s="23" customFormat="1" x14ac:dyDescent="0.75">
      <c r="A155" s="23" t="s">
        <v>39</v>
      </c>
      <c r="B155" s="24">
        <v>44656</v>
      </c>
      <c r="C155" s="23">
        <v>2</v>
      </c>
      <c r="D155" s="23" t="s">
        <v>172</v>
      </c>
      <c r="E155" s="52" t="s">
        <v>363</v>
      </c>
      <c r="F155" s="23" t="s">
        <v>363</v>
      </c>
      <c r="G155" s="23" t="s">
        <v>367</v>
      </c>
      <c r="K155" s="23" t="s">
        <v>743</v>
      </c>
    </row>
    <row r="156" spans="1:11" x14ac:dyDescent="0.75">
      <c r="A156" t="s">
        <v>39</v>
      </c>
      <c r="B156" s="3">
        <v>44656</v>
      </c>
      <c r="C156">
        <v>3</v>
      </c>
      <c r="D156" t="s">
        <v>201</v>
      </c>
      <c r="E156" s="22">
        <f>50-40</f>
        <v>10</v>
      </c>
      <c r="F156" t="s">
        <v>363</v>
      </c>
      <c r="G156" t="s">
        <v>733</v>
      </c>
    </row>
    <row r="157" spans="1:11" x14ac:dyDescent="0.75">
      <c r="A157" t="s">
        <v>39</v>
      </c>
      <c r="B157" s="3">
        <v>44656</v>
      </c>
      <c r="C157">
        <v>3</v>
      </c>
      <c r="D157" t="s">
        <v>201</v>
      </c>
      <c r="E157" s="22">
        <f>3+40-26</f>
        <v>17</v>
      </c>
      <c r="F157" t="s">
        <v>363</v>
      </c>
      <c r="G157" t="s">
        <v>361</v>
      </c>
    </row>
    <row r="158" spans="1:11" x14ac:dyDescent="0.75">
      <c r="A158" t="s">
        <v>39</v>
      </c>
      <c r="B158" s="3">
        <v>44656</v>
      </c>
      <c r="C158">
        <v>3</v>
      </c>
      <c r="D158" t="s">
        <v>201</v>
      </c>
      <c r="E158" s="22">
        <f>34-28</f>
        <v>6</v>
      </c>
      <c r="F158" t="s">
        <v>363</v>
      </c>
      <c r="G158" t="s">
        <v>367</v>
      </c>
    </row>
    <row r="159" spans="1:11" x14ac:dyDescent="0.75">
      <c r="A159" t="s">
        <v>39</v>
      </c>
      <c r="B159" s="3">
        <v>44656</v>
      </c>
      <c r="C159">
        <v>3</v>
      </c>
      <c r="D159" t="s">
        <v>201</v>
      </c>
      <c r="E159" s="22">
        <f>28-22</f>
        <v>6</v>
      </c>
      <c r="F159" t="s">
        <v>363</v>
      </c>
      <c r="G159" t="s">
        <v>367</v>
      </c>
    </row>
    <row r="160" spans="1:11" s="23" customFormat="1" x14ac:dyDescent="0.75">
      <c r="A160" s="23" t="s">
        <v>64</v>
      </c>
      <c r="B160" s="24">
        <v>44657</v>
      </c>
      <c r="C160" s="23">
        <v>1</v>
      </c>
      <c r="D160" s="23" t="s">
        <v>201</v>
      </c>
      <c r="E160" s="52">
        <f>39-16</f>
        <v>23</v>
      </c>
      <c r="F160" s="23" t="s">
        <v>363</v>
      </c>
      <c r="G160" s="23" t="s">
        <v>733</v>
      </c>
    </row>
    <row r="161" spans="1:11" s="23" customFormat="1" x14ac:dyDescent="0.75">
      <c r="A161" s="23" t="s">
        <v>64</v>
      </c>
      <c r="B161" s="24">
        <v>44657</v>
      </c>
      <c r="C161" s="23">
        <v>1</v>
      </c>
      <c r="D161" s="23" t="s">
        <v>201</v>
      </c>
      <c r="E161" s="52">
        <f>16-11</f>
        <v>5</v>
      </c>
      <c r="F161" s="23" t="s">
        <v>363</v>
      </c>
      <c r="G161" s="23" t="s">
        <v>733</v>
      </c>
    </row>
    <row r="162" spans="1:11" s="23" customFormat="1" x14ac:dyDescent="0.75">
      <c r="A162" s="23" t="s">
        <v>64</v>
      </c>
      <c r="B162" s="24">
        <v>44657</v>
      </c>
      <c r="C162" s="23">
        <v>1</v>
      </c>
      <c r="D162" s="23" t="s">
        <v>201</v>
      </c>
      <c r="E162" s="52">
        <f>11-9</f>
        <v>2</v>
      </c>
      <c r="F162" s="23" t="s">
        <v>363</v>
      </c>
      <c r="G162" s="23" t="s">
        <v>733</v>
      </c>
    </row>
    <row r="163" spans="1:11" s="23" customFormat="1" x14ac:dyDescent="0.75">
      <c r="A163" s="23" t="s">
        <v>64</v>
      </c>
      <c r="B163" s="24">
        <v>44657</v>
      </c>
      <c r="C163" s="23">
        <v>1</v>
      </c>
      <c r="D163" s="23" t="s">
        <v>201</v>
      </c>
      <c r="E163" s="52">
        <f>9-6</f>
        <v>3</v>
      </c>
      <c r="F163" s="23" t="s">
        <v>363</v>
      </c>
      <c r="G163" s="23" t="s">
        <v>733</v>
      </c>
    </row>
    <row r="164" spans="1:11" s="23" customFormat="1" x14ac:dyDescent="0.75">
      <c r="A164" s="23" t="s">
        <v>64</v>
      </c>
      <c r="B164" s="24">
        <v>44657</v>
      </c>
      <c r="C164" s="23">
        <v>1</v>
      </c>
      <c r="D164" s="23" t="s">
        <v>215</v>
      </c>
      <c r="E164" s="52">
        <f>6-3</f>
        <v>3</v>
      </c>
      <c r="F164" s="23" t="s">
        <v>363</v>
      </c>
      <c r="G164" s="23" t="s">
        <v>733</v>
      </c>
    </row>
    <row r="165" spans="1:11" s="23" customFormat="1" x14ac:dyDescent="0.75">
      <c r="A165" s="23" t="s">
        <v>64</v>
      </c>
      <c r="B165" s="24">
        <v>44657</v>
      </c>
      <c r="C165" s="23">
        <v>1</v>
      </c>
      <c r="D165" s="23" t="s">
        <v>160</v>
      </c>
      <c r="E165" s="52">
        <f>3+35+36-12+30-21</f>
        <v>71</v>
      </c>
      <c r="F165" s="23" t="s">
        <v>363</v>
      </c>
      <c r="G165" s="23" t="s">
        <v>740</v>
      </c>
    </row>
    <row r="166" spans="1:11" s="23" customFormat="1" x14ac:dyDescent="0.75">
      <c r="A166" s="23" t="s">
        <v>64</v>
      </c>
      <c r="B166" s="24">
        <v>44657</v>
      </c>
      <c r="C166" s="23">
        <v>1</v>
      </c>
      <c r="D166" s="23" t="s">
        <v>201</v>
      </c>
      <c r="E166" s="52">
        <f>37-20</f>
        <v>17</v>
      </c>
      <c r="F166" s="23" t="s">
        <v>363</v>
      </c>
      <c r="G166" s="23" t="s">
        <v>361</v>
      </c>
    </row>
    <row r="167" spans="1:11" s="23" customFormat="1" x14ac:dyDescent="0.75">
      <c r="A167" s="23" t="s">
        <v>64</v>
      </c>
      <c r="B167" s="24">
        <v>44657</v>
      </c>
      <c r="C167" s="23">
        <v>1</v>
      </c>
      <c r="D167" s="23" t="s">
        <v>201</v>
      </c>
      <c r="E167" s="52">
        <f>20-16</f>
        <v>4</v>
      </c>
      <c r="F167" s="23" t="s">
        <v>363</v>
      </c>
      <c r="G167" s="23" t="s">
        <v>361</v>
      </c>
    </row>
    <row r="168" spans="1:11" s="23" customFormat="1" x14ac:dyDescent="0.75">
      <c r="A168" s="23" t="s">
        <v>64</v>
      </c>
      <c r="B168" s="24">
        <v>44657</v>
      </c>
      <c r="C168" s="23">
        <v>1</v>
      </c>
      <c r="D168" s="23" t="s">
        <v>168</v>
      </c>
      <c r="E168" s="52">
        <f>10-8</f>
        <v>2</v>
      </c>
      <c r="F168" s="23" t="s">
        <v>363</v>
      </c>
      <c r="G168" s="23" t="s">
        <v>361</v>
      </c>
    </row>
    <row r="169" spans="1:11" s="23" customFormat="1" x14ac:dyDescent="0.75">
      <c r="A169" s="23" t="s">
        <v>64</v>
      </c>
      <c r="B169" s="24">
        <v>44657</v>
      </c>
      <c r="C169" s="23">
        <v>1</v>
      </c>
      <c r="D169" s="23" t="s">
        <v>201</v>
      </c>
      <c r="E169" s="52">
        <f>40-30</f>
        <v>10</v>
      </c>
      <c r="F169" s="23" t="s">
        <v>363</v>
      </c>
      <c r="G169" s="23" t="s">
        <v>367</v>
      </c>
    </row>
    <row r="170" spans="1:11" s="23" customFormat="1" x14ac:dyDescent="0.75">
      <c r="A170" s="23" t="s">
        <v>64</v>
      </c>
      <c r="B170" s="24">
        <v>44657</v>
      </c>
      <c r="C170" s="23">
        <v>1</v>
      </c>
      <c r="D170" s="23" t="s">
        <v>160</v>
      </c>
      <c r="E170" s="52">
        <f>26+38-24</f>
        <v>40</v>
      </c>
      <c r="F170" s="23" t="s">
        <v>363</v>
      </c>
      <c r="G170" s="23" t="s">
        <v>367</v>
      </c>
    </row>
    <row r="171" spans="1:11" s="4" customFormat="1" x14ac:dyDescent="0.75">
      <c r="A171" t="s">
        <v>69</v>
      </c>
      <c r="B171" s="3">
        <v>44659</v>
      </c>
      <c r="C171">
        <v>1</v>
      </c>
      <c r="D171" t="s">
        <v>191</v>
      </c>
      <c r="E171" s="22">
        <f>43-36</f>
        <v>7</v>
      </c>
      <c r="F171" t="s">
        <v>363</v>
      </c>
      <c r="G171" t="s">
        <v>733</v>
      </c>
      <c r="H171"/>
      <c r="I171"/>
      <c r="J171"/>
      <c r="K171"/>
    </row>
    <row r="172" spans="1:11" x14ac:dyDescent="0.75">
      <c r="A172" t="s">
        <v>69</v>
      </c>
      <c r="B172" s="3">
        <v>44659</v>
      </c>
      <c r="C172">
        <v>1</v>
      </c>
      <c r="D172" t="s">
        <v>201</v>
      </c>
      <c r="E172" s="22">
        <f>41-30</f>
        <v>11</v>
      </c>
      <c r="F172" t="s">
        <v>363</v>
      </c>
      <c r="G172" t="s">
        <v>733</v>
      </c>
    </row>
    <row r="173" spans="1:11" x14ac:dyDescent="0.75">
      <c r="A173" t="s">
        <v>69</v>
      </c>
      <c r="B173" s="3">
        <v>44659</v>
      </c>
      <c r="C173">
        <v>1</v>
      </c>
      <c r="D173" t="s">
        <v>207</v>
      </c>
      <c r="E173" s="22">
        <f>30-23</f>
        <v>7</v>
      </c>
      <c r="F173" t="s">
        <v>363</v>
      </c>
      <c r="G173" t="s">
        <v>733</v>
      </c>
    </row>
    <row r="174" spans="1:11" x14ac:dyDescent="0.75">
      <c r="A174" t="s">
        <v>69</v>
      </c>
      <c r="B174" s="3">
        <v>44659</v>
      </c>
      <c r="C174">
        <v>1</v>
      </c>
      <c r="D174" t="s">
        <v>168</v>
      </c>
      <c r="E174" s="22">
        <f>23-17</f>
        <v>6</v>
      </c>
      <c r="F174" t="s">
        <v>363</v>
      </c>
      <c r="G174" t="s">
        <v>733</v>
      </c>
    </row>
    <row r="175" spans="1:11" x14ac:dyDescent="0.75">
      <c r="A175" t="s">
        <v>69</v>
      </c>
      <c r="B175" s="3">
        <v>44659</v>
      </c>
      <c r="C175">
        <v>1</v>
      </c>
      <c r="D175" t="s">
        <v>168</v>
      </c>
      <c r="E175" s="22">
        <f>17-8</f>
        <v>9</v>
      </c>
      <c r="F175" t="s">
        <v>363</v>
      </c>
      <c r="G175" t="s">
        <v>733</v>
      </c>
    </row>
    <row r="176" spans="1:11" x14ac:dyDescent="0.75">
      <c r="A176" t="s">
        <v>69</v>
      </c>
      <c r="B176" s="3">
        <v>44659</v>
      </c>
      <c r="C176">
        <v>1</v>
      </c>
      <c r="D176" t="s">
        <v>207</v>
      </c>
      <c r="E176" s="22">
        <f>8+38-24</f>
        <v>22</v>
      </c>
      <c r="F176" t="s">
        <v>363</v>
      </c>
      <c r="G176" t="s">
        <v>733</v>
      </c>
    </row>
    <row r="177" spans="1:11" x14ac:dyDescent="0.75">
      <c r="A177" t="s">
        <v>69</v>
      </c>
      <c r="B177" s="3">
        <v>44659</v>
      </c>
      <c r="C177">
        <v>1</v>
      </c>
      <c r="D177" t="s">
        <v>201</v>
      </c>
      <c r="E177" s="22">
        <f>24-19</f>
        <v>5</v>
      </c>
      <c r="F177" t="s">
        <v>363</v>
      </c>
      <c r="G177" t="s">
        <v>733</v>
      </c>
    </row>
    <row r="178" spans="1:11" x14ac:dyDescent="0.75">
      <c r="A178" t="s">
        <v>69</v>
      </c>
      <c r="B178" s="3">
        <v>44659</v>
      </c>
      <c r="C178">
        <v>1</v>
      </c>
      <c r="D178" t="s">
        <v>201</v>
      </c>
      <c r="E178" s="22">
        <f>19-16</f>
        <v>3</v>
      </c>
      <c r="F178" t="s">
        <v>363</v>
      </c>
      <c r="G178" t="s">
        <v>733</v>
      </c>
    </row>
    <row r="179" spans="1:11" x14ac:dyDescent="0.75">
      <c r="A179" t="s">
        <v>69</v>
      </c>
      <c r="B179" s="3">
        <v>44659</v>
      </c>
      <c r="C179">
        <v>1</v>
      </c>
      <c r="D179" t="s">
        <v>201</v>
      </c>
      <c r="E179" s="22">
        <f>16-14</f>
        <v>2</v>
      </c>
      <c r="F179" t="s">
        <v>363</v>
      </c>
      <c r="G179" t="s">
        <v>733</v>
      </c>
    </row>
    <row r="180" spans="1:11" x14ac:dyDescent="0.75">
      <c r="A180" t="s">
        <v>69</v>
      </c>
      <c r="B180" s="3">
        <v>44659</v>
      </c>
      <c r="C180">
        <v>1</v>
      </c>
      <c r="D180" t="s">
        <v>201</v>
      </c>
      <c r="E180" s="22">
        <f>14-12</f>
        <v>2</v>
      </c>
      <c r="F180" t="s">
        <v>363</v>
      </c>
      <c r="G180" t="s">
        <v>733</v>
      </c>
    </row>
    <row r="181" spans="1:11" x14ac:dyDescent="0.75">
      <c r="A181" t="s">
        <v>69</v>
      </c>
      <c r="B181" s="3">
        <v>44659</v>
      </c>
      <c r="C181">
        <v>1</v>
      </c>
      <c r="D181" t="s">
        <v>197</v>
      </c>
      <c r="E181" s="22">
        <f>12+39-16</f>
        <v>35</v>
      </c>
      <c r="F181" t="s">
        <v>363</v>
      </c>
      <c r="G181" t="s">
        <v>733</v>
      </c>
    </row>
    <row r="182" spans="1:11" x14ac:dyDescent="0.75">
      <c r="A182" t="s">
        <v>69</v>
      </c>
      <c r="B182" s="3">
        <v>44659</v>
      </c>
      <c r="C182">
        <v>1</v>
      </c>
      <c r="D182" t="s">
        <v>168</v>
      </c>
      <c r="E182" s="22">
        <f>14-4</f>
        <v>10</v>
      </c>
      <c r="F182" t="s">
        <v>363</v>
      </c>
      <c r="G182" t="s">
        <v>733</v>
      </c>
    </row>
    <row r="183" spans="1:11" x14ac:dyDescent="0.75">
      <c r="A183" t="s">
        <v>69</v>
      </c>
      <c r="B183" s="3">
        <v>44659</v>
      </c>
      <c r="C183">
        <v>1</v>
      </c>
      <c r="D183" t="s">
        <v>197</v>
      </c>
      <c r="E183" s="22">
        <f>36-20</f>
        <v>16</v>
      </c>
      <c r="F183" t="s">
        <v>363</v>
      </c>
      <c r="G183" t="s">
        <v>361</v>
      </c>
    </row>
    <row r="184" spans="1:11" x14ac:dyDescent="0.75">
      <c r="A184" t="s">
        <v>69</v>
      </c>
      <c r="B184" s="3">
        <v>44659</v>
      </c>
      <c r="C184">
        <v>1</v>
      </c>
      <c r="D184" t="s">
        <v>168</v>
      </c>
      <c r="E184" s="22">
        <f>20-12</f>
        <v>8</v>
      </c>
      <c r="F184" t="s">
        <v>363</v>
      </c>
      <c r="G184" t="s">
        <v>361</v>
      </c>
    </row>
    <row r="185" spans="1:11" x14ac:dyDescent="0.75">
      <c r="A185" t="s">
        <v>69</v>
      </c>
      <c r="B185" s="3">
        <v>44659</v>
      </c>
      <c r="C185">
        <v>1</v>
      </c>
      <c r="D185" t="s">
        <v>207</v>
      </c>
      <c r="E185" s="22">
        <f>12-8</f>
        <v>4</v>
      </c>
      <c r="F185" t="s">
        <v>363</v>
      </c>
      <c r="G185" t="s">
        <v>361</v>
      </c>
    </row>
    <row r="186" spans="1:11" x14ac:dyDescent="0.75">
      <c r="A186" t="s">
        <v>69</v>
      </c>
      <c r="B186" s="3">
        <v>44659</v>
      </c>
      <c r="C186">
        <v>1</v>
      </c>
      <c r="D186" t="s">
        <v>168</v>
      </c>
      <c r="E186" s="22">
        <f>8-5</f>
        <v>3</v>
      </c>
      <c r="F186" t="s">
        <v>363</v>
      </c>
      <c r="G186" t="s">
        <v>361</v>
      </c>
    </row>
    <row r="187" spans="1:11" x14ac:dyDescent="0.75">
      <c r="A187" t="s">
        <v>69</v>
      </c>
      <c r="B187" s="3">
        <v>44659</v>
      </c>
      <c r="C187">
        <v>1</v>
      </c>
      <c r="D187" t="s">
        <v>201</v>
      </c>
      <c r="E187" s="22">
        <v>5</v>
      </c>
      <c r="F187" t="s">
        <v>363</v>
      </c>
      <c r="G187" t="s">
        <v>361</v>
      </c>
    </row>
    <row r="188" spans="1:11" x14ac:dyDescent="0.75">
      <c r="A188" t="s">
        <v>69</v>
      </c>
      <c r="B188" s="3">
        <v>44659</v>
      </c>
      <c r="C188">
        <v>1</v>
      </c>
      <c r="D188" t="s">
        <v>207</v>
      </c>
      <c r="E188" s="22">
        <f>24-18</f>
        <v>6</v>
      </c>
      <c r="F188" t="s">
        <v>363</v>
      </c>
      <c r="G188" t="s">
        <v>361</v>
      </c>
    </row>
    <row r="189" spans="1:11" x14ac:dyDescent="0.75">
      <c r="A189" t="s">
        <v>69</v>
      </c>
      <c r="B189" s="3">
        <v>44659</v>
      </c>
      <c r="C189">
        <v>1</v>
      </c>
      <c r="D189" t="s">
        <v>168</v>
      </c>
      <c r="E189" s="22">
        <f>18-11</f>
        <v>7</v>
      </c>
      <c r="F189" t="s">
        <v>363</v>
      </c>
      <c r="G189" t="s">
        <v>361</v>
      </c>
    </row>
    <row r="190" spans="1:11" x14ac:dyDescent="0.75">
      <c r="A190" t="s">
        <v>69</v>
      </c>
      <c r="B190" s="3">
        <v>44659</v>
      </c>
      <c r="C190">
        <v>1</v>
      </c>
      <c r="D190" t="s">
        <v>168</v>
      </c>
      <c r="E190" s="22" t="s">
        <v>363</v>
      </c>
      <c r="F190" t="s">
        <v>363</v>
      </c>
      <c r="G190" t="s">
        <v>361</v>
      </c>
      <c r="K190" t="s">
        <v>744</v>
      </c>
    </row>
    <row r="191" spans="1:11" x14ac:dyDescent="0.75">
      <c r="A191" t="s">
        <v>69</v>
      </c>
      <c r="B191" s="3">
        <v>44659</v>
      </c>
      <c r="C191">
        <v>1</v>
      </c>
      <c r="D191" t="s">
        <v>191</v>
      </c>
      <c r="E191" s="22">
        <f>36-21</f>
        <v>15</v>
      </c>
      <c r="F191" t="s">
        <v>363</v>
      </c>
      <c r="G191" t="s">
        <v>374</v>
      </c>
    </row>
    <row r="192" spans="1:11" x14ac:dyDescent="0.75">
      <c r="A192" t="s">
        <v>69</v>
      </c>
      <c r="B192" s="3">
        <v>44659</v>
      </c>
      <c r="C192">
        <v>1</v>
      </c>
      <c r="D192" t="s">
        <v>201</v>
      </c>
      <c r="E192" s="22">
        <f>20-16</f>
        <v>4</v>
      </c>
      <c r="F192" t="s">
        <v>363</v>
      </c>
      <c r="G192" t="s">
        <v>374</v>
      </c>
    </row>
    <row r="193" spans="1:11" x14ac:dyDescent="0.75">
      <c r="A193" t="s">
        <v>69</v>
      </c>
      <c r="B193" s="3">
        <v>44659</v>
      </c>
      <c r="C193">
        <v>1</v>
      </c>
      <c r="D193" t="s">
        <v>207</v>
      </c>
      <c r="E193" s="22">
        <f>16-13</f>
        <v>3</v>
      </c>
      <c r="F193" t="s">
        <v>363</v>
      </c>
      <c r="G193" t="s">
        <v>374</v>
      </c>
    </row>
    <row r="194" spans="1:11" x14ac:dyDescent="0.75">
      <c r="A194" t="s">
        <v>69</v>
      </c>
      <c r="B194" s="3">
        <v>44659</v>
      </c>
      <c r="C194">
        <v>1</v>
      </c>
      <c r="D194" t="s">
        <v>207</v>
      </c>
      <c r="E194" s="22">
        <f>13-8</f>
        <v>5</v>
      </c>
      <c r="F194" t="s">
        <v>363</v>
      </c>
      <c r="G194" t="s">
        <v>374</v>
      </c>
    </row>
    <row r="195" spans="1:11" x14ac:dyDescent="0.75">
      <c r="A195" t="s">
        <v>69</v>
      </c>
      <c r="B195" s="3">
        <v>44659</v>
      </c>
      <c r="C195">
        <v>1</v>
      </c>
      <c r="D195" t="s">
        <v>168</v>
      </c>
      <c r="E195" s="22">
        <f>8-4</f>
        <v>4</v>
      </c>
      <c r="F195" t="s">
        <v>363</v>
      </c>
      <c r="G195" t="s">
        <v>374</v>
      </c>
    </row>
    <row r="196" spans="1:11" x14ac:dyDescent="0.75">
      <c r="A196" t="s">
        <v>69</v>
      </c>
      <c r="B196" s="3">
        <v>44659</v>
      </c>
      <c r="C196">
        <v>1</v>
      </c>
      <c r="D196" t="s">
        <v>207</v>
      </c>
      <c r="E196" s="22" t="s">
        <v>363</v>
      </c>
      <c r="F196" t="s">
        <v>363</v>
      </c>
      <c r="G196" t="s">
        <v>374</v>
      </c>
      <c r="K196" t="s">
        <v>745</v>
      </c>
    </row>
    <row r="197" spans="1:11" x14ac:dyDescent="0.75">
      <c r="A197" t="s">
        <v>69</v>
      </c>
      <c r="B197" s="3">
        <v>44659</v>
      </c>
      <c r="C197">
        <v>1</v>
      </c>
      <c r="D197" t="s">
        <v>207</v>
      </c>
      <c r="E197" s="22">
        <f>34-30</f>
        <v>4</v>
      </c>
      <c r="F197" t="s">
        <v>363</v>
      </c>
      <c r="G197" t="s">
        <v>374</v>
      </c>
    </row>
    <row r="198" spans="1:11" x14ac:dyDescent="0.75">
      <c r="A198" t="s">
        <v>69</v>
      </c>
      <c r="B198" s="3">
        <v>44659</v>
      </c>
      <c r="C198">
        <v>1</v>
      </c>
      <c r="D198" t="s">
        <v>207</v>
      </c>
      <c r="E198" s="22">
        <f>30-28</f>
        <v>2</v>
      </c>
      <c r="F198" t="s">
        <v>363</v>
      </c>
      <c r="G198" t="s">
        <v>374</v>
      </c>
    </row>
    <row r="199" spans="1:11" x14ac:dyDescent="0.75">
      <c r="A199" t="s">
        <v>69</v>
      </c>
      <c r="B199" s="3">
        <v>44659</v>
      </c>
      <c r="C199">
        <v>1</v>
      </c>
      <c r="D199" t="s">
        <v>207</v>
      </c>
      <c r="E199" s="22">
        <f>28-26</f>
        <v>2</v>
      </c>
      <c r="F199" t="s">
        <v>363</v>
      </c>
      <c r="G199" t="s">
        <v>374</v>
      </c>
    </row>
    <row r="200" spans="1:11" x14ac:dyDescent="0.75">
      <c r="A200" t="s">
        <v>69</v>
      </c>
      <c r="B200" s="3">
        <v>44659</v>
      </c>
      <c r="C200">
        <v>1</v>
      </c>
      <c r="D200" t="s">
        <v>207</v>
      </c>
      <c r="E200" s="22">
        <f>26-22</f>
        <v>4</v>
      </c>
      <c r="F200" t="s">
        <v>363</v>
      </c>
      <c r="G200" t="s">
        <v>374</v>
      </c>
    </row>
    <row r="201" spans="1:11" x14ac:dyDescent="0.75">
      <c r="A201" t="s">
        <v>69</v>
      </c>
      <c r="B201" s="3">
        <v>44659</v>
      </c>
      <c r="C201">
        <v>1</v>
      </c>
      <c r="D201" t="s">
        <v>207</v>
      </c>
      <c r="E201" s="22">
        <f>22-20</f>
        <v>2</v>
      </c>
      <c r="F201" t="s">
        <v>363</v>
      </c>
      <c r="G201" t="s">
        <v>374</v>
      </c>
    </row>
    <row r="202" spans="1:11" x14ac:dyDescent="0.75">
      <c r="A202" t="s">
        <v>69</v>
      </c>
      <c r="B202" s="3">
        <v>44659</v>
      </c>
      <c r="C202">
        <v>1</v>
      </c>
      <c r="D202" t="s">
        <v>197</v>
      </c>
      <c r="E202" s="22">
        <f>34-22</f>
        <v>12</v>
      </c>
      <c r="F202" t="s">
        <v>363</v>
      </c>
      <c r="G202" t="s">
        <v>374</v>
      </c>
    </row>
    <row r="203" spans="1:11" x14ac:dyDescent="0.75">
      <c r="A203" t="s">
        <v>69</v>
      </c>
      <c r="B203" s="3">
        <v>44659</v>
      </c>
      <c r="C203">
        <v>1</v>
      </c>
      <c r="D203" t="s">
        <v>205</v>
      </c>
      <c r="E203" s="22" t="s">
        <v>363</v>
      </c>
      <c r="F203" t="s">
        <v>363</v>
      </c>
      <c r="G203" t="s">
        <v>374</v>
      </c>
      <c r="K203" t="s">
        <v>746</v>
      </c>
    </row>
    <row r="204" spans="1:11" x14ac:dyDescent="0.75">
      <c r="A204" t="s">
        <v>69</v>
      </c>
      <c r="B204" s="3">
        <v>44659</v>
      </c>
      <c r="C204">
        <v>1</v>
      </c>
      <c r="D204" t="s">
        <v>201</v>
      </c>
      <c r="E204" s="22">
        <f>18-15</f>
        <v>3</v>
      </c>
      <c r="F204" t="s">
        <v>363</v>
      </c>
      <c r="G204" t="s">
        <v>374</v>
      </c>
    </row>
    <row r="205" spans="1:11" x14ac:dyDescent="0.75">
      <c r="A205" t="s">
        <v>69</v>
      </c>
      <c r="B205" s="3">
        <v>44659</v>
      </c>
      <c r="C205">
        <v>1</v>
      </c>
      <c r="D205" t="s">
        <v>191</v>
      </c>
      <c r="E205" s="22">
        <f>24-10</f>
        <v>14</v>
      </c>
      <c r="F205" t="s">
        <v>363</v>
      </c>
      <c r="G205" t="s">
        <v>367</v>
      </c>
    </row>
    <row r="206" spans="1:11" x14ac:dyDescent="0.75">
      <c r="A206" t="s">
        <v>69</v>
      </c>
      <c r="B206" s="3">
        <v>44659</v>
      </c>
      <c r="C206">
        <v>1</v>
      </c>
      <c r="D206" t="s">
        <v>207</v>
      </c>
      <c r="E206" s="22">
        <f>10+38-34</f>
        <v>14</v>
      </c>
      <c r="F206" t="s">
        <v>363</v>
      </c>
      <c r="G206" t="s">
        <v>367</v>
      </c>
    </row>
    <row r="207" spans="1:11" x14ac:dyDescent="0.75">
      <c r="A207" t="s">
        <v>69</v>
      </c>
      <c r="B207" s="3">
        <v>44659</v>
      </c>
      <c r="C207">
        <v>1</v>
      </c>
      <c r="D207" t="s">
        <v>168</v>
      </c>
      <c r="E207" s="22">
        <f>34-22</f>
        <v>12</v>
      </c>
      <c r="F207" t="s">
        <v>363</v>
      </c>
      <c r="G207" t="s">
        <v>367</v>
      </c>
    </row>
    <row r="208" spans="1:11" x14ac:dyDescent="0.75">
      <c r="A208" t="s">
        <v>69</v>
      </c>
      <c r="B208" s="3">
        <v>44659</v>
      </c>
      <c r="C208">
        <v>1</v>
      </c>
      <c r="D208" t="s">
        <v>191</v>
      </c>
      <c r="E208" s="22">
        <f>22-14</f>
        <v>8</v>
      </c>
      <c r="F208" t="s">
        <v>363</v>
      </c>
      <c r="G208" t="s">
        <v>367</v>
      </c>
    </row>
    <row r="209" spans="1:11" x14ac:dyDescent="0.75">
      <c r="A209" t="s">
        <v>69</v>
      </c>
      <c r="B209" s="3">
        <v>44659</v>
      </c>
      <c r="C209">
        <v>1</v>
      </c>
      <c r="D209" t="s">
        <v>168</v>
      </c>
      <c r="E209" s="22">
        <f>14+40-30</f>
        <v>24</v>
      </c>
      <c r="F209" t="s">
        <v>363</v>
      </c>
      <c r="G209" t="s">
        <v>367</v>
      </c>
    </row>
    <row r="210" spans="1:11" x14ac:dyDescent="0.75">
      <c r="A210" t="s">
        <v>69</v>
      </c>
      <c r="B210" s="3">
        <v>44659</v>
      </c>
      <c r="C210">
        <v>1</v>
      </c>
      <c r="D210" t="s">
        <v>168</v>
      </c>
      <c r="E210" s="22">
        <f>30-27</f>
        <v>3</v>
      </c>
      <c r="F210" t="s">
        <v>363</v>
      </c>
      <c r="G210" t="s">
        <v>367</v>
      </c>
    </row>
    <row r="211" spans="1:11" s="23" customFormat="1" x14ac:dyDescent="0.75">
      <c r="A211" s="26" t="s">
        <v>69</v>
      </c>
      <c r="B211" s="27">
        <v>44659</v>
      </c>
      <c r="C211" s="26">
        <v>2</v>
      </c>
      <c r="D211" s="26" t="s">
        <v>197</v>
      </c>
      <c r="E211" s="54">
        <f>31-3</f>
        <v>28</v>
      </c>
      <c r="F211" s="26">
        <v>3341</v>
      </c>
      <c r="G211" s="26" t="s">
        <v>733</v>
      </c>
      <c r="H211" s="26"/>
      <c r="I211" s="26"/>
      <c r="J211" s="26"/>
      <c r="K211" s="26"/>
    </row>
    <row r="212" spans="1:11" s="23" customFormat="1" x14ac:dyDescent="0.75">
      <c r="A212" s="23" t="s">
        <v>69</v>
      </c>
      <c r="B212" s="24">
        <v>44659</v>
      </c>
      <c r="C212" s="23">
        <v>2</v>
      </c>
      <c r="D212" s="23" t="s">
        <v>199</v>
      </c>
      <c r="E212" s="52">
        <f>33-9</f>
        <v>24</v>
      </c>
      <c r="F212" s="23" t="s">
        <v>363</v>
      </c>
      <c r="G212" s="23" t="s">
        <v>361</v>
      </c>
    </row>
    <row r="213" spans="1:11" s="23" customFormat="1" x14ac:dyDescent="0.75">
      <c r="A213" s="23" t="s">
        <v>69</v>
      </c>
      <c r="B213" s="24">
        <v>44659</v>
      </c>
      <c r="C213" s="23">
        <v>2</v>
      </c>
      <c r="D213" s="23" t="s">
        <v>199</v>
      </c>
      <c r="E213" s="52">
        <f>9+21-13</f>
        <v>17</v>
      </c>
      <c r="F213" s="23" t="s">
        <v>363</v>
      </c>
      <c r="G213" s="23" t="s">
        <v>361</v>
      </c>
    </row>
    <row r="214" spans="1:11" s="23" customFormat="1" x14ac:dyDescent="0.75">
      <c r="A214" s="23" t="s">
        <v>69</v>
      </c>
      <c r="B214" s="24">
        <v>44659</v>
      </c>
      <c r="C214" s="23">
        <v>2</v>
      </c>
      <c r="D214" s="23" t="s">
        <v>176</v>
      </c>
      <c r="E214" s="52">
        <f>13-4</f>
        <v>9</v>
      </c>
      <c r="F214" s="23" t="s">
        <v>363</v>
      </c>
      <c r="G214" s="23" t="s">
        <v>361</v>
      </c>
    </row>
    <row r="215" spans="1:11" s="23" customFormat="1" x14ac:dyDescent="0.75">
      <c r="A215" s="23" t="s">
        <v>69</v>
      </c>
      <c r="B215" s="24">
        <v>44659</v>
      </c>
      <c r="C215" s="23">
        <v>2</v>
      </c>
      <c r="D215" s="23" t="s">
        <v>201</v>
      </c>
      <c r="E215" s="52">
        <f>4+4+38-24</f>
        <v>22</v>
      </c>
      <c r="F215" s="23" t="s">
        <v>363</v>
      </c>
      <c r="G215" s="23" t="s">
        <v>361</v>
      </c>
    </row>
    <row r="216" spans="1:11" s="23" customFormat="1" x14ac:dyDescent="0.75">
      <c r="A216" s="23" t="s">
        <v>69</v>
      </c>
      <c r="B216" s="24">
        <v>44659</v>
      </c>
      <c r="C216" s="23">
        <v>2</v>
      </c>
      <c r="D216" s="23" t="s">
        <v>201</v>
      </c>
      <c r="E216" s="52" t="s">
        <v>363</v>
      </c>
      <c r="F216" s="23" t="s">
        <v>363</v>
      </c>
      <c r="G216" s="23" t="s">
        <v>361</v>
      </c>
      <c r="K216" s="23" t="s">
        <v>747</v>
      </c>
    </row>
    <row r="217" spans="1:11" s="23" customFormat="1" x14ac:dyDescent="0.75">
      <c r="A217" s="23" t="s">
        <v>69</v>
      </c>
      <c r="B217" s="24">
        <v>44659</v>
      </c>
      <c r="C217" s="23">
        <v>2</v>
      </c>
      <c r="D217" s="23" t="s">
        <v>201</v>
      </c>
      <c r="E217" s="52">
        <f>38-36</f>
        <v>2</v>
      </c>
      <c r="F217" s="23" t="s">
        <v>363</v>
      </c>
      <c r="G217" s="23" t="s">
        <v>374</v>
      </c>
    </row>
    <row r="218" spans="1:11" s="23" customFormat="1" x14ac:dyDescent="0.75">
      <c r="A218" s="23" t="s">
        <v>69</v>
      </c>
      <c r="B218" s="24">
        <v>44659</v>
      </c>
      <c r="C218" s="23">
        <v>2</v>
      </c>
      <c r="D218" s="23" t="s">
        <v>168</v>
      </c>
      <c r="E218" s="52">
        <f>36-16</f>
        <v>20</v>
      </c>
      <c r="F218" s="23" t="s">
        <v>363</v>
      </c>
      <c r="G218" s="23" t="s">
        <v>374</v>
      </c>
    </row>
    <row r="219" spans="1:11" s="23" customFormat="1" x14ac:dyDescent="0.75">
      <c r="A219" s="23" t="s">
        <v>69</v>
      </c>
      <c r="B219" s="24">
        <v>44659</v>
      </c>
      <c r="C219" s="23">
        <v>2</v>
      </c>
      <c r="D219" s="23" t="s">
        <v>168</v>
      </c>
      <c r="E219" s="52">
        <f>16-5</f>
        <v>11</v>
      </c>
      <c r="F219" s="23" t="s">
        <v>363</v>
      </c>
      <c r="G219" s="23" t="s">
        <v>374</v>
      </c>
    </row>
    <row r="220" spans="1:11" s="23" customFormat="1" x14ac:dyDescent="0.75">
      <c r="A220" s="23" t="s">
        <v>69</v>
      </c>
      <c r="B220" s="24">
        <v>44659</v>
      </c>
      <c r="C220" s="23">
        <v>2</v>
      </c>
      <c r="D220" s="23" t="s">
        <v>164</v>
      </c>
      <c r="E220" s="52">
        <f>36-30</f>
        <v>6</v>
      </c>
      <c r="F220" s="23" t="s">
        <v>363</v>
      </c>
      <c r="G220" s="23" t="s">
        <v>374</v>
      </c>
    </row>
    <row r="221" spans="1:11" s="23" customFormat="1" x14ac:dyDescent="0.75">
      <c r="A221" s="23" t="s">
        <v>69</v>
      </c>
      <c r="B221" s="24">
        <v>44659</v>
      </c>
      <c r="C221" s="23">
        <v>2</v>
      </c>
      <c r="D221" s="23" t="s">
        <v>201</v>
      </c>
      <c r="E221" s="52">
        <f>30-18</f>
        <v>12</v>
      </c>
      <c r="F221" s="23" t="s">
        <v>363</v>
      </c>
      <c r="G221" s="23" t="s">
        <v>374</v>
      </c>
    </row>
    <row r="222" spans="1:11" s="23" customFormat="1" x14ac:dyDescent="0.75">
      <c r="A222" s="23" t="s">
        <v>69</v>
      </c>
      <c r="B222" s="24">
        <v>44659</v>
      </c>
      <c r="C222" s="23">
        <v>2</v>
      </c>
      <c r="D222" s="23" t="s">
        <v>201</v>
      </c>
      <c r="E222" s="52">
        <f>18-17</f>
        <v>1</v>
      </c>
      <c r="F222" s="23" t="s">
        <v>363</v>
      </c>
      <c r="G222" s="23" t="s">
        <v>374</v>
      </c>
    </row>
    <row r="223" spans="1:11" s="23" customFormat="1" x14ac:dyDescent="0.75">
      <c r="A223" s="23" t="s">
        <v>69</v>
      </c>
      <c r="B223" s="24">
        <v>44659</v>
      </c>
      <c r="C223" s="23">
        <v>2</v>
      </c>
      <c r="D223" s="23" t="s">
        <v>201</v>
      </c>
      <c r="E223" s="52" t="s">
        <v>363</v>
      </c>
      <c r="F223" s="23" t="s">
        <v>363</v>
      </c>
      <c r="G223" s="23" t="s">
        <v>374</v>
      </c>
      <c r="K223" s="23" t="s">
        <v>748</v>
      </c>
    </row>
    <row r="224" spans="1:11" s="23" customFormat="1" x14ac:dyDescent="0.75">
      <c r="A224" s="23" t="s">
        <v>69</v>
      </c>
      <c r="B224" s="24">
        <v>44659</v>
      </c>
      <c r="C224" s="23">
        <v>2</v>
      </c>
      <c r="D224" s="23" t="s">
        <v>201</v>
      </c>
      <c r="E224" s="52">
        <f>11-2</f>
        <v>9</v>
      </c>
      <c r="F224" s="23" t="s">
        <v>363</v>
      </c>
      <c r="G224" s="23" t="s">
        <v>374</v>
      </c>
    </row>
    <row r="225" spans="1:11" s="23" customFormat="1" x14ac:dyDescent="0.75">
      <c r="A225" s="23" t="s">
        <v>69</v>
      </c>
      <c r="B225" s="24">
        <v>44659</v>
      </c>
      <c r="C225" s="23">
        <v>2</v>
      </c>
      <c r="D225" s="23" t="s">
        <v>191</v>
      </c>
      <c r="E225" s="52" t="s">
        <v>363</v>
      </c>
      <c r="F225" s="23" t="s">
        <v>363</v>
      </c>
      <c r="G225" s="23" t="s">
        <v>374</v>
      </c>
      <c r="K225" s="23" t="s">
        <v>747</v>
      </c>
    </row>
    <row r="226" spans="1:11" s="23" customFormat="1" x14ac:dyDescent="0.75">
      <c r="A226" s="23" t="s">
        <v>69</v>
      </c>
      <c r="B226" s="24">
        <v>44659</v>
      </c>
      <c r="C226" s="23">
        <v>2</v>
      </c>
      <c r="D226" s="23" t="s">
        <v>191</v>
      </c>
      <c r="E226" s="52">
        <f>47-39</f>
        <v>8</v>
      </c>
      <c r="F226" s="23" t="s">
        <v>363</v>
      </c>
      <c r="G226" s="23" t="s">
        <v>367</v>
      </c>
    </row>
    <row r="227" spans="1:11" s="23" customFormat="1" x14ac:dyDescent="0.75">
      <c r="A227" s="23" t="s">
        <v>69</v>
      </c>
      <c r="B227" s="24">
        <v>44659</v>
      </c>
      <c r="C227" s="23">
        <v>2</v>
      </c>
      <c r="D227" s="23" t="s">
        <v>197</v>
      </c>
      <c r="E227" s="52">
        <f>39-38</f>
        <v>1</v>
      </c>
      <c r="F227" s="23" t="s">
        <v>363</v>
      </c>
      <c r="G227" s="23" t="s">
        <v>367</v>
      </c>
    </row>
    <row r="228" spans="1:11" s="23" customFormat="1" x14ac:dyDescent="0.75">
      <c r="A228" s="23" t="s">
        <v>69</v>
      </c>
      <c r="B228" s="24">
        <v>44659</v>
      </c>
      <c r="C228" s="23">
        <v>2</v>
      </c>
      <c r="D228" s="23" t="s">
        <v>201</v>
      </c>
      <c r="E228" s="52">
        <f>38-35</f>
        <v>3</v>
      </c>
      <c r="F228" s="23" t="s">
        <v>363</v>
      </c>
      <c r="G228" s="23" t="s">
        <v>367</v>
      </c>
    </row>
    <row r="229" spans="1:11" s="23" customFormat="1" x14ac:dyDescent="0.75">
      <c r="A229" s="23" t="s">
        <v>69</v>
      </c>
      <c r="B229" s="24">
        <v>44659</v>
      </c>
      <c r="C229" s="23">
        <v>2</v>
      </c>
      <c r="D229" s="23" t="s">
        <v>201</v>
      </c>
      <c r="E229" s="52">
        <f>35-30</f>
        <v>5</v>
      </c>
      <c r="F229" s="23" t="s">
        <v>363</v>
      </c>
      <c r="G229" s="23" t="s">
        <v>367</v>
      </c>
    </row>
    <row r="230" spans="1:11" s="23" customFormat="1" x14ac:dyDescent="0.75">
      <c r="A230" s="23" t="s">
        <v>69</v>
      </c>
      <c r="B230" s="24">
        <v>44659</v>
      </c>
      <c r="C230" s="23">
        <v>2</v>
      </c>
      <c r="D230" s="23" t="s">
        <v>201</v>
      </c>
      <c r="E230" s="52">
        <f>30-25</f>
        <v>5</v>
      </c>
      <c r="F230" s="23" t="s">
        <v>363</v>
      </c>
      <c r="G230" s="23" t="s">
        <v>367</v>
      </c>
    </row>
    <row r="231" spans="1:11" s="23" customFormat="1" x14ac:dyDescent="0.75">
      <c r="A231" s="23" t="s">
        <v>69</v>
      </c>
      <c r="B231" s="24">
        <v>44659</v>
      </c>
      <c r="C231" s="23">
        <v>2</v>
      </c>
      <c r="D231" s="23" t="s">
        <v>201</v>
      </c>
      <c r="E231" s="52">
        <f>25-22</f>
        <v>3</v>
      </c>
      <c r="F231" s="23" t="s">
        <v>363</v>
      </c>
      <c r="G231" s="23" t="s">
        <v>367</v>
      </c>
    </row>
    <row r="232" spans="1:11" s="23" customFormat="1" x14ac:dyDescent="0.75">
      <c r="A232" s="23" t="s">
        <v>69</v>
      </c>
      <c r="B232" s="24">
        <v>44659</v>
      </c>
      <c r="C232" s="23">
        <v>2</v>
      </c>
      <c r="D232" s="23" t="s">
        <v>168</v>
      </c>
      <c r="E232" s="52">
        <f>22-18</f>
        <v>4</v>
      </c>
      <c r="F232" s="23" t="s">
        <v>363</v>
      </c>
      <c r="G232" s="23" t="s">
        <v>367</v>
      </c>
    </row>
    <row r="233" spans="1:11" s="23" customFormat="1" x14ac:dyDescent="0.75">
      <c r="A233" s="23" t="s">
        <v>69</v>
      </c>
      <c r="B233" s="24">
        <v>44659</v>
      </c>
      <c r="C233" s="23">
        <v>2</v>
      </c>
      <c r="D233" s="23" t="s">
        <v>164</v>
      </c>
      <c r="E233" s="52">
        <f>18-2</f>
        <v>16</v>
      </c>
      <c r="F233" s="23" t="s">
        <v>363</v>
      </c>
      <c r="G233" s="23" t="s">
        <v>367</v>
      </c>
    </row>
    <row r="234" spans="1:11" s="23" customFormat="1" x14ac:dyDescent="0.75">
      <c r="A234" s="23" t="s">
        <v>69</v>
      </c>
      <c r="B234" s="24">
        <v>44659</v>
      </c>
      <c r="C234" s="23">
        <v>2</v>
      </c>
      <c r="D234" s="23" t="s">
        <v>191</v>
      </c>
      <c r="E234" s="52">
        <f>42-38</f>
        <v>4</v>
      </c>
      <c r="F234" s="23" t="s">
        <v>363</v>
      </c>
      <c r="G234" s="23" t="s">
        <v>367</v>
      </c>
    </row>
    <row r="235" spans="1:11" x14ac:dyDescent="0.75">
      <c r="A235" t="s">
        <v>23</v>
      </c>
      <c r="B235" s="3">
        <v>44663</v>
      </c>
      <c r="C235">
        <v>1</v>
      </c>
      <c r="D235" t="s">
        <v>197</v>
      </c>
      <c r="E235" s="22">
        <f>40-36</f>
        <v>4</v>
      </c>
      <c r="F235" t="s">
        <v>363</v>
      </c>
      <c r="G235" t="s">
        <v>733</v>
      </c>
    </row>
    <row r="236" spans="1:11" x14ac:dyDescent="0.75">
      <c r="A236" t="s">
        <v>23</v>
      </c>
      <c r="B236" s="3">
        <v>44663</v>
      </c>
      <c r="C236">
        <v>1</v>
      </c>
      <c r="D236" t="s">
        <v>197</v>
      </c>
      <c r="E236" s="22">
        <f>36-27</f>
        <v>9</v>
      </c>
      <c r="F236" t="s">
        <v>363</v>
      </c>
      <c r="G236" t="s">
        <v>733</v>
      </c>
    </row>
    <row r="237" spans="1:11" x14ac:dyDescent="0.75">
      <c r="A237" t="s">
        <v>23</v>
      </c>
      <c r="B237" s="3">
        <v>44663</v>
      </c>
      <c r="C237">
        <v>1</v>
      </c>
      <c r="D237" t="s">
        <v>197</v>
      </c>
      <c r="E237" s="22">
        <f>27-15</f>
        <v>12</v>
      </c>
      <c r="F237" t="s">
        <v>363</v>
      </c>
      <c r="G237" t="s">
        <v>733</v>
      </c>
    </row>
    <row r="238" spans="1:11" x14ac:dyDescent="0.75">
      <c r="A238" t="s">
        <v>23</v>
      </c>
      <c r="B238" s="3">
        <v>44663</v>
      </c>
      <c r="C238">
        <v>1</v>
      </c>
      <c r="D238" t="s">
        <v>197</v>
      </c>
      <c r="E238" s="22">
        <f>15+41-16</f>
        <v>40</v>
      </c>
      <c r="F238" t="s">
        <v>363</v>
      </c>
      <c r="G238" t="s">
        <v>733</v>
      </c>
    </row>
    <row r="239" spans="1:11" x14ac:dyDescent="0.75">
      <c r="A239" t="s">
        <v>23</v>
      </c>
      <c r="B239" s="3">
        <v>44663</v>
      </c>
      <c r="C239">
        <v>1</v>
      </c>
      <c r="D239" t="s">
        <v>194</v>
      </c>
      <c r="E239" s="22">
        <f>37-15+10</f>
        <v>32</v>
      </c>
      <c r="F239" t="s">
        <v>363</v>
      </c>
      <c r="G239" t="s">
        <v>361</v>
      </c>
      <c r="K239" t="s">
        <v>749</v>
      </c>
    </row>
    <row r="240" spans="1:11" x14ac:dyDescent="0.75">
      <c r="A240" t="s">
        <v>23</v>
      </c>
      <c r="B240" s="3">
        <v>44663</v>
      </c>
      <c r="C240">
        <v>1</v>
      </c>
      <c r="D240" t="s">
        <v>194</v>
      </c>
      <c r="E240" s="22">
        <f>16-12</f>
        <v>4</v>
      </c>
      <c r="F240" t="s">
        <v>363</v>
      </c>
      <c r="G240" t="s">
        <v>361</v>
      </c>
    </row>
    <row r="241" spans="1:11" x14ac:dyDescent="0.75">
      <c r="A241" t="s">
        <v>23</v>
      </c>
      <c r="B241" s="3">
        <v>44663</v>
      </c>
      <c r="C241">
        <v>1</v>
      </c>
      <c r="D241" t="s">
        <v>197</v>
      </c>
      <c r="E241" s="22">
        <f>12-5</f>
        <v>7</v>
      </c>
      <c r="F241" t="s">
        <v>363</v>
      </c>
      <c r="G241" t="s">
        <v>361</v>
      </c>
    </row>
    <row r="242" spans="1:11" x14ac:dyDescent="0.75">
      <c r="A242" t="s">
        <v>23</v>
      </c>
      <c r="B242" s="3">
        <v>44663</v>
      </c>
      <c r="C242">
        <v>1</v>
      </c>
      <c r="D242" t="s">
        <v>215</v>
      </c>
      <c r="E242" s="22" t="s">
        <v>363</v>
      </c>
      <c r="F242" t="s">
        <v>363</v>
      </c>
      <c r="G242" t="s">
        <v>374</v>
      </c>
      <c r="K242" t="s">
        <v>750</v>
      </c>
    </row>
    <row r="243" spans="1:11" x14ac:dyDescent="0.75">
      <c r="A243" t="s">
        <v>23</v>
      </c>
      <c r="B243" s="3">
        <v>44663</v>
      </c>
      <c r="C243">
        <v>1</v>
      </c>
      <c r="D243" t="s">
        <v>201</v>
      </c>
      <c r="E243" s="22">
        <f>38-34</f>
        <v>4</v>
      </c>
      <c r="F243" t="s">
        <v>363</v>
      </c>
      <c r="G243" t="s">
        <v>374</v>
      </c>
    </row>
    <row r="244" spans="1:11" x14ac:dyDescent="0.75">
      <c r="A244" t="s">
        <v>23</v>
      </c>
      <c r="B244" s="3">
        <v>44663</v>
      </c>
      <c r="C244">
        <v>1</v>
      </c>
      <c r="D244" t="s">
        <v>197</v>
      </c>
      <c r="E244" s="22">
        <f>34-29</f>
        <v>5</v>
      </c>
      <c r="F244" t="s">
        <v>363</v>
      </c>
      <c r="G244" t="s">
        <v>374</v>
      </c>
    </row>
    <row r="245" spans="1:11" x14ac:dyDescent="0.75">
      <c r="A245" t="s">
        <v>23</v>
      </c>
      <c r="B245" s="3">
        <v>44663</v>
      </c>
      <c r="C245">
        <v>1</v>
      </c>
      <c r="D245" t="s">
        <v>197</v>
      </c>
      <c r="E245" s="22">
        <f>29-14</f>
        <v>15</v>
      </c>
      <c r="F245" t="s">
        <v>363</v>
      </c>
      <c r="G245" t="s">
        <v>374</v>
      </c>
    </row>
    <row r="246" spans="1:11" x14ac:dyDescent="0.75">
      <c r="A246" t="s">
        <v>23</v>
      </c>
      <c r="B246" s="3">
        <v>44663</v>
      </c>
      <c r="C246">
        <v>1</v>
      </c>
      <c r="D246" t="s">
        <v>194</v>
      </c>
      <c r="E246" s="22">
        <f>37-29</f>
        <v>8</v>
      </c>
      <c r="F246" t="s">
        <v>363</v>
      </c>
      <c r="G246" t="s">
        <v>367</v>
      </c>
    </row>
    <row r="247" spans="1:11" x14ac:dyDescent="0.75">
      <c r="A247" t="s">
        <v>23</v>
      </c>
      <c r="B247" s="3">
        <v>44663</v>
      </c>
      <c r="C247">
        <v>1</v>
      </c>
      <c r="D247" t="s">
        <v>197</v>
      </c>
      <c r="E247" s="22">
        <f>29-25</f>
        <v>4</v>
      </c>
      <c r="F247" t="s">
        <v>363</v>
      </c>
      <c r="G247" t="s">
        <v>367</v>
      </c>
    </row>
    <row r="248" spans="1:11" x14ac:dyDescent="0.75">
      <c r="A248" t="s">
        <v>23</v>
      </c>
      <c r="B248" s="3">
        <v>44663</v>
      </c>
      <c r="C248">
        <v>1</v>
      </c>
      <c r="D248" t="s">
        <v>197</v>
      </c>
      <c r="E248" s="22">
        <f>25-15</f>
        <v>10</v>
      </c>
      <c r="F248" t="s">
        <v>363</v>
      </c>
      <c r="G248" t="s">
        <v>367</v>
      </c>
    </row>
    <row r="249" spans="1:11" x14ac:dyDescent="0.75">
      <c r="A249" t="s">
        <v>23</v>
      </c>
      <c r="B249" s="3">
        <v>44663</v>
      </c>
      <c r="C249">
        <v>1</v>
      </c>
      <c r="D249" t="s">
        <v>201</v>
      </c>
      <c r="E249" s="22">
        <f>15-10</f>
        <v>5</v>
      </c>
      <c r="F249" t="s">
        <v>363</v>
      </c>
      <c r="G249" t="s">
        <v>367</v>
      </c>
      <c r="K249" t="s">
        <v>751</v>
      </c>
    </row>
    <row r="250" spans="1:11" x14ac:dyDescent="0.75">
      <c r="A250" t="s">
        <v>23</v>
      </c>
      <c r="B250" s="3">
        <v>44663</v>
      </c>
      <c r="C250">
        <v>1</v>
      </c>
      <c r="D250" t="s">
        <v>201</v>
      </c>
      <c r="E250" s="22">
        <f>10-2</f>
        <v>8</v>
      </c>
      <c r="F250" t="s">
        <v>363</v>
      </c>
      <c r="G250" t="s">
        <v>367</v>
      </c>
      <c r="K250" t="s">
        <v>751</v>
      </c>
    </row>
    <row r="251" spans="1:11" s="23" customFormat="1" x14ac:dyDescent="0.75">
      <c r="A251" s="23" t="s">
        <v>23</v>
      </c>
      <c r="B251" s="24">
        <v>44663</v>
      </c>
      <c r="C251" s="23">
        <v>2</v>
      </c>
      <c r="D251" s="23" t="s">
        <v>197</v>
      </c>
      <c r="E251" s="52">
        <f>32-17</f>
        <v>15</v>
      </c>
      <c r="F251" s="23" t="s">
        <v>363</v>
      </c>
      <c r="G251" s="23" t="s">
        <v>733</v>
      </c>
      <c r="K251" s="23" t="s">
        <v>752</v>
      </c>
    </row>
    <row r="252" spans="1:11" s="23" customFormat="1" x14ac:dyDescent="0.75">
      <c r="A252" s="23" t="s">
        <v>23</v>
      </c>
      <c r="B252" s="24">
        <v>44663</v>
      </c>
      <c r="C252" s="23">
        <v>2</v>
      </c>
      <c r="D252" s="23" t="s">
        <v>197</v>
      </c>
      <c r="E252" s="52">
        <f>25-14</f>
        <v>11</v>
      </c>
      <c r="F252" s="23" t="s">
        <v>363</v>
      </c>
      <c r="G252" s="23" t="s">
        <v>361</v>
      </c>
    </row>
    <row r="253" spans="1:11" s="23" customFormat="1" x14ac:dyDescent="0.75">
      <c r="A253" s="23" t="s">
        <v>23</v>
      </c>
      <c r="B253" s="24">
        <v>44663</v>
      </c>
      <c r="C253" s="23">
        <v>2</v>
      </c>
      <c r="D253" s="23" t="s">
        <v>187</v>
      </c>
      <c r="E253" s="52">
        <f>40-35</f>
        <v>5</v>
      </c>
      <c r="F253" s="23" t="s">
        <v>363</v>
      </c>
      <c r="G253" s="23" t="s">
        <v>374</v>
      </c>
    </row>
    <row r="254" spans="1:11" s="23" customFormat="1" x14ac:dyDescent="0.75">
      <c r="A254" s="23" t="s">
        <v>23</v>
      </c>
      <c r="B254" s="24">
        <v>44663</v>
      </c>
      <c r="C254" s="23">
        <v>2</v>
      </c>
      <c r="D254" s="23" t="s">
        <v>197</v>
      </c>
      <c r="E254" s="52">
        <f>35-32</f>
        <v>3</v>
      </c>
      <c r="F254" s="23" t="s">
        <v>363</v>
      </c>
      <c r="G254" s="23" t="s">
        <v>374</v>
      </c>
      <c r="K254" s="23" t="s">
        <v>753</v>
      </c>
    </row>
    <row r="255" spans="1:11" s="23" customFormat="1" x14ac:dyDescent="0.75">
      <c r="A255" s="23" t="s">
        <v>23</v>
      </c>
      <c r="B255" s="24">
        <v>44663</v>
      </c>
      <c r="C255" s="23">
        <v>2</v>
      </c>
      <c r="D255" s="23" t="s">
        <v>153</v>
      </c>
      <c r="E255" s="52">
        <f>32-31</f>
        <v>1</v>
      </c>
      <c r="F255" s="23" t="s">
        <v>363</v>
      </c>
      <c r="G255" s="23" t="s">
        <v>374</v>
      </c>
    </row>
    <row r="256" spans="1:11" s="23" customFormat="1" x14ac:dyDescent="0.75">
      <c r="A256" s="23" t="s">
        <v>23</v>
      </c>
      <c r="B256" s="24">
        <v>44663</v>
      </c>
      <c r="C256" s="23">
        <v>2</v>
      </c>
      <c r="D256" s="23" t="s">
        <v>194</v>
      </c>
      <c r="E256" s="52">
        <f>31-20</f>
        <v>11</v>
      </c>
      <c r="F256" s="23" t="s">
        <v>363</v>
      </c>
      <c r="G256" s="23" t="s">
        <v>374</v>
      </c>
    </row>
    <row r="257" spans="1:11" s="23" customFormat="1" x14ac:dyDescent="0.75">
      <c r="A257" s="23" t="s">
        <v>23</v>
      </c>
      <c r="B257" s="24">
        <v>44663</v>
      </c>
      <c r="C257" s="23">
        <v>2</v>
      </c>
      <c r="D257" s="23" t="s">
        <v>201</v>
      </c>
      <c r="E257" s="52">
        <f>20-12</f>
        <v>8</v>
      </c>
      <c r="F257" s="23" t="s">
        <v>363</v>
      </c>
      <c r="G257" s="23" t="s">
        <v>374</v>
      </c>
    </row>
    <row r="258" spans="1:11" s="23" customFormat="1" x14ac:dyDescent="0.75">
      <c r="A258" s="23" t="s">
        <v>23</v>
      </c>
      <c r="B258" s="24">
        <v>44663</v>
      </c>
      <c r="C258" s="23">
        <v>2</v>
      </c>
      <c r="D258" s="23" t="s">
        <v>201</v>
      </c>
      <c r="E258" s="52">
        <f>10+33-18</f>
        <v>25</v>
      </c>
      <c r="F258" s="23" t="s">
        <v>363</v>
      </c>
      <c r="G258" s="23" t="s">
        <v>374</v>
      </c>
    </row>
    <row r="259" spans="1:11" s="23" customFormat="1" x14ac:dyDescent="0.75">
      <c r="A259" s="23" t="s">
        <v>23</v>
      </c>
      <c r="B259" s="24">
        <v>44663</v>
      </c>
      <c r="C259" s="23">
        <v>2</v>
      </c>
      <c r="D259" s="23" t="s">
        <v>197</v>
      </c>
      <c r="E259" s="52">
        <f>14-8</f>
        <v>6</v>
      </c>
      <c r="F259" s="23" t="s">
        <v>363</v>
      </c>
      <c r="G259" s="23" t="s">
        <v>367</v>
      </c>
    </row>
    <row r="260" spans="1:11" s="23" customFormat="1" x14ac:dyDescent="0.75">
      <c r="A260" s="23" t="s">
        <v>23</v>
      </c>
      <c r="B260" s="24">
        <v>44663</v>
      </c>
      <c r="C260" s="23">
        <v>2</v>
      </c>
      <c r="D260" s="23" t="s">
        <v>201</v>
      </c>
      <c r="E260" s="52">
        <f>8+49-33</f>
        <v>24</v>
      </c>
      <c r="F260" s="23" t="s">
        <v>363</v>
      </c>
      <c r="G260" s="23" t="s">
        <v>367</v>
      </c>
    </row>
    <row r="261" spans="1:11" x14ac:dyDescent="0.75">
      <c r="A261" t="s">
        <v>44</v>
      </c>
      <c r="B261" s="3">
        <v>44664</v>
      </c>
      <c r="C261">
        <v>1</v>
      </c>
      <c r="D261" t="s">
        <v>201</v>
      </c>
      <c r="E261" s="22">
        <f>18-6</f>
        <v>12</v>
      </c>
      <c r="F261" t="s">
        <v>363</v>
      </c>
      <c r="G261" t="s">
        <v>361</v>
      </c>
    </row>
    <row r="262" spans="1:11" x14ac:dyDescent="0.75">
      <c r="A262" t="s">
        <v>44</v>
      </c>
      <c r="B262" s="3">
        <v>44664</v>
      </c>
      <c r="C262">
        <v>1</v>
      </c>
      <c r="D262" t="s">
        <v>201</v>
      </c>
      <c r="E262" s="22">
        <f>6+7+15</f>
        <v>28</v>
      </c>
      <c r="F262" t="s">
        <v>363</v>
      </c>
      <c r="G262" t="s">
        <v>361</v>
      </c>
      <c r="K262" t="s">
        <v>754</v>
      </c>
    </row>
    <row r="263" spans="1:11" x14ac:dyDescent="0.75">
      <c r="A263" t="s">
        <v>44</v>
      </c>
      <c r="B263" s="3">
        <v>44664</v>
      </c>
      <c r="C263">
        <v>1</v>
      </c>
      <c r="D263" t="s">
        <v>194</v>
      </c>
      <c r="E263" s="22" t="s">
        <v>363</v>
      </c>
      <c r="F263" t="s">
        <v>363</v>
      </c>
      <c r="G263" t="s">
        <v>374</v>
      </c>
    </row>
    <row r="264" spans="1:11" x14ac:dyDescent="0.75">
      <c r="A264" t="s">
        <v>44</v>
      </c>
      <c r="B264" s="3">
        <v>44664</v>
      </c>
      <c r="C264">
        <v>1</v>
      </c>
      <c r="D264" t="s">
        <v>201</v>
      </c>
      <c r="E264" s="22">
        <f>30-18</f>
        <v>12</v>
      </c>
      <c r="F264" t="s">
        <v>363</v>
      </c>
      <c r="G264" t="s">
        <v>374</v>
      </c>
      <c r="K264" t="s">
        <v>752</v>
      </c>
    </row>
    <row r="265" spans="1:11" x14ac:dyDescent="0.75">
      <c r="A265" t="s">
        <v>44</v>
      </c>
      <c r="B265" s="3">
        <v>44664</v>
      </c>
      <c r="C265">
        <v>1</v>
      </c>
      <c r="D265" t="s">
        <v>164</v>
      </c>
      <c r="E265" s="22">
        <f>18-16</f>
        <v>2</v>
      </c>
      <c r="F265" t="s">
        <v>363</v>
      </c>
      <c r="G265" t="s">
        <v>374</v>
      </c>
    </row>
    <row r="266" spans="1:11" x14ac:dyDescent="0.75">
      <c r="A266" t="s">
        <v>44</v>
      </c>
      <c r="B266" s="3">
        <v>44664</v>
      </c>
      <c r="C266">
        <v>1</v>
      </c>
      <c r="D266" t="s">
        <v>201</v>
      </c>
      <c r="E266" s="22">
        <f>20</f>
        <v>20</v>
      </c>
      <c r="F266" t="s">
        <v>363</v>
      </c>
      <c r="G266" t="s">
        <v>374</v>
      </c>
    </row>
    <row r="267" spans="1:11" x14ac:dyDescent="0.75">
      <c r="A267" t="s">
        <v>44</v>
      </c>
      <c r="B267" s="3">
        <v>44664</v>
      </c>
      <c r="C267">
        <v>1</v>
      </c>
      <c r="D267" t="s">
        <v>201</v>
      </c>
      <c r="E267" s="22">
        <f>16-12</f>
        <v>4</v>
      </c>
      <c r="F267" t="s">
        <v>363</v>
      </c>
      <c r="G267" t="s">
        <v>374</v>
      </c>
      <c r="K267" t="s">
        <v>752</v>
      </c>
    </row>
    <row r="268" spans="1:11" s="23" customFormat="1" x14ac:dyDescent="0.75">
      <c r="A268" s="23" t="s">
        <v>60</v>
      </c>
      <c r="B268" s="24">
        <v>44664</v>
      </c>
      <c r="C268" s="23">
        <v>1</v>
      </c>
      <c r="D268" s="23" t="s">
        <v>191</v>
      </c>
      <c r="E268" s="52">
        <f>14-11</f>
        <v>3</v>
      </c>
      <c r="F268" s="23" t="s">
        <v>363</v>
      </c>
      <c r="G268" s="23" t="s">
        <v>733</v>
      </c>
    </row>
    <row r="269" spans="1:11" s="23" customFormat="1" x14ac:dyDescent="0.75">
      <c r="A269" s="23" t="s">
        <v>60</v>
      </c>
      <c r="B269" s="24">
        <v>44664</v>
      </c>
      <c r="C269" s="23">
        <v>1</v>
      </c>
      <c r="D269" s="23" t="s">
        <v>201</v>
      </c>
      <c r="E269" s="52">
        <f>11+33-25</f>
        <v>19</v>
      </c>
      <c r="F269" s="23" t="s">
        <v>363</v>
      </c>
      <c r="G269" s="23" t="s">
        <v>733</v>
      </c>
    </row>
    <row r="270" spans="1:11" s="23" customFormat="1" x14ac:dyDescent="0.75">
      <c r="A270" s="23" t="s">
        <v>60</v>
      </c>
      <c r="B270" s="24">
        <v>44664</v>
      </c>
      <c r="C270" s="23">
        <v>1</v>
      </c>
      <c r="D270" s="23" t="s">
        <v>153</v>
      </c>
      <c r="E270" s="52">
        <f>36-22</f>
        <v>14</v>
      </c>
      <c r="F270" s="23" t="s">
        <v>363</v>
      </c>
      <c r="G270" s="23" t="s">
        <v>733</v>
      </c>
    </row>
    <row r="271" spans="1:11" s="23" customFormat="1" x14ac:dyDescent="0.75">
      <c r="A271" s="23" t="s">
        <v>60</v>
      </c>
      <c r="B271" s="24">
        <v>44664</v>
      </c>
      <c r="C271" s="23">
        <v>1</v>
      </c>
      <c r="D271" s="23" t="s">
        <v>199</v>
      </c>
      <c r="E271" s="52">
        <f>32-15</f>
        <v>17</v>
      </c>
      <c r="F271" s="23" t="s">
        <v>363</v>
      </c>
      <c r="G271" s="23" t="s">
        <v>733</v>
      </c>
    </row>
    <row r="272" spans="1:11" s="23" customFormat="1" x14ac:dyDescent="0.75">
      <c r="A272" s="23" t="s">
        <v>60</v>
      </c>
      <c r="B272" s="24">
        <v>44664</v>
      </c>
      <c r="C272" s="23">
        <v>1</v>
      </c>
      <c r="D272" s="23" t="s">
        <v>201</v>
      </c>
      <c r="E272" s="52">
        <f>15-1</f>
        <v>14</v>
      </c>
      <c r="F272" s="23" t="s">
        <v>363</v>
      </c>
      <c r="G272" s="23" t="s">
        <v>733</v>
      </c>
    </row>
    <row r="273" spans="1:11" s="23" customFormat="1" x14ac:dyDescent="0.75">
      <c r="A273" s="23" t="s">
        <v>60</v>
      </c>
      <c r="B273" s="24">
        <v>44664</v>
      </c>
      <c r="C273" s="23">
        <v>1</v>
      </c>
      <c r="D273" s="23" t="s">
        <v>153</v>
      </c>
      <c r="E273" s="52">
        <v>1</v>
      </c>
      <c r="F273" s="23" t="s">
        <v>363</v>
      </c>
      <c r="G273" s="23" t="s">
        <v>733</v>
      </c>
    </row>
    <row r="274" spans="1:11" s="23" customFormat="1" x14ac:dyDescent="0.75">
      <c r="A274" s="23" t="s">
        <v>60</v>
      </c>
      <c r="B274" s="24">
        <v>44664</v>
      </c>
      <c r="C274" s="23">
        <v>1</v>
      </c>
      <c r="D274" s="23" t="s">
        <v>215</v>
      </c>
      <c r="E274" s="52">
        <v>1</v>
      </c>
      <c r="F274" s="23" t="s">
        <v>363</v>
      </c>
      <c r="G274" s="23" t="s">
        <v>733</v>
      </c>
    </row>
    <row r="275" spans="1:11" s="23" customFormat="1" x14ac:dyDescent="0.75">
      <c r="A275" s="23" t="s">
        <v>60</v>
      </c>
      <c r="B275" s="24">
        <v>44664</v>
      </c>
      <c r="C275" s="23">
        <v>1</v>
      </c>
      <c r="D275" s="23" t="s">
        <v>194</v>
      </c>
      <c r="E275" s="52">
        <f>26</f>
        <v>26</v>
      </c>
      <c r="F275" s="23" t="s">
        <v>363</v>
      </c>
      <c r="G275" s="23" t="s">
        <v>361</v>
      </c>
      <c r="K275" s="23" t="s">
        <v>755</v>
      </c>
    </row>
    <row r="276" spans="1:11" s="23" customFormat="1" x14ac:dyDescent="0.75">
      <c r="A276" s="23" t="s">
        <v>60</v>
      </c>
      <c r="B276" s="24">
        <v>44664</v>
      </c>
      <c r="C276" s="23">
        <v>1</v>
      </c>
      <c r="D276" s="23" t="s">
        <v>194</v>
      </c>
      <c r="E276" s="52">
        <f>12</f>
        <v>12</v>
      </c>
      <c r="F276" s="23" t="s">
        <v>363</v>
      </c>
      <c r="G276" s="23" t="s">
        <v>361</v>
      </c>
      <c r="K276" s="23" t="s">
        <v>755</v>
      </c>
    </row>
    <row r="277" spans="1:11" s="23" customFormat="1" x14ac:dyDescent="0.75">
      <c r="A277" s="23" t="s">
        <v>60</v>
      </c>
      <c r="B277" s="24">
        <v>44664</v>
      </c>
      <c r="C277" s="23">
        <v>1</v>
      </c>
      <c r="D277" s="23" t="s">
        <v>197</v>
      </c>
      <c r="E277" s="52">
        <f>21-6</f>
        <v>15</v>
      </c>
      <c r="F277" s="23" t="s">
        <v>363</v>
      </c>
      <c r="G277" s="23" t="s">
        <v>361</v>
      </c>
      <c r="K277" s="23" t="s">
        <v>755</v>
      </c>
    </row>
    <row r="278" spans="1:11" s="23" customFormat="1" x14ac:dyDescent="0.75">
      <c r="A278" s="23" t="s">
        <v>60</v>
      </c>
      <c r="B278" s="24">
        <v>44664</v>
      </c>
      <c r="C278" s="23">
        <v>1</v>
      </c>
      <c r="D278" s="23" t="s">
        <v>197</v>
      </c>
      <c r="E278" s="52">
        <f>2+25-10</f>
        <v>17</v>
      </c>
      <c r="F278" s="23" t="s">
        <v>363</v>
      </c>
      <c r="G278" s="23" t="s">
        <v>361</v>
      </c>
      <c r="K278" s="23" t="s">
        <v>755</v>
      </c>
    </row>
    <row r="279" spans="1:11" s="23" customFormat="1" x14ac:dyDescent="0.75">
      <c r="A279" s="23" t="s">
        <v>60</v>
      </c>
      <c r="B279" s="24">
        <v>44664</v>
      </c>
      <c r="C279" s="23">
        <v>1</v>
      </c>
      <c r="D279" s="23" t="s">
        <v>194</v>
      </c>
      <c r="E279" s="52">
        <f>46-22</f>
        <v>24</v>
      </c>
      <c r="F279" s="23" t="s">
        <v>363</v>
      </c>
      <c r="G279" s="23" t="s">
        <v>374</v>
      </c>
      <c r="I279" s="23" t="s">
        <v>733</v>
      </c>
      <c r="J279" s="24">
        <v>44704</v>
      </c>
      <c r="K279" s="23" t="s">
        <v>374</v>
      </c>
    </row>
    <row r="280" spans="1:11" s="23" customFormat="1" x14ac:dyDescent="0.75">
      <c r="A280" s="23" t="s">
        <v>60</v>
      </c>
      <c r="B280" s="24">
        <v>44664</v>
      </c>
      <c r="C280" s="23">
        <v>1</v>
      </c>
      <c r="D280" s="23" t="s">
        <v>197</v>
      </c>
      <c r="E280" s="52">
        <f>22-2</f>
        <v>20</v>
      </c>
      <c r="F280" s="23" t="s">
        <v>363</v>
      </c>
      <c r="G280" s="23" t="s">
        <v>374</v>
      </c>
      <c r="I280" s="23" t="s">
        <v>733</v>
      </c>
      <c r="J280" s="24">
        <v>44704</v>
      </c>
      <c r="K280" s="23" t="s">
        <v>756</v>
      </c>
    </row>
    <row r="281" spans="1:11" s="23" customFormat="1" x14ac:dyDescent="0.75">
      <c r="A281" s="23" t="s">
        <v>60</v>
      </c>
      <c r="B281" s="24">
        <v>44664</v>
      </c>
      <c r="C281" s="23">
        <v>1</v>
      </c>
      <c r="D281" s="23" t="s">
        <v>191</v>
      </c>
      <c r="E281" s="52">
        <f>16-10</f>
        <v>6</v>
      </c>
      <c r="F281" s="23" t="s">
        <v>363</v>
      </c>
      <c r="G281" s="23" t="s">
        <v>374</v>
      </c>
      <c r="I281" s="23" t="s">
        <v>733</v>
      </c>
      <c r="J281" s="24">
        <v>44704</v>
      </c>
      <c r="K281" s="23" t="s">
        <v>374</v>
      </c>
    </row>
    <row r="282" spans="1:11" s="23" customFormat="1" x14ac:dyDescent="0.75">
      <c r="A282" s="23" t="s">
        <v>60</v>
      </c>
      <c r="B282" s="24">
        <v>44664</v>
      </c>
      <c r="C282" s="23">
        <v>1</v>
      </c>
      <c r="D282" s="23" t="s">
        <v>191</v>
      </c>
      <c r="E282" s="52">
        <f>10-4</f>
        <v>6</v>
      </c>
      <c r="F282" s="23" t="s">
        <v>363</v>
      </c>
      <c r="G282" s="23" t="s">
        <v>374</v>
      </c>
      <c r="I282" s="23" t="s">
        <v>733</v>
      </c>
      <c r="J282" s="24">
        <v>44704</v>
      </c>
      <c r="K282" s="23" t="s">
        <v>374</v>
      </c>
    </row>
    <row r="283" spans="1:11" s="23" customFormat="1" x14ac:dyDescent="0.75">
      <c r="A283" s="23" t="s">
        <v>60</v>
      </c>
      <c r="B283" s="24">
        <v>44664</v>
      </c>
      <c r="C283" s="23">
        <v>1</v>
      </c>
      <c r="D283" s="23" t="s">
        <v>191</v>
      </c>
      <c r="E283" s="52">
        <f>4-3</f>
        <v>1</v>
      </c>
      <c r="F283" s="23" t="s">
        <v>363</v>
      </c>
      <c r="G283" s="23" t="s">
        <v>374</v>
      </c>
      <c r="I283" s="23" t="s">
        <v>733</v>
      </c>
      <c r="J283" s="24">
        <v>44704</v>
      </c>
      <c r="K283" s="23" t="s">
        <v>374</v>
      </c>
    </row>
    <row r="284" spans="1:11" s="23" customFormat="1" x14ac:dyDescent="0.75">
      <c r="A284" s="23" t="s">
        <v>60</v>
      </c>
      <c r="B284" s="24">
        <v>44664</v>
      </c>
      <c r="C284" s="23">
        <v>1</v>
      </c>
      <c r="D284" s="23" t="s">
        <v>197</v>
      </c>
      <c r="E284" s="52">
        <f>3+36-33</f>
        <v>6</v>
      </c>
      <c r="F284" s="23" t="s">
        <v>363</v>
      </c>
      <c r="G284" s="23" t="s">
        <v>374</v>
      </c>
      <c r="I284" s="23" t="s">
        <v>733</v>
      </c>
      <c r="J284" s="24">
        <v>44704</v>
      </c>
      <c r="K284" s="23" t="s">
        <v>757</v>
      </c>
    </row>
    <row r="285" spans="1:11" s="23" customFormat="1" x14ac:dyDescent="0.75">
      <c r="A285" s="23" t="s">
        <v>60</v>
      </c>
      <c r="B285" s="24">
        <v>44664</v>
      </c>
      <c r="C285" s="23">
        <v>1</v>
      </c>
      <c r="D285" s="23" t="s">
        <v>205</v>
      </c>
      <c r="E285" s="52">
        <f>33-25</f>
        <v>8</v>
      </c>
      <c r="F285" s="23" t="s">
        <v>363</v>
      </c>
      <c r="G285" s="23" t="s">
        <v>374</v>
      </c>
      <c r="I285" s="23" t="s">
        <v>733</v>
      </c>
      <c r="J285" s="24">
        <v>44704</v>
      </c>
      <c r="K285" s="23" t="s">
        <v>758</v>
      </c>
    </row>
    <row r="286" spans="1:11" x14ac:dyDescent="0.75">
      <c r="A286" t="s">
        <v>56</v>
      </c>
      <c r="B286" s="3">
        <v>44664</v>
      </c>
      <c r="C286">
        <v>1</v>
      </c>
      <c r="D286" t="s">
        <v>176</v>
      </c>
      <c r="E286" s="22">
        <f>42-40</f>
        <v>2</v>
      </c>
      <c r="F286" t="s">
        <v>363</v>
      </c>
      <c r="G286" t="s">
        <v>733</v>
      </c>
    </row>
    <row r="287" spans="1:11" x14ac:dyDescent="0.75">
      <c r="A287" t="s">
        <v>56</v>
      </c>
      <c r="B287" s="3">
        <v>44664</v>
      </c>
      <c r="C287">
        <v>1</v>
      </c>
      <c r="D287" t="s">
        <v>164</v>
      </c>
      <c r="E287" s="22">
        <f>40-39</f>
        <v>1</v>
      </c>
      <c r="F287" t="s">
        <v>363</v>
      </c>
      <c r="G287" t="s">
        <v>733</v>
      </c>
      <c r="K287" t="s">
        <v>752</v>
      </c>
    </row>
    <row r="288" spans="1:11" x14ac:dyDescent="0.75">
      <c r="A288" t="s">
        <v>56</v>
      </c>
      <c r="B288" s="3">
        <v>44664</v>
      </c>
      <c r="C288">
        <v>1</v>
      </c>
      <c r="D288" t="s">
        <v>197</v>
      </c>
      <c r="E288" s="22">
        <f>39-30</f>
        <v>9</v>
      </c>
      <c r="F288" t="s">
        <v>363</v>
      </c>
      <c r="G288" t="s">
        <v>733</v>
      </c>
    </row>
    <row r="289" spans="1:11" x14ac:dyDescent="0.75">
      <c r="A289" t="s">
        <v>56</v>
      </c>
      <c r="B289" s="3">
        <v>44664</v>
      </c>
      <c r="C289">
        <v>1</v>
      </c>
      <c r="D289" t="s">
        <v>164</v>
      </c>
      <c r="E289" s="22">
        <f>30-8</f>
        <v>22</v>
      </c>
      <c r="F289" t="s">
        <v>363</v>
      </c>
      <c r="G289" t="s">
        <v>733</v>
      </c>
      <c r="K289" t="s">
        <v>752</v>
      </c>
    </row>
    <row r="290" spans="1:11" x14ac:dyDescent="0.75">
      <c r="A290" t="s">
        <v>56</v>
      </c>
      <c r="B290" s="3">
        <v>44664</v>
      </c>
      <c r="C290">
        <v>1</v>
      </c>
      <c r="D290" t="s">
        <v>219</v>
      </c>
      <c r="E290" s="22" t="s">
        <v>363</v>
      </c>
      <c r="F290" t="s">
        <v>363</v>
      </c>
      <c r="G290" t="s">
        <v>374</v>
      </c>
      <c r="K290" t="s">
        <v>759</v>
      </c>
    </row>
    <row r="291" spans="1:11" x14ac:dyDescent="0.75">
      <c r="A291" t="s">
        <v>56</v>
      </c>
      <c r="B291" s="3">
        <v>44664</v>
      </c>
      <c r="C291">
        <v>1</v>
      </c>
      <c r="D291" t="s">
        <v>207</v>
      </c>
      <c r="E291" s="22" t="s">
        <v>363</v>
      </c>
      <c r="F291" t="s">
        <v>363</v>
      </c>
      <c r="G291" t="s">
        <v>374</v>
      </c>
      <c r="K291" t="s">
        <v>760</v>
      </c>
    </row>
    <row r="292" spans="1:11" s="23" customFormat="1" x14ac:dyDescent="0.75">
      <c r="A292" s="23" t="s">
        <v>48</v>
      </c>
      <c r="B292" s="24">
        <v>44670</v>
      </c>
      <c r="C292" s="23">
        <v>1</v>
      </c>
      <c r="D292" s="23" t="s">
        <v>197</v>
      </c>
      <c r="E292" s="52">
        <f>45-40</f>
        <v>5</v>
      </c>
      <c r="F292" s="23" t="s">
        <v>363</v>
      </c>
      <c r="G292" s="23" t="s">
        <v>367</v>
      </c>
    </row>
    <row r="293" spans="1:11" x14ac:dyDescent="0.75">
      <c r="A293" t="s">
        <v>39</v>
      </c>
      <c r="B293" s="3">
        <v>44670</v>
      </c>
      <c r="C293">
        <v>1</v>
      </c>
      <c r="D293" t="s">
        <v>172</v>
      </c>
      <c r="E293" s="22">
        <f>15-5</f>
        <v>10</v>
      </c>
      <c r="F293">
        <v>3881</v>
      </c>
      <c r="G293" t="s">
        <v>733</v>
      </c>
    </row>
    <row r="294" spans="1:11" x14ac:dyDescent="0.75">
      <c r="A294" t="s">
        <v>39</v>
      </c>
      <c r="B294" s="3">
        <v>44670</v>
      </c>
      <c r="C294">
        <v>1</v>
      </c>
      <c r="D294" t="s">
        <v>172</v>
      </c>
      <c r="E294" s="22">
        <f>34-15</f>
        <v>19</v>
      </c>
      <c r="F294">
        <v>3882</v>
      </c>
      <c r="G294" t="s">
        <v>733</v>
      </c>
    </row>
    <row r="295" spans="1:11" x14ac:dyDescent="0.75">
      <c r="A295" t="s">
        <v>39</v>
      </c>
      <c r="B295" s="3">
        <v>44670</v>
      </c>
      <c r="C295">
        <v>1</v>
      </c>
      <c r="D295" t="s">
        <v>201</v>
      </c>
      <c r="E295" s="22">
        <f>35-22</f>
        <v>13</v>
      </c>
      <c r="F295">
        <v>3883</v>
      </c>
      <c r="G295" t="s">
        <v>733</v>
      </c>
    </row>
    <row r="296" spans="1:11" x14ac:dyDescent="0.75">
      <c r="A296" t="s">
        <v>39</v>
      </c>
      <c r="B296" s="3">
        <v>44670</v>
      </c>
      <c r="C296">
        <v>1</v>
      </c>
      <c r="D296" t="s">
        <v>207</v>
      </c>
      <c r="E296" s="22">
        <f>40-35</f>
        <v>5</v>
      </c>
      <c r="F296" t="s">
        <v>363</v>
      </c>
      <c r="G296" t="s">
        <v>733</v>
      </c>
    </row>
    <row r="297" spans="1:11" x14ac:dyDescent="0.75">
      <c r="A297" t="s">
        <v>39</v>
      </c>
      <c r="B297" s="3">
        <v>44670</v>
      </c>
      <c r="C297">
        <v>1</v>
      </c>
      <c r="D297" t="s">
        <v>201</v>
      </c>
      <c r="E297" s="22">
        <f>22-19</f>
        <v>3</v>
      </c>
      <c r="F297" t="s">
        <v>363</v>
      </c>
      <c r="G297" t="s">
        <v>733</v>
      </c>
    </row>
    <row r="298" spans="1:11" x14ac:dyDescent="0.75">
      <c r="A298" t="s">
        <v>39</v>
      </c>
      <c r="B298" s="3">
        <v>44670</v>
      </c>
      <c r="C298">
        <v>1</v>
      </c>
      <c r="D298" t="s">
        <v>168</v>
      </c>
      <c r="E298" s="22">
        <f>43-38</f>
        <v>5</v>
      </c>
      <c r="F298" t="s">
        <v>363</v>
      </c>
      <c r="G298" t="s">
        <v>733</v>
      </c>
    </row>
    <row r="299" spans="1:11" x14ac:dyDescent="0.75">
      <c r="A299" t="s">
        <v>39</v>
      </c>
      <c r="B299" s="3">
        <v>44670</v>
      </c>
      <c r="C299">
        <v>1</v>
      </c>
      <c r="D299" t="s">
        <v>168</v>
      </c>
      <c r="E299" s="22">
        <f>38-35</f>
        <v>3</v>
      </c>
      <c r="F299" t="s">
        <v>363</v>
      </c>
      <c r="G299" t="s">
        <v>733</v>
      </c>
    </row>
    <row r="300" spans="1:11" x14ac:dyDescent="0.75">
      <c r="A300" t="s">
        <v>39</v>
      </c>
      <c r="B300" s="3">
        <v>44670</v>
      </c>
      <c r="C300">
        <v>1</v>
      </c>
      <c r="D300" t="s">
        <v>172</v>
      </c>
      <c r="E300" s="22">
        <f>35-34</f>
        <v>1</v>
      </c>
      <c r="F300" t="s">
        <v>363</v>
      </c>
      <c r="G300" t="s">
        <v>733</v>
      </c>
    </row>
    <row r="301" spans="1:11" x14ac:dyDescent="0.75">
      <c r="A301" t="s">
        <v>39</v>
      </c>
      <c r="B301" s="3">
        <v>44670</v>
      </c>
      <c r="C301">
        <v>1</v>
      </c>
      <c r="D301" t="s">
        <v>201</v>
      </c>
      <c r="E301" s="22">
        <f>5-4</f>
        <v>1</v>
      </c>
      <c r="F301" t="s">
        <v>363</v>
      </c>
      <c r="G301" t="s">
        <v>733</v>
      </c>
    </row>
    <row r="302" spans="1:11" x14ac:dyDescent="0.75">
      <c r="A302" t="s">
        <v>39</v>
      </c>
      <c r="B302" s="3">
        <v>44670</v>
      </c>
      <c r="C302">
        <v>1</v>
      </c>
      <c r="D302" t="s">
        <v>201</v>
      </c>
      <c r="E302" s="22">
        <f>18-12</f>
        <v>6</v>
      </c>
      <c r="F302" t="s">
        <v>363</v>
      </c>
      <c r="G302" t="s">
        <v>361</v>
      </c>
    </row>
    <row r="303" spans="1:11" x14ac:dyDescent="0.75">
      <c r="A303" t="s">
        <v>39</v>
      </c>
      <c r="B303" s="3">
        <v>44670</v>
      </c>
      <c r="C303">
        <v>1</v>
      </c>
      <c r="D303" t="s">
        <v>168</v>
      </c>
      <c r="E303" s="22" t="s">
        <v>363</v>
      </c>
      <c r="F303" t="s">
        <v>363</v>
      </c>
      <c r="G303" t="s">
        <v>361</v>
      </c>
      <c r="K303" t="s">
        <v>743</v>
      </c>
    </row>
    <row r="304" spans="1:11" x14ac:dyDescent="0.75">
      <c r="A304" t="s">
        <v>39</v>
      </c>
      <c r="B304" s="3">
        <v>44670</v>
      </c>
      <c r="C304">
        <v>1</v>
      </c>
      <c r="D304" t="s">
        <v>176</v>
      </c>
      <c r="E304" s="22">
        <f>48-34</f>
        <v>14</v>
      </c>
      <c r="F304" t="s">
        <v>363</v>
      </c>
      <c r="G304" t="s">
        <v>367</v>
      </c>
    </row>
    <row r="305" spans="1:11" x14ac:dyDescent="0.75">
      <c r="A305" t="s">
        <v>39</v>
      </c>
      <c r="B305" s="3">
        <v>44670</v>
      </c>
      <c r="C305">
        <v>1</v>
      </c>
      <c r="D305" t="s">
        <v>201</v>
      </c>
      <c r="E305" s="22">
        <f>34-30</f>
        <v>4</v>
      </c>
      <c r="F305" t="s">
        <v>363</v>
      </c>
      <c r="G305" t="s">
        <v>367</v>
      </c>
    </row>
    <row r="306" spans="1:11" x14ac:dyDescent="0.75">
      <c r="A306" t="s">
        <v>39</v>
      </c>
      <c r="B306" s="3">
        <v>44670</v>
      </c>
      <c r="C306">
        <v>1</v>
      </c>
      <c r="D306" t="s">
        <v>201</v>
      </c>
      <c r="E306" s="22">
        <f>30-24</f>
        <v>6</v>
      </c>
      <c r="F306" t="s">
        <v>363</v>
      </c>
      <c r="G306" t="s">
        <v>367</v>
      </c>
    </row>
    <row r="307" spans="1:11" x14ac:dyDescent="0.75">
      <c r="A307" t="s">
        <v>39</v>
      </c>
      <c r="B307" s="3">
        <v>44670</v>
      </c>
      <c r="C307">
        <v>1</v>
      </c>
      <c r="D307" t="s">
        <v>207</v>
      </c>
      <c r="E307" s="22">
        <f>24-13</f>
        <v>11</v>
      </c>
      <c r="F307" t="s">
        <v>363</v>
      </c>
      <c r="G307" t="s">
        <v>367</v>
      </c>
    </row>
    <row r="308" spans="1:11" x14ac:dyDescent="0.75">
      <c r="A308" t="s">
        <v>39</v>
      </c>
      <c r="B308" s="3">
        <v>44670</v>
      </c>
      <c r="C308">
        <v>1</v>
      </c>
      <c r="D308" t="s">
        <v>201</v>
      </c>
      <c r="E308" s="22">
        <f>13-8</f>
        <v>5</v>
      </c>
      <c r="F308" t="s">
        <v>363</v>
      </c>
      <c r="G308" t="s">
        <v>367</v>
      </c>
    </row>
    <row r="309" spans="1:11" x14ac:dyDescent="0.75">
      <c r="A309" t="s">
        <v>39</v>
      </c>
      <c r="B309" s="3">
        <v>44670</v>
      </c>
      <c r="C309">
        <v>1</v>
      </c>
      <c r="D309" t="s">
        <v>201</v>
      </c>
      <c r="E309" s="22">
        <f>8-6</f>
        <v>2</v>
      </c>
      <c r="F309" t="s">
        <v>363</v>
      </c>
      <c r="G309" t="s">
        <v>367</v>
      </c>
    </row>
    <row r="310" spans="1:11" x14ac:dyDescent="0.75">
      <c r="A310" t="s">
        <v>39</v>
      </c>
      <c r="B310" s="3">
        <v>44670</v>
      </c>
      <c r="C310">
        <v>1</v>
      </c>
      <c r="D310" t="s">
        <v>201</v>
      </c>
      <c r="E310" s="22">
        <f>6-4</f>
        <v>2</v>
      </c>
      <c r="F310" t="s">
        <v>363</v>
      </c>
      <c r="G310" t="s">
        <v>367</v>
      </c>
    </row>
    <row r="311" spans="1:11" x14ac:dyDescent="0.75">
      <c r="A311" t="s">
        <v>39</v>
      </c>
      <c r="B311" s="3">
        <v>44670</v>
      </c>
      <c r="C311">
        <v>1</v>
      </c>
      <c r="D311" t="s">
        <v>201</v>
      </c>
      <c r="E311" s="22">
        <v>4</v>
      </c>
      <c r="F311" t="s">
        <v>363</v>
      </c>
      <c r="G311" t="s">
        <v>367</v>
      </c>
    </row>
    <row r="312" spans="1:11" x14ac:dyDescent="0.75">
      <c r="A312" t="s">
        <v>39</v>
      </c>
      <c r="B312" s="3">
        <v>44670</v>
      </c>
      <c r="C312">
        <v>1</v>
      </c>
      <c r="D312" t="s">
        <v>201</v>
      </c>
      <c r="E312" s="22">
        <f>8-6</f>
        <v>2</v>
      </c>
      <c r="F312" t="s">
        <v>363</v>
      </c>
      <c r="G312" t="s">
        <v>367</v>
      </c>
    </row>
    <row r="313" spans="1:11" x14ac:dyDescent="0.75">
      <c r="A313" t="s">
        <v>39</v>
      </c>
      <c r="B313" s="3">
        <v>44670</v>
      </c>
      <c r="C313">
        <v>1</v>
      </c>
      <c r="D313" t="s">
        <v>201</v>
      </c>
      <c r="E313" s="22">
        <f>6-3</f>
        <v>3</v>
      </c>
      <c r="F313" t="s">
        <v>363</v>
      </c>
      <c r="G313" t="s">
        <v>367</v>
      </c>
    </row>
    <row r="314" spans="1:11" x14ac:dyDescent="0.75">
      <c r="A314" t="s">
        <v>39</v>
      </c>
      <c r="B314" s="3">
        <v>44670</v>
      </c>
      <c r="C314">
        <v>1</v>
      </c>
      <c r="D314" t="s">
        <v>201</v>
      </c>
      <c r="E314" s="22">
        <f>42-37</f>
        <v>5</v>
      </c>
      <c r="F314" t="s">
        <v>363</v>
      </c>
      <c r="G314" t="s">
        <v>367</v>
      </c>
    </row>
    <row r="315" spans="1:11" x14ac:dyDescent="0.75">
      <c r="A315" t="s">
        <v>39</v>
      </c>
      <c r="B315" s="3">
        <v>44670</v>
      </c>
      <c r="C315">
        <v>1</v>
      </c>
      <c r="D315" t="s">
        <v>176</v>
      </c>
      <c r="E315" s="22">
        <f>37-35</f>
        <v>2</v>
      </c>
      <c r="F315" t="s">
        <v>363</v>
      </c>
      <c r="G315" t="s">
        <v>367</v>
      </c>
    </row>
    <row r="316" spans="1:11" s="23" customFormat="1" x14ac:dyDescent="0.75">
      <c r="A316" s="23" t="s">
        <v>23</v>
      </c>
      <c r="B316" s="24">
        <v>44670</v>
      </c>
      <c r="C316" s="23">
        <v>1</v>
      </c>
      <c r="D316" s="23" t="s">
        <v>160</v>
      </c>
      <c r="E316" s="52">
        <f>39-18</f>
        <v>21</v>
      </c>
      <c r="F316" s="23">
        <v>3884</v>
      </c>
      <c r="G316" s="23" t="s">
        <v>733</v>
      </c>
    </row>
    <row r="317" spans="1:11" s="23" customFormat="1" x14ac:dyDescent="0.75">
      <c r="A317" s="23" t="s">
        <v>23</v>
      </c>
      <c r="B317" s="24">
        <v>44670</v>
      </c>
      <c r="C317" s="23">
        <v>1</v>
      </c>
      <c r="D317" s="23" t="s">
        <v>172</v>
      </c>
      <c r="E317" s="52">
        <f>18-14</f>
        <v>4</v>
      </c>
      <c r="F317" s="23" t="s">
        <v>363</v>
      </c>
      <c r="G317" s="23" t="s">
        <v>733</v>
      </c>
    </row>
    <row r="318" spans="1:11" s="23" customFormat="1" x14ac:dyDescent="0.75">
      <c r="A318" s="23" t="s">
        <v>23</v>
      </c>
      <c r="B318" s="24">
        <v>44670</v>
      </c>
      <c r="C318" s="23">
        <v>1</v>
      </c>
      <c r="D318" s="23" t="s">
        <v>168</v>
      </c>
      <c r="E318" s="52">
        <f>14-12</f>
        <v>2</v>
      </c>
      <c r="F318" s="23" t="s">
        <v>363</v>
      </c>
      <c r="G318" s="23" t="s">
        <v>733</v>
      </c>
    </row>
    <row r="319" spans="1:11" x14ac:dyDescent="0.75">
      <c r="A319" t="s">
        <v>23</v>
      </c>
      <c r="B319" s="3">
        <v>44670</v>
      </c>
      <c r="C319">
        <v>2</v>
      </c>
      <c r="D319" t="s">
        <v>194</v>
      </c>
      <c r="E319" s="22">
        <f>12-8</f>
        <v>4</v>
      </c>
      <c r="F319" t="s">
        <v>761</v>
      </c>
      <c r="G319" t="s">
        <v>733</v>
      </c>
    </row>
    <row r="320" spans="1:11" s="23" customFormat="1" x14ac:dyDescent="0.75">
      <c r="A320" s="23" t="s">
        <v>28</v>
      </c>
      <c r="B320" s="24">
        <v>44677</v>
      </c>
      <c r="C320" s="23">
        <v>1</v>
      </c>
      <c r="D320" s="23" t="s">
        <v>207</v>
      </c>
      <c r="E320" s="52" t="s">
        <v>363</v>
      </c>
      <c r="F320" s="23" t="s">
        <v>363</v>
      </c>
      <c r="G320" s="23" t="s">
        <v>361</v>
      </c>
      <c r="K320" s="23" t="s">
        <v>762</v>
      </c>
    </row>
    <row r="321" spans="1:7" s="23" customFormat="1" x14ac:dyDescent="0.75">
      <c r="A321" s="23" t="s">
        <v>28</v>
      </c>
      <c r="B321" s="24">
        <v>44677</v>
      </c>
      <c r="C321" s="23">
        <v>1</v>
      </c>
      <c r="D321" s="23" t="s">
        <v>197</v>
      </c>
      <c r="E321" s="52">
        <f>30-26</f>
        <v>4</v>
      </c>
      <c r="F321" s="23" t="s">
        <v>363</v>
      </c>
      <c r="G321" s="23" t="s">
        <v>361</v>
      </c>
    </row>
    <row r="322" spans="1:7" s="23" customFormat="1" x14ac:dyDescent="0.75">
      <c r="A322" s="23" t="s">
        <v>28</v>
      </c>
      <c r="B322" s="24">
        <v>44677</v>
      </c>
      <c r="C322" s="23">
        <v>1</v>
      </c>
      <c r="D322" s="23" t="s">
        <v>197</v>
      </c>
      <c r="E322" s="52">
        <f>26-22</f>
        <v>4</v>
      </c>
      <c r="F322" s="23" t="s">
        <v>363</v>
      </c>
      <c r="G322" s="23" t="s">
        <v>361</v>
      </c>
    </row>
    <row r="323" spans="1:7" s="23" customFormat="1" x14ac:dyDescent="0.75">
      <c r="A323" s="23" t="s">
        <v>28</v>
      </c>
      <c r="B323" s="24">
        <v>44677</v>
      </c>
      <c r="C323" s="23">
        <v>1</v>
      </c>
      <c r="D323" s="23" t="s">
        <v>191</v>
      </c>
      <c r="E323" s="52">
        <f>17-12</f>
        <v>5</v>
      </c>
      <c r="F323" s="23" t="s">
        <v>363</v>
      </c>
      <c r="G323" s="23" t="s">
        <v>361</v>
      </c>
    </row>
    <row r="324" spans="1:7" s="23" customFormat="1" x14ac:dyDescent="0.75">
      <c r="A324" s="23" t="s">
        <v>28</v>
      </c>
      <c r="B324" s="24">
        <v>44677</v>
      </c>
      <c r="C324" s="23">
        <v>1</v>
      </c>
      <c r="D324" s="23" t="s">
        <v>201</v>
      </c>
      <c r="E324" s="52">
        <f>12-4</f>
        <v>8</v>
      </c>
      <c r="F324" s="23" t="s">
        <v>363</v>
      </c>
      <c r="G324" s="23" t="s">
        <v>361</v>
      </c>
    </row>
    <row r="325" spans="1:7" s="23" customFormat="1" x14ac:dyDescent="0.75">
      <c r="A325" s="23" t="s">
        <v>28</v>
      </c>
      <c r="B325" s="24">
        <v>44677</v>
      </c>
      <c r="C325" s="23">
        <v>1</v>
      </c>
      <c r="D325" s="23" t="s">
        <v>197</v>
      </c>
      <c r="E325" s="52">
        <f>4+4-1</f>
        <v>7</v>
      </c>
      <c r="F325" s="23" t="s">
        <v>363</v>
      </c>
      <c r="G325" s="23" t="s">
        <v>361</v>
      </c>
    </row>
    <row r="326" spans="1:7" s="23" customFormat="1" x14ac:dyDescent="0.75">
      <c r="A326" s="23" t="s">
        <v>28</v>
      </c>
      <c r="B326" s="24">
        <v>44677</v>
      </c>
      <c r="C326" s="23">
        <v>1</v>
      </c>
      <c r="D326" s="23" t="s">
        <v>194</v>
      </c>
      <c r="E326" s="52">
        <f>31-22</f>
        <v>9</v>
      </c>
      <c r="F326" s="23" t="s">
        <v>363</v>
      </c>
      <c r="G326" s="23" t="s">
        <v>374</v>
      </c>
    </row>
    <row r="327" spans="1:7" s="23" customFormat="1" x14ac:dyDescent="0.75">
      <c r="A327" s="23" t="s">
        <v>28</v>
      </c>
      <c r="B327" s="24">
        <v>44677</v>
      </c>
      <c r="C327" s="23">
        <v>1</v>
      </c>
      <c r="D327" s="23" t="s">
        <v>207</v>
      </c>
      <c r="E327" s="52">
        <f>22-19</f>
        <v>3</v>
      </c>
      <c r="F327" s="23" t="s">
        <v>363</v>
      </c>
      <c r="G327" s="23" t="s">
        <v>374</v>
      </c>
    </row>
    <row r="328" spans="1:7" s="23" customFormat="1" x14ac:dyDescent="0.75">
      <c r="A328" s="23" t="s">
        <v>28</v>
      </c>
      <c r="B328" s="24">
        <v>44677</v>
      </c>
      <c r="C328" s="23">
        <v>1</v>
      </c>
      <c r="D328" s="23" t="s">
        <v>191</v>
      </c>
      <c r="E328" s="52">
        <f>19-15</f>
        <v>4</v>
      </c>
      <c r="F328" s="23" t="s">
        <v>363</v>
      </c>
      <c r="G328" s="23" t="s">
        <v>374</v>
      </c>
    </row>
    <row r="329" spans="1:7" s="23" customFormat="1" x14ac:dyDescent="0.75">
      <c r="A329" s="23" t="s">
        <v>28</v>
      </c>
      <c r="B329" s="24">
        <v>44677</v>
      </c>
      <c r="C329" s="23">
        <v>1</v>
      </c>
      <c r="D329" s="23" t="s">
        <v>194</v>
      </c>
      <c r="E329" s="52">
        <f>15-11</f>
        <v>4</v>
      </c>
      <c r="F329" s="23" t="s">
        <v>363</v>
      </c>
      <c r="G329" s="23" t="s">
        <v>374</v>
      </c>
    </row>
    <row r="330" spans="1:7" s="23" customFormat="1" x14ac:dyDescent="0.75">
      <c r="A330" s="23" t="s">
        <v>28</v>
      </c>
      <c r="B330" s="24">
        <v>44677</v>
      </c>
      <c r="C330" s="23">
        <v>1</v>
      </c>
      <c r="D330" s="23" t="s">
        <v>194</v>
      </c>
      <c r="E330" s="52">
        <f>11-5</f>
        <v>6</v>
      </c>
      <c r="F330" s="23" t="s">
        <v>363</v>
      </c>
      <c r="G330" s="23" t="s">
        <v>374</v>
      </c>
    </row>
    <row r="331" spans="1:7" s="23" customFormat="1" x14ac:dyDescent="0.75">
      <c r="A331" s="23" t="s">
        <v>28</v>
      </c>
      <c r="B331" s="24">
        <v>44677</v>
      </c>
      <c r="C331" s="23">
        <v>1</v>
      </c>
      <c r="D331" s="23" t="s">
        <v>197</v>
      </c>
      <c r="E331" s="52">
        <f>42-22</f>
        <v>20</v>
      </c>
      <c r="F331" s="23" t="s">
        <v>363</v>
      </c>
      <c r="G331" s="23" t="s">
        <v>374</v>
      </c>
    </row>
    <row r="332" spans="1:7" s="23" customFormat="1" x14ac:dyDescent="0.75">
      <c r="A332" s="23" t="s">
        <v>28</v>
      </c>
      <c r="B332" s="24">
        <v>44677</v>
      </c>
      <c r="C332" s="23">
        <v>1</v>
      </c>
      <c r="D332" s="23" t="s">
        <v>194</v>
      </c>
      <c r="E332" s="52">
        <f>22-17</f>
        <v>5</v>
      </c>
      <c r="F332" s="23" t="s">
        <v>363</v>
      </c>
      <c r="G332" s="23" t="s">
        <v>374</v>
      </c>
    </row>
    <row r="333" spans="1:7" s="23" customFormat="1" x14ac:dyDescent="0.75">
      <c r="A333" s="23" t="s">
        <v>28</v>
      </c>
      <c r="B333" s="24">
        <v>44677</v>
      </c>
      <c r="C333" s="23">
        <v>1</v>
      </c>
      <c r="D333" s="23" t="s">
        <v>197</v>
      </c>
      <c r="E333" s="52">
        <f>17-10</f>
        <v>7</v>
      </c>
      <c r="F333" s="23" t="s">
        <v>363</v>
      </c>
      <c r="G333" s="23" t="s">
        <v>374</v>
      </c>
    </row>
    <row r="334" spans="1:7" s="23" customFormat="1" x14ac:dyDescent="0.75">
      <c r="A334" s="23" t="s">
        <v>28</v>
      </c>
      <c r="B334" s="24">
        <v>44677</v>
      </c>
      <c r="C334" s="23">
        <v>1</v>
      </c>
      <c r="D334" s="23" t="s">
        <v>201</v>
      </c>
      <c r="E334" s="52">
        <f>6-2</f>
        <v>4</v>
      </c>
      <c r="F334" s="23" t="s">
        <v>363</v>
      </c>
      <c r="G334" s="23" t="s">
        <v>374</v>
      </c>
    </row>
    <row r="335" spans="1:7" s="23" customFormat="1" x14ac:dyDescent="0.75">
      <c r="A335" s="23" t="s">
        <v>28</v>
      </c>
      <c r="B335" s="24">
        <v>44677</v>
      </c>
      <c r="C335" s="23">
        <v>1</v>
      </c>
      <c r="D335" s="23" t="s">
        <v>197</v>
      </c>
      <c r="E335" s="52">
        <f>42-34</f>
        <v>8</v>
      </c>
      <c r="F335" s="23" t="s">
        <v>363</v>
      </c>
      <c r="G335" s="23" t="s">
        <v>367</v>
      </c>
    </row>
    <row r="336" spans="1:7" s="23" customFormat="1" x14ac:dyDescent="0.75">
      <c r="A336" s="23" t="s">
        <v>28</v>
      </c>
      <c r="B336" s="24">
        <v>44677</v>
      </c>
      <c r="C336" s="23">
        <v>1</v>
      </c>
      <c r="D336" s="23" t="s">
        <v>191</v>
      </c>
      <c r="E336" s="52">
        <f>34-30</f>
        <v>4</v>
      </c>
      <c r="F336" s="23" t="s">
        <v>363</v>
      </c>
      <c r="G336" s="23" t="s">
        <v>367</v>
      </c>
    </row>
    <row r="337" spans="1:7" s="23" customFormat="1" x14ac:dyDescent="0.75">
      <c r="A337" s="23" t="s">
        <v>28</v>
      </c>
      <c r="B337" s="24">
        <v>44677</v>
      </c>
      <c r="C337" s="23">
        <v>1</v>
      </c>
      <c r="D337" s="23" t="s">
        <v>197</v>
      </c>
      <c r="E337" s="52">
        <f>30-13</f>
        <v>17</v>
      </c>
      <c r="F337" s="23" t="s">
        <v>363</v>
      </c>
      <c r="G337" s="23" t="s">
        <v>367</v>
      </c>
    </row>
    <row r="338" spans="1:7" s="23" customFormat="1" x14ac:dyDescent="0.75">
      <c r="A338" s="23" t="s">
        <v>28</v>
      </c>
      <c r="B338" s="24">
        <v>44677</v>
      </c>
      <c r="C338" s="23">
        <v>1</v>
      </c>
      <c r="D338" s="23" t="s">
        <v>197</v>
      </c>
      <c r="E338" s="52">
        <f>13-12</f>
        <v>1</v>
      </c>
      <c r="F338" s="23" t="s">
        <v>363</v>
      </c>
      <c r="G338" s="23" t="s">
        <v>367</v>
      </c>
    </row>
    <row r="339" spans="1:7" x14ac:dyDescent="0.75">
      <c r="A339" t="s">
        <v>28</v>
      </c>
      <c r="B339" s="3">
        <v>44677</v>
      </c>
      <c r="C339">
        <v>2</v>
      </c>
      <c r="D339" t="s">
        <v>201</v>
      </c>
      <c r="E339" s="22">
        <f>43-39</f>
        <v>4</v>
      </c>
      <c r="F339" t="s">
        <v>363</v>
      </c>
      <c r="G339" t="s">
        <v>361</v>
      </c>
    </row>
    <row r="340" spans="1:7" x14ac:dyDescent="0.75">
      <c r="A340" t="s">
        <v>28</v>
      </c>
      <c r="B340" s="3">
        <v>44677</v>
      </c>
      <c r="C340">
        <v>2</v>
      </c>
      <c r="D340" t="s">
        <v>197</v>
      </c>
      <c r="E340" s="22">
        <f>39-32</f>
        <v>7</v>
      </c>
      <c r="F340" t="s">
        <v>363</v>
      </c>
      <c r="G340" t="s">
        <v>361</v>
      </c>
    </row>
    <row r="341" spans="1:7" x14ac:dyDescent="0.75">
      <c r="A341" t="s">
        <v>28</v>
      </c>
      <c r="B341" s="3">
        <v>44677</v>
      </c>
      <c r="C341">
        <v>2</v>
      </c>
      <c r="D341" t="s">
        <v>194</v>
      </c>
      <c r="E341" s="22">
        <f>32-23</f>
        <v>9</v>
      </c>
      <c r="F341" t="s">
        <v>363</v>
      </c>
      <c r="G341" t="s">
        <v>361</v>
      </c>
    </row>
    <row r="342" spans="1:7" x14ac:dyDescent="0.75">
      <c r="A342" t="s">
        <v>28</v>
      </c>
      <c r="B342" s="3">
        <v>44677</v>
      </c>
      <c r="C342">
        <v>2</v>
      </c>
      <c r="D342" t="s">
        <v>197</v>
      </c>
      <c r="E342" s="22">
        <f>23-21</f>
        <v>2</v>
      </c>
      <c r="F342" t="s">
        <v>363</v>
      </c>
      <c r="G342" t="s">
        <v>361</v>
      </c>
    </row>
    <row r="343" spans="1:7" x14ac:dyDescent="0.75">
      <c r="A343" t="s">
        <v>28</v>
      </c>
      <c r="B343" s="3">
        <v>44677</v>
      </c>
      <c r="C343">
        <v>2</v>
      </c>
      <c r="D343" t="s">
        <v>194</v>
      </c>
      <c r="E343" s="22">
        <f>45-37</f>
        <v>8</v>
      </c>
      <c r="F343" t="s">
        <v>363</v>
      </c>
      <c r="G343" t="s">
        <v>374</v>
      </c>
    </row>
    <row r="344" spans="1:7" x14ac:dyDescent="0.75">
      <c r="A344" t="s">
        <v>28</v>
      </c>
      <c r="B344" s="3">
        <v>44677</v>
      </c>
      <c r="C344">
        <v>2</v>
      </c>
      <c r="D344" t="s">
        <v>207</v>
      </c>
      <c r="E344" s="22">
        <f>37-35</f>
        <v>2</v>
      </c>
      <c r="F344" t="s">
        <v>363</v>
      </c>
      <c r="G344" t="s">
        <v>374</v>
      </c>
    </row>
    <row r="345" spans="1:7" x14ac:dyDescent="0.75">
      <c r="A345" t="s">
        <v>28</v>
      </c>
      <c r="B345" s="3">
        <v>44677</v>
      </c>
      <c r="C345">
        <v>2</v>
      </c>
      <c r="D345" t="s">
        <v>215</v>
      </c>
      <c r="E345" s="22">
        <f>35-31</f>
        <v>4</v>
      </c>
      <c r="F345" t="s">
        <v>363</v>
      </c>
      <c r="G345" t="s">
        <v>374</v>
      </c>
    </row>
    <row r="346" spans="1:7" x14ac:dyDescent="0.75">
      <c r="A346" t="s">
        <v>28</v>
      </c>
      <c r="B346" s="3">
        <v>44677</v>
      </c>
      <c r="C346">
        <v>2</v>
      </c>
      <c r="D346" t="s">
        <v>201</v>
      </c>
      <c r="E346" s="22">
        <f>31-17</f>
        <v>14</v>
      </c>
      <c r="F346" t="s">
        <v>363</v>
      </c>
      <c r="G346" t="s">
        <v>374</v>
      </c>
    </row>
    <row r="347" spans="1:7" x14ac:dyDescent="0.75">
      <c r="A347" t="s">
        <v>28</v>
      </c>
      <c r="B347" s="3">
        <v>44677</v>
      </c>
      <c r="C347">
        <v>2</v>
      </c>
      <c r="D347" t="s">
        <v>191</v>
      </c>
      <c r="E347" s="22">
        <f>17-15</f>
        <v>2</v>
      </c>
      <c r="F347" t="s">
        <v>363</v>
      </c>
      <c r="G347" t="s">
        <v>374</v>
      </c>
    </row>
    <row r="348" spans="1:7" x14ac:dyDescent="0.75">
      <c r="A348" t="s">
        <v>28</v>
      </c>
      <c r="B348" s="3">
        <v>44677</v>
      </c>
      <c r="C348">
        <v>2</v>
      </c>
      <c r="D348" t="s">
        <v>191</v>
      </c>
      <c r="E348" s="22">
        <f>15-10</f>
        <v>5</v>
      </c>
      <c r="F348" t="s">
        <v>363</v>
      </c>
      <c r="G348" t="s">
        <v>374</v>
      </c>
    </row>
    <row r="349" spans="1:7" x14ac:dyDescent="0.75">
      <c r="A349" t="s">
        <v>28</v>
      </c>
      <c r="B349" s="3">
        <v>44677</v>
      </c>
      <c r="C349">
        <v>2</v>
      </c>
      <c r="D349" t="s">
        <v>187</v>
      </c>
      <c r="E349" s="22">
        <f>40-13</f>
        <v>27</v>
      </c>
      <c r="F349" t="s">
        <v>363</v>
      </c>
      <c r="G349" t="s">
        <v>374</v>
      </c>
    </row>
    <row r="350" spans="1:7" x14ac:dyDescent="0.75">
      <c r="A350" t="s">
        <v>28</v>
      </c>
      <c r="B350" s="3">
        <v>44677</v>
      </c>
      <c r="C350">
        <v>2</v>
      </c>
      <c r="D350" t="s">
        <v>201</v>
      </c>
      <c r="E350" s="22">
        <f>44-35</f>
        <v>9</v>
      </c>
      <c r="F350" t="s">
        <v>363</v>
      </c>
      <c r="G350" t="s">
        <v>367</v>
      </c>
    </row>
    <row r="351" spans="1:7" x14ac:dyDescent="0.75">
      <c r="A351" t="s">
        <v>28</v>
      </c>
      <c r="B351" s="3">
        <v>44677</v>
      </c>
      <c r="C351">
        <v>2</v>
      </c>
      <c r="D351" t="s">
        <v>194</v>
      </c>
      <c r="E351" s="22">
        <f>35-32</f>
        <v>3</v>
      </c>
      <c r="F351" t="s">
        <v>363</v>
      </c>
      <c r="G351" t="s">
        <v>367</v>
      </c>
    </row>
    <row r="352" spans="1:7" x14ac:dyDescent="0.75">
      <c r="A352" t="s">
        <v>28</v>
      </c>
      <c r="B352" s="3">
        <v>44677</v>
      </c>
      <c r="C352">
        <v>2</v>
      </c>
      <c r="D352" t="s">
        <v>215</v>
      </c>
      <c r="E352" s="22">
        <f>32-31</f>
        <v>1</v>
      </c>
      <c r="F352" t="s">
        <v>363</v>
      </c>
      <c r="G352" t="s">
        <v>367</v>
      </c>
    </row>
    <row r="353" spans="1:11" x14ac:dyDescent="0.75">
      <c r="A353" t="s">
        <v>28</v>
      </c>
      <c r="B353" s="3">
        <v>44677</v>
      </c>
      <c r="C353">
        <v>2</v>
      </c>
      <c r="D353" t="s">
        <v>191</v>
      </c>
      <c r="E353" s="22">
        <f>31-30</f>
        <v>1</v>
      </c>
      <c r="F353" t="s">
        <v>363</v>
      </c>
      <c r="G353" t="s">
        <v>367</v>
      </c>
    </row>
    <row r="354" spans="1:11" s="23" customFormat="1" x14ac:dyDescent="0.75">
      <c r="A354" s="23" t="s">
        <v>28</v>
      </c>
      <c r="B354" s="24">
        <v>44677</v>
      </c>
      <c r="C354" s="23">
        <v>3</v>
      </c>
      <c r="D354" s="23" t="s">
        <v>197</v>
      </c>
      <c r="E354" s="52">
        <f>36-30</f>
        <v>6</v>
      </c>
      <c r="F354" s="23" t="s">
        <v>363</v>
      </c>
      <c r="G354" s="23" t="s">
        <v>361</v>
      </c>
    </row>
    <row r="355" spans="1:11" s="23" customFormat="1" x14ac:dyDescent="0.75">
      <c r="A355" s="23" t="s">
        <v>28</v>
      </c>
      <c r="B355" s="24">
        <v>44677</v>
      </c>
      <c r="C355" s="23">
        <v>3</v>
      </c>
      <c r="D355" s="23" t="s">
        <v>201</v>
      </c>
      <c r="E355" s="52">
        <f>30-19</f>
        <v>11</v>
      </c>
      <c r="F355" s="23" t="s">
        <v>363</v>
      </c>
      <c r="G355" s="23" t="s">
        <v>361</v>
      </c>
    </row>
    <row r="356" spans="1:11" s="23" customFormat="1" x14ac:dyDescent="0.75">
      <c r="A356" s="23" t="s">
        <v>28</v>
      </c>
      <c r="B356" s="24">
        <v>44677</v>
      </c>
      <c r="C356" s="23">
        <v>3</v>
      </c>
      <c r="D356" s="23" t="s">
        <v>197</v>
      </c>
      <c r="E356" s="52">
        <f>19-2</f>
        <v>17</v>
      </c>
      <c r="F356" s="23" t="s">
        <v>363</v>
      </c>
      <c r="G356" s="23" t="s">
        <v>361</v>
      </c>
    </row>
    <row r="357" spans="1:11" s="23" customFormat="1" x14ac:dyDescent="0.75">
      <c r="A357" s="23" t="s">
        <v>28</v>
      </c>
      <c r="B357" s="24">
        <v>44677</v>
      </c>
      <c r="C357" s="23">
        <v>3</v>
      </c>
      <c r="D357" s="23" t="s">
        <v>191</v>
      </c>
      <c r="E357" s="52">
        <f>42-37</f>
        <v>5</v>
      </c>
      <c r="F357" s="23" t="s">
        <v>363</v>
      </c>
      <c r="G357" s="23" t="s">
        <v>374</v>
      </c>
    </row>
    <row r="358" spans="1:11" s="23" customFormat="1" x14ac:dyDescent="0.75">
      <c r="A358" s="23" t="s">
        <v>28</v>
      </c>
      <c r="B358" s="24">
        <v>44677</v>
      </c>
      <c r="C358" s="23">
        <v>3</v>
      </c>
      <c r="D358" s="23" t="s">
        <v>191</v>
      </c>
      <c r="E358" s="52">
        <f>37-29</f>
        <v>8</v>
      </c>
      <c r="F358" s="23" t="s">
        <v>363</v>
      </c>
      <c r="G358" s="23" t="s">
        <v>374</v>
      </c>
    </row>
    <row r="359" spans="1:11" s="23" customFormat="1" x14ac:dyDescent="0.75">
      <c r="A359" s="23" t="s">
        <v>28</v>
      </c>
      <c r="B359" s="24">
        <v>44677</v>
      </c>
      <c r="C359" s="23">
        <v>3</v>
      </c>
      <c r="D359" s="23" t="s">
        <v>197</v>
      </c>
      <c r="E359" s="52">
        <f>29-20</f>
        <v>9</v>
      </c>
      <c r="F359" s="23" t="s">
        <v>363</v>
      </c>
      <c r="G359" s="23" t="s">
        <v>374</v>
      </c>
    </row>
    <row r="360" spans="1:11" s="23" customFormat="1" x14ac:dyDescent="0.75">
      <c r="A360" s="23" t="s">
        <v>28</v>
      </c>
      <c r="B360" s="24">
        <v>44677</v>
      </c>
      <c r="C360" s="23">
        <v>3</v>
      </c>
      <c r="D360" s="23" t="s">
        <v>197</v>
      </c>
      <c r="E360" s="52">
        <f>20-8</f>
        <v>12</v>
      </c>
      <c r="F360" s="23" t="s">
        <v>363</v>
      </c>
      <c r="G360" s="23" t="s">
        <v>374</v>
      </c>
    </row>
    <row r="361" spans="1:11" s="23" customFormat="1" x14ac:dyDescent="0.75">
      <c r="A361" s="23" t="s">
        <v>28</v>
      </c>
      <c r="B361" s="24">
        <v>44677</v>
      </c>
      <c r="C361" s="23">
        <v>3</v>
      </c>
      <c r="D361" s="23" t="s">
        <v>207</v>
      </c>
      <c r="E361" s="52" t="s">
        <v>363</v>
      </c>
      <c r="F361" s="23" t="s">
        <v>363</v>
      </c>
      <c r="G361" s="23" t="s">
        <v>374</v>
      </c>
      <c r="K361" s="23" t="s">
        <v>762</v>
      </c>
    </row>
    <row r="362" spans="1:11" s="23" customFormat="1" x14ac:dyDescent="0.75">
      <c r="A362" s="23" t="s">
        <v>28</v>
      </c>
      <c r="B362" s="24">
        <v>44677</v>
      </c>
      <c r="C362" s="23">
        <v>3</v>
      </c>
      <c r="D362" s="23" t="s">
        <v>191</v>
      </c>
      <c r="E362" s="52">
        <f>5-3</f>
        <v>2</v>
      </c>
      <c r="F362" s="23" t="s">
        <v>363</v>
      </c>
      <c r="G362" s="23" t="s">
        <v>374</v>
      </c>
    </row>
    <row r="363" spans="1:11" s="23" customFormat="1" x14ac:dyDescent="0.75">
      <c r="A363" s="23" t="s">
        <v>28</v>
      </c>
      <c r="B363" s="24">
        <v>44677</v>
      </c>
      <c r="C363" s="23">
        <v>3</v>
      </c>
      <c r="D363" s="23" t="s">
        <v>197</v>
      </c>
      <c r="E363" s="52">
        <f>3-2</f>
        <v>1</v>
      </c>
      <c r="F363" s="23" t="s">
        <v>363</v>
      </c>
      <c r="G363" s="23" t="s">
        <v>374</v>
      </c>
    </row>
    <row r="364" spans="1:11" s="23" customFormat="1" x14ac:dyDescent="0.75">
      <c r="A364" s="23" t="s">
        <v>28</v>
      </c>
      <c r="B364" s="24">
        <v>44677</v>
      </c>
      <c r="C364" s="23">
        <v>3</v>
      </c>
      <c r="D364" s="23" t="s">
        <v>160</v>
      </c>
      <c r="E364" s="52">
        <v>2</v>
      </c>
      <c r="F364" s="23" t="s">
        <v>363</v>
      </c>
      <c r="G364" s="23" t="s">
        <v>374</v>
      </c>
    </row>
    <row r="365" spans="1:11" s="23" customFormat="1" x14ac:dyDescent="0.75">
      <c r="A365" s="23" t="s">
        <v>28</v>
      </c>
      <c r="B365" s="24">
        <v>44677</v>
      </c>
      <c r="C365" s="23">
        <v>3</v>
      </c>
      <c r="D365" s="23" t="s">
        <v>207</v>
      </c>
      <c r="E365" s="52" t="s">
        <v>363</v>
      </c>
      <c r="F365" s="23" t="s">
        <v>363</v>
      </c>
      <c r="G365" s="23" t="s">
        <v>374</v>
      </c>
      <c r="K365" s="23" t="s">
        <v>762</v>
      </c>
    </row>
    <row r="366" spans="1:11" s="23" customFormat="1" x14ac:dyDescent="0.75">
      <c r="A366" s="23" t="s">
        <v>28</v>
      </c>
      <c r="B366" s="24">
        <v>44677</v>
      </c>
      <c r="C366" s="23">
        <v>3</v>
      </c>
      <c r="D366" s="23" t="s">
        <v>191</v>
      </c>
      <c r="E366" s="52" t="s">
        <v>363</v>
      </c>
      <c r="F366" s="23" t="s">
        <v>363</v>
      </c>
      <c r="G366" s="23" t="s">
        <v>374</v>
      </c>
      <c r="K366" s="23" t="s">
        <v>762</v>
      </c>
    </row>
    <row r="367" spans="1:11" s="23" customFormat="1" x14ac:dyDescent="0.75">
      <c r="A367" s="23" t="s">
        <v>28</v>
      </c>
      <c r="B367" s="24">
        <v>44677</v>
      </c>
      <c r="C367" s="23">
        <v>3</v>
      </c>
      <c r="D367" s="23" t="s">
        <v>191</v>
      </c>
      <c r="E367" s="52">
        <f>47-43</f>
        <v>4</v>
      </c>
      <c r="F367" s="23" t="s">
        <v>363</v>
      </c>
      <c r="G367" s="23" t="s">
        <v>374</v>
      </c>
    </row>
    <row r="368" spans="1:11" s="23" customFormat="1" x14ac:dyDescent="0.75">
      <c r="A368" s="23" t="s">
        <v>28</v>
      </c>
      <c r="B368" s="24">
        <v>44677</v>
      </c>
      <c r="C368" s="23">
        <v>3</v>
      </c>
      <c r="D368" s="23" t="s">
        <v>191</v>
      </c>
      <c r="E368" s="52">
        <f>43-41</f>
        <v>2</v>
      </c>
      <c r="F368" s="23" t="s">
        <v>363</v>
      </c>
      <c r="G368" s="23" t="s">
        <v>374</v>
      </c>
    </row>
    <row r="369" spans="1:11" s="23" customFormat="1" x14ac:dyDescent="0.75">
      <c r="A369" s="23" t="s">
        <v>28</v>
      </c>
      <c r="B369" s="24">
        <v>44677</v>
      </c>
      <c r="C369" s="23">
        <v>3</v>
      </c>
      <c r="D369" s="23" t="s">
        <v>191</v>
      </c>
      <c r="E369" s="52">
        <f>41-37</f>
        <v>4</v>
      </c>
      <c r="F369" s="23" t="s">
        <v>363</v>
      </c>
      <c r="G369" s="23" t="s">
        <v>374</v>
      </c>
    </row>
    <row r="370" spans="1:11" s="23" customFormat="1" x14ac:dyDescent="0.75">
      <c r="A370" s="23" t="s">
        <v>28</v>
      </c>
      <c r="B370" s="24">
        <v>44677</v>
      </c>
      <c r="C370" s="23">
        <v>3</v>
      </c>
      <c r="D370" s="23" t="s">
        <v>197</v>
      </c>
      <c r="E370" s="52">
        <f>34-27</f>
        <v>7</v>
      </c>
      <c r="F370" s="23" t="s">
        <v>363</v>
      </c>
      <c r="G370" s="23" t="s">
        <v>367</v>
      </c>
    </row>
    <row r="371" spans="1:11" x14ac:dyDescent="0.75">
      <c r="A371" t="s">
        <v>44</v>
      </c>
      <c r="B371" s="3">
        <v>44679</v>
      </c>
      <c r="C371">
        <v>1</v>
      </c>
      <c r="D371" t="s">
        <v>197</v>
      </c>
      <c r="E371" s="22">
        <f>43-29</f>
        <v>14</v>
      </c>
      <c r="F371" t="s">
        <v>363</v>
      </c>
      <c r="G371" t="s">
        <v>361</v>
      </c>
    </row>
    <row r="372" spans="1:11" x14ac:dyDescent="0.75">
      <c r="A372" t="s">
        <v>44</v>
      </c>
      <c r="B372" s="3">
        <v>44679</v>
      </c>
      <c r="C372">
        <v>1</v>
      </c>
      <c r="D372" t="s">
        <v>191</v>
      </c>
      <c r="E372" s="22">
        <f>29-18</f>
        <v>11</v>
      </c>
      <c r="F372" t="s">
        <v>363</v>
      </c>
      <c r="G372" t="s">
        <v>361</v>
      </c>
    </row>
    <row r="373" spans="1:11" x14ac:dyDescent="0.75">
      <c r="A373" t="s">
        <v>44</v>
      </c>
      <c r="B373" s="3">
        <v>44679</v>
      </c>
      <c r="C373">
        <v>1</v>
      </c>
      <c r="D373" t="s">
        <v>194</v>
      </c>
      <c r="E373" s="22">
        <f>18-12</f>
        <v>6</v>
      </c>
      <c r="F373" t="s">
        <v>363</v>
      </c>
      <c r="G373" t="s">
        <v>361</v>
      </c>
    </row>
    <row r="374" spans="1:11" x14ac:dyDescent="0.75">
      <c r="A374" t="s">
        <v>44</v>
      </c>
      <c r="B374" s="3">
        <v>44679</v>
      </c>
      <c r="C374">
        <v>1</v>
      </c>
      <c r="D374" t="s">
        <v>201</v>
      </c>
      <c r="E374" s="22">
        <f>12</f>
        <v>12</v>
      </c>
      <c r="F374" t="s">
        <v>363</v>
      </c>
      <c r="G374" t="s">
        <v>361</v>
      </c>
    </row>
    <row r="375" spans="1:11" x14ac:dyDescent="0.75">
      <c r="A375" t="s">
        <v>44</v>
      </c>
      <c r="B375" s="3">
        <v>44679</v>
      </c>
      <c r="C375">
        <v>1</v>
      </c>
      <c r="D375" t="s">
        <v>197</v>
      </c>
      <c r="E375" s="22">
        <f>47-42</f>
        <v>5</v>
      </c>
      <c r="F375" t="s">
        <v>363</v>
      </c>
      <c r="G375" t="s">
        <v>361</v>
      </c>
    </row>
    <row r="376" spans="1:11" x14ac:dyDescent="0.75">
      <c r="A376" t="s">
        <v>44</v>
      </c>
      <c r="B376" s="3">
        <v>44679</v>
      </c>
      <c r="C376">
        <v>1</v>
      </c>
      <c r="D376" t="s">
        <v>191</v>
      </c>
      <c r="E376" s="22">
        <f>35-26</f>
        <v>9</v>
      </c>
      <c r="F376" t="s">
        <v>363</v>
      </c>
      <c r="G376" t="s">
        <v>374</v>
      </c>
    </row>
    <row r="377" spans="1:11" x14ac:dyDescent="0.75">
      <c r="A377" t="s">
        <v>44</v>
      </c>
      <c r="B377" s="3">
        <v>44679</v>
      </c>
      <c r="C377">
        <v>1</v>
      </c>
      <c r="D377" t="s">
        <v>201</v>
      </c>
      <c r="E377" s="22">
        <f>25-18</f>
        <v>7</v>
      </c>
      <c r="F377" t="s">
        <v>363</v>
      </c>
      <c r="G377" t="s">
        <v>374</v>
      </c>
    </row>
    <row r="378" spans="1:11" x14ac:dyDescent="0.75">
      <c r="A378" t="s">
        <v>44</v>
      </c>
      <c r="B378" s="3">
        <v>44679</v>
      </c>
      <c r="C378">
        <v>1</v>
      </c>
      <c r="D378" t="s">
        <v>194</v>
      </c>
      <c r="E378" s="22" t="s">
        <v>363</v>
      </c>
      <c r="F378" t="s">
        <v>363</v>
      </c>
      <c r="G378" t="s">
        <v>374</v>
      </c>
      <c r="K378" t="s">
        <v>762</v>
      </c>
    </row>
    <row r="379" spans="1:11" x14ac:dyDescent="0.75">
      <c r="A379" t="s">
        <v>44</v>
      </c>
      <c r="B379" s="3">
        <v>44679</v>
      </c>
      <c r="C379">
        <v>1</v>
      </c>
      <c r="D379" t="s">
        <v>215</v>
      </c>
      <c r="E379" s="22">
        <f>50-43</f>
        <v>7</v>
      </c>
      <c r="F379" t="s">
        <v>363</v>
      </c>
      <c r="G379" t="s">
        <v>374</v>
      </c>
    </row>
    <row r="380" spans="1:11" x14ac:dyDescent="0.75">
      <c r="A380" t="s">
        <v>44</v>
      </c>
      <c r="B380" s="3">
        <v>44679</v>
      </c>
      <c r="C380">
        <v>1</v>
      </c>
      <c r="D380" t="s">
        <v>215</v>
      </c>
      <c r="E380" s="22">
        <f>50-43</f>
        <v>7</v>
      </c>
      <c r="F380" t="s">
        <v>363</v>
      </c>
      <c r="G380" t="s">
        <v>374</v>
      </c>
    </row>
    <row r="381" spans="1:11" x14ac:dyDescent="0.75">
      <c r="A381" t="s">
        <v>44</v>
      </c>
      <c r="B381" s="3">
        <v>44679</v>
      </c>
      <c r="C381">
        <v>1</v>
      </c>
      <c r="D381" t="s">
        <v>191</v>
      </c>
      <c r="E381" s="22">
        <f>43-35</f>
        <v>8</v>
      </c>
      <c r="F381" t="s">
        <v>363</v>
      </c>
      <c r="G381" t="s">
        <v>374</v>
      </c>
    </row>
    <row r="382" spans="1:11" x14ac:dyDescent="0.75">
      <c r="A382" t="s">
        <v>44</v>
      </c>
      <c r="B382" s="3">
        <v>44679</v>
      </c>
      <c r="C382">
        <v>1</v>
      </c>
      <c r="D382" t="s">
        <v>197</v>
      </c>
      <c r="E382" s="22">
        <f>35-15</f>
        <v>20</v>
      </c>
      <c r="F382" t="s">
        <v>363</v>
      </c>
      <c r="G382" t="s">
        <v>374</v>
      </c>
    </row>
    <row r="383" spans="1:11" x14ac:dyDescent="0.75">
      <c r="A383" t="s">
        <v>44</v>
      </c>
      <c r="B383" s="3">
        <v>44679</v>
      </c>
      <c r="C383">
        <v>1</v>
      </c>
      <c r="D383" t="s">
        <v>197</v>
      </c>
      <c r="E383" s="22">
        <f>15-12</f>
        <v>3</v>
      </c>
      <c r="F383" t="s">
        <v>363</v>
      </c>
      <c r="G383" t="s">
        <v>374</v>
      </c>
    </row>
    <row r="384" spans="1:11" x14ac:dyDescent="0.75">
      <c r="A384" t="s">
        <v>44</v>
      </c>
      <c r="B384" s="3">
        <v>44679</v>
      </c>
      <c r="C384">
        <v>1</v>
      </c>
      <c r="D384" t="s">
        <v>153</v>
      </c>
      <c r="E384" s="22">
        <f>12-8</f>
        <v>4</v>
      </c>
      <c r="F384" t="s">
        <v>363</v>
      </c>
      <c r="G384" t="s">
        <v>374</v>
      </c>
    </row>
    <row r="385" spans="1:11" x14ac:dyDescent="0.75">
      <c r="A385" t="s">
        <v>44</v>
      </c>
      <c r="B385" s="3">
        <v>44679</v>
      </c>
      <c r="C385">
        <v>1</v>
      </c>
      <c r="D385" t="s">
        <v>205</v>
      </c>
      <c r="E385" s="22">
        <f>8-4</f>
        <v>4</v>
      </c>
      <c r="F385" t="s">
        <v>363</v>
      </c>
      <c r="G385" t="s">
        <v>374</v>
      </c>
    </row>
    <row r="386" spans="1:11" x14ac:dyDescent="0.75">
      <c r="A386" t="s">
        <v>44</v>
      </c>
      <c r="B386" s="3">
        <v>44679</v>
      </c>
      <c r="C386">
        <v>1</v>
      </c>
      <c r="D386" t="s">
        <v>191</v>
      </c>
      <c r="E386" s="22">
        <f>4-2</f>
        <v>2</v>
      </c>
      <c r="F386" t="s">
        <v>363</v>
      </c>
      <c r="G386" t="s">
        <v>367</v>
      </c>
    </row>
    <row r="387" spans="1:11" x14ac:dyDescent="0.75">
      <c r="A387" t="s">
        <v>44</v>
      </c>
      <c r="B387" s="3">
        <v>44679</v>
      </c>
      <c r="C387">
        <v>1</v>
      </c>
      <c r="D387" t="s">
        <v>191</v>
      </c>
      <c r="E387" s="22">
        <f>40-36</f>
        <v>4</v>
      </c>
      <c r="F387" t="s">
        <v>363</v>
      </c>
      <c r="G387" t="s">
        <v>367</v>
      </c>
    </row>
    <row r="388" spans="1:11" x14ac:dyDescent="0.75">
      <c r="A388" t="s">
        <v>44</v>
      </c>
      <c r="B388" s="3">
        <v>44679</v>
      </c>
      <c r="C388">
        <v>1</v>
      </c>
      <c r="D388" t="s">
        <v>194</v>
      </c>
      <c r="E388" s="22">
        <f>36-23</f>
        <v>13</v>
      </c>
      <c r="F388" t="s">
        <v>363</v>
      </c>
      <c r="G388" t="s">
        <v>367</v>
      </c>
    </row>
    <row r="389" spans="1:11" x14ac:dyDescent="0.75">
      <c r="A389" t="s">
        <v>44</v>
      </c>
      <c r="B389" s="3">
        <v>44679</v>
      </c>
      <c r="C389">
        <v>1</v>
      </c>
      <c r="D389" t="s">
        <v>191</v>
      </c>
      <c r="E389" s="22">
        <f>23-22</f>
        <v>1</v>
      </c>
      <c r="F389" t="s">
        <v>363</v>
      </c>
      <c r="G389" t="s">
        <v>367</v>
      </c>
    </row>
    <row r="390" spans="1:11" x14ac:dyDescent="0.75">
      <c r="A390" t="s">
        <v>44</v>
      </c>
      <c r="B390" s="3">
        <v>44679</v>
      </c>
      <c r="C390">
        <v>1</v>
      </c>
      <c r="D390" t="s">
        <v>199</v>
      </c>
      <c r="E390" s="22">
        <v>1</v>
      </c>
      <c r="F390" t="s">
        <v>363</v>
      </c>
      <c r="G390" t="s">
        <v>367</v>
      </c>
      <c r="K390" t="s">
        <v>763</v>
      </c>
    </row>
    <row r="391" spans="1:11" x14ac:dyDescent="0.75">
      <c r="A391" t="s">
        <v>44</v>
      </c>
      <c r="B391" s="3">
        <v>44679</v>
      </c>
      <c r="C391">
        <v>1</v>
      </c>
      <c r="D391" t="s">
        <v>201</v>
      </c>
      <c r="E391" s="22">
        <f>22-18</f>
        <v>4</v>
      </c>
      <c r="F391" t="s">
        <v>363</v>
      </c>
      <c r="G391" t="s">
        <v>367</v>
      </c>
    </row>
    <row r="392" spans="1:11" x14ac:dyDescent="0.75">
      <c r="A392" t="s">
        <v>44</v>
      </c>
      <c r="B392" s="3">
        <v>44679</v>
      </c>
      <c r="C392">
        <v>1</v>
      </c>
      <c r="D392" t="s">
        <v>201</v>
      </c>
      <c r="E392" s="22">
        <f>18-9</f>
        <v>9</v>
      </c>
      <c r="F392" t="s">
        <v>363</v>
      </c>
      <c r="G392" t="s">
        <v>367</v>
      </c>
    </row>
    <row r="393" spans="1:11" s="23" customFormat="1" x14ac:dyDescent="0.75">
      <c r="A393" s="23" t="s">
        <v>48</v>
      </c>
      <c r="B393" s="24">
        <v>44679</v>
      </c>
      <c r="C393" s="23">
        <v>1</v>
      </c>
      <c r="D393" s="23" t="s">
        <v>191</v>
      </c>
      <c r="E393" s="52">
        <f>32-19</f>
        <v>13</v>
      </c>
      <c r="F393" s="23" t="s">
        <v>363</v>
      </c>
      <c r="G393" s="23" t="s">
        <v>361</v>
      </c>
    </row>
    <row r="394" spans="1:11" s="23" customFormat="1" x14ac:dyDescent="0.75">
      <c r="A394" s="23" t="s">
        <v>48</v>
      </c>
      <c r="B394" s="24">
        <v>44679</v>
      </c>
      <c r="C394" s="23">
        <v>1</v>
      </c>
      <c r="D394" s="23" t="s">
        <v>197</v>
      </c>
      <c r="E394" s="52" t="s">
        <v>363</v>
      </c>
      <c r="F394" s="23" t="s">
        <v>363</v>
      </c>
      <c r="G394" s="23" t="s">
        <v>361</v>
      </c>
      <c r="K394" s="23" t="s">
        <v>762</v>
      </c>
    </row>
    <row r="395" spans="1:11" s="23" customFormat="1" x14ac:dyDescent="0.75">
      <c r="A395" s="23" t="s">
        <v>48</v>
      </c>
      <c r="B395" s="24">
        <v>44679</v>
      </c>
      <c r="C395" s="23">
        <v>1</v>
      </c>
      <c r="D395" s="23" t="s">
        <v>197</v>
      </c>
      <c r="E395" s="52" t="s">
        <v>363</v>
      </c>
      <c r="F395" s="23" t="s">
        <v>363</v>
      </c>
      <c r="G395" s="23" t="s">
        <v>361</v>
      </c>
      <c r="K395" s="23" t="s">
        <v>762</v>
      </c>
    </row>
    <row r="396" spans="1:11" s="23" customFormat="1" x14ac:dyDescent="0.75">
      <c r="A396" s="23" t="s">
        <v>48</v>
      </c>
      <c r="B396" s="24">
        <v>44679</v>
      </c>
      <c r="C396" s="23">
        <v>1</v>
      </c>
      <c r="D396" s="23" t="s">
        <v>191</v>
      </c>
      <c r="E396" s="52">
        <f>49-33</f>
        <v>16</v>
      </c>
      <c r="F396" s="23" t="s">
        <v>363</v>
      </c>
      <c r="G396" s="23" t="s">
        <v>374</v>
      </c>
    </row>
    <row r="397" spans="1:11" s="23" customFormat="1" x14ac:dyDescent="0.75">
      <c r="A397" s="23" t="s">
        <v>48</v>
      </c>
      <c r="B397" s="24">
        <v>44679</v>
      </c>
      <c r="C397" s="23">
        <v>1</v>
      </c>
      <c r="D397" s="23" t="s">
        <v>197</v>
      </c>
      <c r="E397" s="52" t="s">
        <v>363</v>
      </c>
      <c r="F397" s="23" t="s">
        <v>363</v>
      </c>
      <c r="G397" s="23" t="s">
        <v>374</v>
      </c>
      <c r="K397" s="23" t="s">
        <v>764</v>
      </c>
    </row>
    <row r="398" spans="1:11" s="23" customFormat="1" x14ac:dyDescent="0.75">
      <c r="A398" s="23" t="s">
        <v>48</v>
      </c>
      <c r="B398" s="24">
        <v>44679</v>
      </c>
      <c r="C398" s="23">
        <v>1</v>
      </c>
      <c r="D398" s="23" t="s">
        <v>191</v>
      </c>
      <c r="E398" s="52">
        <f>8-2</f>
        <v>6</v>
      </c>
      <c r="F398" s="23" t="s">
        <v>363</v>
      </c>
      <c r="G398" s="23" t="s">
        <v>374</v>
      </c>
    </row>
    <row r="399" spans="1:11" s="23" customFormat="1" x14ac:dyDescent="0.75">
      <c r="A399" s="23" t="s">
        <v>48</v>
      </c>
      <c r="B399" s="24">
        <v>44679</v>
      </c>
      <c r="C399" s="23">
        <v>1</v>
      </c>
      <c r="D399" s="23" t="s">
        <v>191</v>
      </c>
      <c r="E399" s="52" t="s">
        <v>363</v>
      </c>
      <c r="F399" s="23" t="s">
        <v>363</v>
      </c>
      <c r="G399" s="23" t="s">
        <v>367</v>
      </c>
      <c r="K399" s="23" t="s">
        <v>762</v>
      </c>
    </row>
    <row r="400" spans="1:11" s="23" customFormat="1" x14ac:dyDescent="0.75">
      <c r="A400" s="23" t="s">
        <v>48</v>
      </c>
      <c r="B400" s="24">
        <v>44679</v>
      </c>
      <c r="C400" s="23">
        <v>1</v>
      </c>
      <c r="D400" s="23" t="s">
        <v>197</v>
      </c>
      <c r="E400" s="52" t="s">
        <v>363</v>
      </c>
      <c r="F400" s="23" t="s">
        <v>363</v>
      </c>
      <c r="G400" s="23" t="s">
        <v>367</v>
      </c>
      <c r="K400" s="23" t="s">
        <v>762</v>
      </c>
    </row>
    <row r="401" spans="1:11" s="23" customFormat="1" x14ac:dyDescent="0.75">
      <c r="A401" s="23" t="s">
        <v>48</v>
      </c>
      <c r="B401" s="24">
        <v>44679</v>
      </c>
      <c r="C401" s="23">
        <v>1</v>
      </c>
      <c r="D401" s="23" t="s">
        <v>197</v>
      </c>
      <c r="E401" s="52">
        <f>22-20</f>
        <v>2</v>
      </c>
      <c r="F401" s="23" t="s">
        <v>363</v>
      </c>
      <c r="G401" s="23" t="s">
        <v>367</v>
      </c>
    </row>
    <row r="402" spans="1:11" s="23" customFormat="1" x14ac:dyDescent="0.75">
      <c r="A402" s="23" t="s">
        <v>48</v>
      </c>
      <c r="B402" s="24">
        <v>44679</v>
      </c>
      <c r="C402" s="23">
        <v>1</v>
      </c>
      <c r="D402" s="23" t="s">
        <v>197</v>
      </c>
      <c r="E402" s="52">
        <f>20-15</f>
        <v>5</v>
      </c>
      <c r="F402" s="23" t="s">
        <v>363</v>
      </c>
      <c r="G402" s="23" t="s">
        <v>367</v>
      </c>
    </row>
    <row r="403" spans="1:11" s="23" customFormat="1" x14ac:dyDescent="0.75">
      <c r="A403" s="23" t="s">
        <v>48</v>
      </c>
      <c r="B403" s="24">
        <v>44679</v>
      </c>
      <c r="C403" s="23">
        <v>1</v>
      </c>
      <c r="D403" s="23" t="s">
        <v>207</v>
      </c>
      <c r="E403" s="52">
        <f>15-13</f>
        <v>2</v>
      </c>
      <c r="F403" s="23" t="s">
        <v>363</v>
      </c>
      <c r="G403" s="23" t="s">
        <v>367</v>
      </c>
    </row>
    <row r="404" spans="1:11" s="23" customFormat="1" x14ac:dyDescent="0.75">
      <c r="A404" s="23" t="s">
        <v>48</v>
      </c>
      <c r="B404" s="24">
        <v>44679</v>
      </c>
      <c r="C404" s="23">
        <v>1</v>
      </c>
      <c r="D404" s="23" t="s">
        <v>191</v>
      </c>
      <c r="E404" s="52" t="s">
        <v>363</v>
      </c>
      <c r="F404" s="23" t="s">
        <v>363</v>
      </c>
      <c r="G404" s="23" t="s">
        <v>367</v>
      </c>
      <c r="K404" s="23" t="s">
        <v>762</v>
      </c>
    </row>
    <row r="405" spans="1:11" s="23" customFormat="1" x14ac:dyDescent="0.75">
      <c r="A405" s="23" t="s">
        <v>48</v>
      </c>
      <c r="B405" s="24">
        <v>44679</v>
      </c>
      <c r="C405" s="23">
        <v>1</v>
      </c>
      <c r="D405" s="23" t="s">
        <v>191</v>
      </c>
      <c r="E405" s="52">
        <f>13-12</f>
        <v>1</v>
      </c>
      <c r="F405" s="23" t="s">
        <v>363</v>
      </c>
      <c r="G405" s="23" t="s">
        <v>367</v>
      </c>
    </row>
    <row r="406" spans="1:11" s="23" customFormat="1" x14ac:dyDescent="0.75">
      <c r="A406" s="23" t="s">
        <v>48</v>
      </c>
      <c r="B406" s="24">
        <v>44679</v>
      </c>
      <c r="C406" s="23">
        <v>1</v>
      </c>
      <c r="D406" s="23" t="s">
        <v>191</v>
      </c>
      <c r="E406" s="52">
        <f>12-10</f>
        <v>2</v>
      </c>
      <c r="F406" s="23" t="s">
        <v>363</v>
      </c>
      <c r="G406" s="23" t="s">
        <v>367</v>
      </c>
    </row>
    <row r="407" spans="1:11" s="23" customFormat="1" x14ac:dyDescent="0.75">
      <c r="A407" s="23" t="s">
        <v>48</v>
      </c>
      <c r="B407" s="24">
        <v>44679</v>
      </c>
      <c r="C407" s="23">
        <v>1</v>
      </c>
      <c r="D407" s="23" t="s">
        <v>191</v>
      </c>
      <c r="E407" s="52">
        <f>10-8</f>
        <v>2</v>
      </c>
      <c r="F407" s="23" t="s">
        <v>363</v>
      </c>
      <c r="G407" s="23" t="s">
        <v>367</v>
      </c>
    </row>
    <row r="408" spans="1:11" s="23" customFormat="1" x14ac:dyDescent="0.75">
      <c r="A408" s="23" t="s">
        <v>48</v>
      </c>
      <c r="B408" s="24">
        <v>44679</v>
      </c>
      <c r="C408" s="23">
        <v>1</v>
      </c>
      <c r="D408" s="23" t="s">
        <v>191</v>
      </c>
      <c r="E408" s="52">
        <v>8</v>
      </c>
      <c r="F408" s="23" t="s">
        <v>363</v>
      </c>
      <c r="G408" s="23" t="s">
        <v>367</v>
      </c>
    </row>
    <row r="409" spans="1:11" x14ac:dyDescent="0.75">
      <c r="A409" t="s">
        <v>39</v>
      </c>
      <c r="B409" s="3">
        <v>44694</v>
      </c>
      <c r="C409">
        <v>1</v>
      </c>
      <c r="D409" t="s">
        <v>201</v>
      </c>
      <c r="E409" s="22">
        <f>28-25</f>
        <v>3</v>
      </c>
      <c r="F409">
        <v>943</v>
      </c>
      <c r="G409" t="s">
        <v>733</v>
      </c>
    </row>
    <row r="410" spans="1:11" x14ac:dyDescent="0.75">
      <c r="A410" t="s">
        <v>39</v>
      </c>
      <c r="B410" s="3">
        <v>44694</v>
      </c>
      <c r="C410">
        <v>1</v>
      </c>
      <c r="D410" t="s">
        <v>201</v>
      </c>
      <c r="E410" s="22">
        <f>25+40-37</f>
        <v>28</v>
      </c>
      <c r="F410" t="s">
        <v>363</v>
      </c>
      <c r="G410" t="s">
        <v>733</v>
      </c>
    </row>
    <row r="411" spans="1:11" x14ac:dyDescent="0.75">
      <c r="A411" t="s">
        <v>39</v>
      </c>
      <c r="B411" s="3">
        <v>44694</v>
      </c>
      <c r="C411">
        <v>1</v>
      </c>
      <c r="D411" t="s">
        <v>172</v>
      </c>
      <c r="E411" s="22">
        <f>37-20</f>
        <v>17</v>
      </c>
      <c r="F411" t="s">
        <v>363</v>
      </c>
      <c r="G411" t="s">
        <v>733</v>
      </c>
    </row>
    <row r="412" spans="1:11" x14ac:dyDescent="0.75">
      <c r="A412" t="s">
        <v>39</v>
      </c>
      <c r="B412" s="3">
        <v>44694</v>
      </c>
      <c r="C412">
        <v>1</v>
      </c>
      <c r="D412" t="s">
        <v>168</v>
      </c>
      <c r="E412" s="22">
        <f>20-5</f>
        <v>15</v>
      </c>
      <c r="F412">
        <v>957</v>
      </c>
      <c r="G412" t="s">
        <v>733</v>
      </c>
    </row>
    <row r="413" spans="1:11" x14ac:dyDescent="0.75">
      <c r="A413" t="s">
        <v>39</v>
      </c>
      <c r="B413" s="3">
        <v>44694</v>
      </c>
      <c r="C413">
        <v>1</v>
      </c>
      <c r="D413" t="s">
        <v>201</v>
      </c>
      <c r="E413" s="22">
        <f>43-40</f>
        <v>3</v>
      </c>
      <c r="F413" t="s">
        <v>363</v>
      </c>
      <c r="G413" t="s">
        <v>367</v>
      </c>
    </row>
    <row r="414" spans="1:11" x14ac:dyDescent="0.75">
      <c r="A414" t="s">
        <v>39</v>
      </c>
      <c r="B414" s="3">
        <v>44694</v>
      </c>
      <c r="C414">
        <v>1</v>
      </c>
      <c r="D414" t="s">
        <v>172</v>
      </c>
      <c r="E414" s="22">
        <f>40-36</f>
        <v>4</v>
      </c>
      <c r="F414" t="s">
        <v>363</v>
      </c>
      <c r="G414" t="s">
        <v>367</v>
      </c>
    </row>
    <row r="415" spans="1:11" x14ac:dyDescent="0.75">
      <c r="A415" t="s">
        <v>39</v>
      </c>
      <c r="B415" s="3">
        <v>44694</v>
      </c>
      <c r="C415">
        <v>1</v>
      </c>
      <c r="D415" t="s">
        <v>201</v>
      </c>
      <c r="E415" s="22" t="s">
        <v>363</v>
      </c>
      <c r="F415" t="s">
        <v>363</v>
      </c>
      <c r="G415" t="s">
        <v>367</v>
      </c>
      <c r="K415" t="s">
        <v>765</v>
      </c>
    </row>
    <row r="416" spans="1:11" s="23" customFormat="1" x14ac:dyDescent="0.75">
      <c r="A416" s="23" t="s">
        <v>39</v>
      </c>
      <c r="B416" s="24">
        <v>44694</v>
      </c>
      <c r="C416" s="23">
        <v>2</v>
      </c>
      <c r="D416" s="23" t="s">
        <v>201</v>
      </c>
      <c r="E416" s="52">
        <f>5</f>
        <v>5</v>
      </c>
      <c r="F416" s="23" t="s">
        <v>363</v>
      </c>
      <c r="G416" s="23" t="s">
        <v>733</v>
      </c>
    </row>
    <row r="417" spans="1:11" s="23" customFormat="1" x14ac:dyDescent="0.75">
      <c r="A417" s="23" t="s">
        <v>39</v>
      </c>
      <c r="B417" s="24">
        <v>44694</v>
      </c>
      <c r="C417" s="23">
        <v>2</v>
      </c>
      <c r="D417" s="23" t="s">
        <v>201</v>
      </c>
      <c r="E417" s="52">
        <f>42-38</f>
        <v>4</v>
      </c>
      <c r="F417" s="23" t="s">
        <v>363</v>
      </c>
      <c r="G417" s="23" t="s">
        <v>733</v>
      </c>
    </row>
    <row r="418" spans="1:11" x14ac:dyDescent="0.75">
      <c r="A418" t="s">
        <v>23</v>
      </c>
      <c r="B418" s="3">
        <v>44694</v>
      </c>
      <c r="C418">
        <v>1</v>
      </c>
      <c r="D418" t="s">
        <v>197</v>
      </c>
      <c r="E418" s="22">
        <f>46-42</f>
        <v>4</v>
      </c>
      <c r="F418" t="s">
        <v>363</v>
      </c>
      <c r="G418" t="s">
        <v>733</v>
      </c>
    </row>
    <row r="419" spans="1:11" x14ac:dyDescent="0.75">
      <c r="A419" t="s">
        <v>23</v>
      </c>
      <c r="B419" s="3">
        <v>44694</v>
      </c>
      <c r="C419">
        <v>1</v>
      </c>
      <c r="D419" t="s">
        <v>194</v>
      </c>
      <c r="E419" s="22">
        <f>42-34</f>
        <v>8</v>
      </c>
      <c r="F419" t="s">
        <v>766</v>
      </c>
      <c r="G419" t="s">
        <v>733</v>
      </c>
    </row>
    <row r="420" spans="1:11" s="23" customFormat="1" x14ac:dyDescent="0.75">
      <c r="A420" s="23" t="s">
        <v>23</v>
      </c>
      <c r="B420" s="24">
        <v>44694</v>
      </c>
      <c r="C420" s="23">
        <v>2</v>
      </c>
      <c r="D420" s="23" t="s">
        <v>160</v>
      </c>
      <c r="E420" s="52">
        <f>40-33</f>
        <v>7</v>
      </c>
      <c r="F420" s="23">
        <v>3884</v>
      </c>
      <c r="G420" s="23" t="s">
        <v>733</v>
      </c>
    </row>
    <row r="421" spans="1:11" s="23" customFormat="1" x14ac:dyDescent="0.75">
      <c r="A421" s="23" t="s">
        <v>23</v>
      </c>
      <c r="B421" s="24">
        <v>44694</v>
      </c>
      <c r="C421" s="23">
        <v>2</v>
      </c>
      <c r="D421" s="23" t="s">
        <v>207</v>
      </c>
      <c r="E421" s="52">
        <f>33-21</f>
        <v>12</v>
      </c>
      <c r="F421" s="23" t="s">
        <v>363</v>
      </c>
      <c r="G421" s="23" t="s">
        <v>733</v>
      </c>
    </row>
    <row r="422" spans="1:11" s="23" customFormat="1" x14ac:dyDescent="0.75">
      <c r="A422" s="23" t="s">
        <v>23</v>
      </c>
      <c r="B422" s="24">
        <v>44694</v>
      </c>
      <c r="C422" s="23">
        <v>2</v>
      </c>
      <c r="D422" s="23" t="s">
        <v>197</v>
      </c>
      <c r="E422" s="52">
        <f>21+35-28</f>
        <v>28</v>
      </c>
      <c r="F422" s="23" t="s">
        <v>363</v>
      </c>
      <c r="G422" s="23" t="s">
        <v>733</v>
      </c>
    </row>
    <row r="423" spans="1:11" x14ac:dyDescent="0.75">
      <c r="A423" t="s">
        <v>28</v>
      </c>
      <c r="B423" s="3">
        <v>44698</v>
      </c>
      <c r="C423">
        <v>1</v>
      </c>
      <c r="D423" t="s">
        <v>160</v>
      </c>
      <c r="E423" s="22">
        <f>46-28</f>
        <v>18</v>
      </c>
      <c r="F423">
        <v>4190</v>
      </c>
      <c r="G423" t="s">
        <v>733</v>
      </c>
    </row>
    <row r="424" spans="1:11" x14ac:dyDescent="0.75">
      <c r="A424" t="s">
        <v>28</v>
      </c>
      <c r="B424" s="3">
        <v>44698</v>
      </c>
      <c r="C424">
        <v>1</v>
      </c>
      <c r="D424" t="s">
        <v>197</v>
      </c>
      <c r="E424" s="22">
        <f>28-27</f>
        <v>1</v>
      </c>
      <c r="F424" t="s">
        <v>363</v>
      </c>
      <c r="G424" t="s">
        <v>733</v>
      </c>
    </row>
    <row r="425" spans="1:11" x14ac:dyDescent="0.75">
      <c r="A425" t="s">
        <v>28</v>
      </c>
      <c r="B425" s="3">
        <v>44698</v>
      </c>
      <c r="C425">
        <v>1</v>
      </c>
      <c r="D425" t="s">
        <v>201</v>
      </c>
      <c r="E425" s="22">
        <f>26-16</f>
        <v>10</v>
      </c>
      <c r="F425" t="s">
        <v>363</v>
      </c>
      <c r="G425" t="s">
        <v>733</v>
      </c>
    </row>
    <row r="426" spans="1:11" x14ac:dyDescent="0.75">
      <c r="A426" t="s">
        <v>28</v>
      </c>
      <c r="B426" s="3">
        <v>44698</v>
      </c>
      <c r="C426">
        <v>1</v>
      </c>
      <c r="D426" t="s">
        <v>207</v>
      </c>
      <c r="E426" s="22">
        <f>33-25</f>
        <v>8</v>
      </c>
      <c r="F426" t="s">
        <v>363</v>
      </c>
      <c r="G426" t="s">
        <v>361</v>
      </c>
    </row>
    <row r="427" spans="1:11" x14ac:dyDescent="0.75">
      <c r="A427" t="s">
        <v>28</v>
      </c>
      <c r="B427" s="3">
        <v>44698</v>
      </c>
      <c r="C427">
        <v>1</v>
      </c>
      <c r="D427" t="s">
        <v>197</v>
      </c>
      <c r="E427" s="22">
        <f>25-23</f>
        <v>2</v>
      </c>
      <c r="F427" t="s">
        <v>363</v>
      </c>
      <c r="G427" t="s">
        <v>361</v>
      </c>
    </row>
    <row r="428" spans="1:11" x14ac:dyDescent="0.75">
      <c r="A428" t="s">
        <v>28</v>
      </c>
      <c r="B428" s="3">
        <v>44698</v>
      </c>
      <c r="C428">
        <v>1</v>
      </c>
      <c r="D428" t="s">
        <v>197</v>
      </c>
      <c r="E428" s="22">
        <f>22-20</f>
        <v>2</v>
      </c>
      <c r="F428" t="s">
        <v>363</v>
      </c>
      <c r="G428" t="s">
        <v>361</v>
      </c>
    </row>
    <row r="429" spans="1:11" x14ac:dyDescent="0.75">
      <c r="A429" t="s">
        <v>28</v>
      </c>
      <c r="B429" s="3">
        <v>44698</v>
      </c>
      <c r="C429">
        <v>1</v>
      </c>
      <c r="D429" t="s">
        <v>191</v>
      </c>
      <c r="E429" s="22">
        <f>20-15</f>
        <v>5</v>
      </c>
      <c r="F429" t="s">
        <v>363</v>
      </c>
      <c r="G429" t="s">
        <v>361</v>
      </c>
    </row>
    <row r="430" spans="1:11" x14ac:dyDescent="0.75">
      <c r="A430" t="s">
        <v>28</v>
      </c>
      <c r="B430" s="3">
        <v>44698</v>
      </c>
      <c r="C430">
        <v>1</v>
      </c>
      <c r="D430" t="s">
        <v>191</v>
      </c>
      <c r="E430" s="22">
        <f>15-12</f>
        <v>3</v>
      </c>
      <c r="F430" t="s">
        <v>363</v>
      </c>
      <c r="G430" t="s">
        <v>361</v>
      </c>
    </row>
    <row r="431" spans="1:11" x14ac:dyDescent="0.75">
      <c r="A431" t="s">
        <v>28</v>
      </c>
      <c r="B431" s="3">
        <v>44698</v>
      </c>
      <c r="C431">
        <v>1</v>
      </c>
      <c r="D431" t="s">
        <v>191</v>
      </c>
      <c r="E431" s="22">
        <f>12-9</f>
        <v>3</v>
      </c>
      <c r="F431" t="s">
        <v>363</v>
      </c>
      <c r="G431" t="s">
        <v>361</v>
      </c>
    </row>
    <row r="432" spans="1:11" x14ac:dyDescent="0.75">
      <c r="A432" t="s">
        <v>28</v>
      </c>
      <c r="B432" s="3">
        <v>44698</v>
      </c>
      <c r="C432">
        <v>1</v>
      </c>
      <c r="D432" t="s">
        <v>201</v>
      </c>
      <c r="E432" s="22" t="s">
        <v>363</v>
      </c>
      <c r="F432" t="s">
        <v>363</v>
      </c>
      <c r="G432" t="s">
        <v>361</v>
      </c>
      <c r="K432" t="s">
        <v>765</v>
      </c>
    </row>
    <row r="433" spans="1:7" x14ac:dyDescent="0.75">
      <c r="A433" t="s">
        <v>28</v>
      </c>
      <c r="B433" s="3">
        <v>44698</v>
      </c>
      <c r="C433">
        <v>1</v>
      </c>
      <c r="D433" t="s">
        <v>191</v>
      </c>
      <c r="E433" s="22">
        <f>23-21</f>
        <v>2</v>
      </c>
      <c r="F433" t="s">
        <v>363</v>
      </c>
      <c r="G433" t="s">
        <v>374</v>
      </c>
    </row>
    <row r="434" spans="1:7" x14ac:dyDescent="0.75">
      <c r="A434" t="s">
        <v>28</v>
      </c>
      <c r="B434" s="3">
        <v>44698</v>
      </c>
      <c r="C434">
        <v>1</v>
      </c>
      <c r="D434" t="s">
        <v>191</v>
      </c>
      <c r="E434" s="22">
        <f>21-19</f>
        <v>2</v>
      </c>
      <c r="F434" t="s">
        <v>363</v>
      </c>
      <c r="G434" t="s">
        <v>374</v>
      </c>
    </row>
    <row r="435" spans="1:7" x14ac:dyDescent="0.75">
      <c r="A435" t="s">
        <v>28</v>
      </c>
      <c r="B435" s="3">
        <v>44698</v>
      </c>
      <c r="C435">
        <v>1</v>
      </c>
      <c r="D435" t="s">
        <v>201</v>
      </c>
      <c r="E435" s="22">
        <f>19-11</f>
        <v>8</v>
      </c>
      <c r="F435" t="s">
        <v>363</v>
      </c>
      <c r="G435" t="s">
        <v>374</v>
      </c>
    </row>
    <row r="436" spans="1:7" x14ac:dyDescent="0.75">
      <c r="A436" t="s">
        <v>28</v>
      </c>
      <c r="B436" s="3">
        <v>44698</v>
      </c>
      <c r="C436">
        <v>1</v>
      </c>
      <c r="D436" t="s">
        <v>767</v>
      </c>
      <c r="E436" s="22">
        <f>11-6</f>
        <v>5</v>
      </c>
      <c r="F436" t="s">
        <v>363</v>
      </c>
      <c r="G436" t="s">
        <v>374</v>
      </c>
    </row>
    <row r="437" spans="1:7" x14ac:dyDescent="0.75">
      <c r="A437" t="s">
        <v>28</v>
      </c>
      <c r="B437" s="3">
        <v>44698</v>
      </c>
      <c r="C437">
        <v>1</v>
      </c>
      <c r="D437" t="s">
        <v>215</v>
      </c>
      <c r="E437" s="22">
        <f>6-2</f>
        <v>4</v>
      </c>
      <c r="F437" t="s">
        <v>363</v>
      </c>
      <c r="G437" t="s">
        <v>374</v>
      </c>
    </row>
    <row r="438" spans="1:7" x14ac:dyDescent="0.75">
      <c r="A438" t="s">
        <v>28</v>
      </c>
      <c r="B438" s="3">
        <v>44698</v>
      </c>
      <c r="C438">
        <v>1</v>
      </c>
      <c r="D438" t="s">
        <v>191</v>
      </c>
      <c r="E438" s="22">
        <f>38-14</f>
        <v>24</v>
      </c>
      <c r="F438" t="s">
        <v>363</v>
      </c>
      <c r="G438" t="s">
        <v>374</v>
      </c>
    </row>
    <row r="439" spans="1:7" x14ac:dyDescent="0.75">
      <c r="A439" t="s">
        <v>28</v>
      </c>
      <c r="B439" s="3">
        <v>44698</v>
      </c>
      <c r="C439">
        <v>1</v>
      </c>
      <c r="D439" t="s">
        <v>191</v>
      </c>
      <c r="E439" s="22">
        <f>14-10</f>
        <v>4</v>
      </c>
      <c r="F439" t="s">
        <v>363</v>
      </c>
      <c r="G439" t="s">
        <v>374</v>
      </c>
    </row>
    <row r="440" spans="1:7" s="23" customFormat="1" x14ac:dyDescent="0.75">
      <c r="A440" s="23" t="s">
        <v>28</v>
      </c>
      <c r="B440" s="24">
        <v>44698</v>
      </c>
      <c r="C440" s="23">
        <v>2</v>
      </c>
      <c r="D440" s="23" t="s">
        <v>197</v>
      </c>
      <c r="E440" s="52">
        <f>39-35</f>
        <v>4</v>
      </c>
      <c r="F440" s="23" t="s">
        <v>363</v>
      </c>
      <c r="G440" s="23" t="s">
        <v>361</v>
      </c>
    </row>
    <row r="441" spans="1:7" s="23" customFormat="1" x14ac:dyDescent="0.75">
      <c r="A441" s="23" t="s">
        <v>28</v>
      </c>
      <c r="B441" s="24">
        <v>44698</v>
      </c>
      <c r="C441" s="23">
        <v>2</v>
      </c>
      <c r="D441" s="23" t="s">
        <v>194</v>
      </c>
      <c r="E441" s="52">
        <f>35-22</f>
        <v>13</v>
      </c>
      <c r="F441" s="23" t="s">
        <v>363</v>
      </c>
      <c r="G441" s="23" t="s">
        <v>361</v>
      </c>
    </row>
    <row r="442" spans="1:7" s="23" customFormat="1" x14ac:dyDescent="0.75">
      <c r="A442" s="23" t="s">
        <v>28</v>
      </c>
      <c r="B442" s="24">
        <v>44698</v>
      </c>
      <c r="C442" s="23">
        <v>2</v>
      </c>
      <c r="D442" s="23" t="s">
        <v>168</v>
      </c>
      <c r="E442" s="52">
        <f>22</f>
        <v>22</v>
      </c>
      <c r="F442" s="23" t="s">
        <v>363</v>
      </c>
      <c r="G442" s="23" t="s">
        <v>361</v>
      </c>
    </row>
    <row r="443" spans="1:7" s="23" customFormat="1" x14ac:dyDescent="0.75">
      <c r="A443" s="23" t="s">
        <v>28</v>
      </c>
      <c r="B443" s="24">
        <v>44698</v>
      </c>
      <c r="C443" s="23">
        <v>2</v>
      </c>
      <c r="D443" s="23" t="s">
        <v>172</v>
      </c>
      <c r="E443" s="52">
        <f>37-27</f>
        <v>10</v>
      </c>
      <c r="F443" s="23" t="s">
        <v>363</v>
      </c>
      <c r="G443" s="23" t="s">
        <v>361</v>
      </c>
    </row>
    <row r="444" spans="1:7" s="23" customFormat="1" x14ac:dyDescent="0.75">
      <c r="A444" s="23" t="s">
        <v>28</v>
      </c>
      <c r="B444" s="24">
        <v>44698</v>
      </c>
      <c r="C444" s="23">
        <v>2</v>
      </c>
      <c r="D444" s="23" t="s">
        <v>168</v>
      </c>
      <c r="E444" s="52">
        <f>27-18</f>
        <v>9</v>
      </c>
      <c r="F444" s="23" t="s">
        <v>363</v>
      </c>
      <c r="G444" s="23" t="s">
        <v>361</v>
      </c>
    </row>
    <row r="445" spans="1:7" s="23" customFormat="1" x14ac:dyDescent="0.75">
      <c r="A445" s="23" t="s">
        <v>28</v>
      </c>
      <c r="B445" s="24">
        <v>44698</v>
      </c>
      <c r="C445" s="23">
        <v>2</v>
      </c>
      <c r="D445" s="23" t="s">
        <v>176</v>
      </c>
      <c r="E445" s="52">
        <f>11+5</f>
        <v>16</v>
      </c>
      <c r="F445" s="23" t="s">
        <v>363</v>
      </c>
      <c r="G445" s="23" t="s">
        <v>374</v>
      </c>
    </row>
    <row r="446" spans="1:7" s="23" customFormat="1" x14ac:dyDescent="0.75">
      <c r="A446" s="23" t="s">
        <v>28</v>
      </c>
      <c r="B446" s="24">
        <v>44698</v>
      </c>
      <c r="C446" s="23">
        <v>2</v>
      </c>
      <c r="D446" s="23" t="s">
        <v>213</v>
      </c>
      <c r="E446" s="52">
        <f>45-43</f>
        <v>2</v>
      </c>
      <c r="F446" s="23" t="s">
        <v>363</v>
      </c>
      <c r="G446" s="23" t="s">
        <v>374</v>
      </c>
    </row>
    <row r="447" spans="1:7" s="23" customFormat="1" x14ac:dyDescent="0.75">
      <c r="A447" s="23" t="s">
        <v>28</v>
      </c>
      <c r="B447" s="24">
        <v>44698</v>
      </c>
      <c r="C447" s="23">
        <v>2</v>
      </c>
      <c r="D447" s="23" t="s">
        <v>168</v>
      </c>
      <c r="E447" s="52">
        <f>43-7</f>
        <v>36</v>
      </c>
      <c r="F447" s="23" t="s">
        <v>363</v>
      </c>
      <c r="G447" s="23" t="s">
        <v>374</v>
      </c>
    </row>
    <row r="448" spans="1:7" s="23" customFormat="1" x14ac:dyDescent="0.75">
      <c r="A448" s="23" t="s">
        <v>28</v>
      </c>
      <c r="B448" s="24">
        <v>44698</v>
      </c>
      <c r="C448" s="23">
        <v>2</v>
      </c>
      <c r="D448" s="23" t="s">
        <v>168</v>
      </c>
      <c r="E448" s="52">
        <f>36-7</f>
        <v>29</v>
      </c>
      <c r="F448" s="23" t="s">
        <v>363</v>
      </c>
      <c r="G448" s="23" t="s">
        <v>733</v>
      </c>
    </row>
    <row r="449" spans="1:7" s="23" customFormat="1" x14ac:dyDescent="0.75">
      <c r="A449" s="23" t="s">
        <v>28</v>
      </c>
      <c r="B449" s="24">
        <v>44698</v>
      </c>
      <c r="C449" s="23">
        <v>2</v>
      </c>
      <c r="D449" s="23" t="s">
        <v>168</v>
      </c>
      <c r="E449" s="52">
        <f>7+28-24</f>
        <v>11</v>
      </c>
      <c r="F449" s="23" t="s">
        <v>363</v>
      </c>
      <c r="G449" s="23" t="s">
        <v>733</v>
      </c>
    </row>
    <row r="450" spans="1:7" s="23" customFormat="1" x14ac:dyDescent="0.75">
      <c r="A450" s="23" t="s">
        <v>28</v>
      </c>
      <c r="B450" s="24">
        <v>44698</v>
      </c>
      <c r="C450" s="23">
        <v>2</v>
      </c>
      <c r="D450" s="23" t="s">
        <v>201</v>
      </c>
      <c r="E450" s="52">
        <f>23-18</f>
        <v>5</v>
      </c>
      <c r="F450" s="23" t="s">
        <v>363</v>
      </c>
      <c r="G450" s="23" t="s">
        <v>733</v>
      </c>
    </row>
    <row r="451" spans="1:7" s="23" customFormat="1" x14ac:dyDescent="0.75">
      <c r="A451" s="23" t="s">
        <v>28</v>
      </c>
      <c r="B451" s="24">
        <v>44698</v>
      </c>
      <c r="C451" s="23">
        <v>2</v>
      </c>
      <c r="D451" s="23" t="s">
        <v>207</v>
      </c>
      <c r="E451" s="52">
        <f>18-14</f>
        <v>4</v>
      </c>
      <c r="F451" s="23" t="s">
        <v>363</v>
      </c>
      <c r="G451" s="23" t="s">
        <v>733</v>
      </c>
    </row>
    <row r="452" spans="1:7" x14ac:dyDescent="0.75">
      <c r="A452" t="s">
        <v>28</v>
      </c>
      <c r="B452" s="3">
        <v>44698</v>
      </c>
      <c r="C452">
        <v>3</v>
      </c>
      <c r="D452" t="s">
        <v>191</v>
      </c>
      <c r="E452" s="22">
        <f>18+36-28</f>
        <v>26</v>
      </c>
      <c r="F452">
        <v>4133</v>
      </c>
      <c r="G452" t="s">
        <v>733</v>
      </c>
    </row>
    <row r="453" spans="1:7" x14ac:dyDescent="0.75">
      <c r="A453" t="s">
        <v>28</v>
      </c>
      <c r="B453" s="3">
        <v>44698</v>
      </c>
      <c r="C453">
        <v>3</v>
      </c>
      <c r="D453" t="s">
        <v>197</v>
      </c>
      <c r="E453" s="22">
        <f>34-25</f>
        <v>9</v>
      </c>
      <c r="F453" t="s">
        <v>363</v>
      </c>
      <c r="G453" t="s">
        <v>361</v>
      </c>
    </row>
    <row r="454" spans="1:7" x14ac:dyDescent="0.75">
      <c r="A454" t="s">
        <v>28</v>
      </c>
      <c r="B454" s="3">
        <v>44698</v>
      </c>
      <c r="C454">
        <v>3</v>
      </c>
      <c r="D454" t="s">
        <v>168</v>
      </c>
      <c r="E454" s="22">
        <f>25</f>
        <v>25</v>
      </c>
      <c r="F454" t="s">
        <v>363</v>
      </c>
      <c r="G454" t="s">
        <v>361</v>
      </c>
    </row>
    <row r="455" spans="1:7" x14ac:dyDescent="0.75">
      <c r="A455" t="s">
        <v>28</v>
      </c>
      <c r="B455" s="3">
        <v>44698</v>
      </c>
      <c r="C455">
        <v>3</v>
      </c>
      <c r="D455" t="s">
        <v>168</v>
      </c>
      <c r="E455" s="22">
        <f>16+36-27</f>
        <v>25</v>
      </c>
      <c r="F455" t="s">
        <v>363</v>
      </c>
      <c r="G455" t="s">
        <v>733</v>
      </c>
    </row>
    <row r="456" spans="1:7" x14ac:dyDescent="0.75">
      <c r="A456" t="s">
        <v>28</v>
      </c>
      <c r="B456" s="3">
        <v>44698</v>
      </c>
      <c r="C456">
        <v>3</v>
      </c>
      <c r="D456" t="s">
        <v>168</v>
      </c>
      <c r="E456" s="22">
        <f>27</f>
        <v>27</v>
      </c>
      <c r="F456" t="s">
        <v>363</v>
      </c>
      <c r="G456" t="s">
        <v>733</v>
      </c>
    </row>
    <row r="457" spans="1:7" x14ac:dyDescent="0.75">
      <c r="A457" t="s">
        <v>28</v>
      </c>
      <c r="B457" s="3">
        <v>44698</v>
      </c>
      <c r="C457">
        <v>3</v>
      </c>
      <c r="D457" t="s">
        <v>160</v>
      </c>
      <c r="E457" s="22">
        <f>28-26</f>
        <v>2</v>
      </c>
      <c r="F457" t="s">
        <v>363</v>
      </c>
      <c r="G457" t="s">
        <v>733</v>
      </c>
    </row>
    <row r="458" spans="1:7" x14ac:dyDescent="0.75">
      <c r="A458" t="s">
        <v>28</v>
      </c>
      <c r="B458" s="3">
        <v>44698</v>
      </c>
      <c r="C458">
        <v>3</v>
      </c>
      <c r="D458" t="s">
        <v>160</v>
      </c>
      <c r="E458" s="22">
        <f>26-24</f>
        <v>2</v>
      </c>
      <c r="F458" t="s">
        <v>363</v>
      </c>
      <c r="G458" t="s">
        <v>733</v>
      </c>
    </row>
    <row r="459" spans="1:7" x14ac:dyDescent="0.75">
      <c r="A459" t="s">
        <v>28</v>
      </c>
      <c r="B459" s="3">
        <v>44698</v>
      </c>
      <c r="C459">
        <v>3</v>
      </c>
      <c r="D459" t="s">
        <v>168</v>
      </c>
      <c r="E459" s="22">
        <f>34-8</f>
        <v>26</v>
      </c>
      <c r="F459" t="s">
        <v>363</v>
      </c>
      <c r="G459" t="s">
        <v>733</v>
      </c>
    </row>
    <row r="460" spans="1:7" x14ac:dyDescent="0.75">
      <c r="A460" t="s">
        <v>28</v>
      </c>
      <c r="B460" s="3">
        <v>44698</v>
      </c>
      <c r="C460">
        <v>3</v>
      </c>
      <c r="D460" t="s">
        <v>168</v>
      </c>
      <c r="E460" s="22">
        <f>8-6</f>
        <v>2</v>
      </c>
      <c r="F460" t="s">
        <v>363</v>
      </c>
      <c r="G460" t="s">
        <v>733</v>
      </c>
    </row>
    <row r="461" spans="1:7" x14ac:dyDescent="0.75">
      <c r="A461" t="s">
        <v>28</v>
      </c>
      <c r="B461" s="3">
        <v>44698</v>
      </c>
      <c r="C461">
        <v>3</v>
      </c>
      <c r="D461" t="s">
        <v>168</v>
      </c>
      <c r="E461" s="22">
        <f>6</f>
        <v>6</v>
      </c>
      <c r="F461" t="s">
        <v>363</v>
      </c>
      <c r="G461" t="s">
        <v>733</v>
      </c>
    </row>
    <row r="462" spans="1:7" s="23" customFormat="1" x14ac:dyDescent="0.75">
      <c r="A462" s="23" t="s">
        <v>39</v>
      </c>
      <c r="B462" s="24">
        <v>44699</v>
      </c>
      <c r="C462" s="23">
        <v>1</v>
      </c>
      <c r="D462" s="23" t="s">
        <v>201</v>
      </c>
      <c r="E462" s="52">
        <f>15-5</f>
        <v>10</v>
      </c>
      <c r="F462" s="23" t="s">
        <v>363</v>
      </c>
      <c r="G462" s="23" t="s">
        <v>733</v>
      </c>
    </row>
    <row r="463" spans="1:7" s="23" customFormat="1" x14ac:dyDescent="0.75">
      <c r="A463" s="23" t="s">
        <v>39</v>
      </c>
      <c r="B463" s="24">
        <v>44699</v>
      </c>
      <c r="C463" s="23">
        <v>1</v>
      </c>
      <c r="D463" s="23" t="s">
        <v>197</v>
      </c>
      <c r="E463" s="52">
        <f>5-1</f>
        <v>4</v>
      </c>
      <c r="F463" s="23" t="s">
        <v>363</v>
      </c>
      <c r="G463" s="23" t="s">
        <v>733</v>
      </c>
    </row>
    <row r="464" spans="1:7" s="23" customFormat="1" x14ac:dyDescent="0.75">
      <c r="A464" s="23" t="s">
        <v>39</v>
      </c>
      <c r="B464" s="24">
        <v>44699</v>
      </c>
      <c r="C464" s="23">
        <v>1</v>
      </c>
      <c r="D464" s="23" t="s">
        <v>201</v>
      </c>
      <c r="E464" s="52">
        <f>1+33-28</f>
        <v>6</v>
      </c>
      <c r="F464" s="23" t="s">
        <v>363</v>
      </c>
      <c r="G464" s="23" t="s">
        <v>733</v>
      </c>
    </row>
    <row r="465" spans="1:7" s="23" customFormat="1" x14ac:dyDescent="0.75">
      <c r="A465" s="23" t="s">
        <v>39</v>
      </c>
      <c r="B465" s="24">
        <v>44699</v>
      </c>
      <c r="C465" s="23">
        <v>1</v>
      </c>
      <c r="D465" s="23" t="s">
        <v>201</v>
      </c>
      <c r="E465" s="52">
        <f>28-14</f>
        <v>14</v>
      </c>
      <c r="F465" s="23" t="s">
        <v>363</v>
      </c>
      <c r="G465" s="23" t="s">
        <v>733</v>
      </c>
    </row>
    <row r="466" spans="1:7" s="23" customFormat="1" x14ac:dyDescent="0.75">
      <c r="A466" s="23" t="s">
        <v>39</v>
      </c>
      <c r="B466" s="24">
        <v>44699</v>
      </c>
      <c r="C466" s="23">
        <v>1</v>
      </c>
      <c r="D466" s="23" t="s">
        <v>201</v>
      </c>
      <c r="E466" s="52">
        <f>14+42-36</f>
        <v>20</v>
      </c>
      <c r="F466" s="23" t="s">
        <v>363</v>
      </c>
      <c r="G466" s="23" t="s">
        <v>733</v>
      </c>
    </row>
    <row r="467" spans="1:7" s="23" customFormat="1" x14ac:dyDescent="0.75">
      <c r="A467" s="23" t="s">
        <v>39</v>
      </c>
      <c r="B467" s="24">
        <v>44699</v>
      </c>
      <c r="C467" s="23">
        <v>1</v>
      </c>
      <c r="D467" s="23" t="s">
        <v>164</v>
      </c>
      <c r="E467" s="52">
        <f>36-16</f>
        <v>20</v>
      </c>
      <c r="F467" s="23" t="s">
        <v>363</v>
      </c>
      <c r="G467" s="23" t="s">
        <v>733</v>
      </c>
    </row>
    <row r="468" spans="1:7" s="23" customFormat="1" x14ac:dyDescent="0.75">
      <c r="A468" s="23" t="s">
        <v>39</v>
      </c>
      <c r="B468" s="24">
        <v>44699</v>
      </c>
      <c r="C468" s="23">
        <v>1</v>
      </c>
      <c r="D468" s="23" t="s">
        <v>191</v>
      </c>
      <c r="E468" s="52">
        <f>16-11</f>
        <v>5</v>
      </c>
      <c r="F468" s="23" t="s">
        <v>363</v>
      </c>
      <c r="G468" s="23" t="s">
        <v>733</v>
      </c>
    </row>
    <row r="469" spans="1:7" s="23" customFormat="1" x14ac:dyDescent="0.75">
      <c r="A469" s="23" t="s">
        <v>39</v>
      </c>
      <c r="B469" s="24">
        <v>44699</v>
      </c>
      <c r="C469" s="23">
        <v>1</v>
      </c>
      <c r="D469" s="23" t="s">
        <v>164</v>
      </c>
      <c r="E469" s="52">
        <f>11+31-23</f>
        <v>19</v>
      </c>
      <c r="F469" s="23">
        <v>3535</v>
      </c>
      <c r="G469" s="23" t="s">
        <v>733</v>
      </c>
    </row>
    <row r="470" spans="1:7" s="23" customFormat="1" x14ac:dyDescent="0.75">
      <c r="A470" s="23" t="s">
        <v>39</v>
      </c>
      <c r="B470" s="24">
        <v>44699</v>
      </c>
      <c r="C470" s="23">
        <v>1</v>
      </c>
      <c r="D470" s="23" t="s">
        <v>197</v>
      </c>
      <c r="E470" s="52">
        <f>19-14</f>
        <v>5</v>
      </c>
      <c r="F470" s="23" t="s">
        <v>363</v>
      </c>
      <c r="G470" s="23" t="s">
        <v>361</v>
      </c>
    </row>
    <row r="471" spans="1:7" s="23" customFormat="1" x14ac:dyDescent="0.75">
      <c r="A471" s="23" t="s">
        <v>39</v>
      </c>
      <c r="B471" s="24">
        <v>44699</v>
      </c>
      <c r="C471" s="23">
        <v>1</v>
      </c>
      <c r="D471" s="23" t="s">
        <v>194</v>
      </c>
      <c r="E471" s="52">
        <f>14+27-21</f>
        <v>20</v>
      </c>
      <c r="F471" s="23" t="s">
        <v>363</v>
      </c>
      <c r="G471" s="23" t="s">
        <v>361</v>
      </c>
    </row>
    <row r="472" spans="1:7" s="23" customFormat="1" x14ac:dyDescent="0.75">
      <c r="A472" s="23" t="s">
        <v>39</v>
      </c>
      <c r="B472" s="24">
        <v>44699</v>
      </c>
      <c r="C472" s="23">
        <v>1</v>
      </c>
      <c r="D472" s="23" t="s">
        <v>197</v>
      </c>
      <c r="E472" s="52">
        <f>21-13</f>
        <v>8</v>
      </c>
      <c r="F472" s="23" t="s">
        <v>363</v>
      </c>
      <c r="G472" s="23" t="s">
        <v>361</v>
      </c>
    </row>
    <row r="473" spans="1:7" s="23" customFormat="1" x14ac:dyDescent="0.75">
      <c r="A473" s="23" t="s">
        <v>39</v>
      </c>
      <c r="B473" s="24">
        <v>44699</v>
      </c>
      <c r="C473" s="23">
        <v>1</v>
      </c>
      <c r="D473" s="23" t="s">
        <v>201</v>
      </c>
      <c r="E473" s="52">
        <f>10-7</f>
        <v>3</v>
      </c>
      <c r="F473" s="23" t="s">
        <v>363</v>
      </c>
      <c r="G473" s="23" t="s">
        <v>361</v>
      </c>
    </row>
    <row r="474" spans="1:7" s="23" customFormat="1" x14ac:dyDescent="0.75">
      <c r="A474" s="23" t="s">
        <v>39</v>
      </c>
      <c r="B474" s="24">
        <v>44699</v>
      </c>
      <c r="C474" s="23">
        <v>1</v>
      </c>
      <c r="D474" s="23" t="s">
        <v>207</v>
      </c>
      <c r="E474" s="52">
        <f>7-4</f>
        <v>3</v>
      </c>
      <c r="F474" s="23" t="s">
        <v>363</v>
      </c>
      <c r="G474" s="23" t="s">
        <v>361</v>
      </c>
    </row>
    <row r="475" spans="1:7" s="23" customFormat="1" x14ac:dyDescent="0.75">
      <c r="A475" s="23" t="s">
        <v>39</v>
      </c>
      <c r="B475" s="24">
        <v>44699</v>
      </c>
      <c r="C475" s="23">
        <v>1</v>
      </c>
      <c r="D475" s="23" t="s">
        <v>197</v>
      </c>
      <c r="E475" s="52">
        <f>4+39-34</f>
        <v>9</v>
      </c>
      <c r="F475" s="23" t="s">
        <v>363</v>
      </c>
      <c r="G475" s="23" t="s">
        <v>361</v>
      </c>
    </row>
    <row r="476" spans="1:7" s="23" customFormat="1" x14ac:dyDescent="0.75">
      <c r="A476" s="23" t="s">
        <v>39</v>
      </c>
      <c r="B476" s="24">
        <v>44699</v>
      </c>
      <c r="C476" s="23">
        <v>1</v>
      </c>
      <c r="D476" s="23" t="s">
        <v>197</v>
      </c>
      <c r="E476" s="52">
        <f>34-31</f>
        <v>3</v>
      </c>
      <c r="F476" s="23" t="s">
        <v>363</v>
      </c>
      <c r="G476" s="23" t="s">
        <v>361</v>
      </c>
    </row>
    <row r="477" spans="1:7" s="23" customFormat="1" x14ac:dyDescent="0.75">
      <c r="A477" s="23" t="s">
        <v>39</v>
      </c>
      <c r="B477" s="24">
        <v>44699</v>
      </c>
      <c r="C477" s="23">
        <v>1</v>
      </c>
      <c r="D477" s="23" t="s">
        <v>194</v>
      </c>
      <c r="E477" s="52">
        <f>31-16</f>
        <v>15</v>
      </c>
      <c r="F477" s="23" t="s">
        <v>363</v>
      </c>
      <c r="G477" s="23" t="s">
        <v>361</v>
      </c>
    </row>
    <row r="478" spans="1:7" s="23" customFormat="1" x14ac:dyDescent="0.75">
      <c r="A478" s="23" t="s">
        <v>39</v>
      </c>
      <c r="B478" s="24">
        <v>44699</v>
      </c>
      <c r="C478" s="23">
        <v>1</v>
      </c>
      <c r="D478" s="23" t="s">
        <v>199</v>
      </c>
      <c r="E478" s="52">
        <f>16-7</f>
        <v>9</v>
      </c>
      <c r="F478" s="23" t="s">
        <v>363</v>
      </c>
      <c r="G478" s="23" t="s">
        <v>361</v>
      </c>
    </row>
    <row r="479" spans="1:7" s="23" customFormat="1" x14ac:dyDescent="0.75">
      <c r="A479" s="23" t="s">
        <v>39</v>
      </c>
      <c r="B479" s="24">
        <v>44699</v>
      </c>
      <c r="C479" s="23">
        <v>1</v>
      </c>
      <c r="D479" s="23" t="s">
        <v>201</v>
      </c>
      <c r="E479" s="52">
        <f>7-2</f>
        <v>5</v>
      </c>
      <c r="F479" s="23" t="s">
        <v>363</v>
      </c>
      <c r="G479" s="23" t="s">
        <v>361</v>
      </c>
    </row>
    <row r="480" spans="1:7" s="23" customFormat="1" x14ac:dyDescent="0.75">
      <c r="A480" s="23" t="s">
        <v>39</v>
      </c>
      <c r="B480" s="24">
        <v>44699</v>
      </c>
      <c r="C480" s="23">
        <v>1</v>
      </c>
      <c r="D480" s="23" t="s">
        <v>194</v>
      </c>
      <c r="E480" s="52">
        <f>50-41</f>
        <v>9</v>
      </c>
      <c r="F480" s="23" t="s">
        <v>363</v>
      </c>
      <c r="G480" s="23" t="s">
        <v>374</v>
      </c>
    </row>
    <row r="481" spans="1:11" s="23" customFormat="1" x14ac:dyDescent="0.75">
      <c r="A481" s="23" t="s">
        <v>39</v>
      </c>
      <c r="B481" s="24">
        <v>44699</v>
      </c>
      <c r="C481" s="23">
        <v>1</v>
      </c>
      <c r="D481" s="23" t="s">
        <v>191</v>
      </c>
      <c r="E481" s="52">
        <f>41-38</f>
        <v>3</v>
      </c>
      <c r="F481" s="23" t="s">
        <v>363</v>
      </c>
      <c r="G481" s="23" t="s">
        <v>374</v>
      </c>
    </row>
    <row r="482" spans="1:11" s="23" customFormat="1" x14ac:dyDescent="0.75">
      <c r="A482" s="23" t="s">
        <v>39</v>
      </c>
      <c r="B482" s="24">
        <v>44699</v>
      </c>
      <c r="C482" s="23">
        <v>1</v>
      </c>
      <c r="D482" s="23" t="s">
        <v>197</v>
      </c>
      <c r="E482" s="52">
        <f>6-0</f>
        <v>6</v>
      </c>
      <c r="F482" s="23" t="s">
        <v>363</v>
      </c>
      <c r="G482" s="23" t="s">
        <v>374</v>
      </c>
    </row>
    <row r="483" spans="1:11" s="23" customFormat="1" x14ac:dyDescent="0.75">
      <c r="A483" s="23" t="s">
        <v>39</v>
      </c>
      <c r="B483" s="24">
        <v>44699</v>
      </c>
      <c r="C483" s="23">
        <v>1</v>
      </c>
      <c r="D483" s="23" t="s">
        <v>191</v>
      </c>
      <c r="E483" s="52">
        <f>31-28</f>
        <v>3</v>
      </c>
      <c r="F483" s="23" t="s">
        <v>363</v>
      </c>
      <c r="G483" s="23" t="s">
        <v>374</v>
      </c>
    </row>
    <row r="484" spans="1:11" s="23" customFormat="1" x14ac:dyDescent="0.75">
      <c r="A484" s="23" t="s">
        <v>39</v>
      </c>
      <c r="B484" s="24">
        <v>44699</v>
      </c>
      <c r="C484" s="23">
        <v>1</v>
      </c>
      <c r="D484" s="23" t="s">
        <v>207</v>
      </c>
      <c r="E484" s="52">
        <f>28-26</f>
        <v>2</v>
      </c>
      <c r="F484" s="23" t="s">
        <v>363</v>
      </c>
      <c r="G484" s="23" t="s">
        <v>374</v>
      </c>
    </row>
    <row r="485" spans="1:11" s="23" customFormat="1" x14ac:dyDescent="0.75">
      <c r="A485" s="23" t="s">
        <v>39</v>
      </c>
      <c r="B485" s="24">
        <v>44699</v>
      </c>
      <c r="C485" s="23">
        <v>1</v>
      </c>
      <c r="D485" s="23" t="s">
        <v>194</v>
      </c>
      <c r="E485" s="52">
        <f>26-24</f>
        <v>2</v>
      </c>
      <c r="F485" s="23" t="s">
        <v>363</v>
      </c>
      <c r="G485" s="23" t="s">
        <v>374</v>
      </c>
    </row>
    <row r="486" spans="1:11" s="23" customFormat="1" x14ac:dyDescent="0.75">
      <c r="A486" s="23" t="s">
        <v>39</v>
      </c>
      <c r="B486" s="24">
        <v>44699</v>
      </c>
      <c r="C486" s="23">
        <v>1</v>
      </c>
      <c r="D486" s="23" t="s">
        <v>215</v>
      </c>
      <c r="E486" s="52">
        <f>24-20</f>
        <v>4</v>
      </c>
      <c r="F486" s="23" t="s">
        <v>363</v>
      </c>
      <c r="G486" s="23" t="s">
        <v>374</v>
      </c>
    </row>
    <row r="487" spans="1:11" s="23" customFormat="1" x14ac:dyDescent="0.75">
      <c r="A487" s="23" t="s">
        <v>39</v>
      </c>
      <c r="B487" s="24">
        <v>44699</v>
      </c>
      <c r="C487" s="23">
        <v>1</v>
      </c>
      <c r="D487" s="23" t="s">
        <v>201</v>
      </c>
      <c r="E487" s="52">
        <f>36-30</f>
        <v>6</v>
      </c>
      <c r="F487" s="23" t="s">
        <v>363</v>
      </c>
      <c r="G487" s="23" t="s">
        <v>374</v>
      </c>
    </row>
    <row r="488" spans="1:11" s="23" customFormat="1" x14ac:dyDescent="0.75">
      <c r="A488" s="23" t="s">
        <v>39</v>
      </c>
      <c r="B488" s="24">
        <v>44699</v>
      </c>
      <c r="C488" s="23">
        <v>1</v>
      </c>
      <c r="D488" s="23" t="s">
        <v>199</v>
      </c>
      <c r="E488" s="52">
        <f>30-27</f>
        <v>3</v>
      </c>
      <c r="F488" s="23" t="s">
        <v>363</v>
      </c>
      <c r="G488" s="23" t="s">
        <v>374</v>
      </c>
      <c r="K488" s="23" t="s">
        <v>768</v>
      </c>
    </row>
    <row r="489" spans="1:11" s="23" customFormat="1" x14ac:dyDescent="0.75">
      <c r="A489" s="23" t="s">
        <v>39</v>
      </c>
      <c r="B489" s="24">
        <v>44699</v>
      </c>
      <c r="C489" s="23">
        <v>1</v>
      </c>
      <c r="D489" s="23" t="s">
        <v>205</v>
      </c>
      <c r="E489" s="52">
        <f>27-24</f>
        <v>3</v>
      </c>
      <c r="F489" s="23" t="s">
        <v>363</v>
      </c>
      <c r="G489" s="23" t="s">
        <v>374</v>
      </c>
    </row>
    <row r="490" spans="1:11" s="23" customFormat="1" x14ac:dyDescent="0.75">
      <c r="A490" s="23" t="s">
        <v>39</v>
      </c>
      <c r="B490" s="24">
        <v>44699</v>
      </c>
      <c r="C490" s="23">
        <v>1</v>
      </c>
      <c r="D490" s="23" t="s">
        <v>197</v>
      </c>
      <c r="E490" s="52">
        <f>24-21</f>
        <v>3</v>
      </c>
      <c r="F490" s="23" t="s">
        <v>363</v>
      </c>
      <c r="G490" s="23" t="s">
        <v>374</v>
      </c>
    </row>
    <row r="491" spans="1:11" s="23" customFormat="1" x14ac:dyDescent="0.75">
      <c r="A491" s="23" t="s">
        <v>39</v>
      </c>
      <c r="B491" s="24">
        <v>44699</v>
      </c>
      <c r="C491" s="23">
        <v>1</v>
      </c>
      <c r="D491" s="23" t="s">
        <v>191</v>
      </c>
      <c r="E491" s="52">
        <f>14-4</f>
        <v>10</v>
      </c>
      <c r="F491" s="23" t="s">
        <v>363</v>
      </c>
      <c r="G491" s="23" t="s">
        <v>374</v>
      </c>
    </row>
    <row r="492" spans="1:11" s="23" customFormat="1" x14ac:dyDescent="0.75">
      <c r="A492" s="23" t="s">
        <v>39</v>
      </c>
      <c r="B492" s="24">
        <v>44699</v>
      </c>
      <c r="C492" s="23">
        <v>1</v>
      </c>
      <c r="D492" s="23" t="s">
        <v>197</v>
      </c>
      <c r="E492" s="52">
        <v>4</v>
      </c>
      <c r="F492" s="23" t="s">
        <v>363</v>
      </c>
      <c r="G492" s="23" t="s">
        <v>374</v>
      </c>
    </row>
    <row r="493" spans="1:11" s="23" customFormat="1" x14ac:dyDescent="0.75">
      <c r="A493" s="23" t="s">
        <v>39</v>
      </c>
      <c r="B493" s="24">
        <v>44699</v>
      </c>
      <c r="C493" s="23">
        <v>1</v>
      </c>
      <c r="D493" s="23" t="s">
        <v>197</v>
      </c>
      <c r="E493" s="52" t="s">
        <v>363</v>
      </c>
      <c r="F493" s="23" t="s">
        <v>363</v>
      </c>
      <c r="G493" s="23" t="s">
        <v>374</v>
      </c>
      <c r="K493" s="23" t="s">
        <v>747</v>
      </c>
    </row>
    <row r="494" spans="1:11" x14ac:dyDescent="0.75">
      <c r="A494" t="s">
        <v>64</v>
      </c>
      <c r="B494" s="3">
        <v>44699</v>
      </c>
      <c r="C494">
        <v>1</v>
      </c>
      <c r="D494" t="s">
        <v>201</v>
      </c>
      <c r="E494" s="22">
        <f>18-10</f>
        <v>8</v>
      </c>
      <c r="F494">
        <v>3338</v>
      </c>
      <c r="G494" t="s">
        <v>374</v>
      </c>
    </row>
    <row r="495" spans="1:11" x14ac:dyDescent="0.75">
      <c r="A495" t="s">
        <v>64</v>
      </c>
      <c r="B495" s="3">
        <v>44699</v>
      </c>
      <c r="C495">
        <v>1</v>
      </c>
      <c r="D495" t="s">
        <v>201</v>
      </c>
      <c r="E495" s="22">
        <f>26-18</f>
        <v>8</v>
      </c>
      <c r="F495">
        <v>3339</v>
      </c>
      <c r="G495" t="s">
        <v>374</v>
      </c>
    </row>
    <row r="496" spans="1:11" x14ac:dyDescent="0.75">
      <c r="A496" t="s">
        <v>64</v>
      </c>
      <c r="B496" s="3">
        <v>44699</v>
      </c>
      <c r="C496">
        <v>1</v>
      </c>
      <c r="D496" t="s">
        <v>201</v>
      </c>
      <c r="E496" s="22">
        <f>38-36</f>
        <v>2</v>
      </c>
      <c r="F496" t="s">
        <v>363</v>
      </c>
      <c r="G496" t="s">
        <v>733</v>
      </c>
    </row>
    <row r="497" spans="1:11" x14ac:dyDescent="0.75">
      <c r="A497" t="s">
        <v>64</v>
      </c>
      <c r="B497" s="3">
        <v>44699</v>
      </c>
      <c r="C497">
        <v>1</v>
      </c>
      <c r="D497" t="s">
        <v>201</v>
      </c>
      <c r="E497" s="22">
        <f>36-31</f>
        <v>5</v>
      </c>
      <c r="F497" t="s">
        <v>363</v>
      </c>
      <c r="G497" t="s">
        <v>733</v>
      </c>
    </row>
    <row r="498" spans="1:11" x14ac:dyDescent="0.75">
      <c r="A498" t="s">
        <v>64</v>
      </c>
      <c r="B498" s="3">
        <v>44699</v>
      </c>
      <c r="C498">
        <v>1</v>
      </c>
      <c r="D498" t="s">
        <v>160</v>
      </c>
      <c r="E498" s="22">
        <f>31-15</f>
        <v>16</v>
      </c>
      <c r="F498" t="s">
        <v>363</v>
      </c>
      <c r="G498" t="s">
        <v>733</v>
      </c>
    </row>
    <row r="499" spans="1:11" x14ac:dyDescent="0.75">
      <c r="A499" t="s">
        <v>64</v>
      </c>
      <c r="B499" s="3">
        <v>44699</v>
      </c>
      <c r="C499">
        <v>1</v>
      </c>
      <c r="D499" t="s">
        <v>201</v>
      </c>
      <c r="E499" s="22">
        <f>42-38</f>
        <v>4</v>
      </c>
      <c r="F499" t="s">
        <v>363</v>
      </c>
      <c r="G499" t="s">
        <v>361</v>
      </c>
    </row>
    <row r="500" spans="1:11" x14ac:dyDescent="0.75">
      <c r="A500" t="s">
        <v>64</v>
      </c>
      <c r="B500" s="3">
        <v>44699</v>
      </c>
      <c r="C500">
        <v>1</v>
      </c>
      <c r="D500" t="s">
        <v>191</v>
      </c>
      <c r="E500" s="22">
        <f>38-34</f>
        <v>4</v>
      </c>
      <c r="F500" t="s">
        <v>363</v>
      </c>
      <c r="G500" t="s">
        <v>361</v>
      </c>
    </row>
    <row r="501" spans="1:11" x14ac:dyDescent="0.75">
      <c r="A501" t="s">
        <v>64</v>
      </c>
      <c r="B501" s="3">
        <v>44699</v>
      </c>
      <c r="C501">
        <v>1</v>
      </c>
      <c r="D501" t="s">
        <v>160</v>
      </c>
      <c r="E501" s="22" t="s">
        <v>363</v>
      </c>
      <c r="F501" t="s">
        <v>363</v>
      </c>
      <c r="G501" t="s">
        <v>361</v>
      </c>
      <c r="K501" t="s">
        <v>747</v>
      </c>
    </row>
    <row r="502" spans="1:11" x14ac:dyDescent="0.75">
      <c r="A502" t="s">
        <v>64</v>
      </c>
      <c r="B502" s="3">
        <v>44699</v>
      </c>
      <c r="C502">
        <v>1</v>
      </c>
      <c r="D502" t="s">
        <v>201</v>
      </c>
      <c r="E502" s="22">
        <f>37-26</f>
        <v>11</v>
      </c>
      <c r="F502" t="s">
        <v>363</v>
      </c>
      <c r="G502" t="s">
        <v>374</v>
      </c>
    </row>
    <row r="503" spans="1:11" x14ac:dyDescent="0.75">
      <c r="A503" t="s">
        <v>64</v>
      </c>
      <c r="B503" s="3">
        <v>44699</v>
      </c>
      <c r="C503">
        <v>1</v>
      </c>
      <c r="D503" t="s">
        <v>191</v>
      </c>
      <c r="E503" s="22">
        <f>10-7+1</f>
        <v>4</v>
      </c>
      <c r="F503" t="s">
        <v>363</v>
      </c>
      <c r="G503" t="s">
        <v>374</v>
      </c>
    </row>
    <row r="504" spans="1:11" x14ac:dyDescent="0.75">
      <c r="A504" t="s">
        <v>64</v>
      </c>
      <c r="B504" s="3">
        <v>44699</v>
      </c>
      <c r="C504">
        <v>1</v>
      </c>
      <c r="D504" t="s">
        <v>153</v>
      </c>
      <c r="E504" s="22">
        <f>7-3</f>
        <v>4</v>
      </c>
      <c r="F504" t="s">
        <v>363</v>
      </c>
      <c r="G504" t="s">
        <v>374</v>
      </c>
    </row>
    <row r="505" spans="1:11" x14ac:dyDescent="0.75">
      <c r="A505" t="s">
        <v>64</v>
      </c>
      <c r="B505" s="3">
        <v>44699</v>
      </c>
      <c r="C505">
        <v>1</v>
      </c>
      <c r="D505" t="s">
        <v>153</v>
      </c>
      <c r="E505" s="22">
        <f>2</f>
        <v>2</v>
      </c>
      <c r="F505" t="s">
        <v>363</v>
      </c>
      <c r="G505" t="s">
        <v>374</v>
      </c>
    </row>
    <row r="506" spans="1:11" x14ac:dyDescent="0.75">
      <c r="A506" t="s">
        <v>64</v>
      </c>
      <c r="B506" s="3">
        <v>44699</v>
      </c>
      <c r="C506">
        <v>1</v>
      </c>
      <c r="D506" t="s">
        <v>199</v>
      </c>
      <c r="E506" s="22">
        <f>50-44</f>
        <v>6</v>
      </c>
      <c r="F506" t="s">
        <v>363</v>
      </c>
      <c r="G506" t="s">
        <v>374</v>
      </c>
      <c r="K506" t="s">
        <v>769</v>
      </c>
    </row>
    <row r="507" spans="1:11" x14ac:dyDescent="0.75">
      <c r="A507" t="s">
        <v>64</v>
      </c>
      <c r="B507" s="3">
        <v>44699</v>
      </c>
      <c r="C507">
        <v>1</v>
      </c>
      <c r="D507" t="s">
        <v>215</v>
      </c>
      <c r="E507" s="22">
        <f>44-41</f>
        <v>3</v>
      </c>
      <c r="F507" t="s">
        <v>363</v>
      </c>
      <c r="G507" t="s">
        <v>374</v>
      </c>
    </row>
    <row r="508" spans="1:11" x14ac:dyDescent="0.75">
      <c r="A508" t="s">
        <v>64</v>
      </c>
      <c r="B508" s="3">
        <v>44699</v>
      </c>
      <c r="C508">
        <v>1</v>
      </c>
      <c r="D508" t="s">
        <v>191</v>
      </c>
      <c r="E508" s="22">
        <f>41-33</f>
        <v>8</v>
      </c>
      <c r="F508" t="s">
        <v>363</v>
      </c>
      <c r="G508" t="s">
        <v>374</v>
      </c>
    </row>
    <row r="509" spans="1:11" x14ac:dyDescent="0.75">
      <c r="A509" t="s">
        <v>64</v>
      </c>
      <c r="B509" s="3">
        <v>44699</v>
      </c>
      <c r="C509">
        <v>1</v>
      </c>
      <c r="D509" t="s">
        <v>215</v>
      </c>
      <c r="E509" s="22">
        <f>33-31</f>
        <v>2</v>
      </c>
      <c r="F509" t="s">
        <v>363</v>
      </c>
      <c r="G509" t="s">
        <v>374</v>
      </c>
    </row>
    <row r="510" spans="1:11" s="23" customFormat="1" x14ac:dyDescent="0.75">
      <c r="A510" s="23" t="s">
        <v>44</v>
      </c>
      <c r="B510" s="24">
        <v>44701</v>
      </c>
      <c r="C510" s="23">
        <v>1</v>
      </c>
      <c r="D510" s="23" t="s">
        <v>164</v>
      </c>
      <c r="E510" s="52">
        <f>23+44-26</f>
        <v>41</v>
      </c>
      <c r="F510" s="23" t="s">
        <v>363</v>
      </c>
      <c r="G510" s="23" t="s">
        <v>733</v>
      </c>
    </row>
    <row r="511" spans="1:11" s="23" customFormat="1" x14ac:dyDescent="0.75">
      <c r="A511" s="23" t="s">
        <v>44</v>
      </c>
      <c r="B511" s="24">
        <v>44701</v>
      </c>
      <c r="C511" s="23">
        <v>1</v>
      </c>
      <c r="D511" s="23" t="s">
        <v>194</v>
      </c>
      <c r="E511" s="52">
        <f>26+41-27</f>
        <v>40</v>
      </c>
      <c r="F511" s="23" t="s">
        <v>363</v>
      </c>
      <c r="G511" s="23" t="s">
        <v>733</v>
      </c>
    </row>
    <row r="512" spans="1:11" s="23" customFormat="1" x14ac:dyDescent="0.75">
      <c r="A512" s="23" t="s">
        <v>44</v>
      </c>
      <c r="B512" s="24">
        <v>44701</v>
      </c>
      <c r="C512" s="23">
        <v>1</v>
      </c>
      <c r="D512" s="23" t="s">
        <v>176</v>
      </c>
      <c r="E512" s="52">
        <f>28-24</f>
        <v>4</v>
      </c>
      <c r="F512" s="23" t="s">
        <v>363</v>
      </c>
      <c r="G512" s="23" t="s">
        <v>733</v>
      </c>
    </row>
    <row r="513" spans="1:11" s="23" customFormat="1" x14ac:dyDescent="0.75">
      <c r="A513" s="23" t="s">
        <v>44</v>
      </c>
      <c r="B513" s="24">
        <v>44701</v>
      </c>
      <c r="C513" s="23">
        <v>1</v>
      </c>
      <c r="D513" s="23" t="s">
        <v>207</v>
      </c>
      <c r="E513" s="52">
        <f>40-37</f>
        <v>3</v>
      </c>
      <c r="F513" s="23" t="s">
        <v>363</v>
      </c>
      <c r="G513" s="23" t="s">
        <v>361</v>
      </c>
    </row>
    <row r="514" spans="1:11" x14ac:dyDescent="0.75">
      <c r="A514" t="s">
        <v>44</v>
      </c>
      <c r="B514" s="3">
        <v>44701</v>
      </c>
      <c r="C514">
        <v>2</v>
      </c>
      <c r="D514" t="s">
        <v>201</v>
      </c>
      <c r="E514" s="22">
        <f>38-30</f>
        <v>8</v>
      </c>
      <c r="F514" t="s">
        <v>363</v>
      </c>
      <c r="G514" t="s">
        <v>361</v>
      </c>
    </row>
    <row r="515" spans="1:11" x14ac:dyDescent="0.75">
      <c r="A515" t="s">
        <v>44</v>
      </c>
      <c r="B515" s="3">
        <v>44701</v>
      </c>
      <c r="C515">
        <v>2</v>
      </c>
      <c r="D515" t="s">
        <v>191</v>
      </c>
      <c r="E515" s="22">
        <f>30-28</f>
        <v>2</v>
      </c>
      <c r="F515" t="s">
        <v>363</v>
      </c>
      <c r="G515" t="s">
        <v>361</v>
      </c>
    </row>
    <row r="516" spans="1:11" x14ac:dyDescent="0.75">
      <c r="A516" t="s">
        <v>44</v>
      </c>
      <c r="B516" s="3">
        <v>44701</v>
      </c>
      <c r="C516">
        <v>2</v>
      </c>
      <c r="D516" t="s">
        <v>184</v>
      </c>
      <c r="E516" s="22">
        <f>41-37</f>
        <v>4</v>
      </c>
      <c r="F516" t="s">
        <v>363</v>
      </c>
      <c r="G516" t="s">
        <v>733</v>
      </c>
    </row>
    <row r="517" spans="1:11" x14ac:dyDescent="0.75">
      <c r="A517" t="s">
        <v>44</v>
      </c>
      <c r="B517" s="3">
        <v>44701</v>
      </c>
      <c r="C517">
        <v>2</v>
      </c>
      <c r="D517" t="s">
        <v>201</v>
      </c>
      <c r="E517" s="22" t="s">
        <v>363</v>
      </c>
      <c r="F517" t="s">
        <v>363</v>
      </c>
      <c r="G517" t="s">
        <v>733</v>
      </c>
      <c r="K517" t="s">
        <v>770</v>
      </c>
    </row>
    <row r="518" spans="1:11" s="23" customFormat="1" x14ac:dyDescent="0.75">
      <c r="A518" s="23" t="s">
        <v>48</v>
      </c>
      <c r="B518" s="24">
        <v>44701</v>
      </c>
      <c r="C518" s="23">
        <v>1</v>
      </c>
      <c r="D518" s="23" t="s">
        <v>191</v>
      </c>
      <c r="E518" s="52">
        <f>38-35</f>
        <v>3</v>
      </c>
      <c r="F518" s="23" t="s">
        <v>363</v>
      </c>
      <c r="G518" s="23" t="s">
        <v>733</v>
      </c>
    </row>
    <row r="519" spans="1:11" s="23" customFormat="1" x14ac:dyDescent="0.75">
      <c r="A519" s="23" t="s">
        <v>48</v>
      </c>
      <c r="B519" s="24">
        <v>44701</v>
      </c>
      <c r="C519" s="23">
        <v>1</v>
      </c>
      <c r="D519" s="23" t="s">
        <v>197</v>
      </c>
      <c r="E519" s="52">
        <f>35-5</f>
        <v>30</v>
      </c>
      <c r="F519" s="23" t="s">
        <v>363</v>
      </c>
      <c r="G519" s="23" t="s">
        <v>733</v>
      </c>
    </row>
    <row r="520" spans="1:11" s="23" customFormat="1" x14ac:dyDescent="0.75">
      <c r="A520" s="23" t="s">
        <v>48</v>
      </c>
      <c r="B520" s="24">
        <v>44701</v>
      </c>
      <c r="C520" s="23">
        <v>1</v>
      </c>
      <c r="D520" s="23" t="s">
        <v>191</v>
      </c>
      <c r="E520" s="52">
        <f>37-6</f>
        <v>31</v>
      </c>
      <c r="F520" s="23" t="s">
        <v>363</v>
      </c>
      <c r="G520" s="23" t="s">
        <v>361</v>
      </c>
    </row>
    <row r="521" spans="1:11" s="23" customFormat="1" x14ac:dyDescent="0.75">
      <c r="A521" s="23" t="s">
        <v>48</v>
      </c>
      <c r="B521" s="24">
        <v>44701</v>
      </c>
      <c r="C521" s="23">
        <v>1</v>
      </c>
      <c r="D521" s="23" t="s">
        <v>191</v>
      </c>
      <c r="E521" s="52">
        <f>6+37-17</f>
        <v>26</v>
      </c>
      <c r="F521" s="23" t="s">
        <v>363</v>
      </c>
      <c r="G521" s="23" t="s">
        <v>361</v>
      </c>
    </row>
    <row r="522" spans="1:11" s="23" customFormat="1" x14ac:dyDescent="0.75">
      <c r="A522" s="23" t="s">
        <v>48</v>
      </c>
      <c r="B522" s="24">
        <v>44701</v>
      </c>
      <c r="C522" s="23">
        <v>1</v>
      </c>
      <c r="D522" s="23" t="s">
        <v>197</v>
      </c>
      <c r="E522" s="52">
        <f>17-8</f>
        <v>9</v>
      </c>
      <c r="F522" s="23" t="s">
        <v>363</v>
      </c>
      <c r="G522" s="23" t="s">
        <v>361</v>
      </c>
    </row>
    <row r="523" spans="1:11" s="23" customFormat="1" x14ac:dyDescent="0.75">
      <c r="A523" s="23" t="s">
        <v>48</v>
      </c>
      <c r="B523" s="24">
        <v>44701</v>
      </c>
      <c r="C523" s="23">
        <v>1</v>
      </c>
      <c r="D523" s="23" t="s">
        <v>191</v>
      </c>
      <c r="E523" s="52">
        <f>8+31-14</f>
        <v>25</v>
      </c>
      <c r="F523" s="23" t="s">
        <v>363</v>
      </c>
      <c r="G523" s="23" t="s">
        <v>361</v>
      </c>
    </row>
    <row r="524" spans="1:11" s="23" customFormat="1" x14ac:dyDescent="0.75">
      <c r="A524" s="23" t="s">
        <v>48</v>
      </c>
      <c r="B524" s="24">
        <v>44701</v>
      </c>
      <c r="C524" s="23">
        <v>1</v>
      </c>
      <c r="D524" s="23" t="s">
        <v>197</v>
      </c>
      <c r="E524" s="52">
        <f>14-3</f>
        <v>11</v>
      </c>
      <c r="F524" s="23" t="s">
        <v>363</v>
      </c>
      <c r="G524" s="23" t="s">
        <v>361</v>
      </c>
    </row>
    <row r="525" spans="1:11" s="23" customFormat="1" x14ac:dyDescent="0.75">
      <c r="A525" s="23" t="s">
        <v>48</v>
      </c>
      <c r="B525" s="24">
        <v>44701</v>
      </c>
      <c r="C525" s="23">
        <v>1</v>
      </c>
      <c r="D525" s="23" t="s">
        <v>191</v>
      </c>
      <c r="E525" s="52">
        <f>39-38</f>
        <v>1</v>
      </c>
      <c r="F525" s="23" t="s">
        <v>363</v>
      </c>
      <c r="G525" s="23" t="s">
        <v>367</v>
      </c>
    </row>
    <row r="526" spans="1:11" s="23" customFormat="1" x14ac:dyDescent="0.75">
      <c r="A526" s="23" t="s">
        <v>48</v>
      </c>
      <c r="B526" s="24">
        <v>44701</v>
      </c>
      <c r="C526" s="23">
        <v>1</v>
      </c>
      <c r="D526" s="23" t="s">
        <v>201</v>
      </c>
      <c r="E526" s="52">
        <f>37-21</f>
        <v>16</v>
      </c>
      <c r="F526" s="23" t="s">
        <v>363</v>
      </c>
      <c r="G526" s="23" t="s">
        <v>367</v>
      </c>
    </row>
    <row r="527" spans="1:11" s="23" customFormat="1" x14ac:dyDescent="0.75">
      <c r="A527" s="23" t="s">
        <v>48</v>
      </c>
      <c r="B527" s="24">
        <v>44701</v>
      </c>
      <c r="C527" s="23">
        <v>1</v>
      </c>
      <c r="D527" s="23" t="s">
        <v>207</v>
      </c>
      <c r="E527" s="52">
        <f>22-19</f>
        <v>3</v>
      </c>
      <c r="F527" s="23" t="s">
        <v>363</v>
      </c>
      <c r="G527" s="23" t="s">
        <v>367</v>
      </c>
    </row>
    <row r="528" spans="1:11" s="23" customFormat="1" x14ac:dyDescent="0.75">
      <c r="A528" s="23" t="s">
        <v>48</v>
      </c>
      <c r="B528" s="24">
        <v>44701</v>
      </c>
      <c r="C528" s="23">
        <v>1</v>
      </c>
      <c r="D528" s="23" t="s">
        <v>191</v>
      </c>
      <c r="E528" s="52">
        <f>19-17</f>
        <v>2</v>
      </c>
      <c r="F528" s="23" t="s">
        <v>363</v>
      </c>
      <c r="G528" s="23" t="s">
        <v>367</v>
      </c>
    </row>
    <row r="529" spans="1:11" x14ac:dyDescent="0.75">
      <c r="A529" t="s">
        <v>28</v>
      </c>
      <c r="B529" s="3">
        <v>44705</v>
      </c>
      <c r="C529">
        <v>1</v>
      </c>
      <c r="D529" t="s">
        <v>168</v>
      </c>
      <c r="E529" s="22">
        <f>43-12</f>
        <v>31</v>
      </c>
      <c r="F529" t="s">
        <v>363</v>
      </c>
      <c r="G529" t="s">
        <v>733</v>
      </c>
      <c r="K529" t="s">
        <v>771</v>
      </c>
    </row>
    <row r="530" spans="1:11" x14ac:dyDescent="0.75">
      <c r="A530" t="s">
        <v>28</v>
      </c>
      <c r="B530" s="3">
        <v>44705</v>
      </c>
      <c r="C530">
        <v>1</v>
      </c>
      <c r="D530" t="s">
        <v>172</v>
      </c>
      <c r="E530" s="22">
        <f>12-2</f>
        <v>10</v>
      </c>
      <c r="F530" t="s">
        <v>363</v>
      </c>
      <c r="G530" t="s">
        <v>733</v>
      </c>
    </row>
    <row r="531" spans="1:11" x14ac:dyDescent="0.75">
      <c r="A531" t="s">
        <v>28</v>
      </c>
      <c r="B531" s="3">
        <v>44705</v>
      </c>
      <c r="C531">
        <v>1</v>
      </c>
      <c r="D531" t="s">
        <v>194</v>
      </c>
      <c r="E531" s="22" t="s">
        <v>363</v>
      </c>
      <c r="F531" t="s">
        <v>363</v>
      </c>
      <c r="G531" t="s">
        <v>733</v>
      </c>
      <c r="K531" t="s">
        <v>762</v>
      </c>
    </row>
    <row r="532" spans="1:11" x14ac:dyDescent="0.75">
      <c r="A532" t="s">
        <v>28</v>
      </c>
      <c r="B532" s="3">
        <v>44705</v>
      </c>
      <c r="C532">
        <v>1</v>
      </c>
      <c r="D532" t="s">
        <v>168</v>
      </c>
      <c r="E532" s="22" t="s">
        <v>363</v>
      </c>
      <c r="F532" t="s">
        <v>363</v>
      </c>
      <c r="G532" t="s">
        <v>733</v>
      </c>
      <c r="K532" t="s">
        <v>762</v>
      </c>
    </row>
    <row r="533" spans="1:11" x14ac:dyDescent="0.75">
      <c r="A533" t="s">
        <v>28</v>
      </c>
      <c r="B533" s="3">
        <v>44705</v>
      </c>
      <c r="C533">
        <v>1</v>
      </c>
      <c r="D533" t="s">
        <v>168</v>
      </c>
      <c r="E533" s="22">
        <f>19+33-26</f>
        <v>26</v>
      </c>
      <c r="F533" t="s">
        <v>363</v>
      </c>
      <c r="G533" t="s">
        <v>733</v>
      </c>
    </row>
    <row r="534" spans="1:11" x14ac:dyDescent="0.75">
      <c r="A534" t="s">
        <v>28</v>
      </c>
      <c r="B534" s="3">
        <v>44705</v>
      </c>
      <c r="C534">
        <v>1</v>
      </c>
      <c r="D534" t="s">
        <v>168</v>
      </c>
      <c r="E534" s="22">
        <f>26-21</f>
        <v>5</v>
      </c>
      <c r="F534" t="s">
        <v>363</v>
      </c>
      <c r="G534" t="s">
        <v>733</v>
      </c>
    </row>
    <row r="535" spans="1:11" x14ac:dyDescent="0.75">
      <c r="A535" t="s">
        <v>28</v>
      </c>
      <c r="B535" s="3">
        <v>44705</v>
      </c>
      <c r="C535">
        <v>1</v>
      </c>
      <c r="D535" t="s">
        <v>197</v>
      </c>
      <c r="E535" s="22">
        <f>21+36-24</f>
        <v>33</v>
      </c>
      <c r="F535" t="s">
        <v>363</v>
      </c>
      <c r="G535" t="s">
        <v>733</v>
      </c>
    </row>
    <row r="536" spans="1:11" x14ac:dyDescent="0.75">
      <c r="A536" t="s">
        <v>28</v>
      </c>
      <c r="B536" s="3">
        <v>44705</v>
      </c>
      <c r="C536">
        <v>1</v>
      </c>
      <c r="D536" t="s">
        <v>168</v>
      </c>
      <c r="E536" s="22">
        <f>24-11</f>
        <v>13</v>
      </c>
      <c r="F536" t="s">
        <v>363</v>
      </c>
      <c r="G536" t="s">
        <v>733</v>
      </c>
    </row>
    <row r="537" spans="1:11" x14ac:dyDescent="0.75">
      <c r="A537" t="s">
        <v>28</v>
      </c>
      <c r="B537" s="3">
        <v>44705</v>
      </c>
      <c r="C537">
        <v>1</v>
      </c>
      <c r="D537" t="s">
        <v>168</v>
      </c>
      <c r="E537" s="22">
        <f>11+24-19</f>
        <v>16</v>
      </c>
      <c r="F537" t="s">
        <v>363</v>
      </c>
      <c r="G537" t="s">
        <v>733</v>
      </c>
    </row>
    <row r="538" spans="1:11" x14ac:dyDescent="0.75">
      <c r="A538" t="s">
        <v>28</v>
      </c>
      <c r="B538" s="3">
        <v>44705</v>
      </c>
      <c r="C538">
        <v>1</v>
      </c>
      <c r="D538" t="s">
        <v>168</v>
      </c>
      <c r="E538" s="22">
        <f>19-7</f>
        <v>12</v>
      </c>
      <c r="F538" t="s">
        <v>363</v>
      </c>
      <c r="G538" t="s">
        <v>733</v>
      </c>
      <c r="K538" t="s">
        <v>771</v>
      </c>
    </row>
    <row r="539" spans="1:11" x14ac:dyDescent="0.75">
      <c r="A539" t="s">
        <v>28</v>
      </c>
      <c r="B539" s="3">
        <v>44705</v>
      </c>
      <c r="C539">
        <v>1</v>
      </c>
      <c r="D539" t="s">
        <v>172</v>
      </c>
      <c r="E539" s="22">
        <f>7+33-31</f>
        <v>9</v>
      </c>
      <c r="F539" t="s">
        <v>363</v>
      </c>
      <c r="G539" t="s">
        <v>733</v>
      </c>
    </row>
    <row r="540" spans="1:11" x14ac:dyDescent="0.75">
      <c r="A540" t="s">
        <v>28</v>
      </c>
      <c r="B540" s="3">
        <v>44705</v>
      </c>
      <c r="C540">
        <v>1</v>
      </c>
      <c r="D540" t="s">
        <v>168</v>
      </c>
      <c r="E540" s="22">
        <f>31-27</f>
        <v>4</v>
      </c>
      <c r="F540" t="s">
        <v>363</v>
      </c>
      <c r="G540" t="s">
        <v>733</v>
      </c>
    </row>
    <row r="541" spans="1:11" x14ac:dyDescent="0.75">
      <c r="A541" t="s">
        <v>28</v>
      </c>
      <c r="B541" s="3">
        <v>44705</v>
      </c>
      <c r="C541">
        <v>1</v>
      </c>
      <c r="D541" t="s">
        <v>168</v>
      </c>
      <c r="E541" s="22">
        <f>27-6</f>
        <v>21</v>
      </c>
      <c r="F541" t="s">
        <v>363</v>
      </c>
      <c r="G541" t="s">
        <v>733</v>
      </c>
      <c r="K541" t="s">
        <v>771</v>
      </c>
    </row>
    <row r="542" spans="1:11" x14ac:dyDescent="0.75">
      <c r="A542" t="s">
        <v>28</v>
      </c>
      <c r="B542" s="3">
        <v>44705</v>
      </c>
      <c r="C542">
        <v>1</v>
      </c>
      <c r="D542" t="s">
        <v>172</v>
      </c>
      <c r="E542" s="22">
        <f>6+37-19</f>
        <v>24</v>
      </c>
      <c r="F542" t="s">
        <v>363</v>
      </c>
      <c r="G542" t="s">
        <v>733</v>
      </c>
    </row>
    <row r="543" spans="1:11" x14ac:dyDescent="0.75">
      <c r="A543" t="s">
        <v>28</v>
      </c>
      <c r="B543" s="3">
        <v>44705</v>
      </c>
      <c r="C543">
        <v>1</v>
      </c>
      <c r="D543" t="s">
        <v>172</v>
      </c>
      <c r="E543" s="22">
        <f>19-13</f>
        <v>6</v>
      </c>
      <c r="F543" t="s">
        <v>363</v>
      </c>
      <c r="G543" t="s">
        <v>733</v>
      </c>
    </row>
    <row r="544" spans="1:11" x14ac:dyDescent="0.75">
      <c r="A544" t="s">
        <v>28</v>
      </c>
      <c r="B544" s="3">
        <v>44705</v>
      </c>
      <c r="C544">
        <v>1</v>
      </c>
      <c r="D544" t="s">
        <v>168</v>
      </c>
      <c r="E544" s="22">
        <f>12</f>
        <v>12</v>
      </c>
      <c r="F544" t="s">
        <v>363</v>
      </c>
      <c r="G544" t="s">
        <v>733</v>
      </c>
    </row>
    <row r="545" spans="1:11" x14ac:dyDescent="0.75">
      <c r="A545" t="s">
        <v>28</v>
      </c>
      <c r="B545" s="3">
        <v>44705</v>
      </c>
      <c r="C545">
        <v>1</v>
      </c>
      <c r="D545" t="s">
        <v>168</v>
      </c>
      <c r="E545" s="22">
        <f>45-20</f>
        <v>25</v>
      </c>
      <c r="F545" t="s">
        <v>363</v>
      </c>
      <c r="G545" t="s">
        <v>361</v>
      </c>
    </row>
    <row r="546" spans="1:11" x14ac:dyDescent="0.75">
      <c r="A546" t="s">
        <v>28</v>
      </c>
      <c r="B546" s="3">
        <v>44705</v>
      </c>
      <c r="C546">
        <v>1</v>
      </c>
      <c r="D546" t="s">
        <v>168</v>
      </c>
      <c r="E546" s="22">
        <f>20-7</f>
        <v>13</v>
      </c>
      <c r="F546" t="s">
        <v>363</v>
      </c>
      <c r="G546" t="s">
        <v>361</v>
      </c>
    </row>
    <row r="547" spans="1:11" x14ac:dyDescent="0.75">
      <c r="A547" t="s">
        <v>28</v>
      </c>
      <c r="B547" s="3">
        <v>44705</v>
      </c>
      <c r="C547">
        <v>1</v>
      </c>
      <c r="D547" t="s">
        <v>168</v>
      </c>
      <c r="E547" s="22">
        <f>7</f>
        <v>7</v>
      </c>
      <c r="F547" t="s">
        <v>363</v>
      </c>
      <c r="G547" t="s">
        <v>361</v>
      </c>
    </row>
    <row r="548" spans="1:11" x14ac:dyDescent="0.75">
      <c r="A548" t="s">
        <v>28</v>
      </c>
      <c r="B548" s="3">
        <v>44705</v>
      </c>
      <c r="C548">
        <v>1</v>
      </c>
      <c r="D548" t="s">
        <v>197</v>
      </c>
      <c r="E548" s="22">
        <f>28-7</f>
        <v>21</v>
      </c>
      <c r="F548" t="s">
        <v>363</v>
      </c>
      <c r="G548" t="s">
        <v>361</v>
      </c>
    </row>
    <row r="549" spans="1:11" x14ac:dyDescent="0.75">
      <c r="A549" t="s">
        <v>28</v>
      </c>
      <c r="B549" s="3">
        <v>44705</v>
      </c>
      <c r="C549">
        <v>1</v>
      </c>
      <c r="D549" t="s">
        <v>191</v>
      </c>
      <c r="E549" s="22">
        <f>7-2</f>
        <v>5</v>
      </c>
      <c r="F549" t="s">
        <v>363</v>
      </c>
      <c r="G549" t="s">
        <v>361</v>
      </c>
    </row>
    <row r="550" spans="1:11" x14ac:dyDescent="0.75">
      <c r="A550" t="s">
        <v>28</v>
      </c>
      <c r="B550" s="3">
        <v>44705</v>
      </c>
      <c r="C550">
        <v>1</v>
      </c>
      <c r="D550" t="s">
        <v>168</v>
      </c>
      <c r="E550" s="22">
        <f>2+37-32</f>
        <v>7</v>
      </c>
      <c r="F550" t="s">
        <v>363</v>
      </c>
      <c r="G550" t="s">
        <v>361</v>
      </c>
    </row>
    <row r="551" spans="1:11" x14ac:dyDescent="0.75">
      <c r="A551" t="s">
        <v>28</v>
      </c>
      <c r="B551" s="3">
        <v>44705</v>
      </c>
      <c r="C551">
        <v>1</v>
      </c>
      <c r="D551" t="s">
        <v>168</v>
      </c>
      <c r="E551" s="22">
        <f>32-18</f>
        <v>14</v>
      </c>
      <c r="F551" t="s">
        <v>363</v>
      </c>
      <c r="G551" t="s">
        <v>361</v>
      </c>
    </row>
    <row r="552" spans="1:11" x14ac:dyDescent="0.75">
      <c r="A552" t="s">
        <v>28</v>
      </c>
      <c r="B552" s="3">
        <v>44705</v>
      </c>
      <c r="C552">
        <v>1</v>
      </c>
      <c r="D552" t="s">
        <v>168</v>
      </c>
      <c r="E552" s="22" t="s">
        <v>363</v>
      </c>
      <c r="F552" t="s">
        <v>363</v>
      </c>
      <c r="G552" t="s">
        <v>361</v>
      </c>
      <c r="K552" t="s">
        <v>772</v>
      </c>
    </row>
    <row r="553" spans="1:11" x14ac:dyDescent="0.75">
      <c r="A553" t="s">
        <v>28</v>
      </c>
      <c r="B553" s="3">
        <v>44705</v>
      </c>
      <c r="C553">
        <v>1</v>
      </c>
      <c r="D553" t="s">
        <v>168</v>
      </c>
      <c r="E553" s="22">
        <f>47-13</f>
        <v>34</v>
      </c>
      <c r="F553" t="s">
        <v>363</v>
      </c>
      <c r="G553" t="s">
        <v>361</v>
      </c>
    </row>
    <row r="554" spans="1:11" x14ac:dyDescent="0.75">
      <c r="A554" t="s">
        <v>28</v>
      </c>
      <c r="B554" s="3">
        <v>44705</v>
      </c>
      <c r="C554">
        <v>1</v>
      </c>
      <c r="D554" t="s">
        <v>197</v>
      </c>
      <c r="E554" s="22">
        <f>13-12</f>
        <v>1</v>
      </c>
      <c r="F554" t="s">
        <v>363</v>
      </c>
      <c r="G554" t="s">
        <v>361</v>
      </c>
    </row>
    <row r="555" spans="1:11" x14ac:dyDescent="0.75">
      <c r="A555" t="s">
        <v>28</v>
      </c>
      <c r="B555" s="3">
        <v>44705</v>
      </c>
      <c r="C555">
        <v>1</v>
      </c>
      <c r="D555" t="s">
        <v>160</v>
      </c>
      <c r="E555" s="22">
        <f>12-8</f>
        <v>4</v>
      </c>
      <c r="F555" t="s">
        <v>363</v>
      </c>
      <c r="G555" t="s">
        <v>361</v>
      </c>
    </row>
    <row r="556" spans="1:11" s="23" customFormat="1" x14ac:dyDescent="0.75">
      <c r="A556" s="23" t="s">
        <v>69</v>
      </c>
      <c r="B556" s="24">
        <v>44706</v>
      </c>
      <c r="C556" s="23">
        <v>1</v>
      </c>
      <c r="D556" s="23" t="s">
        <v>191</v>
      </c>
      <c r="E556" s="52">
        <f>41-35</f>
        <v>6</v>
      </c>
      <c r="F556" s="23" t="s">
        <v>363</v>
      </c>
      <c r="G556" s="23" t="s">
        <v>361</v>
      </c>
    </row>
    <row r="557" spans="1:11" s="23" customFormat="1" x14ac:dyDescent="0.75">
      <c r="A557" s="23" t="s">
        <v>69</v>
      </c>
      <c r="B557" s="24">
        <v>44706</v>
      </c>
      <c r="C557" s="23">
        <v>1</v>
      </c>
      <c r="D557" s="23" t="s">
        <v>207</v>
      </c>
      <c r="E557" s="52">
        <f>35-29</f>
        <v>6</v>
      </c>
      <c r="F557" s="23" t="s">
        <v>363</v>
      </c>
      <c r="G557" s="23" t="s">
        <v>361</v>
      </c>
    </row>
    <row r="558" spans="1:11" s="23" customFormat="1" x14ac:dyDescent="0.75">
      <c r="A558" s="23" t="s">
        <v>69</v>
      </c>
      <c r="B558" s="24">
        <v>44706</v>
      </c>
      <c r="C558" s="23">
        <v>1</v>
      </c>
      <c r="D558" s="23" t="s">
        <v>191</v>
      </c>
      <c r="E558" s="52">
        <f>29-12</f>
        <v>17</v>
      </c>
      <c r="F558" s="23" t="s">
        <v>363</v>
      </c>
      <c r="G558" s="23" t="s">
        <v>361</v>
      </c>
    </row>
    <row r="559" spans="1:11" s="23" customFormat="1" x14ac:dyDescent="0.75">
      <c r="A559" s="23" t="s">
        <v>69</v>
      </c>
      <c r="B559" s="24">
        <v>44706</v>
      </c>
      <c r="C559" s="23">
        <v>1</v>
      </c>
      <c r="D559" s="23" t="s">
        <v>201</v>
      </c>
      <c r="E559" s="52" t="s">
        <v>363</v>
      </c>
      <c r="F559" s="23" t="s">
        <v>363</v>
      </c>
      <c r="G559" s="23" t="s">
        <v>361</v>
      </c>
      <c r="K559" s="23" t="s">
        <v>762</v>
      </c>
    </row>
    <row r="560" spans="1:11" s="23" customFormat="1" x14ac:dyDescent="0.75">
      <c r="A560" s="23" t="s">
        <v>69</v>
      </c>
      <c r="B560" s="24">
        <v>44706</v>
      </c>
      <c r="C560" s="23">
        <v>1</v>
      </c>
      <c r="D560" s="23" t="s">
        <v>191</v>
      </c>
      <c r="E560" s="52">
        <f>30-23</f>
        <v>7</v>
      </c>
      <c r="F560" s="23" t="s">
        <v>363</v>
      </c>
      <c r="G560" s="23" t="s">
        <v>361</v>
      </c>
    </row>
    <row r="561" spans="1:7" s="23" customFormat="1" x14ac:dyDescent="0.75">
      <c r="A561" s="23" t="s">
        <v>69</v>
      </c>
      <c r="B561" s="24">
        <v>44706</v>
      </c>
      <c r="C561" s="23">
        <v>1</v>
      </c>
      <c r="D561" s="23" t="s">
        <v>201</v>
      </c>
      <c r="E561" s="52">
        <f>23-20</f>
        <v>3</v>
      </c>
      <c r="F561" s="23" t="s">
        <v>363</v>
      </c>
      <c r="G561" s="23" t="s">
        <v>361</v>
      </c>
    </row>
    <row r="562" spans="1:7" s="23" customFormat="1" x14ac:dyDescent="0.75">
      <c r="A562" s="23" t="s">
        <v>69</v>
      </c>
      <c r="B562" s="24">
        <v>44706</v>
      </c>
      <c r="C562" s="23">
        <v>1</v>
      </c>
      <c r="D562" s="23" t="s">
        <v>201</v>
      </c>
      <c r="E562" s="52">
        <f>20-16</f>
        <v>4</v>
      </c>
      <c r="F562" s="23" t="s">
        <v>363</v>
      </c>
      <c r="G562" s="23" t="s">
        <v>361</v>
      </c>
    </row>
    <row r="563" spans="1:7" s="23" customFormat="1" x14ac:dyDescent="0.75">
      <c r="A563" s="23" t="s">
        <v>69</v>
      </c>
      <c r="B563" s="24">
        <v>44706</v>
      </c>
      <c r="C563" s="23">
        <v>1</v>
      </c>
      <c r="D563" s="23" t="s">
        <v>207</v>
      </c>
      <c r="E563" s="52">
        <f>16-4</f>
        <v>12</v>
      </c>
      <c r="F563" s="23" t="s">
        <v>363</v>
      </c>
      <c r="G563" s="23" t="s">
        <v>361</v>
      </c>
    </row>
    <row r="564" spans="1:7" s="23" customFormat="1" x14ac:dyDescent="0.75">
      <c r="A564" s="23" t="s">
        <v>69</v>
      </c>
      <c r="B564" s="24">
        <v>44706</v>
      </c>
      <c r="C564" s="23">
        <v>1</v>
      </c>
      <c r="D564" s="23" t="s">
        <v>164</v>
      </c>
      <c r="E564" s="52">
        <f>14-5</f>
        <v>9</v>
      </c>
      <c r="F564" s="23" t="s">
        <v>363</v>
      </c>
      <c r="G564" s="23" t="s">
        <v>361</v>
      </c>
    </row>
    <row r="565" spans="1:7" s="23" customFormat="1" x14ac:dyDescent="0.75">
      <c r="A565" s="23" t="s">
        <v>69</v>
      </c>
      <c r="B565" s="24">
        <v>44706</v>
      </c>
      <c r="C565" s="23">
        <v>1</v>
      </c>
      <c r="D565" s="23" t="s">
        <v>207</v>
      </c>
      <c r="E565" s="52">
        <f>5-2</f>
        <v>3</v>
      </c>
      <c r="F565" s="23" t="s">
        <v>363</v>
      </c>
      <c r="G565" s="23" t="s">
        <v>361</v>
      </c>
    </row>
    <row r="566" spans="1:7" s="23" customFormat="1" x14ac:dyDescent="0.75">
      <c r="A566" s="23" t="s">
        <v>69</v>
      </c>
      <c r="B566" s="24">
        <v>44706</v>
      </c>
      <c r="C566" s="23">
        <v>1</v>
      </c>
      <c r="D566" s="23" t="s">
        <v>197</v>
      </c>
      <c r="E566" s="52">
        <f>2+39-36</f>
        <v>5</v>
      </c>
      <c r="F566" s="23" t="s">
        <v>363</v>
      </c>
      <c r="G566" s="23" t="s">
        <v>361</v>
      </c>
    </row>
    <row r="567" spans="1:7" s="23" customFormat="1" x14ac:dyDescent="0.75">
      <c r="A567" s="23" t="s">
        <v>69</v>
      </c>
      <c r="B567" s="24">
        <v>44706</v>
      </c>
      <c r="C567" s="23">
        <v>1</v>
      </c>
      <c r="D567" s="23" t="s">
        <v>207</v>
      </c>
      <c r="E567" s="52">
        <f>36-32</f>
        <v>4</v>
      </c>
      <c r="F567" s="23" t="s">
        <v>363</v>
      </c>
      <c r="G567" s="23" t="s">
        <v>361</v>
      </c>
    </row>
    <row r="568" spans="1:7" s="23" customFormat="1" x14ac:dyDescent="0.75">
      <c r="A568" s="23" t="s">
        <v>69</v>
      </c>
      <c r="B568" s="24">
        <v>44706</v>
      </c>
      <c r="C568" s="23">
        <v>1</v>
      </c>
      <c r="D568" s="23" t="s">
        <v>207</v>
      </c>
      <c r="E568" s="52">
        <f>32-23</f>
        <v>9</v>
      </c>
      <c r="F568" s="23" t="s">
        <v>363</v>
      </c>
      <c r="G568" s="23" t="s">
        <v>361</v>
      </c>
    </row>
    <row r="569" spans="1:7" s="23" customFormat="1" x14ac:dyDescent="0.75">
      <c r="A569" s="23" t="s">
        <v>69</v>
      </c>
      <c r="B569" s="24">
        <v>44706</v>
      </c>
      <c r="C569" s="23">
        <v>1</v>
      </c>
      <c r="D569" s="23" t="s">
        <v>207</v>
      </c>
      <c r="E569" s="52">
        <f>23-18</f>
        <v>5</v>
      </c>
      <c r="F569" s="23" t="s">
        <v>363</v>
      </c>
      <c r="G569" s="23" t="s">
        <v>361</v>
      </c>
    </row>
    <row r="570" spans="1:7" s="23" customFormat="1" x14ac:dyDescent="0.75">
      <c r="A570" s="23" t="s">
        <v>69</v>
      </c>
      <c r="B570" s="24">
        <v>44706</v>
      </c>
      <c r="C570" s="23">
        <v>1</v>
      </c>
      <c r="D570" s="23" t="s">
        <v>201</v>
      </c>
      <c r="E570" s="52">
        <f>18-10</f>
        <v>8</v>
      </c>
      <c r="F570" s="23" t="s">
        <v>363</v>
      </c>
      <c r="G570" s="23" t="s">
        <v>361</v>
      </c>
    </row>
    <row r="571" spans="1:7" s="23" customFormat="1" x14ac:dyDescent="0.75">
      <c r="A571" s="23" t="s">
        <v>69</v>
      </c>
      <c r="B571" s="24">
        <v>44706</v>
      </c>
      <c r="C571" s="23">
        <v>1</v>
      </c>
      <c r="D571" s="23" t="s">
        <v>201</v>
      </c>
      <c r="E571" s="52">
        <f>10-8</f>
        <v>2</v>
      </c>
      <c r="F571" s="23" t="s">
        <v>363</v>
      </c>
      <c r="G571" s="23" t="s">
        <v>361</v>
      </c>
    </row>
    <row r="572" spans="1:7" s="23" customFormat="1" x14ac:dyDescent="0.75">
      <c r="A572" s="23" t="s">
        <v>69</v>
      </c>
      <c r="B572" s="24">
        <v>44706</v>
      </c>
      <c r="C572" s="23">
        <v>1</v>
      </c>
      <c r="D572" s="23" t="s">
        <v>199</v>
      </c>
      <c r="E572" s="52">
        <f>37-4</f>
        <v>33</v>
      </c>
      <c r="F572" s="23" t="s">
        <v>363</v>
      </c>
      <c r="G572" s="23" t="s">
        <v>374</v>
      </c>
    </row>
    <row r="573" spans="1:7" s="23" customFormat="1" x14ac:dyDescent="0.75">
      <c r="A573" s="23" t="s">
        <v>69</v>
      </c>
      <c r="B573" s="24">
        <v>44706</v>
      </c>
      <c r="C573" s="23">
        <v>1</v>
      </c>
      <c r="D573" s="23" t="s">
        <v>207</v>
      </c>
      <c r="E573" s="52">
        <f>40-18</f>
        <v>22</v>
      </c>
      <c r="F573" s="23" t="s">
        <v>363</v>
      </c>
      <c r="G573" s="23" t="s">
        <v>374</v>
      </c>
    </row>
    <row r="574" spans="1:7" s="23" customFormat="1" x14ac:dyDescent="0.75">
      <c r="A574" s="23" t="s">
        <v>69</v>
      </c>
      <c r="B574" s="24">
        <v>44706</v>
      </c>
      <c r="C574" s="23">
        <v>1</v>
      </c>
      <c r="D574" s="23" t="s">
        <v>197</v>
      </c>
      <c r="E574" s="52">
        <f>18-8</f>
        <v>10</v>
      </c>
      <c r="F574" s="23" t="s">
        <v>363</v>
      </c>
      <c r="G574" s="23" t="s">
        <v>374</v>
      </c>
    </row>
    <row r="575" spans="1:7" s="23" customFormat="1" x14ac:dyDescent="0.75">
      <c r="A575" s="23" t="s">
        <v>69</v>
      </c>
      <c r="B575" s="24">
        <v>44706</v>
      </c>
      <c r="C575" s="23">
        <v>1</v>
      </c>
      <c r="D575" s="23" t="s">
        <v>172</v>
      </c>
      <c r="E575" s="52">
        <f>8</f>
        <v>8</v>
      </c>
      <c r="F575" s="23" t="s">
        <v>363</v>
      </c>
      <c r="G575" s="23" t="s">
        <v>374</v>
      </c>
    </row>
    <row r="576" spans="1:7" s="23" customFormat="1" x14ac:dyDescent="0.75">
      <c r="A576" s="23" t="s">
        <v>69</v>
      </c>
      <c r="B576" s="24">
        <v>44706</v>
      </c>
      <c r="C576" s="23">
        <v>1</v>
      </c>
      <c r="D576" s="23" t="s">
        <v>172</v>
      </c>
      <c r="E576" s="52">
        <f>42-36</f>
        <v>6</v>
      </c>
      <c r="F576" s="23" t="s">
        <v>363</v>
      </c>
      <c r="G576" s="23" t="s">
        <v>374</v>
      </c>
    </row>
    <row r="577" spans="1:7" s="23" customFormat="1" x14ac:dyDescent="0.75">
      <c r="A577" s="23" t="s">
        <v>69</v>
      </c>
      <c r="B577" s="24">
        <v>44706</v>
      </c>
      <c r="C577" s="23">
        <v>1</v>
      </c>
      <c r="D577" s="23" t="s">
        <v>172</v>
      </c>
      <c r="E577" s="52">
        <f>36-34</f>
        <v>2</v>
      </c>
      <c r="F577" s="23" t="s">
        <v>363</v>
      </c>
      <c r="G577" s="23" t="s">
        <v>374</v>
      </c>
    </row>
    <row r="578" spans="1:7" s="23" customFormat="1" x14ac:dyDescent="0.75">
      <c r="A578" s="23" t="s">
        <v>69</v>
      </c>
      <c r="B578" s="24">
        <v>44706</v>
      </c>
      <c r="C578" s="23">
        <v>1</v>
      </c>
      <c r="D578" s="23" t="s">
        <v>172</v>
      </c>
      <c r="E578" s="52">
        <f>34-31</f>
        <v>3</v>
      </c>
      <c r="F578" s="23" t="s">
        <v>363</v>
      </c>
      <c r="G578" s="23" t="s">
        <v>374</v>
      </c>
    </row>
    <row r="579" spans="1:7" s="23" customFormat="1" x14ac:dyDescent="0.75">
      <c r="A579" s="23" t="s">
        <v>69</v>
      </c>
      <c r="B579" s="24">
        <v>44706</v>
      </c>
      <c r="C579" s="23">
        <v>1</v>
      </c>
      <c r="D579" s="23" t="s">
        <v>168</v>
      </c>
      <c r="E579" s="52">
        <f>31-10</f>
        <v>21</v>
      </c>
      <c r="F579" s="23" t="s">
        <v>363</v>
      </c>
      <c r="G579" s="23" t="s">
        <v>374</v>
      </c>
    </row>
    <row r="580" spans="1:7" s="23" customFormat="1" x14ac:dyDescent="0.75">
      <c r="A580" s="23" t="s">
        <v>69</v>
      </c>
      <c r="B580" s="24">
        <v>44706</v>
      </c>
      <c r="C580" s="23">
        <v>1</v>
      </c>
      <c r="D580" s="23" t="s">
        <v>172</v>
      </c>
      <c r="E580" s="52">
        <f>10-7</f>
        <v>3</v>
      </c>
      <c r="F580" s="23" t="s">
        <v>363</v>
      </c>
      <c r="G580" s="23" t="s">
        <v>374</v>
      </c>
    </row>
    <row r="581" spans="1:7" s="23" customFormat="1" x14ac:dyDescent="0.75">
      <c r="A581" s="23" t="s">
        <v>69</v>
      </c>
      <c r="B581" s="24">
        <v>44706</v>
      </c>
      <c r="C581" s="23">
        <v>1</v>
      </c>
      <c r="D581" s="23" t="s">
        <v>207</v>
      </c>
      <c r="E581" s="52">
        <f>43-41</f>
        <v>2</v>
      </c>
      <c r="F581" s="23" t="s">
        <v>363</v>
      </c>
      <c r="G581" s="23" t="s">
        <v>367</v>
      </c>
    </row>
    <row r="582" spans="1:7" s="23" customFormat="1" x14ac:dyDescent="0.75">
      <c r="A582" s="23" t="s">
        <v>69</v>
      </c>
      <c r="B582" s="24">
        <v>44706</v>
      </c>
      <c r="C582" s="23">
        <v>1</v>
      </c>
      <c r="D582" s="23" t="s">
        <v>197</v>
      </c>
      <c r="E582" s="52">
        <f>41-22</f>
        <v>19</v>
      </c>
      <c r="F582" s="23">
        <v>4122</v>
      </c>
      <c r="G582" s="23" t="s">
        <v>367</v>
      </c>
    </row>
    <row r="583" spans="1:7" s="23" customFormat="1" x14ac:dyDescent="0.75">
      <c r="A583" s="23" t="s">
        <v>69</v>
      </c>
      <c r="B583" s="24">
        <v>44706</v>
      </c>
      <c r="C583" s="23">
        <v>1</v>
      </c>
      <c r="D583" s="23" t="s">
        <v>191</v>
      </c>
      <c r="E583" s="52">
        <f>22-17</f>
        <v>5</v>
      </c>
      <c r="F583" s="23" t="s">
        <v>363</v>
      </c>
      <c r="G583" s="23" t="s">
        <v>367</v>
      </c>
    </row>
    <row r="584" spans="1:7" s="23" customFormat="1" x14ac:dyDescent="0.75">
      <c r="A584" s="23" t="s">
        <v>69</v>
      </c>
      <c r="B584" s="24">
        <v>44706</v>
      </c>
      <c r="C584" s="23">
        <v>1</v>
      </c>
      <c r="D584" s="23" t="s">
        <v>207</v>
      </c>
      <c r="E584" s="52">
        <f>17-16</f>
        <v>1</v>
      </c>
      <c r="F584" s="23" t="s">
        <v>363</v>
      </c>
      <c r="G584" s="23" t="s">
        <v>367</v>
      </c>
    </row>
    <row r="585" spans="1:7" s="23" customFormat="1" x14ac:dyDescent="0.75">
      <c r="A585" s="23" t="s">
        <v>69</v>
      </c>
      <c r="B585" s="24">
        <v>44706</v>
      </c>
      <c r="C585" s="23">
        <v>1</v>
      </c>
      <c r="D585" s="23" t="s">
        <v>207</v>
      </c>
      <c r="E585" s="52">
        <f>16-14</f>
        <v>2</v>
      </c>
      <c r="F585" s="23" t="s">
        <v>363</v>
      </c>
      <c r="G585" s="23" t="s">
        <v>367</v>
      </c>
    </row>
    <row r="586" spans="1:7" s="23" customFormat="1" x14ac:dyDescent="0.75">
      <c r="A586" s="23" t="s">
        <v>69</v>
      </c>
      <c r="B586" s="24">
        <v>44706</v>
      </c>
      <c r="C586" s="23">
        <v>1</v>
      </c>
      <c r="D586" s="23" t="s">
        <v>207</v>
      </c>
      <c r="E586" s="52">
        <f>14-10</f>
        <v>4</v>
      </c>
      <c r="F586" s="23" t="s">
        <v>363</v>
      </c>
      <c r="G586" s="23" t="s">
        <v>367</v>
      </c>
    </row>
    <row r="587" spans="1:7" s="23" customFormat="1" x14ac:dyDescent="0.75">
      <c r="A587" s="23" t="s">
        <v>69</v>
      </c>
      <c r="B587" s="24">
        <v>44706</v>
      </c>
      <c r="C587" s="23">
        <v>1</v>
      </c>
      <c r="D587" s="23" t="s">
        <v>168</v>
      </c>
      <c r="E587" s="52">
        <f>10-8</f>
        <v>2</v>
      </c>
      <c r="F587" s="23" t="s">
        <v>363</v>
      </c>
      <c r="G587" s="23" t="s">
        <v>367</v>
      </c>
    </row>
    <row r="588" spans="1:7" s="23" customFormat="1" x14ac:dyDescent="0.75">
      <c r="A588" s="23" t="s">
        <v>69</v>
      </c>
      <c r="B588" s="24">
        <v>44706</v>
      </c>
      <c r="C588" s="23">
        <v>1</v>
      </c>
      <c r="D588" s="23" t="s">
        <v>172</v>
      </c>
      <c r="E588" s="52">
        <f>8-7</f>
        <v>1</v>
      </c>
      <c r="F588" s="23" t="s">
        <v>363</v>
      </c>
      <c r="G588" s="23" t="s">
        <v>367</v>
      </c>
    </row>
    <row r="589" spans="1:7" s="23" customFormat="1" x14ac:dyDescent="0.75">
      <c r="A589" s="23" t="s">
        <v>69</v>
      </c>
      <c r="B589" s="24">
        <v>44706</v>
      </c>
      <c r="C589" s="23">
        <v>1</v>
      </c>
      <c r="D589" s="23" t="s">
        <v>172</v>
      </c>
      <c r="E589" s="52">
        <f>7+47-42</f>
        <v>12</v>
      </c>
      <c r="F589" s="23" t="s">
        <v>363</v>
      </c>
      <c r="G589" s="23" t="s">
        <v>367</v>
      </c>
    </row>
    <row r="590" spans="1:7" s="23" customFormat="1" x14ac:dyDescent="0.75">
      <c r="A590" s="23" t="s">
        <v>69</v>
      </c>
      <c r="B590" s="24">
        <v>44706</v>
      </c>
      <c r="C590" s="23">
        <v>1</v>
      </c>
      <c r="D590" s="23" t="s">
        <v>197</v>
      </c>
      <c r="E590" s="52">
        <f>42-36</f>
        <v>6</v>
      </c>
      <c r="F590" s="23" t="s">
        <v>363</v>
      </c>
      <c r="G590" s="23" t="s">
        <v>367</v>
      </c>
    </row>
    <row r="591" spans="1:7" s="23" customFormat="1" x14ac:dyDescent="0.75">
      <c r="A591" s="23" t="s">
        <v>69</v>
      </c>
      <c r="B591" s="24">
        <v>44706</v>
      </c>
      <c r="C591" s="23">
        <v>1</v>
      </c>
      <c r="D591" s="23" t="s">
        <v>201</v>
      </c>
      <c r="E591" s="52">
        <f>36-22</f>
        <v>14</v>
      </c>
      <c r="F591" s="23" t="s">
        <v>363</v>
      </c>
      <c r="G591" s="23" t="s">
        <v>367</v>
      </c>
    </row>
    <row r="592" spans="1:7" s="23" customFormat="1" x14ac:dyDescent="0.75">
      <c r="A592" s="23" t="s">
        <v>69</v>
      </c>
      <c r="B592" s="24">
        <v>44706</v>
      </c>
      <c r="C592" s="23">
        <v>1</v>
      </c>
      <c r="D592" s="23" t="s">
        <v>201</v>
      </c>
      <c r="E592" s="52">
        <f>22-20</f>
        <v>2</v>
      </c>
      <c r="F592" s="23">
        <v>4125</v>
      </c>
      <c r="G592" s="23" t="s">
        <v>367</v>
      </c>
    </row>
    <row r="593" spans="1:7" s="23" customFormat="1" x14ac:dyDescent="0.75">
      <c r="A593" s="23" t="s">
        <v>69</v>
      </c>
      <c r="B593" s="24">
        <v>44706</v>
      </c>
      <c r="C593" s="23">
        <v>1</v>
      </c>
      <c r="D593" s="23" t="s">
        <v>207</v>
      </c>
      <c r="E593" s="52">
        <f>20-18</f>
        <v>2</v>
      </c>
      <c r="F593" s="23" t="s">
        <v>363</v>
      </c>
      <c r="G593" s="23" t="s">
        <v>367</v>
      </c>
    </row>
    <row r="594" spans="1:7" s="23" customFormat="1" x14ac:dyDescent="0.75">
      <c r="A594" s="23" t="s">
        <v>69</v>
      </c>
      <c r="B594" s="24">
        <v>44706</v>
      </c>
      <c r="C594" s="23">
        <v>1</v>
      </c>
      <c r="D594" s="23" t="s">
        <v>207</v>
      </c>
      <c r="E594" s="52">
        <f>7-5</f>
        <v>2</v>
      </c>
      <c r="F594" s="23" t="s">
        <v>363</v>
      </c>
      <c r="G594" s="23" t="s">
        <v>374</v>
      </c>
    </row>
    <row r="595" spans="1:7" s="23" customFormat="1" x14ac:dyDescent="0.75">
      <c r="A595" s="23" t="s">
        <v>69</v>
      </c>
      <c r="B595" s="24">
        <v>44706</v>
      </c>
      <c r="C595" s="23">
        <v>1</v>
      </c>
      <c r="D595" s="23" t="s">
        <v>191</v>
      </c>
      <c r="E595" s="52">
        <f>36-18</f>
        <v>18</v>
      </c>
      <c r="F595" s="23" t="s">
        <v>363</v>
      </c>
      <c r="G595" s="23" t="s">
        <v>374</v>
      </c>
    </row>
    <row r="596" spans="1:7" s="23" customFormat="1" x14ac:dyDescent="0.75">
      <c r="A596" s="23" t="s">
        <v>69</v>
      </c>
      <c r="B596" s="24">
        <v>44706</v>
      </c>
      <c r="C596" s="23">
        <v>1</v>
      </c>
      <c r="D596" s="23" t="s">
        <v>207</v>
      </c>
      <c r="E596" s="52">
        <f>18-14</f>
        <v>4</v>
      </c>
      <c r="F596" s="23" t="s">
        <v>363</v>
      </c>
      <c r="G596" s="23" t="s">
        <v>374</v>
      </c>
    </row>
    <row r="597" spans="1:7" s="23" customFormat="1" x14ac:dyDescent="0.75">
      <c r="A597" s="23" t="s">
        <v>69</v>
      </c>
      <c r="B597" s="24">
        <v>44706</v>
      </c>
      <c r="C597" s="23">
        <v>1</v>
      </c>
      <c r="D597" s="23" t="s">
        <v>207</v>
      </c>
      <c r="E597" s="52">
        <f>14-9</f>
        <v>5</v>
      </c>
      <c r="F597" s="23" t="s">
        <v>363</v>
      </c>
      <c r="G597" s="23" t="s">
        <v>374</v>
      </c>
    </row>
    <row r="598" spans="1:7" s="23" customFormat="1" x14ac:dyDescent="0.75">
      <c r="A598" s="23" t="s">
        <v>69</v>
      </c>
      <c r="B598" s="24">
        <v>44706</v>
      </c>
      <c r="C598" s="23">
        <v>1</v>
      </c>
      <c r="D598" s="23" t="s">
        <v>207</v>
      </c>
      <c r="E598" s="52">
        <f>9-8</f>
        <v>1</v>
      </c>
      <c r="F598" s="23" t="s">
        <v>363</v>
      </c>
      <c r="G598" s="23" t="s">
        <v>374</v>
      </c>
    </row>
    <row r="599" spans="1:7" s="23" customFormat="1" x14ac:dyDescent="0.75">
      <c r="A599" s="23" t="s">
        <v>69</v>
      </c>
      <c r="B599" s="24">
        <v>44706</v>
      </c>
      <c r="C599" s="23">
        <v>1</v>
      </c>
      <c r="D599" s="23" t="s">
        <v>207</v>
      </c>
      <c r="E599" s="52">
        <f>8-6</f>
        <v>2</v>
      </c>
      <c r="F599" s="23" t="s">
        <v>363</v>
      </c>
      <c r="G599" s="23" t="s">
        <v>374</v>
      </c>
    </row>
    <row r="600" spans="1:7" s="23" customFormat="1" x14ac:dyDescent="0.75">
      <c r="A600" s="23" t="s">
        <v>69</v>
      </c>
      <c r="B600" s="24">
        <v>44706</v>
      </c>
      <c r="C600" s="23">
        <v>1</v>
      </c>
      <c r="D600" s="23" t="s">
        <v>207</v>
      </c>
      <c r="E600" s="52">
        <f>6-4</f>
        <v>2</v>
      </c>
      <c r="F600" s="23" t="s">
        <v>363</v>
      </c>
      <c r="G600" s="23" t="s">
        <v>374</v>
      </c>
    </row>
    <row r="601" spans="1:7" s="23" customFormat="1" x14ac:dyDescent="0.75">
      <c r="A601" s="23" t="s">
        <v>69</v>
      </c>
      <c r="B601" s="24">
        <v>44706</v>
      </c>
      <c r="C601" s="23">
        <v>1</v>
      </c>
      <c r="D601" s="23" t="s">
        <v>197</v>
      </c>
      <c r="E601" s="52">
        <f>4-2</f>
        <v>2</v>
      </c>
      <c r="F601" s="23" t="s">
        <v>363</v>
      </c>
      <c r="G601" s="23" t="s">
        <v>374</v>
      </c>
    </row>
    <row r="602" spans="1:7" s="23" customFormat="1" x14ac:dyDescent="0.75">
      <c r="A602" s="23" t="s">
        <v>69</v>
      </c>
      <c r="B602" s="24">
        <v>44706</v>
      </c>
      <c r="C602" s="23">
        <v>1</v>
      </c>
      <c r="D602" s="23" t="s">
        <v>207</v>
      </c>
      <c r="E602" s="52">
        <f>5-1</f>
        <v>4</v>
      </c>
      <c r="F602" s="23" t="s">
        <v>363</v>
      </c>
      <c r="G602" s="23" t="s">
        <v>374</v>
      </c>
    </row>
    <row r="603" spans="1:7" s="23" customFormat="1" x14ac:dyDescent="0.75">
      <c r="A603" s="23" t="s">
        <v>69</v>
      </c>
      <c r="B603" s="24">
        <v>44706</v>
      </c>
      <c r="C603" s="23">
        <v>1</v>
      </c>
      <c r="D603" s="23" t="s">
        <v>207</v>
      </c>
      <c r="E603" s="52">
        <v>1</v>
      </c>
      <c r="F603" s="23" t="s">
        <v>363</v>
      </c>
      <c r="G603" s="23" t="s">
        <v>374</v>
      </c>
    </row>
    <row r="604" spans="1:7" s="23" customFormat="1" x14ac:dyDescent="0.75">
      <c r="A604" s="23" t="s">
        <v>69</v>
      </c>
      <c r="B604" s="24">
        <v>44706</v>
      </c>
      <c r="C604" s="23">
        <v>1</v>
      </c>
      <c r="D604" s="23" t="s">
        <v>201</v>
      </c>
      <c r="E604" s="52">
        <f>4+2+1</f>
        <v>7</v>
      </c>
      <c r="F604" s="23" t="s">
        <v>363</v>
      </c>
      <c r="G604" s="23" t="s">
        <v>374</v>
      </c>
    </row>
    <row r="605" spans="1:7" x14ac:dyDescent="0.75">
      <c r="A605" t="s">
        <v>69</v>
      </c>
      <c r="B605" s="3">
        <v>44706</v>
      </c>
      <c r="C605">
        <v>2</v>
      </c>
      <c r="D605" t="s">
        <v>168</v>
      </c>
      <c r="E605" s="22">
        <f>30-26</f>
        <v>4</v>
      </c>
      <c r="F605" t="s">
        <v>363</v>
      </c>
      <c r="G605" t="s">
        <v>361</v>
      </c>
    </row>
    <row r="606" spans="1:7" x14ac:dyDescent="0.75">
      <c r="A606" t="s">
        <v>69</v>
      </c>
      <c r="B606" s="3">
        <v>44706</v>
      </c>
      <c r="C606">
        <v>2</v>
      </c>
      <c r="D606" t="s">
        <v>191</v>
      </c>
      <c r="E606" s="22">
        <f>26-13</f>
        <v>13</v>
      </c>
      <c r="F606">
        <v>4127</v>
      </c>
      <c r="G606" t="s">
        <v>361</v>
      </c>
    </row>
    <row r="607" spans="1:7" x14ac:dyDescent="0.75">
      <c r="A607" t="s">
        <v>69</v>
      </c>
      <c r="B607" s="3">
        <v>44706</v>
      </c>
      <c r="C607">
        <v>2</v>
      </c>
      <c r="D607" t="s">
        <v>168</v>
      </c>
      <c r="E607" s="22">
        <f>13-7</f>
        <v>6</v>
      </c>
      <c r="F607" t="s">
        <v>363</v>
      </c>
      <c r="G607" t="s">
        <v>361</v>
      </c>
    </row>
    <row r="608" spans="1:7" x14ac:dyDescent="0.75">
      <c r="A608" t="s">
        <v>69</v>
      </c>
      <c r="B608" s="3">
        <v>44706</v>
      </c>
      <c r="C608">
        <v>2</v>
      </c>
      <c r="D608" t="s">
        <v>197</v>
      </c>
      <c r="E608" s="22">
        <v>7</v>
      </c>
      <c r="F608">
        <v>4129</v>
      </c>
      <c r="G608" t="s">
        <v>361</v>
      </c>
    </row>
    <row r="609" spans="1:11" x14ac:dyDescent="0.75">
      <c r="A609" t="s">
        <v>69</v>
      </c>
      <c r="B609" s="3">
        <v>44706</v>
      </c>
      <c r="C609">
        <v>2</v>
      </c>
      <c r="D609" t="s">
        <v>201</v>
      </c>
      <c r="E609" s="22">
        <f>37-29</f>
        <v>8</v>
      </c>
      <c r="F609" t="s">
        <v>363</v>
      </c>
      <c r="G609" t="s">
        <v>361</v>
      </c>
    </row>
    <row r="610" spans="1:11" x14ac:dyDescent="0.75">
      <c r="A610" t="s">
        <v>69</v>
      </c>
      <c r="B610" s="3">
        <v>44706</v>
      </c>
      <c r="C610">
        <v>2</v>
      </c>
      <c r="D610" t="s">
        <v>191</v>
      </c>
      <c r="E610" s="22">
        <f>29+42-34</f>
        <v>37</v>
      </c>
      <c r="F610" t="s">
        <v>363</v>
      </c>
      <c r="G610" t="s">
        <v>361</v>
      </c>
    </row>
    <row r="611" spans="1:11" x14ac:dyDescent="0.75">
      <c r="A611" t="s">
        <v>69</v>
      </c>
      <c r="B611" s="3">
        <v>44706</v>
      </c>
      <c r="C611">
        <v>2</v>
      </c>
      <c r="D611" t="s">
        <v>197</v>
      </c>
      <c r="E611" s="22">
        <f>34-7</f>
        <v>27</v>
      </c>
      <c r="F611">
        <v>3988</v>
      </c>
      <c r="G611" t="s">
        <v>361</v>
      </c>
    </row>
    <row r="612" spans="1:11" x14ac:dyDescent="0.75">
      <c r="A612" t="s">
        <v>69</v>
      </c>
      <c r="B612" s="3">
        <v>44706</v>
      </c>
      <c r="C612">
        <v>2</v>
      </c>
      <c r="D612" t="s">
        <v>197</v>
      </c>
      <c r="E612" s="22">
        <f>(48-18)/2</f>
        <v>15</v>
      </c>
      <c r="F612" t="s">
        <v>363</v>
      </c>
      <c r="G612" t="s">
        <v>374</v>
      </c>
      <c r="K612" t="s">
        <v>773</v>
      </c>
    </row>
    <row r="613" spans="1:11" x14ac:dyDescent="0.75">
      <c r="A613" t="s">
        <v>69</v>
      </c>
      <c r="B613" s="3">
        <v>44706</v>
      </c>
      <c r="C613">
        <v>2</v>
      </c>
      <c r="D613" t="s">
        <v>191</v>
      </c>
      <c r="E613" s="22">
        <f>(48-18)/2</f>
        <v>15</v>
      </c>
      <c r="F613" t="s">
        <v>363</v>
      </c>
      <c r="G613" t="s">
        <v>374</v>
      </c>
      <c r="K613" t="s">
        <v>774</v>
      </c>
    </row>
    <row r="614" spans="1:11" x14ac:dyDescent="0.75">
      <c r="A614" t="s">
        <v>69</v>
      </c>
      <c r="B614" s="3">
        <v>44706</v>
      </c>
      <c r="C614">
        <v>2</v>
      </c>
      <c r="D614" t="s">
        <v>153</v>
      </c>
      <c r="E614" s="22">
        <f>18-17</f>
        <v>1</v>
      </c>
      <c r="F614" t="s">
        <v>363</v>
      </c>
      <c r="G614" t="s">
        <v>374</v>
      </c>
    </row>
    <row r="615" spans="1:11" x14ac:dyDescent="0.75">
      <c r="A615" t="s">
        <v>69</v>
      </c>
      <c r="B615" s="3">
        <v>44706</v>
      </c>
      <c r="C615">
        <v>2</v>
      </c>
      <c r="D615" t="s">
        <v>191</v>
      </c>
      <c r="E615" s="22">
        <f>17-11</f>
        <v>6</v>
      </c>
      <c r="F615" t="s">
        <v>363</v>
      </c>
      <c r="G615" t="s">
        <v>374</v>
      </c>
    </row>
    <row r="616" spans="1:11" x14ac:dyDescent="0.75">
      <c r="A616" t="s">
        <v>69</v>
      </c>
      <c r="B616" s="3">
        <v>44706</v>
      </c>
      <c r="C616">
        <v>2</v>
      </c>
      <c r="D616" t="s">
        <v>191</v>
      </c>
      <c r="E616" s="22">
        <f>11-6</f>
        <v>5</v>
      </c>
      <c r="F616" t="s">
        <v>363</v>
      </c>
      <c r="G616" t="s">
        <v>374</v>
      </c>
    </row>
    <row r="617" spans="1:11" x14ac:dyDescent="0.75">
      <c r="A617" t="s">
        <v>69</v>
      </c>
      <c r="B617" s="3">
        <v>44706</v>
      </c>
      <c r="C617">
        <v>2</v>
      </c>
      <c r="D617" t="s">
        <v>168</v>
      </c>
      <c r="E617" s="22">
        <f>45-36</f>
        <v>9</v>
      </c>
      <c r="F617" t="s">
        <v>363</v>
      </c>
      <c r="G617" t="s">
        <v>374</v>
      </c>
    </row>
    <row r="618" spans="1:11" x14ac:dyDescent="0.75">
      <c r="A618" t="s">
        <v>69</v>
      </c>
      <c r="B618" s="3">
        <v>44706</v>
      </c>
      <c r="C618">
        <v>2</v>
      </c>
      <c r="D618" t="s">
        <v>172</v>
      </c>
      <c r="E618" s="22">
        <f>36-24</f>
        <v>12</v>
      </c>
      <c r="F618" t="s">
        <v>363</v>
      </c>
      <c r="G618" t="s">
        <v>374</v>
      </c>
    </row>
    <row r="619" spans="1:11" x14ac:dyDescent="0.75">
      <c r="A619" t="s">
        <v>69</v>
      </c>
      <c r="B619" s="3">
        <v>44706</v>
      </c>
      <c r="C619">
        <v>2</v>
      </c>
      <c r="D619" t="s">
        <v>191</v>
      </c>
      <c r="E619" s="22">
        <f>24-18</f>
        <v>6</v>
      </c>
      <c r="F619" t="s">
        <v>363</v>
      </c>
      <c r="G619" t="s">
        <v>374</v>
      </c>
    </row>
    <row r="620" spans="1:11" x14ac:dyDescent="0.75">
      <c r="A620" t="s">
        <v>69</v>
      </c>
      <c r="B620" s="3">
        <v>44706</v>
      </c>
      <c r="C620">
        <v>2</v>
      </c>
      <c r="D620" t="s">
        <v>207</v>
      </c>
      <c r="E620" s="22">
        <f>16-10</f>
        <v>6</v>
      </c>
      <c r="F620" t="s">
        <v>363</v>
      </c>
      <c r="G620" t="s">
        <v>374</v>
      </c>
    </row>
    <row r="621" spans="1:11" x14ac:dyDescent="0.75">
      <c r="A621" t="s">
        <v>69</v>
      </c>
      <c r="B621" s="3">
        <v>44706</v>
      </c>
      <c r="C621">
        <v>2</v>
      </c>
      <c r="D621" t="s">
        <v>221</v>
      </c>
      <c r="E621" s="22" t="s">
        <v>363</v>
      </c>
      <c r="F621" t="s">
        <v>363</v>
      </c>
      <c r="G621" t="s">
        <v>374</v>
      </c>
      <c r="K621" t="s">
        <v>775</v>
      </c>
    </row>
    <row r="622" spans="1:11" x14ac:dyDescent="0.75">
      <c r="A622" t="s">
        <v>69</v>
      </c>
      <c r="B622" s="3">
        <v>44706</v>
      </c>
      <c r="C622">
        <v>2</v>
      </c>
      <c r="D622" t="s">
        <v>197</v>
      </c>
      <c r="E622" s="22">
        <f>48-39</f>
        <v>9</v>
      </c>
      <c r="F622">
        <v>4128</v>
      </c>
      <c r="G622" t="s">
        <v>367</v>
      </c>
    </row>
    <row r="623" spans="1:11" x14ac:dyDescent="0.75">
      <c r="A623" t="s">
        <v>69</v>
      </c>
      <c r="B623" s="3">
        <v>44706</v>
      </c>
      <c r="C623">
        <v>2</v>
      </c>
      <c r="D623" t="s">
        <v>201</v>
      </c>
      <c r="E623" s="22">
        <f>38-36</f>
        <v>2</v>
      </c>
      <c r="F623" t="s">
        <v>363</v>
      </c>
      <c r="G623" t="s">
        <v>367</v>
      </c>
    </row>
    <row r="624" spans="1:11" x14ac:dyDescent="0.75">
      <c r="A624" t="s">
        <v>69</v>
      </c>
      <c r="B624" s="3">
        <v>44706</v>
      </c>
      <c r="C624">
        <v>2</v>
      </c>
      <c r="D624" t="s">
        <v>197</v>
      </c>
      <c r="E624" s="22">
        <f>44-20</f>
        <v>24</v>
      </c>
      <c r="F624">
        <v>3993</v>
      </c>
      <c r="G624" t="s">
        <v>367</v>
      </c>
    </row>
    <row r="625" spans="1:7" x14ac:dyDescent="0.75">
      <c r="A625" t="s">
        <v>69</v>
      </c>
      <c r="B625" s="3">
        <v>44706</v>
      </c>
      <c r="C625">
        <v>2</v>
      </c>
      <c r="D625" t="s">
        <v>168</v>
      </c>
      <c r="E625" s="22">
        <f>20+44-40</f>
        <v>24</v>
      </c>
      <c r="F625" t="s">
        <v>363</v>
      </c>
      <c r="G625" t="s">
        <v>367</v>
      </c>
    </row>
    <row r="626" spans="1:7" s="23" customFormat="1" x14ac:dyDescent="0.75">
      <c r="A626" s="23" t="s">
        <v>69</v>
      </c>
      <c r="B626" s="24">
        <v>44707</v>
      </c>
      <c r="C626" s="23">
        <v>1</v>
      </c>
      <c r="D626" s="23" t="s">
        <v>191</v>
      </c>
      <c r="E626" s="52">
        <f>39-33</f>
        <v>6</v>
      </c>
      <c r="F626" s="23" t="s">
        <v>363</v>
      </c>
      <c r="G626" s="23" t="s">
        <v>361</v>
      </c>
    </row>
    <row r="627" spans="1:7" s="23" customFormat="1" x14ac:dyDescent="0.75">
      <c r="A627" s="23" t="s">
        <v>69</v>
      </c>
      <c r="B627" s="24">
        <v>44707</v>
      </c>
      <c r="C627" s="23">
        <v>1</v>
      </c>
      <c r="D627" s="23" t="s">
        <v>191</v>
      </c>
      <c r="E627" s="52">
        <f>33-29</f>
        <v>4</v>
      </c>
      <c r="F627" s="23" t="s">
        <v>363</v>
      </c>
      <c r="G627" s="23" t="s">
        <v>361</v>
      </c>
    </row>
    <row r="628" spans="1:7" s="23" customFormat="1" x14ac:dyDescent="0.75">
      <c r="A628" s="23" t="s">
        <v>69</v>
      </c>
      <c r="B628" s="24">
        <v>44707</v>
      </c>
      <c r="C628" s="23">
        <v>1</v>
      </c>
      <c r="D628" s="23" t="s">
        <v>191</v>
      </c>
      <c r="E628" s="52">
        <f>29-24</f>
        <v>5</v>
      </c>
      <c r="F628" s="23" t="s">
        <v>363</v>
      </c>
      <c r="G628" s="23" t="s">
        <v>361</v>
      </c>
    </row>
    <row r="629" spans="1:7" s="23" customFormat="1" x14ac:dyDescent="0.75">
      <c r="A629" s="23" t="s">
        <v>69</v>
      </c>
      <c r="B629" s="24">
        <v>44707</v>
      </c>
      <c r="C629" s="23">
        <v>1</v>
      </c>
      <c r="D629" s="23" t="s">
        <v>191</v>
      </c>
      <c r="E629" s="52">
        <f>24-18</f>
        <v>6</v>
      </c>
      <c r="F629" s="23" t="s">
        <v>363</v>
      </c>
      <c r="G629" s="23" t="s">
        <v>361</v>
      </c>
    </row>
    <row r="630" spans="1:7" s="23" customFormat="1" x14ac:dyDescent="0.75">
      <c r="A630" s="23" t="s">
        <v>69</v>
      </c>
      <c r="B630" s="24">
        <v>44707</v>
      </c>
      <c r="C630" s="23">
        <v>1</v>
      </c>
      <c r="D630" s="23" t="s">
        <v>197</v>
      </c>
      <c r="E630" s="52">
        <f>18-12</f>
        <v>6</v>
      </c>
      <c r="F630" s="23" t="s">
        <v>363</v>
      </c>
      <c r="G630" s="23" t="s">
        <v>361</v>
      </c>
    </row>
    <row r="631" spans="1:7" s="23" customFormat="1" x14ac:dyDescent="0.75">
      <c r="A631" s="23" t="s">
        <v>69</v>
      </c>
      <c r="B631" s="24">
        <v>44707</v>
      </c>
      <c r="C631" s="23">
        <v>1</v>
      </c>
      <c r="D631" s="23" t="s">
        <v>201</v>
      </c>
      <c r="E631" s="52">
        <f>12</f>
        <v>12</v>
      </c>
      <c r="F631" s="23" t="s">
        <v>363</v>
      </c>
      <c r="G631" s="23" t="s">
        <v>361</v>
      </c>
    </row>
    <row r="632" spans="1:7" s="23" customFormat="1" x14ac:dyDescent="0.75">
      <c r="A632" s="23" t="s">
        <v>69</v>
      </c>
      <c r="B632" s="24">
        <v>44707</v>
      </c>
      <c r="C632" s="23">
        <v>1</v>
      </c>
      <c r="D632" s="23" t="s">
        <v>197</v>
      </c>
      <c r="E632" s="52">
        <f>35+57-53</f>
        <v>39</v>
      </c>
      <c r="F632" s="23" t="s">
        <v>363</v>
      </c>
      <c r="G632" s="23" t="s">
        <v>361</v>
      </c>
    </row>
    <row r="633" spans="1:7" s="23" customFormat="1" x14ac:dyDescent="0.75">
      <c r="A633" s="23" t="s">
        <v>69</v>
      </c>
      <c r="B633" s="24">
        <v>44707</v>
      </c>
      <c r="C633" s="23">
        <v>1</v>
      </c>
      <c r="D633" s="23" t="s">
        <v>207</v>
      </c>
      <c r="E633" s="52">
        <f>53-50</f>
        <v>3</v>
      </c>
      <c r="F633" s="23">
        <v>908</v>
      </c>
      <c r="G633" s="23" t="s">
        <v>361</v>
      </c>
    </row>
    <row r="634" spans="1:7" s="23" customFormat="1" x14ac:dyDescent="0.75">
      <c r="A634" s="23" t="s">
        <v>69</v>
      </c>
      <c r="B634" s="24">
        <v>44707</v>
      </c>
      <c r="C634" s="23">
        <v>1</v>
      </c>
      <c r="D634" s="23" t="s">
        <v>197</v>
      </c>
      <c r="E634" s="52">
        <f>41-29</f>
        <v>12</v>
      </c>
      <c r="F634" s="23" t="s">
        <v>363</v>
      </c>
      <c r="G634" s="23" t="s">
        <v>374</v>
      </c>
    </row>
    <row r="635" spans="1:7" s="23" customFormat="1" x14ac:dyDescent="0.75">
      <c r="A635" s="23" t="s">
        <v>69</v>
      </c>
      <c r="B635" s="24">
        <v>44707</v>
      </c>
      <c r="C635" s="23">
        <v>1</v>
      </c>
      <c r="D635" s="23" t="s">
        <v>168</v>
      </c>
      <c r="E635" s="52">
        <f>29-26</f>
        <v>3</v>
      </c>
      <c r="F635" s="23" t="s">
        <v>363</v>
      </c>
      <c r="G635" s="23" t="s">
        <v>374</v>
      </c>
    </row>
    <row r="636" spans="1:7" s="23" customFormat="1" x14ac:dyDescent="0.75">
      <c r="A636" s="23" t="s">
        <v>69</v>
      </c>
      <c r="B636" s="24">
        <v>44707</v>
      </c>
      <c r="C636" s="23">
        <v>1</v>
      </c>
      <c r="D636" s="23" t="s">
        <v>191</v>
      </c>
      <c r="E636" s="52">
        <f>26+43-38</f>
        <v>31</v>
      </c>
      <c r="F636" s="23" t="s">
        <v>363</v>
      </c>
      <c r="G636" s="23" t="s">
        <v>374</v>
      </c>
    </row>
    <row r="637" spans="1:7" s="23" customFormat="1" x14ac:dyDescent="0.75">
      <c r="A637" s="23" t="s">
        <v>69</v>
      </c>
      <c r="B637" s="24">
        <v>44707</v>
      </c>
      <c r="C637" s="23">
        <v>1</v>
      </c>
      <c r="D637" s="23" t="s">
        <v>207</v>
      </c>
      <c r="E637" s="52">
        <f>38-33</f>
        <v>5</v>
      </c>
      <c r="F637" s="23" t="s">
        <v>363</v>
      </c>
      <c r="G637" s="23" t="s">
        <v>374</v>
      </c>
    </row>
    <row r="638" spans="1:7" s="23" customFormat="1" x14ac:dyDescent="0.75">
      <c r="A638" s="23" t="s">
        <v>69</v>
      </c>
      <c r="B638" s="24">
        <v>44707</v>
      </c>
      <c r="C638" s="23">
        <v>1</v>
      </c>
      <c r="D638" s="23" t="s">
        <v>191</v>
      </c>
      <c r="E638" s="52">
        <f>34-4</f>
        <v>30</v>
      </c>
      <c r="F638" s="23" t="s">
        <v>363</v>
      </c>
      <c r="G638" s="23" t="s">
        <v>374</v>
      </c>
    </row>
    <row r="639" spans="1:7" s="23" customFormat="1" x14ac:dyDescent="0.75">
      <c r="A639" s="23" t="s">
        <v>69</v>
      </c>
      <c r="B639" s="24">
        <v>44707</v>
      </c>
      <c r="C639" s="23">
        <v>1</v>
      </c>
      <c r="D639" s="23" t="s">
        <v>168</v>
      </c>
      <c r="E639" s="52">
        <f>42-28</f>
        <v>14</v>
      </c>
      <c r="F639" s="23" t="s">
        <v>363</v>
      </c>
      <c r="G639" s="23" t="s">
        <v>374</v>
      </c>
    </row>
    <row r="640" spans="1:7" s="23" customFormat="1" x14ac:dyDescent="0.75">
      <c r="A640" s="23" t="s">
        <v>69</v>
      </c>
      <c r="B640" s="24">
        <v>44707</v>
      </c>
      <c r="C640" s="23">
        <v>1</v>
      </c>
      <c r="D640" s="23" t="s">
        <v>168</v>
      </c>
      <c r="E640" s="52">
        <f>28-3+40-34</f>
        <v>31</v>
      </c>
      <c r="F640" s="23" t="s">
        <v>363</v>
      </c>
      <c r="G640" s="23" t="s">
        <v>374</v>
      </c>
    </row>
    <row r="641" spans="1:11" s="23" customFormat="1" x14ac:dyDescent="0.75">
      <c r="A641" s="23" t="s">
        <v>69</v>
      </c>
      <c r="B641" s="24">
        <v>44707</v>
      </c>
      <c r="C641" s="23">
        <v>1</v>
      </c>
      <c r="D641" s="23" t="s">
        <v>168</v>
      </c>
      <c r="E641" s="52">
        <f>34-32</f>
        <v>2</v>
      </c>
      <c r="F641" s="23" t="s">
        <v>363</v>
      </c>
      <c r="G641" s="23" t="s">
        <v>374</v>
      </c>
    </row>
    <row r="642" spans="1:11" s="23" customFormat="1" x14ac:dyDescent="0.75">
      <c r="A642" s="23" t="s">
        <v>69</v>
      </c>
      <c r="B642" s="24">
        <v>44707</v>
      </c>
      <c r="C642" s="23">
        <v>1</v>
      </c>
      <c r="D642" s="23" t="s">
        <v>207</v>
      </c>
      <c r="E642" s="52">
        <f>32-28</f>
        <v>4</v>
      </c>
      <c r="F642" s="23" t="s">
        <v>363</v>
      </c>
      <c r="G642" s="23" t="s">
        <v>374</v>
      </c>
    </row>
    <row r="643" spans="1:11" s="23" customFormat="1" x14ac:dyDescent="0.75">
      <c r="A643" s="23" t="s">
        <v>69</v>
      </c>
      <c r="B643" s="24">
        <v>44707</v>
      </c>
      <c r="C643" s="23">
        <v>1</v>
      </c>
      <c r="D643" s="23" t="s">
        <v>168</v>
      </c>
      <c r="E643" s="52">
        <f>28-20</f>
        <v>8</v>
      </c>
      <c r="F643" s="23" t="s">
        <v>363</v>
      </c>
      <c r="G643" s="23" t="s">
        <v>374</v>
      </c>
    </row>
    <row r="644" spans="1:11" s="23" customFormat="1" x14ac:dyDescent="0.75">
      <c r="A644" s="23" t="s">
        <v>69</v>
      </c>
      <c r="B644" s="24">
        <v>44707</v>
      </c>
      <c r="C644" s="23">
        <v>1</v>
      </c>
      <c r="D644" s="23" t="s">
        <v>197</v>
      </c>
      <c r="E644" s="52" t="s">
        <v>363</v>
      </c>
      <c r="F644" s="23" t="s">
        <v>363</v>
      </c>
      <c r="G644" s="23" t="s">
        <v>374</v>
      </c>
      <c r="K644" s="23" t="s">
        <v>776</v>
      </c>
    </row>
    <row r="645" spans="1:11" s="23" customFormat="1" x14ac:dyDescent="0.75">
      <c r="A645" s="23" t="s">
        <v>69</v>
      </c>
      <c r="B645" s="24">
        <v>44707</v>
      </c>
      <c r="C645" s="23">
        <v>1</v>
      </c>
      <c r="D645" s="23" t="s">
        <v>191</v>
      </c>
      <c r="E645" s="52">
        <v>7</v>
      </c>
      <c r="F645" s="23" t="s">
        <v>363</v>
      </c>
      <c r="G645" s="23" t="s">
        <v>374</v>
      </c>
    </row>
    <row r="646" spans="1:11" s="23" customFormat="1" x14ac:dyDescent="0.75">
      <c r="A646" s="23" t="s">
        <v>69</v>
      </c>
      <c r="B646" s="24">
        <v>44707</v>
      </c>
      <c r="C646" s="23">
        <v>1</v>
      </c>
      <c r="D646" s="23" t="s">
        <v>207</v>
      </c>
      <c r="E646" s="52">
        <f>42-37</f>
        <v>5</v>
      </c>
      <c r="F646" s="23" t="s">
        <v>363</v>
      </c>
      <c r="G646" s="23" t="s">
        <v>374</v>
      </c>
    </row>
    <row r="647" spans="1:11" s="23" customFormat="1" x14ac:dyDescent="0.75">
      <c r="A647" s="23" t="s">
        <v>69</v>
      </c>
      <c r="B647" s="24">
        <v>44707</v>
      </c>
      <c r="C647" s="23">
        <v>1</v>
      </c>
      <c r="D647" s="23" t="s">
        <v>207</v>
      </c>
      <c r="E647" s="52">
        <f>37-35</f>
        <v>2</v>
      </c>
      <c r="F647" s="23" t="s">
        <v>363</v>
      </c>
      <c r="G647" s="23" t="s">
        <v>374</v>
      </c>
    </row>
    <row r="648" spans="1:11" s="23" customFormat="1" x14ac:dyDescent="0.75">
      <c r="A648" s="23" t="s">
        <v>69</v>
      </c>
      <c r="B648" s="24">
        <v>44707</v>
      </c>
      <c r="C648" s="23">
        <v>1</v>
      </c>
      <c r="D648" s="23" t="s">
        <v>191</v>
      </c>
      <c r="E648" s="52">
        <f>35-1</f>
        <v>34</v>
      </c>
      <c r="F648" s="23" t="s">
        <v>363</v>
      </c>
      <c r="G648" s="23" t="s">
        <v>374</v>
      </c>
    </row>
    <row r="649" spans="1:11" s="23" customFormat="1" x14ac:dyDescent="0.75">
      <c r="A649" s="23" t="s">
        <v>69</v>
      </c>
      <c r="B649" s="24">
        <v>44707</v>
      </c>
      <c r="C649" s="23">
        <v>1</v>
      </c>
      <c r="D649" s="23" t="s">
        <v>191</v>
      </c>
      <c r="E649" s="52">
        <f>43-37</f>
        <v>6</v>
      </c>
      <c r="F649" s="23" t="s">
        <v>363</v>
      </c>
      <c r="G649" s="23" t="s">
        <v>367</v>
      </c>
    </row>
    <row r="650" spans="1:11" s="23" customFormat="1" x14ac:dyDescent="0.75">
      <c r="A650" s="23" t="s">
        <v>69</v>
      </c>
      <c r="B650" s="24">
        <v>44707</v>
      </c>
      <c r="C650" s="23">
        <v>1</v>
      </c>
      <c r="D650" s="23" t="s">
        <v>191</v>
      </c>
      <c r="E650" s="52">
        <f>37-30</f>
        <v>7</v>
      </c>
      <c r="F650" s="23" t="s">
        <v>363</v>
      </c>
      <c r="G650" s="23" t="s">
        <v>367</v>
      </c>
    </row>
    <row r="651" spans="1:11" s="23" customFormat="1" x14ac:dyDescent="0.75">
      <c r="A651" s="23" t="s">
        <v>69</v>
      </c>
      <c r="B651" s="24">
        <v>44707</v>
      </c>
      <c r="C651" s="23">
        <v>1</v>
      </c>
      <c r="D651" s="23" t="s">
        <v>201</v>
      </c>
      <c r="E651" s="52">
        <f>30-21</f>
        <v>9</v>
      </c>
      <c r="F651" s="23" t="s">
        <v>363</v>
      </c>
      <c r="G651" s="23" t="s">
        <v>367</v>
      </c>
    </row>
    <row r="652" spans="1:11" s="23" customFormat="1" x14ac:dyDescent="0.75">
      <c r="A652" s="23" t="s">
        <v>69</v>
      </c>
      <c r="B652" s="24">
        <v>44707</v>
      </c>
      <c r="C652" s="23">
        <v>1</v>
      </c>
      <c r="D652" s="23" t="s">
        <v>207</v>
      </c>
      <c r="E652" s="52">
        <f>21-19</f>
        <v>2</v>
      </c>
      <c r="F652" s="23" t="s">
        <v>363</v>
      </c>
      <c r="G652" s="23" t="s">
        <v>367</v>
      </c>
    </row>
    <row r="653" spans="1:11" s="23" customFormat="1" x14ac:dyDescent="0.75">
      <c r="A653" s="23" t="s">
        <v>69</v>
      </c>
      <c r="B653" s="24">
        <v>44707</v>
      </c>
      <c r="C653" s="23">
        <v>1</v>
      </c>
      <c r="D653" s="23" t="s">
        <v>201</v>
      </c>
      <c r="E653" s="52">
        <f>19-6</f>
        <v>13</v>
      </c>
      <c r="F653" s="23" t="s">
        <v>363</v>
      </c>
      <c r="G653" s="23" t="s">
        <v>367</v>
      </c>
    </row>
    <row r="654" spans="1:11" s="23" customFormat="1" x14ac:dyDescent="0.75">
      <c r="A654" s="23" t="s">
        <v>69</v>
      </c>
      <c r="B654" s="24">
        <v>44707</v>
      </c>
      <c r="C654" s="23">
        <v>1</v>
      </c>
      <c r="D654" s="23" t="s">
        <v>197</v>
      </c>
      <c r="E654" s="52">
        <f>6</f>
        <v>6</v>
      </c>
      <c r="F654" s="23" t="s">
        <v>363</v>
      </c>
      <c r="G654" s="23" t="s">
        <v>367</v>
      </c>
    </row>
    <row r="655" spans="1:11" s="23" customFormat="1" x14ac:dyDescent="0.75">
      <c r="A655" s="23" t="s">
        <v>69</v>
      </c>
      <c r="B655" s="24">
        <v>44707</v>
      </c>
      <c r="C655" s="23">
        <v>1</v>
      </c>
      <c r="D655" s="23" t="s">
        <v>168</v>
      </c>
      <c r="E655" s="52">
        <f>29-23</f>
        <v>6</v>
      </c>
      <c r="F655" s="23" t="s">
        <v>363</v>
      </c>
      <c r="G655" s="23" t="s">
        <v>367</v>
      </c>
    </row>
    <row r="656" spans="1:11" s="23" customFormat="1" x14ac:dyDescent="0.75">
      <c r="A656" s="23" t="s">
        <v>69</v>
      </c>
      <c r="B656" s="24">
        <v>44707</v>
      </c>
      <c r="C656" s="23">
        <v>1</v>
      </c>
      <c r="D656" s="23" t="s">
        <v>172</v>
      </c>
      <c r="E656" s="52">
        <f>23-17</f>
        <v>6</v>
      </c>
      <c r="F656" s="23" t="s">
        <v>363</v>
      </c>
      <c r="G656" s="23" t="s">
        <v>367</v>
      </c>
    </row>
    <row r="657" spans="1:11" s="23" customFormat="1" x14ac:dyDescent="0.75">
      <c r="A657" s="23" t="s">
        <v>69</v>
      </c>
      <c r="B657" s="24">
        <v>44707</v>
      </c>
      <c r="C657" s="23">
        <v>1</v>
      </c>
      <c r="D657" s="23" t="s">
        <v>191</v>
      </c>
      <c r="E657" s="52">
        <f>17+36-23</f>
        <v>30</v>
      </c>
      <c r="F657" s="23" t="s">
        <v>363</v>
      </c>
      <c r="G657" s="23" t="s">
        <v>367</v>
      </c>
    </row>
    <row r="658" spans="1:11" s="23" customFormat="1" x14ac:dyDescent="0.75">
      <c r="A658" s="23" t="s">
        <v>69</v>
      </c>
      <c r="B658" s="24">
        <v>44707</v>
      </c>
      <c r="C658" s="23">
        <v>1</v>
      </c>
      <c r="D658" s="23" t="s">
        <v>168</v>
      </c>
      <c r="E658" s="52">
        <f>23-19</f>
        <v>4</v>
      </c>
      <c r="F658" s="23" t="s">
        <v>363</v>
      </c>
      <c r="G658" s="23" t="s">
        <v>367</v>
      </c>
    </row>
    <row r="659" spans="1:11" s="23" customFormat="1" x14ac:dyDescent="0.75">
      <c r="A659" s="23" t="s">
        <v>69</v>
      </c>
      <c r="B659" s="24">
        <v>44707</v>
      </c>
      <c r="C659" s="23">
        <v>1</v>
      </c>
      <c r="D659" s="23" t="s">
        <v>191</v>
      </c>
      <c r="E659" s="52" t="s">
        <v>363</v>
      </c>
      <c r="F659" s="23" t="s">
        <v>363</v>
      </c>
      <c r="G659" s="23" t="s">
        <v>367</v>
      </c>
      <c r="K659" s="23" t="s">
        <v>776</v>
      </c>
    </row>
    <row r="660" spans="1:11" x14ac:dyDescent="0.75">
      <c r="A660" t="s">
        <v>69</v>
      </c>
      <c r="B660" s="3">
        <v>44707</v>
      </c>
      <c r="C660">
        <v>2</v>
      </c>
      <c r="D660" t="s">
        <v>201</v>
      </c>
      <c r="E660" s="22">
        <f>54-31</f>
        <v>23</v>
      </c>
      <c r="F660">
        <v>907</v>
      </c>
      <c r="G660" t="s">
        <v>361</v>
      </c>
    </row>
    <row r="661" spans="1:11" x14ac:dyDescent="0.75">
      <c r="A661" t="s">
        <v>69</v>
      </c>
      <c r="B661" s="3">
        <v>44707</v>
      </c>
      <c r="C661">
        <v>2</v>
      </c>
      <c r="D661" t="s">
        <v>207</v>
      </c>
      <c r="E661" s="22">
        <f>31-27</f>
        <v>4</v>
      </c>
      <c r="F661">
        <v>906</v>
      </c>
      <c r="G661" t="s">
        <v>361</v>
      </c>
    </row>
    <row r="662" spans="1:11" x14ac:dyDescent="0.75">
      <c r="A662" t="s">
        <v>69</v>
      </c>
      <c r="B662" s="3">
        <v>44707</v>
      </c>
      <c r="C662">
        <v>2</v>
      </c>
      <c r="D662" t="s">
        <v>160</v>
      </c>
      <c r="E662" s="22">
        <f>27-13</f>
        <v>14</v>
      </c>
      <c r="F662">
        <v>903</v>
      </c>
      <c r="G662" t="s">
        <v>361</v>
      </c>
    </row>
    <row r="663" spans="1:11" x14ac:dyDescent="0.75">
      <c r="A663" t="s">
        <v>69</v>
      </c>
      <c r="B663" s="3">
        <v>44707</v>
      </c>
      <c r="C663">
        <v>2</v>
      </c>
      <c r="D663" t="s">
        <v>197</v>
      </c>
      <c r="E663" s="22">
        <f>13</f>
        <v>13</v>
      </c>
      <c r="F663">
        <v>905</v>
      </c>
      <c r="G663" t="s">
        <v>361</v>
      </c>
    </row>
    <row r="664" spans="1:11" x14ac:dyDescent="0.75">
      <c r="A664" t="s">
        <v>69</v>
      </c>
      <c r="B664" s="3">
        <v>44707</v>
      </c>
      <c r="C664">
        <v>2</v>
      </c>
      <c r="D664" t="s">
        <v>164</v>
      </c>
      <c r="E664" s="22">
        <v>46</v>
      </c>
      <c r="F664" t="s">
        <v>363</v>
      </c>
      <c r="G664" t="s">
        <v>361</v>
      </c>
    </row>
    <row r="665" spans="1:11" x14ac:dyDescent="0.75">
      <c r="A665" t="s">
        <v>69</v>
      </c>
      <c r="B665" s="3">
        <v>44707</v>
      </c>
      <c r="C665">
        <v>2</v>
      </c>
      <c r="D665" t="s">
        <v>197</v>
      </c>
      <c r="E665" s="22">
        <f>38-31</f>
        <v>7</v>
      </c>
      <c r="F665" t="s">
        <v>363</v>
      </c>
      <c r="G665" t="s">
        <v>374</v>
      </c>
    </row>
    <row r="666" spans="1:11" x14ac:dyDescent="0.75">
      <c r="A666" t="s">
        <v>69</v>
      </c>
      <c r="B666" s="3">
        <v>44707</v>
      </c>
      <c r="C666">
        <v>2</v>
      </c>
      <c r="D666" t="s">
        <v>207</v>
      </c>
      <c r="E666" s="22">
        <f>31-25</f>
        <v>6</v>
      </c>
      <c r="F666" t="s">
        <v>363</v>
      </c>
      <c r="G666" t="s">
        <v>374</v>
      </c>
    </row>
    <row r="667" spans="1:11" x14ac:dyDescent="0.75">
      <c r="A667" t="s">
        <v>69</v>
      </c>
      <c r="B667" s="3">
        <v>44707</v>
      </c>
      <c r="C667">
        <v>2</v>
      </c>
      <c r="D667" t="s">
        <v>197</v>
      </c>
      <c r="E667" s="22">
        <f>25-21</f>
        <v>4</v>
      </c>
      <c r="F667" t="s">
        <v>363</v>
      </c>
      <c r="G667" t="s">
        <v>374</v>
      </c>
    </row>
    <row r="668" spans="1:11" x14ac:dyDescent="0.75">
      <c r="A668" t="s">
        <v>69</v>
      </c>
      <c r="B668" s="3">
        <v>44707</v>
      </c>
      <c r="C668">
        <v>2</v>
      </c>
      <c r="D668" t="s">
        <v>197</v>
      </c>
      <c r="E668" s="22">
        <f>21-14</f>
        <v>7</v>
      </c>
      <c r="F668" t="s">
        <v>363</v>
      </c>
      <c r="G668" t="s">
        <v>374</v>
      </c>
    </row>
    <row r="669" spans="1:11" x14ac:dyDescent="0.75">
      <c r="A669" t="s">
        <v>69</v>
      </c>
      <c r="B669" s="3">
        <v>44707</v>
      </c>
      <c r="C669">
        <v>2</v>
      </c>
      <c r="D669" t="s">
        <v>207</v>
      </c>
      <c r="E669" s="22">
        <f>14-8</f>
        <v>6</v>
      </c>
      <c r="F669" t="s">
        <v>363</v>
      </c>
      <c r="G669" t="s">
        <v>374</v>
      </c>
    </row>
    <row r="670" spans="1:11" x14ac:dyDescent="0.75">
      <c r="A670" t="s">
        <v>69</v>
      </c>
      <c r="B670" s="3">
        <v>44707</v>
      </c>
      <c r="C670">
        <v>2</v>
      </c>
      <c r="D670" t="s">
        <v>191</v>
      </c>
      <c r="E670" s="22">
        <f>8-5</f>
        <v>3</v>
      </c>
      <c r="F670" t="s">
        <v>363</v>
      </c>
      <c r="G670" t="s">
        <v>374</v>
      </c>
    </row>
    <row r="671" spans="1:11" x14ac:dyDescent="0.75">
      <c r="A671" t="s">
        <v>69</v>
      </c>
      <c r="B671" s="3">
        <v>44707</v>
      </c>
      <c r="C671">
        <v>2</v>
      </c>
      <c r="D671" t="s">
        <v>197</v>
      </c>
      <c r="E671" s="22">
        <f>54-42</f>
        <v>12</v>
      </c>
      <c r="F671" t="s">
        <v>363</v>
      </c>
      <c r="G671" t="s">
        <v>374</v>
      </c>
    </row>
    <row r="672" spans="1:11" x14ac:dyDescent="0.75">
      <c r="A672" t="s">
        <v>69</v>
      </c>
      <c r="B672" s="3">
        <v>44707</v>
      </c>
      <c r="C672">
        <v>2</v>
      </c>
      <c r="D672" t="s">
        <v>207</v>
      </c>
      <c r="E672" s="22">
        <f>41-40</f>
        <v>1</v>
      </c>
      <c r="F672" t="s">
        <v>363</v>
      </c>
      <c r="G672" t="s">
        <v>374</v>
      </c>
    </row>
    <row r="673" spans="1:11" x14ac:dyDescent="0.75">
      <c r="A673" t="s">
        <v>69</v>
      </c>
      <c r="B673" s="3">
        <v>44707</v>
      </c>
      <c r="C673">
        <v>2</v>
      </c>
      <c r="D673" t="s">
        <v>207</v>
      </c>
      <c r="E673" s="22">
        <f>40-34</f>
        <v>6</v>
      </c>
      <c r="F673" t="s">
        <v>363</v>
      </c>
      <c r="G673" t="s">
        <v>374</v>
      </c>
    </row>
    <row r="674" spans="1:11" x14ac:dyDescent="0.75">
      <c r="A674" t="s">
        <v>69</v>
      </c>
      <c r="B674" s="3">
        <v>44707</v>
      </c>
      <c r="C674">
        <v>2</v>
      </c>
      <c r="D674" t="s">
        <v>191</v>
      </c>
      <c r="E674" s="22">
        <f>34-22</f>
        <v>12</v>
      </c>
      <c r="F674" t="s">
        <v>363</v>
      </c>
      <c r="G674" t="s">
        <v>374</v>
      </c>
    </row>
    <row r="675" spans="1:11" x14ac:dyDescent="0.75">
      <c r="A675" t="s">
        <v>69</v>
      </c>
      <c r="B675" s="3">
        <v>44707</v>
      </c>
      <c r="C675">
        <v>2</v>
      </c>
      <c r="D675" t="s">
        <v>191</v>
      </c>
      <c r="E675" s="22">
        <f>22+4</f>
        <v>26</v>
      </c>
      <c r="F675" t="s">
        <v>363</v>
      </c>
      <c r="G675" t="s">
        <v>374</v>
      </c>
    </row>
    <row r="676" spans="1:11" x14ac:dyDescent="0.75">
      <c r="A676" t="s">
        <v>69</v>
      </c>
      <c r="B676" s="3">
        <v>44707</v>
      </c>
      <c r="C676">
        <v>2</v>
      </c>
      <c r="D676" t="s">
        <v>207</v>
      </c>
      <c r="E676" s="22" t="s">
        <v>363</v>
      </c>
      <c r="F676" t="s">
        <v>363</v>
      </c>
      <c r="G676" t="s">
        <v>367</v>
      </c>
      <c r="K676" t="s">
        <v>776</v>
      </c>
    </row>
    <row r="677" spans="1:11" x14ac:dyDescent="0.75">
      <c r="A677" t="s">
        <v>69</v>
      </c>
      <c r="B677" s="3">
        <v>44707</v>
      </c>
      <c r="C677">
        <v>2</v>
      </c>
      <c r="D677" t="s">
        <v>207</v>
      </c>
      <c r="E677" s="22">
        <f>34-31</f>
        <v>3</v>
      </c>
      <c r="F677" t="s">
        <v>363</v>
      </c>
      <c r="G677" t="s">
        <v>367</v>
      </c>
    </row>
    <row r="678" spans="1:11" x14ac:dyDescent="0.75">
      <c r="A678" t="s">
        <v>69</v>
      </c>
      <c r="B678" s="3">
        <v>44707</v>
      </c>
      <c r="C678">
        <v>2</v>
      </c>
      <c r="D678" t="s">
        <v>207</v>
      </c>
      <c r="E678" s="22">
        <f>52-45</f>
        <v>7</v>
      </c>
      <c r="F678" t="s">
        <v>363</v>
      </c>
      <c r="G678" t="s">
        <v>367</v>
      </c>
    </row>
    <row r="679" spans="1:11" x14ac:dyDescent="0.75">
      <c r="A679" t="s">
        <v>69</v>
      </c>
      <c r="B679" s="3">
        <v>44707</v>
      </c>
      <c r="C679">
        <v>2</v>
      </c>
      <c r="D679" t="s">
        <v>207</v>
      </c>
      <c r="E679" s="22">
        <f>31-27</f>
        <v>4</v>
      </c>
      <c r="F679" t="s">
        <v>363</v>
      </c>
      <c r="G679" t="s">
        <v>367</v>
      </c>
    </row>
    <row r="680" spans="1:11" x14ac:dyDescent="0.75">
      <c r="A680" t="s">
        <v>69</v>
      </c>
      <c r="B680" s="3">
        <v>44707</v>
      </c>
      <c r="C680">
        <v>2</v>
      </c>
      <c r="D680" t="s">
        <v>207</v>
      </c>
      <c r="E680" s="22">
        <f>27-25</f>
        <v>2</v>
      </c>
      <c r="F680" t="s">
        <v>363</v>
      </c>
      <c r="G680" t="s">
        <v>367</v>
      </c>
    </row>
    <row r="681" spans="1:11" x14ac:dyDescent="0.75">
      <c r="A681" t="s">
        <v>69</v>
      </c>
      <c r="B681" s="3">
        <v>44707</v>
      </c>
      <c r="C681">
        <v>2</v>
      </c>
      <c r="D681" t="s">
        <v>191</v>
      </c>
      <c r="E681" s="22">
        <v>25</v>
      </c>
      <c r="F681" t="s">
        <v>363</v>
      </c>
      <c r="G681" t="s">
        <v>367</v>
      </c>
    </row>
    <row r="682" spans="1:11" s="23" customFormat="1" x14ac:dyDescent="0.75">
      <c r="A682" s="23" t="s">
        <v>23</v>
      </c>
      <c r="B682" s="24">
        <v>44712</v>
      </c>
      <c r="C682" s="23">
        <v>1</v>
      </c>
      <c r="D682" s="23" t="s">
        <v>197</v>
      </c>
      <c r="E682" s="52">
        <f>47-40</f>
        <v>7</v>
      </c>
      <c r="F682" s="23" t="s">
        <v>363</v>
      </c>
      <c r="G682" s="23" t="s">
        <v>361</v>
      </c>
    </row>
    <row r="683" spans="1:11" s="23" customFormat="1" x14ac:dyDescent="0.75">
      <c r="A683" s="23" t="s">
        <v>23</v>
      </c>
      <c r="B683" s="24">
        <v>44712</v>
      </c>
      <c r="C683" s="23">
        <v>1</v>
      </c>
      <c r="D683" s="23" t="s">
        <v>201</v>
      </c>
      <c r="E683" s="52">
        <f>40-27</f>
        <v>13</v>
      </c>
      <c r="F683" s="23" t="s">
        <v>363</v>
      </c>
      <c r="G683" s="23" t="s">
        <v>361</v>
      </c>
    </row>
    <row r="684" spans="1:11" s="23" customFormat="1" x14ac:dyDescent="0.75">
      <c r="A684" s="23" t="s">
        <v>23</v>
      </c>
      <c r="B684" s="24">
        <v>44712</v>
      </c>
      <c r="C684" s="23">
        <v>1</v>
      </c>
      <c r="D684" s="23" t="s">
        <v>215</v>
      </c>
      <c r="E684" s="52">
        <f>41-35</f>
        <v>6</v>
      </c>
      <c r="F684" s="23" t="s">
        <v>363</v>
      </c>
      <c r="G684" s="23" t="s">
        <v>374</v>
      </c>
    </row>
    <row r="685" spans="1:11" s="23" customFormat="1" x14ac:dyDescent="0.75">
      <c r="A685" s="23" t="s">
        <v>23</v>
      </c>
      <c r="B685" s="24">
        <v>44712</v>
      </c>
      <c r="C685" s="23">
        <v>1</v>
      </c>
      <c r="D685" s="23" t="s">
        <v>197</v>
      </c>
      <c r="E685" s="52">
        <f>35-28</f>
        <v>7</v>
      </c>
      <c r="F685" s="23" t="s">
        <v>363</v>
      </c>
      <c r="G685" s="23" t="s">
        <v>374</v>
      </c>
    </row>
    <row r="686" spans="1:11" s="23" customFormat="1" x14ac:dyDescent="0.75">
      <c r="A686" s="23" t="s">
        <v>23</v>
      </c>
      <c r="B686" s="24">
        <v>44712</v>
      </c>
      <c r="C686" s="23">
        <v>1</v>
      </c>
      <c r="D686" s="23" t="s">
        <v>197</v>
      </c>
      <c r="E686" s="52">
        <f>28-24</f>
        <v>4</v>
      </c>
      <c r="F686" s="23" t="s">
        <v>363</v>
      </c>
      <c r="G686" s="23" t="s">
        <v>374</v>
      </c>
    </row>
    <row r="687" spans="1:11" s="23" customFormat="1" x14ac:dyDescent="0.75">
      <c r="A687" s="23" t="s">
        <v>23</v>
      </c>
      <c r="B687" s="24">
        <v>44712</v>
      </c>
      <c r="C687" s="23">
        <v>1</v>
      </c>
      <c r="D687" s="23" t="s">
        <v>197</v>
      </c>
      <c r="E687" s="52">
        <f>24-10</f>
        <v>14</v>
      </c>
      <c r="F687" s="23" t="s">
        <v>363</v>
      </c>
      <c r="G687" s="23" t="s">
        <v>374</v>
      </c>
    </row>
    <row r="688" spans="1:11" s="23" customFormat="1" x14ac:dyDescent="0.75">
      <c r="A688" s="23" t="s">
        <v>23</v>
      </c>
      <c r="B688" s="24">
        <v>44712</v>
      </c>
      <c r="C688" s="23">
        <v>1</v>
      </c>
      <c r="D688" s="23" t="s">
        <v>197</v>
      </c>
      <c r="E688" s="52">
        <f>10-7</f>
        <v>3</v>
      </c>
      <c r="F688" s="23" t="s">
        <v>363</v>
      </c>
      <c r="G688" s="23" t="s">
        <v>374</v>
      </c>
    </row>
    <row r="689" spans="1:7" s="23" customFormat="1" x14ac:dyDescent="0.75">
      <c r="A689" s="23" t="s">
        <v>23</v>
      </c>
      <c r="B689" s="24">
        <v>44712</v>
      </c>
      <c r="C689" s="23">
        <v>1</v>
      </c>
      <c r="D689" s="23" t="s">
        <v>207</v>
      </c>
      <c r="E689" s="52">
        <f>7-5</f>
        <v>2</v>
      </c>
      <c r="F689" s="23" t="s">
        <v>363</v>
      </c>
      <c r="G689" s="23" t="s">
        <v>374</v>
      </c>
    </row>
    <row r="690" spans="1:7" s="23" customFormat="1" x14ac:dyDescent="0.75">
      <c r="A690" s="23" t="s">
        <v>23</v>
      </c>
      <c r="B690" s="24">
        <v>44712</v>
      </c>
      <c r="C690" s="23">
        <v>1</v>
      </c>
      <c r="D690" s="23" t="s">
        <v>197</v>
      </c>
      <c r="E690" s="52">
        <f>5-3</f>
        <v>2</v>
      </c>
      <c r="F690" s="23" t="s">
        <v>363</v>
      </c>
      <c r="G690" s="23" t="s">
        <v>374</v>
      </c>
    </row>
    <row r="691" spans="1:7" s="23" customFormat="1" x14ac:dyDescent="0.75">
      <c r="A691" s="23" t="s">
        <v>23</v>
      </c>
      <c r="B691" s="24">
        <v>44712</v>
      </c>
      <c r="C691" s="23">
        <v>1</v>
      </c>
      <c r="D691" s="23" t="s">
        <v>197</v>
      </c>
      <c r="E691" s="52">
        <f>42-26</f>
        <v>16</v>
      </c>
      <c r="F691" s="23" t="s">
        <v>363</v>
      </c>
      <c r="G691" s="23" t="s">
        <v>374</v>
      </c>
    </row>
    <row r="692" spans="1:7" s="23" customFormat="1" x14ac:dyDescent="0.75">
      <c r="A692" s="23" t="s">
        <v>23</v>
      </c>
      <c r="B692" s="24">
        <v>44712</v>
      </c>
      <c r="C692" s="23">
        <v>1</v>
      </c>
      <c r="D692" s="23" t="s">
        <v>197</v>
      </c>
      <c r="E692" s="52">
        <f>26-18</f>
        <v>8</v>
      </c>
      <c r="F692" s="23" t="s">
        <v>363</v>
      </c>
      <c r="G692" s="23" t="s">
        <v>374</v>
      </c>
    </row>
    <row r="693" spans="1:7" s="23" customFormat="1" x14ac:dyDescent="0.75">
      <c r="A693" s="23" t="s">
        <v>23</v>
      </c>
      <c r="B693" s="24">
        <v>44712</v>
      </c>
      <c r="C693" s="23">
        <v>1</v>
      </c>
      <c r="D693" s="23" t="s">
        <v>153</v>
      </c>
      <c r="E693" s="52">
        <f>18-15</f>
        <v>3</v>
      </c>
      <c r="F693" s="23" t="s">
        <v>363</v>
      </c>
      <c r="G693" s="23" t="s">
        <v>374</v>
      </c>
    </row>
    <row r="694" spans="1:7" s="23" customFormat="1" x14ac:dyDescent="0.75">
      <c r="A694" s="23" t="s">
        <v>23</v>
      </c>
      <c r="B694" s="24">
        <v>44712</v>
      </c>
      <c r="C694" s="23">
        <v>1</v>
      </c>
      <c r="D694" s="23" t="s">
        <v>197</v>
      </c>
      <c r="E694" s="52">
        <f>15-10</f>
        <v>5</v>
      </c>
      <c r="F694" s="23" t="s">
        <v>363</v>
      </c>
      <c r="G694" s="23" t="s">
        <v>374</v>
      </c>
    </row>
    <row r="695" spans="1:7" s="23" customFormat="1" x14ac:dyDescent="0.75">
      <c r="A695" s="23" t="s">
        <v>23</v>
      </c>
      <c r="B695" s="24">
        <v>44712</v>
      </c>
      <c r="C695" s="23">
        <v>1</v>
      </c>
      <c r="D695" s="23" t="s">
        <v>201</v>
      </c>
      <c r="E695" s="52">
        <f>45-29</f>
        <v>16</v>
      </c>
      <c r="F695" s="23" t="s">
        <v>363</v>
      </c>
      <c r="G695" s="23" t="s">
        <v>374</v>
      </c>
    </row>
    <row r="696" spans="1:7" s="23" customFormat="1" x14ac:dyDescent="0.75">
      <c r="A696" s="23" t="s">
        <v>23</v>
      </c>
      <c r="B696" s="24">
        <v>44712</v>
      </c>
      <c r="C696" s="23">
        <v>1</v>
      </c>
      <c r="D696" s="23" t="s">
        <v>197</v>
      </c>
      <c r="E696" s="52">
        <f>29</f>
        <v>29</v>
      </c>
      <c r="F696" s="23" t="s">
        <v>363</v>
      </c>
      <c r="G696" s="23" t="s">
        <v>374</v>
      </c>
    </row>
    <row r="697" spans="1:7" s="23" customFormat="1" x14ac:dyDescent="0.75">
      <c r="A697" s="23" t="s">
        <v>23</v>
      </c>
      <c r="B697" s="24">
        <v>44712</v>
      </c>
      <c r="C697" s="23">
        <v>1</v>
      </c>
      <c r="D697" s="23" t="s">
        <v>201</v>
      </c>
      <c r="E697" s="52">
        <f>40-30</f>
        <v>10</v>
      </c>
      <c r="F697" s="23" t="s">
        <v>363</v>
      </c>
      <c r="G697" s="23" t="s">
        <v>367</v>
      </c>
    </row>
    <row r="698" spans="1:7" s="23" customFormat="1" x14ac:dyDescent="0.75">
      <c r="A698" s="23" t="s">
        <v>23</v>
      </c>
      <c r="B698" s="24">
        <v>44712</v>
      </c>
      <c r="C698" s="23">
        <v>1</v>
      </c>
      <c r="D698" s="23" t="s">
        <v>197</v>
      </c>
      <c r="E698" s="52">
        <f>30-27</f>
        <v>3</v>
      </c>
      <c r="F698" s="23" t="s">
        <v>363</v>
      </c>
      <c r="G698" s="23" t="s">
        <v>367</v>
      </c>
    </row>
    <row r="699" spans="1:7" s="23" customFormat="1" x14ac:dyDescent="0.75">
      <c r="A699" s="23" t="s">
        <v>23</v>
      </c>
      <c r="B699" s="24">
        <v>44712</v>
      </c>
      <c r="C699" s="23">
        <v>1</v>
      </c>
      <c r="D699" s="23" t="s">
        <v>176</v>
      </c>
      <c r="E699" s="52">
        <f>27-14</f>
        <v>13</v>
      </c>
      <c r="F699" s="23" t="s">
        <v>363</v>
      </c>
      <c r="G699" s="23" t="s">
        <v>367</v>
      </c>
    </row>
    <row r="700" spans="1:7" x14ac:dyDescent="0.75">
      <c r="A700" t="s">
        <v>23</v>
      </c>
      <c r="B700" s="3">
        <v>44712</v>
      </c>
      <c r="C700">
        <v>2</v>
      </c>
      <c r="D700" t="s">
        <v>199</v>
      </c>
      <c r="E700" s="22">
        <f>27-16</f>
        <v>11</v>
      </c>
      <c r="F700" t="s">
        <v>363</v>
      </c>
      <c r="G700" t="s">
        <v>361</v>
      </c>
    </row>
    <row r="701" spans="1:7" x14ac:dyDescent="0.75">
      <c r="A701" t="s">
        <v>23</v>
      </c>
      <c r="B701" s="3">
        <v>44712</v>
      </c>
      <c r="C701">
        <v>2</v>
      </c>
      <c r="D701" t="s">
        <v>197</v>
      </c>
      <c r="E701" s="22">
        <f>16-8</f>
        <v>8</v>
      </c>
      <c r="F701" t="s">
        <v>363</v>
      </c>
      <c r="G701" t="s">
        <v>361</v>
      </c>
    </row>
    <row r="702" spans="1:7" x14ac:dyDescent="0.75">
      <c r="A702" t="s">
        <v>23</v>
      </c>
      <c r="B702" s="3">
        <v>44712</v>
      </c>
      <c r="C702">
        <v>2</v>
      </c>
      <c r="D702" t="s">
        <v>197</v>
      </c>
      <c r="E702" s="22">
        <f>8</f>
        <v>8</v>
      </c>
      <c r="F702" t="s">
        <v>363</v>
      </c>
      <c r="G702" t="s">
        <v>361</v>
      </c>
    </row>
    <row r="703" spans="1:7" x14ac:dyDescent="0.75">
      <c r="A703" t="s">
        <v>23</v>
      </c>
      <c r="B703" s="3">
        <v>44712</v>
      </c>
      <c r="C703">
        <v>2</v>
      </c>
      <c r="D703" t="s">
        <v>197</v>
      </c>
      <c r="E703" s="22">
        <f>43-36</f>
        <v>7</v>
      </c>
      <c r="F703" t="s">
        <v>363</v>
      </c>
      <c r="G703" t="s">
        <v>361</v>
      </c>
    </row>
    <row r="704" spans="1:7" x14ac:dyDescent="0.75">
      <c r="A704" t="s">
        <v>23</v>
      </c>
      <c r="B704" s="3">
        <v>44712</v>
      </c>
      <c r="C704">
        <v>2</v>
      </c>
      <c r="D704" t="s">
        <v>197</v>
      </c>
      <c r="E704" s="22">
        <f>36-29</f>
        <v>7</v>
      </c>
      <c r="F704" t="s">
        <v>363</v>
      </c>
      <c r="G704" t="s">
        <v>361</v>
      </c>
    </row>
    <row r="705" spans="1:7" x14ac:dyDescent="0.75">
      <c r="A705" t="s">
        <v>23</v>
      </c>
      <c r="B705" s="3">
        <v>44712</v>
      </c>
      <c r="C705">
        <v>2</v>
      </c>
      <c r="D705" t="s">
        <v>197</v>
      </c>
      <c r="E705" s="22">
        <f>29-22</f>
        <v>7</v>
      </c>
      <c r="F705" t="s">
        <v>363</v>
      </c>
      <c r="G705" t="s">
        <v>361</v>
      </c>
    </row>
    <row r="706" spans="1:7" x14ac:dyDescent="0.75">
      <c r="A706" t="s">
        <v>23</v>
      </c>
      <c r="B706" s="3">
        <v>44712</v>
      </c>
      <c r="C706">
        <v>2</v>
      </c>
      <c r="D706" t="s">
        <v>197</v>
      </c>
      <c r="E706" s="22">
        <f>22-15</f>
        <v>7</v>
      </c>
      <c r="F706" t="s">
        <v>363</v>
      </c>
      <c r="G706" t="s">
        <v>361</v>
      </c>
    </row>
    <row r="707" spans="1:7" x14ac:dyDescent="0.75">
      <c r="A707" t="s">
        <v>23</v>
      </c>
      <c r="B707" s="3">
        <v>44712</v>
      </c>
      <c r="C707">
        <v>2</v>
      </c>
      <c r="D707" t="s">
        <v>194</v>
      </c>
      <c r="E707" s="22">
        <f>15-14</f>
        <v>1</v>
      </c>
      <c r="F707" t="s">
        <v>363</v>
      </c>
      <c r="G707" t="s">
        <v>361</v>
      </c>
    </row>
    <row r="708" spans="1:7" x14ac:dyDescent="0.75">
      <c r="A708" t="s">
        <v>23</v>
      </c>
      <c r="B708" s="3">
        <v>44712</v>
      </c>
      <c r="C708">
        <v>2</v>
      </c>
      <c r="D708" t="s">
        <v>197</v>
      </c>
      <c r="E708" s="22">
        <f>14-5</f>
        <v>9</v>
      </c>
      <c r="F708" t="s">
        <v>363</v>
      </c>
      <c r="G708" t="s">
        <v>361</v>
      </c>
    </row>
    <row r="709" spans="1:7" x14ac:dyDescent="0.75">
      <c r="A709" t="s">
        <v>23</v>
      </c>
      <c r="B709" s="3">
        <v>44712</v>
      </c>
      <c r="C709">
        <v>2</v>
      </c>
      <c r="D709" t="s">
        <v>197</v>
      </c>
      <c r="E709" s="22">
        <f>5</f>
        <v>5</v>
      </c>
      <c r="F709" t="s">
        <v>363</v>
      </c>
      <c r="G709" t="s">
        <v>361</v>
      </c>
    </row>
    <row r="710" spans="1:7" x14ac:dyDescent="0.75">
      <c r="A710" t="s">
        <v>23</v>
      </c>
      <c r="B710" s="3">
        <v>44712</v>
      </c>
      <c r="C710">
        <v>2</v>
      </c>
      <c r="D710" t="s">
        <v>194</v>
      </c>
      <c r="E710" s="22">
        <f>10-5</f>
        <v>5</v>
      </c>
      <c r="F710" t="s">
        <v>363</v>
      </c>
      <c r="G710" t="s">
        <v>374</v>
      </c>
    </row>
    <row r="711" spans="1:7" x14ac:dyDescent="0.75">
      <c r="A711" t="s">
        <v>23</v>
      </c>
      <c r="B711" s="3">
        <v>44712</v>
      </c>
      <c r="C711">
        <v>2</v>
      </c>
      <c r="D711" t="s">
        <v>197</v>
      </c>
      <c r="E711" s="22">
        <v>4</v>
      </c>
      <c r="F711" t="s">
        <v>363</v>
      </c>
      <c r="G711" t="s">
        <v>374</v>
      </c>
    </row>
    <row r="712" spans="1:7" x14ac:dyDescent="0.75">
      <c r="A712" t="s">
        <v>23</v>
      </c>
      <c r="B712" s="3">
        <v>44712</v>
      </c>
      <c r="C712">
        <v>2</v>
      </c>
      <c r="D712" t="s">
        <v>194</v>
      </c>
      <c r="E712" s="22">
        <f>42-34</f>
        <v>8</v>
      </c>
      <c r="F712" t="s">
        <v>363</v>
      </c>
      <c r="G712" t="s">
        <v>374</v>
      </c>
    </row>
    <row r="713" spans="1:7" x14ac:dyDescent="0.75">
      <c r="A713" t="s">
        <v>23</v>
      </c>
      <c r="B713" s="3">
        <v>44712</v>
      </c>
      <c r="C713">
        <v>2</v>
      </c>
      <c r="D713" t="s">
        <v>194</v>
      </c>
      <c r="E713" s="22">
        <f>33-30</f>
        <v>3</v>
      </c>
      <c r="F713" t="s">
        <v>363</v>
      </c>
      <c r="G713" t="s">
        <v>374</v>
      </c>
    </row>
    <row r="714" spans="1:7" x14ac:dyDescent="0.75">
      <c r="A714" t="s">
        <v>23</v>
      </c>
      <c r="B714" s="3">
        <v>44712</v>
      </c>
      <c r="C714">
        <v>2</v>
      </c>
      <c r="D714" t="s">
        <v>197</v>
      </c>
      <c r="E714" s="22">
        <f>30-28</f>
        <v>2</v>
      </c>
      <c r="F714" t="s">
        <v>363</v>
      </c>
      <c r="G714" t="s">
        <v>374</v>
      </c>
    </row>
    <row r="715" spans="1:7" x14ac:dyDescent="0.75">
      <c r="A715" t="s">
        <v>23</v>
      </c>
      <c r="B715" s="3">
        <v>44712</v>
      </c>
      <c r="C715">
        <v>2</v>
      </c>
      <c r="D715" t="s">
        <v>197</v>
      </c>
      <c r="E715" s="22">
        <f>28-12</f>
        <v>16</v>
      </c>
      <c r="F715" t="s">
        <v>363</v>
      </c>
      <c r="G715" t="s">
        <v>374</v>
      </c>
    </row>
    <row r="716" spans="1:7" x14ac:dyDescent="0.75">
      <c r="A716" t="s">
        <v>23</v>
      </c>
      <c r="B716" s="3">
        <v>44712</v>
      </c>
      <c r="C716">
        <v>2</v>
      </c>
      <c r="D716" t="s">
        <v>197</v>
      </c>
      <c r="E716" s="22">
        <f>12-10</f>
        <v>2</v>
      </c>
      <c r="F716" t="s">
        <v>363</v>
      </c>
      <c r="G716" t="s">
        <v>374</v>
      </c>
    </row>
    <row r="717" spans="1:7" x14ac:dyDescent="0.75">
      <c r="A717" t="s">
        <v>23</v>
      </c>
      <c r="B717" s="3">
        <v>44712</v>
      </c>
      <c r="C717">
        <v>2</v>
      </c>
      <c r="D717" t="s">
        <v>172</v>
      </c>
      <c r="E717" s="22">
        <f>10-6</f>
        <v>4</v>
      </c>
      <c r="F717" t="s">
        <v>363</v>
      </c>
      <c r="G717" t="s">
        <v>374</v>
      </c>
    </row>
    <row r="718" spans="1:7" x14ac:dyDescent="0.75">
      <c r="A718" t="s">
        <v>23</v>
      </c>
      <c r="B718" s="3">
        <v>44712</v>
      </c>
      <c r="C718">
        <v>2</v>
      </c>
      <c r="D718" t="s">
        <v>197</v>
      </c>
      <c r="E718" s="22">
        <f>6</f>
        <v>6</v>
      </c>
      <c r="F718" t="s">
        <v>363</v>
      </c>
      <c r="G718" t="s">
        <v>374</v>
      </c>
    </row>
    <row r="719" spans="1:7" x14ac:dyDescent="0.75">
      <c r="A719" t="s">
        <v>23</v>
      </c>
      <c r="B719" s="3">
        <v>44712</v>
      </c>
      <c r="C719">
        <v>2</v>
      </c>
      <c r="D719" t="s">
        <v>194</v>
      </c>
      <c r="E719" s="22">
        <f>44-30</f>
        <v>14</v>
      </c>
      <c r="F719" t="s">
        <v>363</v>
      </c>
      <c r="G719" t="s">
        <v>374</v>
      </c>
    </row>
    <row r="720" spans="1:7" x14ac:dyDescent="0.75">
      <c r="A720" t="s">
        <v>23</v>
      </c>
      <c r="B720" s="3">
        <v>44712</v>
      </c>
      <c r="C720">
        <v>2</v>
      </c>
      <c r="D720" t="s">
        <v>197</v>
      </c>
      <c r="E720" s="22">
        <f>30-10</f>
        <v>20</v>
      </c>
      <c r="F720" t="s">
        <v>363</v>
      </c>
      <c r="G720" t="s">
        <v>374</v>
      </c>
    </row>
    <row r="721" spans="1:7" x14ac:dyDescent="0.75">
      <c r="A721" t="s">
        <v>23</v>
      </c>
      <c r="B721" s="3">
        <v>44712</v>
      </c>
      <c r="C721">
        <v>2</v>
      </c>
      <c r="D721" t="s">
        <v>194</v>
      </c>
      <c r="E721" s="22">
        <v>10</v>
      </c>
      <c r="F721" t="s">
        <v>363</v>
      </c>
      <c r="G721" t="s">
        <v>374</v>
      </c>
    </row>
    <row r="722" spans="1:7" x14ac:dyDescent="0.75">
      <c r="A722" t="s">
        <v>23</v>
      </c>
      <c r="B722" s="3">
        <v>44712</v>
      </c>
      <c r="C722">
        <v>2</v>
      </c>
      <c r="D722" t="s">
        <v>197</v>
      </c>
      <c r="E722" s="22">
        <f>14-7</f>
        <v>7</v>
      </c>
      <c r="F722" t="s">
        <v>363</v>
      </c>
      <c r="G722" t="s">
        <v>367</v>
      </c>
    </row>
    <row r="723" spans="1:7" x14ac:dyDescent="0.75">
      <c r="A723" t="s">
        <v>23</v>
      </c>
      <c r="B723" s="3">
        <v>44712</v>
      </c>
      <c r="C723">
        <v>2</v>
      </c>
      <c r="D723" t="s">
        <v>197</v>
      </c>
      <c r="E723" s="22">
        <f>7+42-30</f>
        <v>19</v>
      </c>
      <c r="F723" t="s">
        <v>363</v>
      </c>
      <c r="G723" t="s">
        <v>367</v>
      </c>
    </row>
    <row r="724" spans="1:7" x14ac:dyDescent="0.75">
      <c r="A724" t="s">
        <v>23</v>
      </c>
      <c r="B724" s="3">
        <v>44712</v>
      </c>
      <c r="C724">
        <v>2</v>
      </c>
      <c r="D724" t="s">
        <v>197</v>
      </c>
      <c r="E724" s="22">
        <f>30-26</f>
        <v>4</v>
      </c>
      <c r="F724" t="s">
        <v>363</v>
      </c>
      <c r="G724" t="s">
        <v>367</v>
      </c>
    </row>
    <row r="725" spans="1:7" x14ac:dyDescent="0.75">
      <c r="A725" t="s">
        <v>23</v>
      </c>
      <c r="B725" s="3">
        <v>44712</v>
      </c>
      <c r="C725">
        <v>2</v>
      </c>
      <c r="D725" t="s">
        <v>201</v>
      </c>
      <c r="E725" s="22">
        <f>26-24</f>
        <v>2</v>
      </c>
      <c r="F725" t="s">
        <v>363</v>
      </c>
      <c r="G725" t="s">
        <v>367</v>
      </c>
    </row>
    <row r="726" spans="1:7" x14ac:dyDescent="0.75">
      <c r="A726" t="s">
        <v>23</v>
      </c>
      <c r="B726" s="3">
        <v>44712</v>
      </c>
      <c r="C726">
        <v>2</v>
      </c>
      <c r="D726" t="s">
        <v>201</v>
      </c>
      <c r="E726" s="22">
        <f>24-20</f>
        <v>4</v>
      </c>
      <c r="F726" t="s">
        <v>363</v>
      </c>
      <c r="G726" t="s">
        <v>367</v>
      </c>
    </row>
    <row r="727" spans="1:7" x14ac:dyDescent="0.75">
      <c r="A727" t="s">
        <v>23</v>
      </c>
      <c r="B727" s="3">
        <v>44712</v>
      </c>
      <c r="C727">
        <v>2</v>
      </c>
      <c r="D727" t="s">
        <v>197</v>
      </c>
      <c r="E727" s="22">
        <f>20-7</f>
        <v>13</v>
      </c>
      <c r="F727" t="s">
        <v>363</v>
      </c>
      <c r="G727" t="s">
        <v>367</v>
      </c>
    </row>
    <row r="728" spans="1:7" x14ac:dyDescent="0.75">
      <c r="A728" t="s">
        <v>23</v>
      </c>
      <c r="B728" s="3">
        <v>44712</v>
      </c>
      <c r="C728">
        <v>2</v>
      </c>
      <c r="D728" t="s">
        <v>197</v>
      </c>
      <c r="E728" s="22">
        <f>7+45-38</f>
        <v>14</v>
      </c>
      <c r="F728" t="s">
        <v>363</v>
      </c>
      <c r="G728" t="s">
        <v>367</v>
      </c>
    </row>
    <row r="729" spans="1:7" x14ac:dyDescent="0.75">
      <c r="A729" t="s">
        <v>23</v>
      </c>
      <c r="B729" s="3">
        <v>44712</v>
      </c>
      <c r="C729">
        <v>2</v>
      </c>
      <c r="D729" t="s">
        <v>197</v>
      </c>
      <c r="E729" s="22">
        <f>38-22</f>
        <v>16</v>
      </c>
      <c r="F729" t="s">
        <v>363</v>
      </c>
      <c r="G729" t="s">
        <v>367</v>
      </c>
    </row>
    <row r="730" spans="1:7" x14ac:dyDescent="0.75">
      <c r="A730" t="s">
        <v>23</v>
      </c>
      <c r="B730" s="3">
        <v>44712</v>
      </c>
      <c r="C730">
        <v>2</v>
      </c>
      <c r="D730" t="s">
        <v>164</v>
      </c>
      <c r="E730" s="22">
        <f>22-4</f>
        <v>18</v>
      </c>
      <c r="F730" t="s">
        <v>363</v>
      </c>
      <c r="G730" t="s">
        <v>367</v>
      </c>
    </row>
    <row r="731" spans="1:7" s="23" customFormat="1" x14ac:dyDescent="0.75">
      <c r="A731" s="23" t="s">
        <v>23</v>
      </c>
      <c r="B731" s="24">
        <v>44713</v>
      </c>
      <c r="C731" s="23">
        <v>1</v>
      </c>
      <c r="D731" s="23" t="s">
        <v>191</v>
      </c>
      <c r="E731" s="52">
        <f>40-36</f>
        <v>4</v>
      </c>
      <c r="F731" s="23" t="s">
        <v>363</v>
      </c>
      <c r="G731" s="23" t="s">
        <v>733</v>
      </c>
    </row>
    <row r="732" spans="1:7" s="23" customFormat="1" x14ac:dyDescent="0.75">
      <c r="A732" s="23" t="s">
        <v>23</v>
      </c>
      <c r="B732" s="24">
        <v>44713</v>
      </c>
      <c r="C732" s="23">
        <v>1</v>
      </c>
      <c r="D732" s="23" t="s">
        <v>153</v>
      </c>
      <c r="E732" s="52">
        <f>36-30</f>
        <v>6</v>
      </c>
      <c r="F732" s="23" t="s">
        <v>363</v>
      </c>
      <c r="G732" s="23" t="s">
        <v>733</v>
      </c>
    </row>
    <row r="733" spans="1:7" s="23" customFormat="1" x14ac:dyDescent="0.75">
      <c r="A733" s="23" t="s">
        <v>23</v>
      </c>
      <c r="B733" s="24">
        <v>44713</v>
      </c>
      <c r="C733" s="23">
        <v>1</v>
      </c>
      <c r="D733" s="23" t="s">
        <v>197</v>
      </c>
      <c r="E733" s="52">
        <f>30-22</f>
        <v>8</v>
      </c>
      <c r="F733" s="23" t="s">
        <v>363</v>
      </c>
      <c r="G733" s="23" t="s">
        <v>733</v>
      </c>
    </row>
    <row r="734" spans="1:7" s="23" customFormat="1" x14ac:dyDescent="0.75">
      <c r="A734" s="23" t="s">
        <v>23</v>
      </c>
      <c r="B734" s="24">
        <v>44713</v>
      </c>
      <c r="C734" s="23">
        <v>1</v>
      </c>
      <c r="D734" s="23" t="s">
        <v>197</v>
      </c>
      <c r="E734" s="52">
        <f>22-14</f>
        <v>8</v>
      </c>
      <c r="F734" s="23" t="s">
        <v>363</v>
      </c>
      <c r="G734" s="23" t="s">
        <v>733</v>
      </c>
    </row>
    <row r="735" spans="1:7" s="23" customFormat="1" x14ac:dyDescent="0.75">
      <c r="A735" s="23" t="s">
        <v>23</v>
      </c>
      <c r="B735" s="24">
        <v>44713</v>
      </c>
      <c r="C735" s="23">
        <v>1</v>
      </c>
      <c r="D735" s="23" t="s">
        <v>197</v>
      </c>
      <c r="E735" s="52">
        <f>38-27</f>
        <v>11</v>
      </c>
      <c r="F735" s="23" t="s">
        <v>363</v>
      </c>
      <c r="G735" s="23" t="s">
        <v>361</v>
      </c>
    </row>
    <row r="736" spans="1:7" s="23" customFormat="1" x14ac:dyDescent="0.75">
      <c r="A736" s="23" t="s">
        <v>23</v>
      </c>
      <c r="B736" s="24">
        <v>44713</v>
      </c>
      <c r="C736" s="23">
        <v>1</v>
      </c>
      <c r="D736" s="23" t="s">
        <v>194</v>
      </c>
      <c r="E736" s="52">
        <f>27-8</f>
        <v>19</v>
      </c>
      <c r="F736" s="23" t="s">
        <v>363</v>
      </c>
      <c r="G736" s="23" t="s">
        <v>361</v>
      </c>
    </row>
    <row r="737" spans="1:7" s="23" customFormat="1" x14ac:dyDescent="0.75">
      <c r="A737" s="23" t="s">
        <v>23</v>
      </c>
      <c r="B737" s="24">
        <v>44713</v>
      </c>
      <c r="C737" s="23">
        <v>1</v>
      </c>
      <c r="D737" s="23" t="s">
        <v>197</v>
      </c>
      <c r="E737" s="52">
        <f>8-4</f>
        <v>4</v>
      </c>
      <c r="F737" s="23" t="s">
        <v>363</v>
      </c>
      <c r="G737" s="23" t="s">
        <v>361</v>
      </c>
    </row>
    <row r="738" spans="1:7" s="23" customFormat="1" x14ac:dyDescent="0.75">
      <c r="A738" s="23" t="s">
        <v>23</v>
      </c>
      <c r="B738" s="24">
        <v>44713</v>
      </c>
      <c r="C738" s="23">
        <v>1</v>
      </c>
      <c r="D738" s="23" t="s">
        <v>194</v>
      </c>
      <c r="E738" s="52">
        <f>4+40-33</f>
        <v>11</v>
      </c>
      <c r="F738" s="23" t="s">
        <v>363</v>
      </c>
      <c r="G738" s="23" t="s">
        <v>361</v>
      </c>
    </row>
    <row r="739" spans="1:7" s="23" customFormat="1" x14ac:dyDescent="0.75">
      <c r="A739" s="23" t="s">
        <v>23</v>
      </c>
      <c r="B739" s="24">
        <v>44713</v>
      </c>
      <c r="C739" s="23">
        <v>1</v>
      </c>
      <c r="D739" s="23" t="s">
        <v>197</v>
      </c>
      <c r="E739" s="52">
        <f>33-26</f>
        <v>7</v>
      </c>
      <c r="F739" s="23" t="s">
        <v>363</v>
      </c>
      <c r="G739" s="23" t="s">
        <v>361</v>
      </c>
    </row>
    <row r="740" spans="1:7" s="23" customFormat="1" x14ac:dyDescent="0.75">
      <c r="A740" s="23" t="s">
        <v>23</v>
      </c>
      <c r="B740" s="24">
        <v>44713</v>
      </c>
      <c r="C740" s="23">
        <v>1</v>
      </c>
      <c r="D740" s="23" t="s">
        <v>153</v>
      </c>
      <c r="E740" s="52">
        <f>45-40</f>
        <v>5</v>
      </c>
      <c r="F740" s="23" t="s">
        <v>363</v>
      </c>
      <c r="G740" s="23" t="s">
        <v>374</v>
      </c>
    </row>
    <row r="741" spans="1:7" s="23" customFormat="1" x14ac:dyDescent="0.75">
      <c r="A741" s="23" t="s">
        <v>23</v>
      </c>
      <c r="B741" s="24">
        <v>44713</v>
      </c>
      <c r="C741" s="23">
        <v>1</v>
      </c>
      <c r="D741" s="23" t="s">
        <v>191</v>
      </c>
      <c r="E741" s="52">
        <f>40-19</f>
        <v>21</v>
      </c>
      <c r="F741" s="23" t="s">
        <v>363</v>
      </c>
      <c r="G741" s="23" t="s">
        <v>374</v>
      </c>
    </row>
    <row r="742" spans="1:7" s="23" customFormat="1" x14ac:dyDescent="0.75">
      <c r="A742" s="23" t="s">
        <v>23</v>
      </c>
      <c r="B742" s="24">
        <v>44713</v>
      </c>
      <c r="C742" s="23">
        <v>1</v>
      </c>
      <c r="D742" s="23" t="s">
        <v>207</v>
      </c>
      <c r="E742" s="52">
        <f>18</f>
        <v>18</v>
      </c>
      <c r="F742" s="23" t="s">
        <v>363</v>
      </c>
      <c r="G742" s="23" t="s">
        <v>374</v>
      </c>
    </row>
    <row r="743" spans="1:7" s="23" customFormat="1" x14ac:dyDescent="0.75">
      <c r="A743" s="23" t="s">
        <v>23</v>
      </c>
      <c r="B743" s="24">
        <v>44713</v>
      </c>
      <c r="C743" s="23">
        <v>1</v>
      </c>
      <c r="D743" s="23" t="s">
        <v>194</v>
      </c>
      <c r="E743" s="52">
        <v>14</v>
      </c>
      <c r="F743" s="23" t="s">
        <v>363</v>
      </c>
      <c r="G743" s="23" t="s">
        <v>374</v>
      </c>
    </row>
    <row r="744" spans="1:7" s="23" customFormat="1" x14ac:dyDescent="0.75">
      <c r="A744" s="23" t="s">
        <v>23</v>
      </c>
      <c r="B744" s="24">
        <v>44713</v>
      </c>
      <c r="C744" s="23">
        <v>1</v>
      </c>
      <c r="D744" s="23" t="s">
        <v>153</v>
      </c>
      <c r="E744" s="52">
        <f>40-35</f>
        <v>5</v>
      </c>
      <c r="F744" s="23" t="s">
        <v>363</v>
      </c>
      <c r="G744" s="23" t="s">
        <v>374</v>
      </c>
    </row>
    <row r="745" spans="1:7" s="23" customFormat="1" x14ac:dyDescent="0.75">
      <c r="A745" s="23" t="s">
        <v>23</v>
      </c>
      <c r="B745" s="24">
        <v>44713</v>
      </c>
      <c r="C745" s="23">
        <v>1</v>
      </c>
      <c r="D745" s="23" t="s">
        <v>197</v>
      </c>
      <c r="E745" s="52">
        <f>35-33</f>
        <v>2</v>
      </c>
      <c r="F745" s="23" t="s">
        <v>363</v>
      </c>
      <c r="G745" s="23" t="s">
        <v>374</v>
      </c>
    </row>
    <row r="746" spans="1:7" s="23" customFormat="1" x14ac:dyDescent="0.75">
      <c r="A746" s="23" t="s">
        <v>23</v>
      </c>
      <c r="B746" s="24">
        <v>44713</v>
      </c>
      <c r="C746" s="23">
        <v>1</v>
      </c>
      <c r="D746" s="23" t="s">
        <v>197</v>
      </c>
      <c r="E746" s="52">
        <f>33-25</f>
        <v>8</v>
      </c>
      <c r="F746" s="23" t="s">
        <v>363</v>
      </c>
      <c r="G746" s="23" t="s">
        <v>374</v>
      </c>
    </row>
    <row r="747" spans="1:7" s="23" customFormat="1" x14ac:dyDescent="0.75">
      <c r="A747" s="23" t="s">
        <v>23</v>
      </c>
      <c r="B747" s="24">
        <v>44713</v>
      </c>
      <c r="C747" s="23">
        <v>1</v>
      </c>
      <c r="D747" s="23" t="s">
        <v>153</v>
      </c>
      <c r="E747" s="52">
        <f>25-15</f>
        <v>10</v>
      </c>
      <c r="F747" s="23" t="s">
        <v>363</v>
      </c>
      <c r="G747" s="23" t="s">
        <v>374</v>
      </c>
    </row>
    <row r="748" spans="1:7" s="23" customFormat="1" x14ac:dyDescent="0.75">
      <c r="A748" s="23" t="s">
        <v>23</v>
      </c>
      <c r="B748" s="24">
        <v>44713</v>
      </c>
      <c r="C748" s="23">
        <v>1</v>
      </c>
      <c r="D748" s="23" t="s">
        <v>197</v>
      </c>
      <c r="E748" s="52">
        <f>15+41-36</f>
        <v>20</v>
      </c>
      <c r="F748" s="23" t="s">
        <v>363</v>
      </c>
      <c r="G748" s="23" t="s">
        <v>374</v>
      </c>
    </row>
    <row r="749" spans="1:7" s="23" customFormat="1" x14ac:dyDescent="0.75">
      <c r="A749" s="23" t="s">
        <v>23</v>
      </c>
      <c r="B749" s="24">
        <v>44713</v>
      </c>
      <c r="C749" s="23">
        <v>1</v>
      </c>
      <c r="D749" s="23" t="s">
        <v>197</v>
      </c>
      <c r="E749" s="52">
        <f>36-32</f>
        <v>4</v>
      </c>
      <c r="F749" s="23" t="s">
        <v>363</v>
      </c>
      <c r="G749" s="23" t="s">
        <v>374</v>
      </c>
    </row>
    <row r="750" spans="1:7" x14ac:dyDescent="0.75">
      <c r="A750" t="s">
        <v>23</v>
      </c>
      <c r="B750" s="3">
        <v>44713</v>
      </c>
      <c r="C750">
        <v>2</v>
      </c>
      <c r="D750" t="s">
        <v>197</v>
      </c>
      <c r="E750" s="22">
        <f>13-5</f>
        <v>8</v>
      </c>
      <c r="F750" t="s">
        <v>363</v>
      </c>
      <c r="G750" t="s">
        <v>733</v>
      </c>
    </row>
    <row r="751" spans="1:7" x14ac:dyDescent="0.75">
      <c r="A751" t="s">
        <v>23</v>
      </c>
      <c r="B751" s="3">
        <v>44713</v>
      </c>
      <c r="C751">
        <v>2</v>
      </c>
      <c r="D751" t="s">
        <v>197</v>
      </c>
      <c r="E751" s="22">
        <f>5+41-35</f>
        <v>11</v>
      </c>
      <c r="F751" t="s">
        <v>363</v>
      </c>
      <c r="G751" t="s">
        <v>733</v>
      </c>
    </row>
    <row r="752" spans="1:7" x14ac:dyDescent="0.75">
      <c r="A752" t="s">
        <v>23</v>
      </c>
      <c r="B752" s="3">
        <v>44713</v>
      </c>
      <c r="C752">
        <v>2</v>
      </c>
      <c r="D752" t="s">
        <v>164</v>
      </c>
      <c r="E752" s="22">
        <f>35-22</f>
        <v>13</v>
      </c>
      <c r="F752">
        <v>902</v>
      </c>
      <c r="G752" t="s">
        <v>733</v>
      </c>
    </row>
    <row r="753" spans="1:7" x14ac:dyDescent="0.75">
      <c r="A753" t="s">
        <v>23</v>
      </c>
      <c r="B753" s="3">
        <v>44713</v>
      </c>
      <c r="C753">
        <v>2</v>
      </c>
      <c r="D753" t="s">
        <v>197</v>
      </c>
      <c r="E753" s="22">
        <f>22-19</f>
        <v>3</v>
      </c>
      <c r="F753" t="s">
        <v>363</v>
      </c>
      <c r="G753" t="s">
        <v>733</v>
      </c>
    </row>
    <row r="754" spans="1:7" x14ac:dyDescent="0.75">
      <c r="A754" t="s">
        <v>23</v>
      </c>
      <c r="B754" s="3">
        <v>44713</v>
      </c>
      <c r="C754">
        <v>2</v>
      </c>
      <c r="D754" t="s">
        <v>197</v>
      </c>
      <c r="E754" s="22">
        <f>19-10</f>
        <v>9</v>
      </c>
      <c r="F754" t="s">
        <v>363</v>
      </c>
      <c r="G754" t="s">
        <v>733</v>
      </c>
    </row>
    <row r="755" spans="1:7" x14ac:dyDescent="0.75">
      <c r="A755" t="s">
        <v>23</v>
      </c>
      <c r="B755" s="3">
        <v>44713</v>
      </c>
      <c r="C755">
        <v>2</v>
      </c>
      <c r="D755" t="s">
        <v>197</v>
      </c>
      <c r="E755" s="22">
        <f>10+41-25</f>
        <v>26</v>
      </c>
      <c r="F755" t="s">
        <v>363</v>
      </c>
      <c r="G755" t="s">
        <v>733</v>
      </c>
    </row>
    <row r="756" spans="1:7" x14ac:dyDescent="0.75">
      <c r="A756" t="s">
        <v>23</v>
      </c>
      <c r="B756" s="3">
        <v>44713</v>
      </c>
      <c r="C756">
        <v>2</v>
      </c>
      <c r="D756" t="s">
        <v>197</v>
      </c>
      <c r="E756" s="22">
        <f>25-19</f>
        <v>6</v>
      </c>
      <c r="F756" t="s">
        <v>363</v>
      </c>
      <c r="G756" t="s">
        <v>733</v>
      </c>
    </row>
    <row r="757" spans="1:7" x14ac:dyDescent="0.75">
      <c r="A757" t="s">
        <v>23</v>
      </c>
      <c r="B757" s="3">
        <v>44713</v>
      </c>
      <c r="C757">
        <v>2</v>
      </c>
      <c r="D757" t="s">
        <v>191</v>
      </c>
      <c r="E757" s="22">
        <f>19-9</f>
        <v>10</v>
      </c>
      <c r="F757" t="s">
        <v>363</v>
      </c>
      <c r="G757" t="s">
        <v>733</v>
      </c>
    </row>
    <row r="758" spans="1:7" x14ac:dyDescent="0.75">
      <c r="A758" t="s">
        <v>23</v>
      </c>
      <c r="B758" s="3">
        <v>44713</v>
      </c>
      <c r="C758">
        <v>2</v>
      </c>
      <c r="D758" t="s">
        <v>201</v>
      </c>
      <c r="E758" s="22">
        <f>9</f>
        <v>9</v>
      </c>
      <c r="F758" t="s">
        <v>363</v>
      </c>
      <c r="G758" t="s">
        <v>733</v>
      </c>
    </row>
    <row r="759" spans="1:7" x14ac:dyDescent="0.75">
      <c r="A759" t="s">
        <v>23</v>
      </c>
      <c r="B759" s="3">
        <v>44713</v>
      </c>
      <c r="C759">
        <v>2</v>
      </c>
      <c r="D759" t="s">
        <v>197</v>
      </c>
      <c r="E759" s="22">
        <f>26-20</f>
        <v>6</v>
      </c>
      <c r="F759" t="s">
        <v>363</v>
      </c>
      <c r="G759" t="s">
        <v>361</v>
      </c>
    </row>
    <row r="760" spans="1:7" x14ac:dyDescent="0.75">
      <c r="A760" t="s">
        <v>23</v>
      </c>
      <c r="B760" s="3">
        <v>44713</v>
      </c>
      <c r="C760">
        <v>2</v>
      </c>
      <c r="D760" t="s">
        <v>197</v>
      </c>
      <c r="E760" s="22">
        <f>20-17</f>
        <v>3</v>
      </c>
      <c r="F760" t="s">
        <v>363</v>
      </c>
      <c r="G760" t="s">
        <v>361</v>
      </c>
    </row>
    <row r="761" spans="1:7" x14ac:dyDescent="0.75">
      <c r="A761" t="s">
        <v>23</v>
      </c>
      <c r="B761" s="3">
        <v>44713</v>
      </c>
      <c r="C761">
        <v>2</v>
      </c>
      <c r="D761" t="s">
        <v>194</v>
      </c>
      <c r="E761" s="22">
        <f>17-12</f>
        <v>5</v>
      </c>
      <c r="F761" t="s">
        <v>363</v>
      </c>
      <c r="G761" t="s">
        <v>361</v>
      </c>
    </row>
    <row r="762" spans="1:7" x14ac:dyDescent="0.75">
      <c r="A762" t="s">
        <v>23</v>
      </c>
      <c r="B762" s="3">
        <v>44713</v>
      </c>
      <c r="C762">
        <v>2</v>
      </c>
      <c r="D762" t="s">
        <v>197</v>
      </c>
      <c r="E762" s="22">
        <f>13-3</f>
        <v>10</v>
      </c>
      <c r="F762" t="s">
        <v>363</v>
      </c>
      <c r="G762" t="s">
        <v>361</v>
      </c>
    </row>
    <row r="763" spans="1:7" x14ac:dyDescent="0.75">
      <c r="A763" t="s">
        <v>23</v>
      </c>
      <c r="B763" s="3">
        <v>44713</v>
      </c>
      <c r="C763">
        <v>2</v>
      </c>
      <c r="D763" t="s">
        <v>197</v>
      </c>
      <c r="E763" s="22">
        <f>3+26-23</f>
        <v>6</v>
      </c>
      <c r="F763" t="s">
        <v>363</v>
      </c>
      <c r="G763" t="s">
        <v>361</v>
      </c>
    </row>
    <row r="764" spans="1:7" x14ac:dyDescent="0.75">
      <c r="A764" t="s">
        <v>23</v>
      </c>
      <c r="B764" s="3">
        <v>44713</v>
      </c>
      <c r="C764">
        <v>2</v>
      </c>
      <c r="D764" t="s">
        <v>194</v>
      </c>
      <c r="E764" s="22">
        <f>23-14</f>
        <v>9</v>
      </c>
      <c r="F764" t="s">
        <v>363</v>
      </c>
      <c r="G764" t="s">
        <v>361</v>
      </c>
    </row>
    <row r="765" spans="1:7" x14ac:dyDescent="0.75">
      <c r="A765" t="s">
        <v>23</v>
      </c>
      <c r="B765" s="3">
        <v>44713</v>
      </c>
      <c r="C765">
        <v>2</v>
      </c>
      <c r="D765" t="s">
        <v>197</v>
      </c>
      <c r="E765" s="22">
        <f>14-10</f>
        <v>4</v>
      </c>
      <c r="F765" t="s">
        <v>363</v>
      </c>
      <c r="G765" t="s">
        <v>361</v>
      </c>
    </row>
    <row r="766" spans="1:7" x14ac:dyDescent="0.75">
      <c r="A766" t="s">
        <v>23</v>
      </c>
      <c r="B766" s="3">
        <v>44713</v>
      </c>
      <c r="C766">
        <v>2</v>
      </c>
      <c r="D766" t="s">
        <v>197</v>
      </c>
      <c r="E766" s="22">
        <f>10-6</f>
        <v>4</v>
      </c>
      <c r="F766" t="s">
        <v>363</v>
      </c>
      <c r="G766" t="s">
        <v>361</v>
      </c>
    </row>
    <row r="767" spans="1:7" x14ac:dyDescent="0.75">
      <c r="A767" t="s">
        <v>23</v>
      </c>
      <c r="B767" s="3">
        <v>44713</v>
      </c>
      <c r="C767">
        <v>2</v>
      </c>
      <c r="D767" t="s">
        <v>197</v>
      </c>
      <c r="E767" s="22">
        <f>6-3</f>
        <v>3</v>
      </c>
      <c r="F767" t="s">
        <v>363</v>
      </c>
      <c r="G767" t="s">
        <v>361</v>
      </c>
    </row>
    <row r="768" spans="1:7" x14ac:dyDescent="0.75">
      <c r="A768" t="s">
        <v>23</v>
      </c>
      <c r="B768" s="3">
        <v>44713</v>
      </c>
      <c r="C768">
        <v>2</v>
      </c>
      <c r="D768" t="s">
        <v>191</v>
      </c>
      <c r="E768" s="22">
        <f>3</f>
        <v>3</v>
      </c>
      <c r="F768" t="s">
        <v>363</v>
      </c>
      <c r="G768" t="s">
        <v>361</v>
      </c>
    </row>
    <row r="769" spans="1:11" x14ac:dyDescent="0.75">
      <c r="A769" t="s">
        <v>23</v>
      </c>
      <c r="B769" s="3">
        <v>44713</v>
      </c>
      <c r="C769">
        <v>2</v>
      </c>
      <c r="D769" t="s">
        <v>197</v>
      </c>
      <c r="E769" s="22">
        <f>31-30</f>
        <v>1</v>
      </c>
      <c r="F769" t="s">
        <v>363</v>
      </c>
      <c r="G769" t="s">
        <v>374</v>
      </c>
    </row>
    <row r="770" spans="1:11" x14ac:dyDescent="0.75">
      <c r="A770" t="s">
        <v>23</v>
      </c>
      <c r="B770" s="3">
        <v>44713</v>
      </c>
      <c r="C770">
        <v>2</v>
      </c>
      <c r="D770" t="s">
        <v>197</v>
      </c>
      <c r="E770" s="22">
        <f>30-28</f>
        <v>2</v>
      </c>
      <c r="F770" t="s">
        <v>363</v>
      </c>
      <c r="G770" t="s">
        <v>374</v>
      </c>
    </row>
    <row r="771" spans="1:11" x14ac:dyDescent="0.75">
      <c r="A771" t="s">
        <v>23</v>
      </c>
      <c r="B771" s="3">
        <v>44713</v>
      </c>
      <c r="C771">
        <v>2</v>
      </c>
      <c r="D771" t="s">
        <v>197</v>
      </c>
      <c r="E771" s="22">
        <f>32-31</f>
        <v>1</v>
      </c>
      <c r="F771" t="s">
        <v>363</v>
      </c>
      <c r="G771" t="s">
        <v>374</v>
      </c>
    </row>
    <row r="772" spans="1:11" x14ac:dyDescent="0.75">
      <c r="A772" t="s">
        <v>23</v>
      </c>
      <c r="B772" s="3">
        <v>44713</v>
      </c>
      <c r="C772">
        <v>2</v>
      </c>
      <c r="D772" t="s">
        <v>201</v>
      </c>
      <c r="E772" s="22">
        <f>31-14</f>
        <v>17</v>
      </c>
      <c r="F772" t="s">
        <v>363</v>
      </c>
      <c r="G772" t="s">
        <v>374</v>
      </c>
    </row>
    <row r="773" spans="1:11" x14ac:dyDescent="0.75">
      <c r="A773" t="s">
        <v>23</v>
      </c>
      <c r="B773" s="3">
        <v>44713</v>
      </c>
      <c r="C773">
        <v>2</v>
      </c>
      <c r="D773" t="s">
        <v>197</v>
      </c>
      <c r="E773" s="22">
        <f>14-10</f>
        <v>4</v>
      </c>
      <c r="F773" t="s">
        <v>363</v>
      </c>
      <c r="G773" t="s">
        <v>374</v>
      </c>
    </row>
    <row r="774" spans="1:11" x14ac:dyDescent="0.75">
      <c r="A774" t="s">
        <v>23</v>
      </c>
      <c r="B774" s="3">
        <v>44713</v>
      </c>
      <c r="C774">
        <v>2</v>
      </c>
      <c r="D774" t="s">
        <v>197</v>
      </c>
      <c r="E774" s="22" t="s">
        <v>363</v>
      </c>
      <c r="F774" t="s">
        <v>363</v>
      </c>
      <c r="G774" t="s">
        <v>374</v>
      </c>
      <c r="K774" t="s">
        <v>776</v>
      </c>
    </row>
    <row r="775" spans="1:11" x14ac:dyDescent="0.75">
      <c r="A775" t="s">
        <v>23</v>
      </c>
      <c r="B775" s="3">
        <v>44713</v>
      </c>
      <c r="C775">
        <v>2</v>
      </c>
      <c r="D775" t="s">
        <v>197</v>
      </c>
      <c r="E775" s="22">
        <f>27-25</f>
        <v>2</v>
      </c>
      <c r="F775" t="s">
        <v>363</v>
      </c>
      <c r="G775" t="s">
        <v>374</v>
      </c>
    </row>
    <row r="776" spans="1:11" x14ac:dyDescent="0.75">
      <c r="A776" t="s">
        <v>23</v>
      </c>
      <c r="B776" s="3">
        <v>44713</v>
      </c>
      <c r="C776">
        <v>2</v>
      </c>
      <c r="D776" t="s">
        <v>191</v>
      </c>
      <c r="E776" s="22">
        <f>25-20</f>
        <v>5</v>
      </c>
      <c r="F776" t="s">
        <v>363</v>
      </c>
      <c r="G776" t="s">
        <v>374</v>
      </c>
    </row>
    <row r="777" spans="1:11" x14ac:dyDescent="0.75">
      <c r="A777" t="s">
        <v>23</v>
      </c>
      <c r="B777" s="3">
        <v>44713</v>
      </c>
      <c r="C777">
        <v>2</v>
      </c>
      <c r="D777" t="s">
        <v>197</v>
      </c>
      <c r="E777" s="22">
        <f>20-9</f>
        <v>11</v>
      </c>
      <c r="F777" t="s">
        <v>363</v>
      </c>
      <c r="G777" t="s">
        <v>374</v>
      </c>
    </row>
    <row r="778" spans="1:11" x14ac:dyDescent="0.75">
      <c r="A778" t="s">
        <v>23</v>
      </c>
      <c r="B778" s="3">
        <v>44713</v>
      </c>
      <c r="C778">
        <v>2</v>
      </c>
      <c r="D778" t="s">
        <v>197</v>
      </c>
      <c r="E778" s="22">
        <f>9-3</f>
        <v>6</v>
      </c>
      <c r="F778" t="s">
        <v>363</v>
      </c>
      <c r="G778" t="s">
        <v>374</v>
      </c>
    </row>
    <row r="779" spans="1:11" s="23" customFormat="1" x14ac:dyDescent="0.75">
      <c r="A779" s="23" t="s">
        <v>39</v>
      </c>
      <c r="B779" s="24">
        <v>44715</v>
      </c>
      <c r="C779" s="23">
        <v>1</v>
      </c>
      <c r="D779" s="23" t="s">
        <v>153</v>
      </c>
      <c r="E779" s="52">
        <f>25-22</f>
        <v>3</v>
      </c>
      <c r="F779" s="23" t="s">
        <v>363</v>
      </c>
      <c r="G779" s="23" t="s">
        <v>733</v>
      </c>
    </row>
    <row r="780" spans="1:11" s="23" customFormat="1" x14ac:dyDescent="0.75">
      <c r="A780" s="23" t="s">
        <v>39</v>
      </c>
      <c r="B780" s="24">
        <v>44715</v>
      </c>
      <c r="C780" s="23">
        <v>1</v>
      </c>
      <c r="D780" s="23" t="s">
        <v>201</v>
      </c>
      <c r="E780" s="52">
        <f>22+40-35</f>
        <v>27</v>
      </c>
      <c r="F780" s="23" t="s">
        <v>363</v>
      </c>
      <c r="G780" s="23" t="s">
        <v>733</v>
      </c>
    </row>
    <row r="781" spans="1:11" s="23" customFormat="1" x14ac:dyDescent="0.75">
      <c r="A781" s="23" t="s">
        <v>39</v>
      </c>
      <c r="B781" s="24">
        <v>44715</v>
      </c>
      <c r="C781" s="23">
        <v>1</v>
      </c>
      <c r="D781" s="23" t="s">
        <v>172</v>
      </c>
      <c r="E781" s="52">
        <f>35-30</f>
        <v>5</v>
      </c>
      <c r="F781" s="23" t="s">
        <v>363</v>
      </c>
      <c r="G781" s="23" t="s">
        <v>733</v>
      </c>
    </row>
    <row r="782" spans="1:11" s="23" customFormat="1" x14ac:dyDescent="0.75">
      <c r="A782" s="23" t="s">
        <v>39</v>
      </c>
      <c r="B782" s="24">
        <v>44715</v>
      </c>
      <c r="C782" s="23">
        <v>1</v>
      </c>
      <c r="D782" s="23" t="s">
        <v>168</v>
      </c>
      <c r="E782" s="52">
        <f>30-21</f>
        <v>9</v>
      </c>
      <c r="F782" s="23" t="s">
        <v>363</v>
      </c>
      <c r="G782" s="23" t="s">
        <v>733</v>
      </c>
    </row>
    <row r="783" spans="1:11" s="23" customFormat="1" x14ac:dyDescent="0.75">
      <c r="A783" s="23" t="s">
        <v>39</v>
      </c>
      <c r="B783" s="24">
        <v>44715</v>
      </c>
      <c r="C783" s="23">
        <v>1</v>
      </c>
      <c r="D783" s="23" t="s">
        <v>168</v>
      </c>
      <c r="E783" s="52">
        <f>21-18</f>
        <v>3</v>
      </c>
      <c r="F783" s="23" t="s">
        <v>363</v>
      </c>
      <c r="G783" s="23" t="s">
        <v>733</v>
      </c>
    </row>
    <row r="784" spans="1:11" s="23" customFormat="1" x14ac:dyDescent="0.75">
      <c r="A784" s="23" t="s">
        <v>39</v>
      </c>
      <c r="B784" s="24">
        <v>44715</v>
      </c>
      <c r="C784" s="23">
        <v>1</v>
      </c>
      <c r="D784" s="23" t="s">
        <v>168</v>
      </c>
      <c r="E784" s="52">
        <f>18-8</f>
        <v>10</v>
      </c>
      <c r="F784" s="23" t="s">
        <v>363</v>
      </c>
      <c r="G784" s="23" t="s">
        <v>733</v>
      </c>
    </row>
    <row r="785" spans="1:7" s="23" customFormat="1" x14ac:dyDescent="0.75">
      <c r="A785" s="23" t="s">
        <v>39</v>
      </c>
      <c r="B785" s="24">
        <v>44715</v>
      </c>
      <c r="C785" s="23">
        <v>1</v>
      </c>
      <c r="D785" s="23" t="s">
        <v>168</v>
      </c>
      <c r="E785" s="52">
        <f>8-6</f>
        <v>2</v>
      </c>
      <c r="F785" s="23" t="s">
        <v>363</v>
      </c>
      <c r="G785" s="23" t="s">
        <v>733</v>
      </c>
    </row>
    <row r="786" spans="1:7" s="23" customFormat="1" x14ac:dyDescent="0.75">
      <c r="A786" s="23" t="s">
        <v>39</v>
      </c>
      <c r="B786" s="24">
        <v>44715</v>
      </c>
      <c r="C786" s="23">
        <v>1</v>
      </c>
      <c r="D786" s="23" t="s">
        <v>168</v>
      </c>
      <c r="E786" s="52">
        <f>6+50-45</f>
        <v>11</v>
      </c>
      <c r="F786" s="23" t="s">
        <v>363</v>
      </c>
      <c r="G786" s="23" t="s">
        <v>733</v>
      </c>
    </row>
    <row r="787" spans="1:7" s="23" customFormat="1" x14ac:dyDescent="0.75">
      <c r="A787" s="23" t="s">
        <v>39</v>
      </c>
      <c r="B787" s="24">
        <v>44715</v>
      </c>
      <c r="C787" s="23">
        <v>1</v>
      </c>
      <c r="D787" s="23" t="s">
        <v>172</v>
      </c>
      <c r="E787" s="52">
        <f>45-43</f>
        <v>2</v>
      </c>
      <c r="F787" s="23">
        <v>3882</v>
      </c>
      <c r="G787" s="23" t="s">
        <v>733</v>
      </c>
    </row>
    <row r="788" spans="1:7" s="23" customFormat="1" x14ac:dyDescent="0.75">
      <c r="A788" s="23" t="s">
        <v>39</v>
      </c>
      <c r="B788" s="24">
        <v>44715</v>
      </c>
      <c r="C788" s="23">
        <v>1</v>
      </c>
      <c r="D788" s="23" t="s">
        <v>168</v>
      </c>
      <c r="E788" s="52">
        <f>43-40</f>
        <v>3</v>
      </c>
      <c r="F788" s="23" t="s">
        <v>363</v>
      </c>
      <c r="G788" s="23" t="s">
        <v>733</v>
      </c>
    </row>
    <row r="789" spans="1:7" s="23" customFormat="1" x14ac:dyDescent="0.75">
      <c r="A789" s="23" t="s">
        <v>39</v>
      </c>
      <c r="B789" s="24">
        <v>44715</v>
      </c>
      <c r="C789" s="23">
        <v>1</v>
      </c>
      <c r="D789" s="23" t="s">
        <v>201</v>
      </c>
      <c r="E789" s="52">
        <f>38-32</f>
        <v>6</v>
      </c>
      <c r="F789" s="23">
        <v>901</v>
      </c>
      <c r="G789" s="23" t="s">
        <v>361</v>
      </c>
    </row>
    <row r="790" spans="1:7" s="23" customFormat="1" x14ac:dyDescent="0.75">
      <c r="A790" s="23" t="s">
        <v>39</v>
      </c>
      <c r="B790" s="24">
        <v>44715</v>
      </c>
      <c r="C790" s="23">
        <v>1</v>
      </c>
      <c r="D790" s="23" t="s">
        <v>168</v>
      </c>
      <c r="E790" s="52">
        <f>32-29</f>
        <v>3</v>
      </c>
      <c r="F790" s="23" t="s">
        <v>363</v>
      </c>
      <c r="G790" s="23" t="s">
        <v>361</v>
      </c>
    </row>
    <row r="791" spans="1:7" s="23" customFormat="1" x14ac:dyDescent="0.75">
      <c r="A791" s="23" t="s">
        <v>39</v>
      </c>
      <c r="B791" s="24">
        <v>44715</v>
      </c>
      <c r="C791" s="23">
        <v>1</v>
      </c>
      <c r="D791" s="23" t="s">
        <v>168</v>
      </c>
      <c r="E791" s="52">
        <f>29-27</f>
        <v>2</v>
      </c>
      <c r="F791" s="23" t="s">
        <v>363</v>
      </c>
      <c r="G791" s="23" t="s">
        <v>361</v>
      </c>
    </row>
    <row r="792" spans="1:7" s="23" customFormat="1" x14ac:dyDescent="0.75">
      <c r="A792" s="23" t="s">
        <v>39</v>
      </c>
      <c r="B792" s="24">
        <v>44715</v>
      </c>
      <c r="C792" s="23">
        <v>1</v>
      </c>
      <c r="D792" s="23" t="s">
        <v>172</v>
      </c>
      <c r="E792" s="52">
        <f>27-19</f>
        <v>8</v>
      </c>
      <c r="F792" s="23">
        <v>3881</v>
      </c>
      <c r="G792" s="23" t="s">
        <v>361</v>
      </c>
    </row>
    <row r="793" spans="1:7" s="23" customFormat="1" x14ac:dyDescent="0.75">
      <c r="A793" s="23" t="s">
        <v>39</v>
      </c>
      <c r="B793" s="24">
        <v>44715</v>
      </c>
      <c r="C793" s="23">
        <v>1</v>
      </c>
      <c r="D793" s="23" t="s">
        <v>168</v>
      </c>
      <c r="E793" s="52">
        <f>19-18</f>
        <v>1</v>
      </c>
      <c r="F793" s="23" t="s">
        <v>363</v>
      </c>
      <c r="G793" s="23" t="s">
        <v>361</v>
      </c>
    </row>
    <row r="794" spans="1:7" s="23" customFormat="1" x14ac:dyDescent="0.75">
      <c r="A794" s="23" t="s">
        <v>39</v>
      </c>
      <c r="B794" s="24">
        <v>44715</v>
      </c>
      <c r="C794" s="23">
        <v>1</v>
      </c>
      <c r="D794" s="23" t="s">
        <v>201</v>
      </c>
      <c r="E794" s="52">
        <f>20-18</f>
        <v>2</v>
      </c>
      <c r="F794" s="23" t="s">
        <v>363</v>
      </c>
      <c r="G794" s="23" t="s">
        <v>374</v>
      </c>
    </row>
    <row r="795" spans="1:7" s="23" customFormat="1" x14ac:dyDescent="0.75">
      <c r="A795" s="23" t="s">
        <v>39</v>
      </c>
      <c r="B795" s="24">
        <v>44715</v>
      </c>
      <c r="C795" s="23">
        <v>1</v>
      </c>
      <c r="D795" s="23" t="s">
        <v>172</v>
      </c>
      <c r="E795" s="52">
        <f>18-10</f>
        <v>8</v>
      </c>
      <c r="F795" s="23" t="s">
        <v>363</v>
      </c>
      <c r="G795" s="23" t="s">
        <v>374</v>
      </c>
    </row>
    <row r="796" spans="1:7" s="23" customFormat="1" x14ac:dyDescent="0.75">
      <c r="A796" s="23" t="s">
        <v>39</v>
      </c>
      <c r="B796" s="24">
        <v>44715</v>
      </c>
      <c r="C796" s="23">
        <v>1</v>
      </c>
      <c r="D796" s="23" t="s">
        <v>172</v>
      </c>
      <c r="E796" s="52">
        <f>52-26</f>
        <v>26</v>
      </c>
      <c r="F796" s="23" t="s">
        <v>363</v>
      </c>
      <c r="G796" s="23" t="s">
        <v>374</v>
      </c>
    </row>
    <row r="797" spans="1:7" s="23" customFormat="1" x14ac:dyDescent="0.75">
      <c r="A797" s="23" t="s">
        <v>39</v>
      </c>
      <c r="B797" s="24">
        <v>44715</v>
      </c>
      <c r="C797" s="23">
        <v>1</v>
      </c>
      <c r="D797" s="23" t="s">
        <v>172</v>
      </c>
      <c r="E797" s="52">
        <f>26-24</f>
        <v>2</v>
      </c>
      <c r="F797" s="23" t="s">
        <v>363</v>
      </c>
      <c r="G797" s="23" t="s">
        <v>374</v>
      </c>
    </row>
    <row r="798" spans="1:7" s="23" customFormat="1" x14ac:dyDescent="0.75">
      <c r="A798" s="23" t="s">
        <v>39</v>
      </c>
      <c r="B798" s="24">
        <v>44715</v>
      </c>
      <c r="C798" s="23">
        <v>1</v>
      </c>
      <c r="D798" s="23" t="s">
        <v>201</v>
      </c>
      <c r="E798" s="52">
        <f>10+50-44</f>
        <v>16</v>
      </c>
      <c r="F798" s="23" t="s">
        <v>363</v>
      </c>
      <c r="G798" s="23" t="s">
        <v>374</v>
      </c>
    </row>
    <row r="799" spans="1:7" s="23" customFormat="1" x14ac:dyDescent="0.75">
      <c r="A799" s="23" t="s">
        <v>39</v>
      </c>
      <c r="B799" s="24">
        <v>44715</v>
      </c>
      <c r="C799" s="23">
        <v>1</v>
      </c>
      <c r="D799" s="23" t="s">
        <v>201</v>
      </c>
      <c r="E799" s="52">
        <f>44-38</f>
        <v>6</v>
      </c>
      <c r="F799" s="23" t="s">
        <v>363</v>
      </c>
      <c r="G799" s="23" t="s">
        <v>374</v>
      </c>
    </row>
    <row r="800" spans="1:7" s="23" customFormat="1" x14ac:dyDescent="0.75">
      <c r="A800" s="23" t="s">
        <v>39</v>
      </c>
      <c r="B800" s="24">
        <v>44715</v>
      </c>
      <c r="C800" s="23">
        <v>1</v>
      </c>
      <c r="D800" s="23" t="s">
        <v>201</v>
      </c>
      <c r="E800" s="52">
        <f>38-36</f>
        <v>2</v>
      </c>
      <c r="F800" s="23" t="s">
        <v>363</v>
      </c>
      <c r="G800" s="23" t="s">
        <v>374</v>
      </c>
    </row>
    <row r="801" spans="1:7" s="23" customFormat="1" x14ac:dyDescent="0.75">
      <c r="A801" s="23" t="s">
        <v>39</v>
      </c>
      <c r="B801" s="24">
        <v>44715</v>
      </c>
      <c r="C801" s="23">
        <v>1</v>
      </c>
      <c r="D801" s="23" t="s">
        <v>168</v>
      </c>
      <c r="E801" s="52">
        <f>36-23</f>
        <v>13</v>
      </c>
      <c r="F801" s="23">
        <v>942</v>
      </c>
      <c r="G801" s="23" t="s">
        <v>374</v>
      </c>
    </row>
    <row r="802" spans="1:7" x14ac:dyDescent="0.75">
      <c r="A802" t="s">
        <v>39</v>
      </c>
      <c r="B802" s="3">
        <v>44715</v>
      </c>
      <c r="C802">
        <v>2</v>
      </c>
      <c r="D802" t="s">
        <v>191</v>
      </c>
      <c r="E802" s="22">
        <f>43-37</f>
        <v>6</v>
      </c>
      <c r="F802" t="s">
        <v>363</v>
      </c>
      <c r="G802" t="s">
        <v>733</v>
      </c>
    </row>
    <row r="803" spans="1:7" x14ac:dyDescent="0.75">
      <c r="A803" t="s">
        <v>39</v>
      </c>
      <c r="B803" s="3">
        <v>44715</v>
      </c>
      <c r="C803">
        <v>2</v>
      </c>
      <c r="D803" t="s">
        <v>197</v>
      </c>
      <c r="E803" s="22">
        <f>37-28</f>
        <v>9</v>
      </c>
      <c r="F803">
        <v>950</v>
      </c>
      <c r="G803" t="s">
        <v>733</v>
      </c>
    </row>
    <row r="804" spans="1:7" x14ac:dyDescent="0.75">
      <c r="A804" t="s">
        <v>39</v>
      </c>
      <c r="B804" s="3">
        <v>44715</v>
      </c>
      <c r="C804">
        <v>2</v>
      </c>
      <c r="D804" t="s">
        <v>153</v>
      </c>
      <c r="E804" s="22">
        <f>40-37</f>
        <v>3</v>
      </c>
      <c r="F804" t="s">
        <v>363</v>
      </c>
      <c r="G804" t="s">
        <v>733</v>
      </c>
    </row>
    <row r="805" spans="1:7" x14ac:dyDescent="0.75">
      <c r="A805" t="s">
        <v>39</v>
      </c>
      <c r="B805" s="3">
        <v>44715</v>
      </c>
      <c r="C805">
        <v>2</v>
      </c>
      <c r="D805" t="s">
        <v>164</v>
      </c>
      <c r="E805" s="22">
        <f>37-35</f>
        <v>2</v>
      </c>
      <c r="F805" t="s">
        <v>777</v>
      </c>
      <c r="G805" t="s">
        <v>733</v>
      </c>
    </row>
    <row r="806" spans="1:7" x14ac:dyDescent="0.75">
      <c r="A806" t="s">
        <v>39</v>
      </c>
      <c r="B806" s="3">
        <v>44715</v>
      </c>
      <c r="C806">
        <v>2</v>
      </c>
      <c r="D806" t="s">
        <v>197</v>
      </c>
      <c r="E806" s="22">
        <f>35-34</f>
        <v>1</v>
      </c>
      <c r="F806" t="s">
        <v>363</v>
      </c>
      <c r="G806" t="s">
        <v>733</v>
      </c>
    </row>
    <row r="807" spans="1:7" x14ac:dyDescent="0.75">
      <c r="A807" t="s">
        <v>39</v>
      </c>
      <c r="B807" s="3">
        <v>44715</v>
      </c>
      <c r="C807">
        <v>2</v>
      </c>
      <c r="D807" t="s">
        <v>194</v>
      </c>
      <c r="E807" s="22">
        <f>40-36</f>
        <v>4</v>
      </c>
      <c r="F807" t="s">
        <v>363</v>
      </c>
      <c r="G807" t="s">
        <v>361</v>
      </c>
    </row>
    <row r="808" spans="1:7" x14ac:dyDescent="0.75">
      <c r="A808" t="s">
        <v>39</v>
      </c>
      <c r="B808" s="3">
        <v>44715</v>
      </c>
      <c r="C808">
        <v>2</v>
      </c>
      <c r="D808" t="s">
        <v>207</v>
      </c>
      <c r="E808" s="22">
        <f>36-35</f>
        <v>1</v>
      </c>
      <c r="F808" t="s">
        <v>363</v>
      </c>
      <c r="G808" t="s">
        <v>361</v>
      </c>
    </row>
    <row r="809" spans="1:7" x14ac:dyDescent="0.75">
      <c r="A809" t="s">
        <v>39</v>
      </c>
      <c r="B809" s="3">
        <v>44715</v>
      </c>
      <c r="C809">
        <v>2</v>
      </c>
      <c r="D809" t="s">
        <v>197</v>
      </c>
      <c r="E809" s="22">
        <f>35-33</f>
        <v>2</v>
      </c>
      <c r="F809" t="s">
        <v>363</v>
      </c>
      <c r="G809" t="s">
        <v>361</v>
      </c>
    </row>
    <row r="810" spans="1:7" x14ac:dyDescent="0.75">
      <c r="A810" t="s">
        <v>39</v>
      </c>
      <c r="B810" s="3">
        <v>44715</v>
      </c>
      <c r="C810">
        <v>2</v>
      </c>
      <c r="D810" t="s">
        <v>197</v>
      </c>
      <c r="E810" s="22">
        <f>33-22</f>
        <v>11</v>
      </c>
      <c r="F810" t="s">
        <v>363</v>
      </c>
      <c r="G810" t="s">
        <v>361</v>
      </c>
    </row>
    <row r="811" spans="1:7" x14ac:dyDescent="0.75">
      <c r="A811" t="s">
        <v>39</v>
      </c>
      <c r="B811" s="3">
        <v>44715</v>
      </c>
      <c r="C811">
        <v>2</v>
      </c>
      <c r="D811" t="s">
        <v>164</v>
      </c>
      <c r="E811" s="22">
        <f>22-13</f>
        <v>9</v>
      </c>
      <c r="F811">
        <v>3535</v>
      </c>
      <c r="G811" t="s">
        <v>361</v>
      </c>
    </row>
    <row r="812" spans="1:7" x14ac:dyDescent="0.75">
      <c r="A812" t="s">
        <v>39</v>
      </c>
      <c r="B812" s="3">
        <v>44715</v>
      </c>
      <c r="C812">
        <v>2</v>
      </c>
      <c r="D812" t="s">
        <v>197</v>
      </c>
      <c r="E812" s="22">
        <f>13-11</f>
        <v>2</v>
      </c>
      <c r="F812" t="s">
        <v>363</v>
      </c>
      <c r="G812" t="s">
        <v>361</v>
      </c>
    </row>
    <row r="813" spans="1:7" x14ac:dyDescent="0.75">
      <c r="A813" t="s">
        <v>39</v>
      </c>
      <c r="B813" s="3">
        <v>44715</v>
      </c>
      <c r="C813">
        <v>2</v>
      </c>
      <c r="D813" t="s">
        <v>199</v>
      </c>
      <c r="E813" s="22">
        <f>11-10</f>
        <v>1</v>
      </c>
      <c r="F813" t="s">
        <v>363</v>
      </c>
      <c r="G813" t="s">
        <v>361</v>
      </c>
    </row>
    <row r="814" spans="1:7" x14ac:dyDescent="0.75">
      <c r="A814" t="s">
        <v>39</v>
      </c>
      <c r="B814" s="3">
        <v>44715</v>
      </c>
      <c r="C814">
        <v>2</v>
      </c>
      <c r="D814" t="s">
        <v>194</v>
      </c>
      <c r="E814" s="22">
        <f>18-6</f>
        <v>12</v>
      </c>
      <c r="F814" t="s">
        <v>363</v>
      </c>
      <c r="G814" t="s">
        <v>374</v>
      </c>
    </row>
    <row r="815" spans="1:7" x14ac:dyDescent="0.75">
      <c r="A815" t="s">
        <v>39</v>
      </c>
      <c r="B815" s="3">
        <v>44715</v>
      </c>
      <c r="C815">
        <v>2</v>
      </c>
      <c r="D815" t="s">
        <v>201</v>
      </c>
      <c r="E815" s="22">
        <f>6-4</f>
        <v>2</v>
      </c>
      <c r="F815" t="s">
        <v>363</v>
      </c>
      <c r="G815" t="s">
        <v>374</v>
      </c>
    </row>
    <row r="816" spans="1:7" x14ac:dyDescent="0.75">
      <c r="A816" t="s">
        <v>39</v>
      </c>
      <c r="B816" s="3">
        <v>44715</v>
      </c>
      <c r="C816">
        <v>2</v>
      </c>
      <c r="D816" t="s">
        <v>207</v>
      </c>
      <c r="E816" s="22">
        <f>4-1</f>
        <v>3</v>
      </c>
      <c r="F816" t="s">
        <v>363</v>
      </c>
      <c r="G816" t="s">
        <v>374</v>
      </c>
    </row>
    <row r="817" spans="1:11" x14ac:dyDescent="0.75">
      <c r="A817" t="s">
        <v>39</v>
      </c>
      <c r="B817" s="3">
        <v>44715</v>
      </c>
      <c r="C817">
        <v>2</v>
      </c>
      <c r="D817" t="s">
        <v>205</v>
      </c>
      <c r="E817" s="22" t="s">
        <v>363</v>
      </c>
      <c r="F817" t="s">
        <v>363</v>
      </c>
      <c r="G817" t="s">
        <v>374</v>
      </c>
      <c r="K817" t="s">
        <v>778</v>
      </c>
    </row>
    <row r="818" spans="1:11" x14ac:dyDescent="0.75">
      <c r="A818" t="s">
        <v>39</v>
      </c>
      <c r="B818" s="3">
        <v>44715</v>
      </c>
      <c r="C818">
        <v>2</v>
      </c>
      <c r="D818" t="s">
        <v>197</v>
      </c>
      <c r="E818" s="22">
        <f>24-20</f>
        <v>4</v>
      </c>
      <c r="F818" t="s">
        <v>363</v>
      </c>
      <c r="G818" t="s">
        <v>374</v>
      </c>
    </row>
    <row r="819" spans="1:11" x14ac:dyDescent="0.75">
      <c r="A819" t="s">
        <v>39</v>
      </c>
      <c r="B819" s="3">
        <v>44715</v>
      </c>
      <c r="C819">
        <v>2</v>
      </c>
      <c r="D819" t="s">
        <v>164</v>
      </c>
      <c r="E819" s="22" t="s">
        <v>363</v>
      </c>
      <c r="F819" t="s">
        <v>363</v>
      </c>
      <c r="G819" t="s">
        <v>374</v>
      </c>
      <c r="K819" t="s">
        <v>778</v>
      </c>
    </row>
    <row r="820" spans="1:11" x14ac:dyDescent="0.75">
      <c r="A820" t="s">
        <v>39</v>
      </c>
      <c r="B820" s="3">
        <v>44715</v>
      </c>
      <c r="C820">
        <v>2</v>
      </c>
      <c r="D820" t="s">
        <v>201</v>
      </c>
      <c r="E820" s="22" t="s">
        <v>363</v>
      </c>
      <c r="F820" t="s">
        <v>363</v>
      </c>
      <c r="G820" t="s">
        <v>374</v>
      </c>
      <c r="K820" t="s">
        <v>779</v>
      </c>
    </row>
    <row r="821" spans="1:11" x14ac:dyDescent="0.75">
      <c r="A821" t="s">
        <v>39</v>
      </c>
      <c r="B821" s="3">
        <v>44715</v>
      </c>
      <c r="C821">
        <v>2</v>
      </c>
      <c r="D821" t="s">
        <v>197</v>
      </c>
      <c r="E821" s="22">
        <f>15-10</f>
        <v>5</v>
      </c>
      <c r="F821" t="s">
        <v>363</v>
      </c>
      <c r="G821" t="s">
        <v>374</v>
      </c>
    </row>
    <row r="822" spans="1:11" x14ac:dyDescent="0.75">
      <c r="A822" t="s">
        <v>39</v>
      </c>
      <c r="B822" s="3">
        <v>44715</v>
      </c>
      <c r="C822">
        <v>2</v>
      </c>
      <c r="D822" t="s">
        <v>197</v>
      </c>
      <c r="E822" s="22">
        <f>10-8</f>
        <v>2</v>
      </c>
      <c r="F822" t="s">
        <v>363</v>
      </c>
      <c r="G822" t="s">
        <v>374</v>
      </c>
    </row>
    <row r="823" spans="1:11" x14ac:dyDescent="0.75">
      <c r="A823" t="s">
        <v>39</v>
      </c>
      <c r="B823" s="3">
        <v>44715</v>
      </c>
      <c r="C823">
        <v>2</v>
      </c>
      <c r="D823" t="s">
        <v>197</v>
      </c>
      <c r="E823" s="22">
        <f>8-5</f>
        <v>3</v>
      </c>
      <c r="F823" t="s">
        <v>363</v>
      </c>
      <c r="G823" t="s">
        <v>374</v>
      </c>
    </row>
    <row r="824" spans="1:11" x14ac:dyDescent="0.75">
      <c r="A824" t="s">
        <v>39</v>
      </c>
      <c r="B824" s="3">
        <v>44715</v>
      </c>
      <c r="C824">
        <v>2</v>
      </c>
      <c r="D824" t="s">
        <v>201</v>
      </c>
      <c r="E824" s="22">
        <v>5</v>
      </c>
      <c r="F824" t="s">
        <v>363</v>
      </c>
      <c r="G824" t="s">
        <v>374</v>
      </c>
    </row>
    <row r="825" spans="1:11" x14ac:dyDescent="0.75">
      <c r="A825" t="s">
        <v>39</v>
      </c>
      <c r="B825" s="3">
        <v>44715</v>
      </c>
      <c r="C825">
        <v>2</v>
      </c>
      <c r="D825" t="s">
        <v>197</v>
      </c>
      <c r="E825" s="22">
        <f>38-30</f>
        <v>8</v>
      </c>
      <c r="F825" t="s">
        <v>363</v>
      </c>
      <c r="G825" t="s">
        <v>374</v>
      </c>
    </row>
    <row r="826" spans="1:11" x14ac:dyDescent="0.75">
      <c r="A826" t="s">
        <v>39</v>
      </c>
      <c r="B826" s="3">
        <v>44715</v>
      </c>
      <c r="C826">
        <v>2</v>
      </c>
      <c r="D826" t="s">
        <v>197</v>
      </c>
      <c r="E826" s="22">
        <f>30-18</f>
        <v>12</v>
      </c>
      <c r="F826" t="s">
        <v>363</v>
      </c>
      <c r="G826" t="s">
        <v>374</v>
      </c>
    </row>
    <row r="827" spans="1:11" x14ac:dyDescent="0.75">
      <c r="A827" t="s">
        <v>39</v>
      </c>
      <c r="B827" s="3">
        <v>44715</v>
      </c>
      <c r="C827">
        <v>2</v>
      </c>
      <c r="D827" t="s">
        <v>153</v>
      </c>
      <c r="E827" s="22">
        <f>18-14</f>
        <v>4</v>
      </c>
      <c r="F827" t="s">
        <v>363</v>
      </c>
      <c r="G827" t="s">
        <v>374</v>
      </c>
    </row>
    <row r="828" spans="1:11" x14ac:dyDescent="0.75">
      <c r="A828" t="s">
        <v>39</v>
      </c>
      <c r="B828" s="3">
        <v>44715</v>
      </c>
      <c r="C828">
        <v>2</v>
      </c>
      <c r="D828" t="s">
        <v>153</v>
      </c>
      <c r="E828" s="22">
        <f>14-12</f>
        <v>2</v>
      </c>
      <c r="F828" t="s">
        <v>363</v>
      </c>
      <c r="G828" t="s">
        <v>374</v>
      </c>
    </row>
    <row r="829" spans="1:11" s="23" customFormat="1" x14ac:dyDescent="0.75">
      <c r="A829" s="23" t="s">
        <v>139</v>
      </c>
      <c r="B829" s="24">
        <v>44715</v>
      </c>
      <c r="C829" s="23">
        <v>1</v>
      </c>
      <c r="D829" s="23" t="s">
        <v>197</v>
      </c>
      <c r="E829" s="52">
        <f>34-26</f>
        <v>8</v>
      </c>
      <c r="F829" s="23" t="s">
        <v>363</v>
      </c>
      <c r="G829" s="23" t="s">
        <v>733</v>
      </c>
    </row>
    <row r="830" spans="1:11" s="23" customFormat="1" x14ac:dyDescent="0.75">
      <c r="A830" s="23" t="s">
        <v>139</v>
      </c>
      <c r="B830" s="24">
        <v>44715</v>
      </c>
      <c r="C830" s="23">
        <v>1</v>
      </c>
      <c r="D830" s="23" t="s">
        <v>191</v>
      </c>
      <c r="E830" s="52">
        <f>22-15</f>
        <v>7</v>
      </c>
      <c r="F830" s="23" t="s">
        <v>363</v>
      </c>
      <c r="G830" s="23" t="s">
        <v>361</v>
      </c>
    </row>
    <row r="831" spans="1:11" s="23" customFormat="1" x14ac:dyDescent="0.75">
      <c r="A831" s="23" t="s">
        <v>139</v>
      </c>
      <c r="B831" s="24">
        <v>44715</v>
      </c>
      <c r="C831" s="23">
        <v>1</v>
      </c>
      <c r="D831" s="23" t="s">
        <v>191</v>
      </c>
      <c r="E831" s="52" t="s">
        <v>363</v>
      </c>
      <c r="F831" s="23" t="s">
        <v>363</v>
      </c>
      <c r="G831" s="23" t="s">
        <v>361</v>
      </c>
      <c r="K831" s="23" t="s">
        <v>762</v>
      </c>
    </row>
    <row r="832" spans="1:11" s="23" customFormat="1" x14ac:dyDescent="0.75">
      <c r="A832" s="23" t="s">
        <v>139</v>
      </c>
      <c r="B832" s="24">
        <v>44715</v>
      </c>
      <c r="C832" s="23">
        <v>1</v>
      </c>
      <c r="D832" s="23" t="s">
        <v>191</v>
      </c>
      <c r="E832" s="52">
        <f>12-5</f>
        <v>7</v>
      </c>
      <c r="F832" s="23" t="s">
        <v>363</v>
      </c>
      <c r="G832" s="23" t="s">
        <v>374</v>
      </c>
    </row>
    <row r="833" spans="1:11" s="23" customFormat="1" x14ac:dyDescent="0.75">
      <c r="A833" s="23" t="s">
        <v>139</v>
      </c>
      <c r="B833" s="24">
        <v>44715</v>
      </c>
      <c r="C833" s="23">
        <v>1</v>
      </c>
      <c r="D833" s="23" t="s">
        <v>191</v>
      </c>
      <c r="E833" s="52">
        <f>5-3</f>
        <v>2</v>
      </c>
      <c r="F833" s="23" t="s">
        <v>363</v>
      </c>
      <c r="G833" s="23" t="s">
        <v>374</v>
      </c>
    </row>
    <row r="834" spans="1:11" s="23" customFormat="1" x14ac:dyDescent="0.75">
      <c r="A834" s="23" t="s">
        <v>139</v>
      </c>
      <c r="B834" s="24">
        <v>44715</v>
      </c>
      <c r="C834" s="23">
        <v>1</v>
      </c>
      <c r="D834" s="23" t="s">
        <v>172</v>
      </c>
      <c r="E834" s="52">
        <f>26-13</f>
        <v>13</v>
      </c>
      <c r="F834" s="23" t="s">
        <v>363</v>
      </c>
      <c r="G834" s="23" t="s">
        <v>374</v>
      </c>
    </row>
    <row r="835" spans="1:11" s="23" customFormat="1" x14ac:dyDescent="0.75">
      <c r="A835" s="23" t="s">
        <v>139</v>
      </c>
      <c r="B835" s="24">
        <v>44715</v>
      </c>
      <c r="C835" s="23">
        <v>1</v>
      </c>
      <c r="D835" s="23" t="s">
        <v>215</v>
      </c>
      <c r="E835" s="52">
        <f>13-12</f>
        <v>1</v>
      </c>
      <c r="F835" s="23" t="s">
        <v>363</v>
      </c>
      <c r="G835" s="23" t="s">
        <v>374</v>
      </c>
    </row>
    <row r="836" spans="1:11" s="23" customFormat="1" x14ac:dyDescent="0.75">
      <c r="A836" s="23" t="s">
        <v>139</v>
      </c>
      <c r="B836" s="24">
        <v>44715</v>
      </c>
      <c r="C836" s="23">
        <v>1</v>
      </c>
      <c r="D836" s="23" t="s">
        <v>201</v>
      </c>
      <c r="E836" s="52" t="s">
        <v>363</v>
      </c>
      <c r="F836" s="23" t="s">
        <v>363</v>
      </c>
      <c r="G836" s="23" t="s">
        <v>374</v>
      </c>
      <c r="K836" s="23" t="s">
        <v>762</v>
      </c>
    </row>
    <row r="837" spans="1:11" x14ac:dyDescent="0.75">
      <c r="A837" t="s">
        <v>23</v>
      </c>
      <c r="B837" s="3">
        <v>44715</v>
      </c>
      <c r="C837">
        <v>1</v>
      </c>
      <c r="D837" t="s">
        <v>160</v>
      </c>
      <c r="E837" s="22">
        <f>45-24</f>
        <v>21</v>
      </c>
      <c r="F837">
        <v>3884</v>
      </c>
      <c r="G837" t="s">
        <v>733</v>
      </c>
    </row>
    <row r="838" spans="1:11" x14ac:dyDescent="0.75">
      <c r="A838" t="s">
        <v>23</v>
      </c>
      <c r="B838" s="3">
        <v>44715</v>
      </c>
      <c r="C838">
        <v>1</v>
      </c>
      <c r="D838" t="s">
        <v>160</v>
      </c>
      <c r="E838" s="22">
        <f>50-10</f>
        <v>40</v>
      </c>
      <c r="F838">
        <v>904</v>
      </c>
      <c r="G838" t="s">
        <v>374</v>
      </c>
    </row>
    <row r="839" spans="1:11" s="23" customFormat="1" x14ac:dyDescent="0.75">
      <c r="A839" s="23" t="s">
        <v>44</v>
      </c>
      <c r="B839" s="24">
        <v>44720</v>
      </c>
      <c r="C839" s="23">
        <v>1</v>
      </c>
      <c r="D839" s="23" t="s">
        <v>168</v>
      </c>
      <c r="E839" s="52">
        <f>35-30</f>
        <v>5</v>
      </c>
      <c r="F839" s="23" t="s">
        <v>363</v>
      </c>
      <c r="G839" s="23" t="s">
        <v>367</v>
      </c>
    </row>
    <row r="840" spans="1:11" s="23" customFormat="1" x14ac:dyDescent="0.75">
      <c r="A840" s="23" t="s">
        <v>44</v>
      </c>
      <c r="B840" s="24">
        <v>44720</v>
      </c>
      <c r="C840" s="23">
        <v>1</v>
      </c>
      <c r="D840" s="23" t="s">
        <v>207</v>
      </c>
      <c r="E840" s="52">
        <f>30-15</f>
        <v>15</v>
      </c>
      <c r="F840" s="23" t="s">
        <v>363</v>
      </c>
      <c r="G840" s="23" t="s">
        <v>367</v>
      </c>
    </row>
    <row r="841" spans="1:11" s="23" customFormat="1" x14ac:dyDescent="0.75">
      <c r="A841" s="23" t="s">
        <v>44</v>
      </c>
      <c r="B841" s="24">
        <v>44720</v>
      </c>
      <c r="C841" s="23">
        <v>1</v>
      </c>
      <c r="D841" s="23" t="s">
        <v>153</v>
      </c>
      <c r="E841" s="52">
        <f>15-9</f>
        <v>6</v>
      </c>
      <c r="F841" s="23" t="s">
        <v>363</v>
      </c>
      <c r="G841" s="23" t="s">
        <v>367</v>
      </c>
    </row>
    <row r="842" spans="1:11" s="23" customFormat="1" x14ac:dyDescent="0.75">
      <c r="A842" s="23" t="s">
        <v>44</v>
      </c>
      <c r="B842" s="24">
        <v>44720</v>
      </c>
      <c r="C842" s="23">
        <v>1</v>
      </c>
      <c r="D842" s="23" t="s">
        <v>207</v>
      </c>
      <c r="E842" s="52">
        <f>40-36</f>
        <v>4</v>
      </c>
      <c r="F842" s="23" t="s">
        <v>363</v>
      </c>
      <c r="G842" s="23" t="s">
        <v>361</v>
      </c>
    </row>
    <row r="843" spans="1:11" s="23" customFormat="1" x14ac:dyDescent="0.75">
      <c r="A843" s="23" t="s">
        <v>44</v>
      </c>
      <c r="B843" s="24">
        <v>44720</v>
      </c>
      <c r="C843" s="23">
        <v>1</v>
      </c>
      <c r="D843" s="23" t="s">
        <v>194</v>
      </c>
      <c r="E843" s="52">
        <f>36-32</f>
        <v>4</v>
      </c>
      <c r="F843" s="23" t="s">
        <v>363</v>
      </c>
      <c r="G843" s="23" t="s">
        <v>361</v>
      </c>
    </row>
    <row r="844" spans="1:11" s="23" customFormat="1" x14ac:dyDescent="0.75">
      <c r="A844" s="23" t="s">
        <v>44</v>
      </c>
      <c r="B844" s="24">
        <v>44720</v>
      </c>
      <c r="C844" s="23">
        <v>1</v>
      </c>
      <c r="D844" s="23" t="s">
        <v>194</v>
      </c>
      <c r="E844" s="52">
        <f>32-17</f>
        <v>15</v>
      </c>
      <c r="F844" s="23" t="s">
        <v>363</v>
      </c>
      <c r="G844" s="23" t="s">
        <v>361</v>
      </c>
    </row>
    <row r="845" spans="1:11" s="23" customFormat="1" x14ac:dyDescent="0.75">
      <c r="A845" s="23" t="s">
        <v>44</v>
      </c>
      <c r="B845" s="24">
        <v>44720</v>
      </c>
      <c r="C845" s="23">
        <v>1</v>
      </c>
      <c r="D845" s="23" t="s">
        <v>201</v>
      </c>
      <c r="E845" s="52">
        <f>14-7</f>
        <v>7</v>
      </c>
      <c r="F845" s="23" t="s">
        <v>363</v>
      </c>
      <c r="G845" s="23" t="s">
        <v>361</v>
      </c>
    </row>
    <row r="846" spans="1:11" s="23" customFormat="1" x14ac:dyDescent="0.75">
      <c r="A846" s="23" t="s">
        <v>44</v>
      </c>
      <c r="B846" s="24">
        <v>44720</v>
      </c>
      <c r="C846" s="23">
        <v>1</v>
      </c>
      <c r="D846" s="23" t="s">
        <v>172</v>
      </c>
      <c r="E846" s="52">
        <f>40-28</f>
        <v>12</v>
      </c>
      <c r="F846" s="23" t="s">
        <v>363</v>
      </c>
      <c r="G846" s="23" t="s">
        <v>374</v>
      </c>
    </row>
    <row r="847" spans="1:11" s="23" customFormat="1" x14ac:dyDescent="0.75">
      <c r="A847" s="23" t="s">
        <v>44</v>
      </c>
      <c r="B847" s="24">
        <v>44720</v>
      </c>
      <c r="C847" s="23">
        <v>1</v>
      </c>
      <c r="D847" s="23" t="s">
        <v>168</v>
      </c>
      <c r="E847" s="52">
        <f>28-26</f>
        <v>2</v>
      </c>
      <c r="F847" s="23" t="s">
        <v>363</v>
      </c>
      <c r="G847" s="23" t="s">
        <v>374</v>
      </c>
    </row>
    <row r="848" spans="1:11" s="23" customFormat="1" x14ac:dyDescent="0.75">
      <c r="A848" s="23" t="s">
        <v>44</v>
      </c>
      <c r="B848" s="24">
        <v>44720</v>
      </c>
      <c r="C848" s="23">
        <v>1</v>
      </c>
      <c r="D848" s="23" t="s">
        <v>176</v>
      </c>
      <c r="E848" s="52">
        <f>26-25</f>
        <v>1</v>
      </c>
      <c r="F848" s="23" t="s">
        <v>363</v>
      </c>
      <c r="G848" s="23" t="s">
        <v>374</v>
      </c>
    </row>
    <row r="849" spans="1:11" s="23" customFormat="1" x14ac:dyDescent="0.75">
      <c r="A849" s="23" t="s">
        <v>44</v>
      </c>
      <c r="B849" s="24">
        <v>44720</v>
      </c>
      <c r="C849" s="23">
        <v>1</v>
      </c>
      <c r="D849" s="23" t="s">
        <v>207</v>
      </c>
      <c r="E849" s="52">
        <f>24-18</f>
        <v>6</v>
      </c>
      <c r="F849" s="23" t="s">
        <v>363</v>
      </c>
      <c r="G849" s="23" t="s">
        <v>374</v>
      </c>
    </row>
    <row r="850" spans="1:11" s="23" customFormat="1" x14ac:dyDescent="0.75">
      <c r="A850" s="23" t="s">
        <v>44</v>
      </c>
      <c r="B850" s="24">
        <v>44720</v>
      </c>
      <c r="C850" s="23">
        <v>1</v>
      </c>
      <c r="D850" s="23" t="s">
        <v>199</v>
      </c>
      <c r="E850" s="52">
        <f>17-12</f>
        <v>5</v>
      </c>
      <c r="F850" s="23" t="s">
        <v>363</v>
      </c>
      <c r="G850" s="23" t="s">
        <v>374</v>
      </c>
    </row>
    <row r="851" spans="1:11" s="23" customFormat="1" x14ac:dyDescent="0.75">
      <c r="A851" s="23" t="s">
        <v>44</v>
      </c>
      <c r="B851" s="24">
        <v>44720</v>
      </c>
      <c r="C851" s="23">
        <v>1</v>
      </c>
      <c r="D851" s="23" t="s">
        <v>164</v>
      </c>
      <c r="E851" s="52">
        <f>40+12</f>
        <v>52</v>
      </c>
      <c r="F851" s="23" t="s">
        <v>363</v>
      </c>
      <c r="G851" s="23" t="s">
        <v>374</v>
      </c>
      <c r="K851" s="23" t="s">
        <v>780</v>
      </c>
    </row>
    <row r="852" spans="1:11" s="23" customFormat="1" x14ac:dyDescent="0.75">
      <c r="A852" s="23" t="s">
        <v>44</v>
      </c>
      <c r="B852" s="24">
        <v>44720</v>
      </c>
      <c r="C852" s="23">
        <v>1</v>
      </c>
      <c r="D852" s="23" t="s">
        <v>194</v>
      </c>
      <c r="E852" s="52">
        <f>41-21</f>
        <v>20</v>
      </c>
      <c r="F852" s="23" t="s">
        <v>363</v>
      </c>
      <c r="G852" s="23" t="s">
        <v>374</v>
      </c>
    </row>
    <row r="853" spans="1:11" s="23" customFormat="1" x14ac:dyDescent="0.75">
      <c r="A853" s="23" t="s">
        <v>44</v>
      </c>
      <c r="B853" s="24">
        <v>44720</v>
      </c>
      <c r="C853" s="23">
        <v>1</v>
      </c>
      <c r="D853" s="23" t="s">
        <v>207</v>
      </c>
      <c r="E853" s="52">
        <f>21-20</f>
        <v>1</v>
      </c>
      <c r="F853" s="23" t="s">
        <v>363</v>
      </c>
      <c r="G853" s="23" t="s">
        <v>374</v>
      </c>
    </row>
    <row r="854" spans="1:11" s="23" customFormat="1" x14ac:dyDescent="0.75">
      <c r="A854" s="23" t="s">
        <v>44</v>
      </c>
      <c r="B854" s="24">
        <v>44720</v>
      </c>
      <c r="C854" s="23">
        <v>1</v>
      </c>
      <c r="D854" s="23" t="s">
        <v>197</v>
      </c>
      <c r="E854" s="52">
        <f>17-14</f>
        <v>3</v>
      </c>
      <c r="F854" s="23" t="s">
        <v>363</v>
      </c>
      <c r="G854" s="23" t="s">
        <v>361</v>
      </c>
    </row>
    <row r="855" spans="1:11" x14ac:dyDescent="0.75">
      <c r="A855" t="s">
        <v>60</v>
      </c>
      <c r="B855" s="3">
        <v>44720</v>
      </c>
      <c r="C855">
        <v>1</v>
      </c>
      <c r="D855" t="s">
        <v>191</v>
      </c>
      <c r="E855" s="22">
        <f>7</f>
        <v>7</v>
      </c>
      <c r="F855" t="s">
        <v>363</v>
      </c>
      <c r="G855" t="s">
        <v>361</v>
      </c>
    </row>
    <row r="856" spans="1:11" x14ac:dyDescent="0.75">
      <c r="A856" t="s">
        <v>60</v>
      </c>
      <c r="B856" s="3">
        <v>44720</v>
      </c>
      <c r="C856">
        <v>1</v>
      </c>
      <c r="D856" t="s">
        <v>197</v>
      </c>
      <c r="E856" s="22">
        <f>38-36</f>
        <v>2</v>
      </c>
      <c r="F856" t="s">
        <v>363</v>
      </c>
      <c r="G856" t="s">
        <v>361</v>
      </c>
    </row>
    <row r="857" spans="1:11" x14ac:dyDescent="0.75">
      <c r="A857" t="s">
        <v>60</v>
      </c>
      <c r="B857" s="3">
        <v>44720</v>
      </c>
      <c r="C857">
        <v>1</v>
      </c>
      <c r="D857" t="s">
        <v>191</v>
      </c>
      <c r="E857" s="22" t="s">
        <v>363</v>
      </c>
      <c r="F857" t="s">
        <v>363</v>
      </c>
      <c r="G857" t="s">
        <v>361</v>
      </c>
      <c r="K857" t="s">
        <v>781</v>
      </c>
    </row>
    <row r="858" spans="1:11" x14ac:dyDescent="0.75">
      <c r="A858" t="s">
        <v>60</v>
      </c>
      <c r="B858" s="3">
        <v>44720</v>
      </c>
      <c r="C858">
        <v>1</v>
      </c>
      <c r="D858" t="s">
        <v>191</v>
      </c>
      <c r="E858" s="22">
        <f>36-23</f>
        <v>13</v>
      </c>
      <c r="F858" t="s">
        <v>363</v>
      </c>
      <c r="G858" t="s">
        <v>361</v>
      </c>
    </row>
    <row r="859" spans="1:11" x14ac:dyDescent="0.75">
      <c r="A859" t="s">
        <v>60</v>
      </c>
      <c r="B859" s="3">
        <v>44720</v>
      </c>
      <c r="C859">
        <v>1</v>
      </c>
      <c r="D859" t="s">
        <v>191</v>
      </c>
      <c r="E859" s="22">
        <f>23-13</f>
        <v>10</v>
      </c>
      <c r="F859" t="s">
        <v>363</v>
      </c>
      <c r="G859" t="s">
        <v>361</v>
      </c>
    </row>
    <row r="860" spans="1:11" x14ac:dyDescent="0.75">
      <c r="A860" t="s">
        <v>60</v>
      </c>
      <c r="B860" s="3">
        <v>44720</v>
      </c>
      <c r="C860">
        <v>1</v>
      </c>
      <c r="D860" t="s">
        <v>191</v>
      </c>
      <c r="E860" s="22">
        <f>13-11</f>
        <v>2</v>
      </c>
      <c r="F860" t="s">
        <v>363</v>
      </c>
      <c r="G860" t="s">
        <v>361</v>
      </c>
    </row>
    <row r="861" spans="1:11" x14ac:dyDescent="0.75">
      <c r="A861" t="s">
        <v>60</v>
      </c>
      <c r="B861" s="3">
        <v>44720</v>
      </c>
      <c r="C861">
        <v>1</v>
      </c>
      <c r="D861" t="s">
        <v>197</v>
      </c>
      <c r="E861" s="22">
        <f>11-5</f>
        <v>6</v>
      </c>
      <c r="F861" t="s">
        <v>363</v>
      </c>
      <c r="G861" t="s">
        <v>361</v>
      </c>
    </row>
    <row r="862" spans="1:11" x14ac:dyDescent="0.75">
      <c r="A862" t="s">
        <v>60</v>
      </c>
      <c r="B862" s="3">
        <v>44720</v>
      </c>
      <c r="C862">
        <v>1</v>
      </c>
      <c r="D862" t="s">
        <v>191</v>
      </c>
      <c r="E862" s="22">
        <f>5+4</f>
        <v>9</v>
      </c>
      <c r="F862" t="s">
        <v>363</v>
      </c>
      <c r="G862" t="s">
        <v>361</v>
      </c>
    </row>
    <row r="863" spans="1:11" x14ac:dyDescent="0.75">
      <c r="A863" t="s">
        <v>60</v>
      </c>
      <c r="B863" s="3">
        <v>44720</v>
      </c>
      <c r="C863">
        <v>1</v>
      </c>
      <c r="D863" t="s">
        <v>191</v>
      </c>
      <c r="E863" s="22">
        <f>9</f>
        <v>9</v>
      </c>
      <c r="F863" t="s">
        <v>363</v>
      </c>
      <c r="G863" t="s">
        <v>367</v>
      </c>
    </row>
    <row r="864" spans="1:11" x14ac:dyDescent="0.75">
      <c r="A864" t="s">
        <v>60</v>
      </c>
      <c r="B864" s="3">
        <v>44720</v>
      </c>
      <c r="C864">
        <v>1</v>
      </c>
      <c r="D864" t="s">
        <v>197</v>
      </c>
      <c r="E864" s="22">
        <f>35-9</f>
        <v>26</v>
      </c>
      <c r="F864" t="s">
        <v>363</v>
      </c>
      <c r="G864" t="s">
        <v>367</v>
      </c>
    </row>
    <row r="865" spans="1:7" x14ac:dyDescent="0.75">
      <c r="A865" t="s">
        <v>60</v>
      </c>
      <c r="B865" s="3">
        <v>44720</v>
      </c>
      <c r="C865">
        <v>1</v>
      </c>
      <c r="D865" t="s">
        <v>201</v>
      </c>
      <c r="E865" s="22">
        <f>9-6</f>
        <v>3</v>
      </c>
      <c r="F865" t="s">
        <v>363</v>
      </c>
      <c r="G865" t="s">
        <v>367</v>
      </c>
    </row>
    <row r="866" spans="1:7" x14ac:dyDescent="0.75">
      <c r="A866" t="s">
        <v>60</v>
      </c>
      <c r="B866" s="3">
        <v>44720</v>
      </c>
      <c r="C866">
        <v>1</v>
      </c>
      <c r="D866" t="s">
        <v>191</v>
      </c>
      <c r="E866" s="22">
        <f>6-4</f>
        <v>2</v>
      </c>
      <c r="F866" t="s">
        <v>363</v>
      </c>
      <c r="G866" t="s">
        <v>367</v>
      </c>
    </row>
    <row r="867" spans="1:7" x14ac:dyDescent="0.75">
      <c r="A867" t="s">
        <v>60</v>
      </c>
      <c r="B867" s="3">
        <v>44720</v>
      </c>
      <c r="C867">
        <v>1</v>
      </c>
      <c r="D867" t="s">
        <v>197</v>
      </c>
      <c r="E867" s="22">
        <f>33-23</f>
        <v>10</v>
      </c>
      <c r="F867" t="s">
        <v>363</v>
      </c>
      <c r="G867" t="s">
        <v>367</v>
      </c>
    </row>
    <row r="868" spans="1:7" x14ac:dyDescent="0.75">
      <c r="A868" t="s">
        <v>60</v>
      </c>
      <c r="B868" s="3">
        <v>44720</v>
      </c>
      <c r="C868">
        <v>1</v>
      </c>
      <c r="D868" t="s">
        <v>191</v>
      </c>
      <c r="E868" s="22">
        <f>23-17</f>
        <v>6</v>
      </c>
      <c r="F868" t="s">
        <v>363</v>
      </c>
      <c r="G868" t="s">
        <v>367</v>
      </c>
    </row>
    <row r="869" spans="1:7" s="23" customFormat="1" x14ac:dyDescent="0.75">
      <c r="A869" s="23" t="s">
        <v>48</v>
      </c>
      <c r="B869" s="24">
        <v>44720</v>
      </c>
      <c r="C869" s="23">
        <v>1</v>
      </c>
      <c r="D869" s="23" t="s">
        <v>191</v>
      </c>
      <c r="E869" s="52">
        <f>38-35</f>
        <v>3</v>
      </c>
      <c r="F869" s="23" t="s">
        <v>363</v>
      </c>
      <c r="G869" s="23" t="s">
        <v>361</v>
      </c>
    </row>
    <row r="870" spans="1:7" s="23" customFormat="1" x14ac:dyDescent="0.75">
      <c r="A870" s="23" t="s">
        <v>48</v>
      </c>
      <c r="B870" s="24">
        <v>44720</v>
      </c>
      <c r="C870" s="23">
        <v>1</v>
      </c>
      <c r="D870" s="23" t="s">
        <v>191</v>
      </c>
      <c r="E870" s="52">
        <f>35-32</f>
        <v>3</v>
      </c>
      <c r="F870" s="23" t="s">
        <v>363</v>
      </c>
      <c r="G870" s="23" t="s">
        <v>361</v>
      </c>
    </row>
    <row r="871" spans="1:7" s="23" customFormat="1" x14ac:dyDescent="0.75">
      <c r="A871" s="23" t="s">
        <v>48</v>
      </c>
      <c r="B871" s="24">
        <v>44720</v>
      </c>
      <c r="C871" s="23">
        <v>1</v>
      </c>
      <c r="D871" s="23" t="s">
        <v>191</v>
      </c>
      <c r="E871" s="52">
        <f>32-21</f>
        <v>11</v>
      </c>
      <c r="F871" s="23" t="s">
        <v>363</v>
      </c>
      <c r="G871" s="23" t="s">
        <v>361</v>
      </c>
    </row>
    <row r="872" spans="1:7" s="23" customFormat="1" x14ac:dyDescent="0.75">
      <c r="A872" s="23" t="s">
        <v>48</v>
      </c>
      <c r="B872" s="24">
        <v>44720</v>
      </c>
      <c r="C872" s="23">
        <v>1</v>
      </c>
      <c r="D872" s="23" t="s">
        <v>197</v>
      </c>
      <c r="E872" s="52">
        <f>21-12</f>
        <v>9</v>
      </c>
      <c r="F872" s="23" t="s">
        <v>363</v>
      </c>
      <c r="G872" s="23" t="s">
        <v>361</v>
      </c>
    </row>
    <row r="873" spans="1:7" s="23" customFormat="1" x14ac:dyDescent="0.75">
      <c r="A873" s="23" t="s">
        <v>48</v>
      </c>
      <c r="B873" s="24">
        <v>44720</v>
      </c>
      <c r="C873" s="23">
        <v>1</v>
      </c>
      <c r="D873" s="23" t="s">
        <v>197</v>
      </c>
      <c r="E873" s="52">
        <f>12-7</f>
        <v>5</v>
      </c>
      <c r="F873" s="23" t="s">
        <v>363</v>
      </c>
      <c r="G873" s="23" t="s">
        <v>361</v>
      </c>
    </row>
    <row r="874" spans="1:7" s="23" customFormat="1" x14ac:dyDescent="0.75">
      <c r="A874" s="23" t="s">
        <v>48</v>
      </c>
      <c r="B874" s="24">
        <v>44720</v>
      </c>
      <c r="C874" s="23">
        <v>1</v>
      </c>
      <c r="D874" s="23" t="s">
        <v>191</v>
      </c>
      <c r="E874" s="52">
        <f>7-2</f>
        <v>5</v>
      </c>
      <c r="F874" s="23" t="s">
        <v>363</v>
      </c>
      <c r="G874" s="23" t="s">
        <v>361</v>
      </c>
    </row>
    <row r="875" spans="1:7" s="23" customFormat="1" x14ac:dyDescent="0.75">
      <c r="A875" s="23" t="s">
        <v>48</v>
      </c>
      <c r="B875" s="24">
        <v>44720</v>
      </c>
      <c r="C875" s="23">
        <v>1</v>
      </c>
      <c r="D875" s="23" t="s">
        <v>191</v>
      </c>
      <c r="E875" s="52">
        <f>2+41-34</f>
        <v>9</v>
      </c>
      <c r="F875" s="23" t="s">
        <v>363</v>
      </c>
      <c r="G875" s="23" t="s">
        <v>361</v>
      </c>
    </row>
    <row r="876" spans="1:7" s="23" customFormat="1" x14ac:dyDescent="0.75">
      <c r="A876" s="23" t="s">
        <v>48</v>
      </c>
      <c r="B876" s="24">
        <v>44720</v>
      </c>
      <c r="C876" s="23">
        <v>1</v>
      </c>
      <c r="D876" s="23" t="s">
        <v>201</v>
      </c>
      <c r="E876" s="52">
        <f>40-39</f>
        <v>1</v>
      </c>
      <c r="F876" s="23" t="s">
        <v>363</v>
      </c>
      <c r="G876" s="23" t="s">
        <v>374</v>
      </c>
    </row>
    <row r="877" spans="1:7" s="23" customFormat="1" x14ac:dyDescent="0.75">
      <c r="A877" s="23" t="s">
        <v>48</v>
      </c>
      <c r="B877" s="24">
        <v>44720</v>
      </c>
      <c r="C877" s="23">
        <v>1</v>
      </c>
      <c r="D877" s="23" t="s">
        <v>191</v>
      </c>
      <c r="E877" s="52">
        <f>39-17</f>
        <v>22</v>
      </c>
      <c r="F877" s="23" t="s">
        <v>363</v>
      </c>
      <c r="G877" s="23" t="s">
        <v>374</v>
      </c>
    </row>
    <row r="878" spans="1:7" s="23" customFormat="1" x14ac:dyDescent="0.75">
      <c r="A878" s="23" t="s">
        <v>48</v>
      </c>
      <c r="B878" s="24">
        <v>44720</v>
      </c>
      <c r="C878" s="23">
        <v>1</v>
      </c>
      <c r="D878" s="23" t="s">
        <v>197</v>
      </c>
      <c r="E878" s="52">
        <f>17-8</f>
        <v>9</v>
      </c>
      <c r="F878" s="23" t="s">
        <v>363</v>
      </c>
      <c r="G878" s="23" t="s">
        <v>374</v>
      </c>
    </row>
    <row r="879" spans="1:7" s="23" customFormat="1" x14ac:dyDescent="0.75">
      <c r="A879" s="23" t="s">
        <v>48</v>
      </c>
      <c r="B879" s="24">
        <v>44720</v>
      </c>
      <c r="C879" s="23">
        <v>1</v>
      </c>
      <c r="D879" s="23" t="s">
        <v>197</v>
      </c>
      <c r="E879" s="52">
        <f>8-4</f>
        <v>4</v>
      </c>
      <c r="F879" s="23" t="s">
        <v>363</v>
      </c>
      <c r="G879" s="23" t="s">
        <v>374</v>
      </c>
    </row>
    <row r="880" spans="1:7" s="23" customFormat="1" x14ac:dyDescent="0.75">
      <c r="A880" s="23" t="s">
        <v>48</v>
      </c>
      <c r="B880" s="24">
        <v>44720</v>
      </c>
      <c r="C880" s="23">
        <v>1</v>
      </c>
      <c r="D880" s="23" t="s">
        <v>191</v>
      </c>
      <c r="E880" s="52">
        <f>4-2</f>
        <v>2</v>
      </c>
      <c r="F880" s="23" t="s">
        <v>363</v>
      </c>
      <c r="G880" s="23" t="s">
        <v>374</v>
      </c>
    </row>
    <row r="881" spans="1:11" s="23" customFormat="1" x14ac:dyDescent="0.75">
      <c r="A881" s="23" t="s">
        <v>48</v>
      </c>
      <c r="B881" s="24">
        <v>44720</v>
      </c>
      <c r="C881" s="23">
        <v>1</v>
      </c>
      <c r="D881" s="23" t="s">
        <v>215</v>
      </c>
      <c r="E881" s="52">
        <f>2</f>
        <v>2</v>
      </c>
      <c r="F881" s="23" t="s">
        <v>363</v>
      </c>
      <c r="G881" s="23" t="s">
        <v>374</v>
      </c>
    </row>
    <row r="882" spans="1:11" s="23" customFormat="1" x14ac:dyDescent="0.75">
      <c r="A882" s="23" t="s">
        <v>48</v>
      </c>
      <c r="B882" s="24">
        <v>44720</v>
      </c>
      <c r="C882" s="23">
        <v>1</v>
      </c>
      <c r="D882" s="23" t="s">
        <v>153</v>
      </c>
      <c r="E882" s="52">
        <f>41-40</f>
        <v>1</v>
      </c>
      <c r="F882" s="23" t="s">
        <v>363</v>
      </c>
      <c r="G882" s="23" t="s">
        <v>374</v>
      </c>
    </row>
    <row r="883" spans="1:11" s="23" customFormat="1" x14ac:dyDescent="0.75">
      <c r="A883" s="23" t="s">
        <v>48</v>
      </c>
      <c r="B883" s="24">
        <v>44720</v>
      </c>
      <c r="C883" s="23">
        <v>1</v>
      </c>
      <c r="D883" s="23" t="s">
        <v>153</v>
      </c>
      <c r="E883" s="52">
        <f>40-38</f>
        <v>2</v>
      </c>
      <c r="F883" s="23" t="s">
        <v>363</v>
      </c>
      <c r="G883" s="23" t="s">
        <v>374</v>
      </c>
    </row>
    <row r="884" spans="1:11" s="23" customFormat="1" x14ac:dyDescent="0.75">
      <c r="A884" s="23" t="s">
        <v>48</v>
      </c>
      <c r="B884" s="24">
        <v>44720</v>
      </c>
      <c r="C884" s="23">
        <v>1</v>
      </c>
      <c r="D884" s="23" t="s">
        <v>197</v>
      </c>
      <c r="E884" s="52">
        <f>40-34</f>
        <v>6</v>
      </c>
      <c r="F884" s="23" t="s">
        <v>363</v>
      </c>
      <c r="G884" s="23" t="s">
        <v>367</v>
      </c>
    </row>
    <row r="885" spans="1:11" x14ac:dyDescent="0.75">
      <c r="A885" t="s">
        <v>69</v>
      </c>
      <c r="B885" s="3">
        <v>44722</v>
      </c>
      <c r="C885">
        <v>1</v>
      </c>
      <c r="D885" t="s">
        <v>164</v>
      </c>
      <c r="E885" s="22">
        <f>53-40</f>
        <v>13</v>
      </c>
      <c r="F885" t="s">
        <v>363</v>
      </c>
      <c r="G885" t="s">
        <v>733</v>
      </c>
      <c r="K885" t="s">
        <v>780</v>
      </c>
    </row>
    <row r="886" spans="1:11" x14ac:dyDescent="0.75">
      <c r="A886" t="s">
        <v>69</v>
      </c>
      <c r="B886" s="3">
        <v>44722</v>
      </c>
      <c r="C886">
        <v>1</v>
      </c>
      <c r="D886" t="s">
        <v>197</v>
      </c>
      <c r="E886" s="22">
        <f>40-37</f>
        <v>3</v>
      </c>
      <c r="F886" t="s">
        <v>363</v>
      </c>
      <c r="G886" t="s">
        <v>733</v>
      </c>
    </row>
    <row r="887" spans="1:11" x14ac:dyDescent="0.75">
      <c r="A887" t="s">
        <v>69</v>
      </c>
      <c r="B887" s="3">
        <v>44722</v>
      </c>
      <c r="C887">
        <v>1</v>
      </c>
      <c r="D887" t="s">
        <v>197</v>
      </c>
      <c r="E887" s="22">
        <f>37-21</f>
        <v>16</v>
      </c>
      <c r="F887" t="s">
        <v>363</v>
      </c>
      <c r="G887" t="s">
        <v>733</v>
      </c>
    </row>
    <row r="888" spans="1:11" x14ac:dyDescent="0.75">
      <c r="A888" t="s">
        <v>69</v>
      </c>
      <c r="B888" s="3">
        <v>44722</v>
      </c>
      <c r="C888">
        <v>1</v>
      </c>
      <c r="D888" t="s">
        <v>201</v>
      </c>
      <c r="E888" s="22">
        <f>21-14</f>
        <v>7</v>
      </c>
      <c r="F888" t="s">
        <v>363</v>
      </c>
      <c r="G888" t="s">
        <v>733</v>
      </c>
    </row>
    <row r="889" spans="1:11" x14ac:dyDescent="0.75">
      <c r="A889" t="s">
        <v>69</v>
      </c>
      <c r="B889" s="3">
        <v>44722</v>
      </c>
      <c r="C889">
        <v>1</v>
      </c>
      <c r="D889" t="s">
        <v>197</v>
      </c>
      <c r="E889" s="22">
        <f>1</f>
        <v>1</v>
      </c>
      <c r="F889">
        <v>969</v>
      </c>
      <c r="G889" t="s">
        <v>733</v>
      </c>
      <c r="K889" t="s">
        <v>782</v>
      </c>
    </row>
    <row r="890" spans="1:11" x14ac:dyDescent="0.75">
      <c r="A890" t="s">
        <v>69</v>
      </c>
      <c r="B890" s="3">
        <v>44722</v>
      </c>
      <c r="C890">
        <v>1</v>
      </c>
      <c r="D890" t="s">
        <v>207</v>
      </c>
      <c r="E890" s="22">
        <f>14-13</f>
        <v>1</v>
      </c>
      <c r="F890" t="s">
        <v>363</v>
      </c>
      <c r="G890" t="s">
        <v>733</v>
      </c>
    </row>
    <row r="891" spans="1:11" x14ac:dyDescent="0.75">
      <c r="A891" t="s">
        <v>69</v>
      </c>
      <c r="B891" s="3">
        <v>44722</v>
      </c>
      <c r="C891">
        <v>1</v>
      </c>
      <c r="D891" t="s">
        <v>191</v>
      </c>
      <c r="E891" s="22">
        <f>13</f>
        <v>13</v>
      </c>
      <c r="F891">
        <v>4127</v>
      </c>
      <c r="G891" t="s">
        <v>733</v>
      </c>
    </row>
    <row r="892" spans="1:11" x14ac:dyDescent="0.75">
      <c r="A892" t="s">
        <v>69</v>
      </c>
      <c r="B892" s="3">
        <v>44722</v>
      </c>
      <c r="C892">
        <v>1</v>
      </c>
      <c r="D892" t="s">
        <v>191</v>
      </c>
      <c r="E892" s="22">
        <f>53-14</f>
        <v>39</v>
      </c>
      <c r="F892" t="s">
        <v>363</v>
      </c>
      <c r="G892" t="s">
        <v>733</v>
      </c>
      <c r="K892" t="s">
        <v>780</v>
      </c>
    </row>
    <row r="893" spans="1:11" x14ac:dyDescent="0.75">
      <c r="A893" t="s">
        <v>69</v>
      </c>
      <c r="B893" s="3">
        <v>44722</v>
      </c>
      <c r="C893">
        <v>1</v>
      </c>
      <c r="D893" t="s">
        <v>197</v>
      </c>
      <c r="E893" s="22">
        <f>14-1</f>
        <v>13</v>
      </c>
      <c r="F893" t="s">
        <v>363</v>
      </c>
      <c r="G893" t="s">
        <v>733</v>
      </c>
      <c r="K893" t="s">
        <v>780</v>
      </c>
    </row>
    <row r="894" spans="1:11" x14ac:dyDescent="0.75">
      <c r="A894" t="s">
        <v>69</v>
      </c>
      <c r="B894" s="3">
        <v>44722</v>
      </c>
      <c r="C894">
        <v>1</v>
      </c>
      <c r="D894" t="s">
        <v>172</v>
      </c>
      <c r="E894" s="22">
        <f>1+48-44</f>
        <v>5</v>
      </c>
      <c r="F894" t="s">
        <v>363</v>
      </c>
      <c r="G894" t="s">
        <v>733</v>
      </c>
      <c r="K894" t="s">
        <v>780</v>
      </c>
    </row>
    <row r="895" spans="1:11" x14ac:dyDescent="0.75">
      <c r="A895" t="s">
        <v>69</v>
      </c>
      <c r="B895" s="3">
        <v>44722</v>
      </c>
      <c r="C895">
        <v>1</v>
      </c>
      <c r="D895" t="s">
        <v>191</v>
      </c>
      <c r="E895" s="22">
        <f>53-47</f>
        <v>6</v>
      </c>
      <c r="F895">
        <v>3993</v>
      </c>
      <c r="G895" t="s">
        <v>361</v>
      </c>
      <c r="K895" t="s">
        <v>780</v>
      </c>
    </row>
    <row r="896" spans="1:11" x14ac:dyDescent="0.75">
      <c r="A896" t="s">
        <v>69</v>
      </c>
      <c r="B896" s="3">
        <v>44722</v>
      </c>
      <c r="C896">
        <v>1</v>
      </c>
      <c r="D896" t="s">
        <v>172</v>
      </c>
      <c r="E896" s="22">
        <f>47-45</f>
        <v>2</v>
      </c>
      <c r="F896" t="s">
        <v>363</v>
      </c>
      <c r="G896" t="s">
        <v>361</v>
      </c>
    </row>
    <row r="897" spans="1:11" x14ac:dyDescent="0.75">
      <c r="A897" t="s">
        <v>69</v>
      </c>
      <c r="B897" s="3">
        <v>44722</v>
      </c>
      <c r="C897">
        <v>1</v>
      </c>
      <c r="D897" t="s">
        <v>197</v>
      </c>
      <c r="E897" s="22">
        <f>45-37</f>
        <v>8</v>
      </c>
      <c r="F897" t="s">
        <v>363</v>
      </c>
      <c r="G897" t="s">
        <v>361</v>
      </c>
    </row>
    <row r="898" spans="1:11" x14ac:dyDescent="0.75">
      <c r="A898" t="s">
        <v>69</v>
      </c>
      <c r="B898" s="3">
        <v>44722</v>
      </c>
      <c r="C898">
        <v>1</v>
      </c>
      <c r="D898" t="s">
        <v>168</v>
      </c>
      <c r="E898" s="22">
        <f>37-31</f>
        <v>6</v>
      </c>
      <c r="F898" t="s">
        <v>363</v>
      </c>
      <c r="G898" t="s">
        <v>361</v>
      </c>
      <c r="K898" t="s">
        <v>780</v>
      </c>
    </row>
    <row r="899" spans="1:11" x14ac:dyDescent="0.75">
      <c r="A899" t="s">
        <v>69</v>
      </c>
      <c r="B899" s="3">
        <v>44722</v>
      </c>
      <c r="C899">
        <v>1</v>
      </c>
      <c r="D899" t="s">
        <v>168</v>
      </c>
      <c r="E899" s="22">
        <f>31-30</f>
        <v>1</v>
      </c>
      <c r="F899" t="s">
        <v>363</v>
      </c>
      <c r="G899" t="s">
        <v>361</v>
      </c>
    </row>
    <row r="900" spans="1:11" x14ac:dyDescent="0.75">
      <c r="A900" t="s">
        <v>69</v>
      </c>
      <c r="B900" s="3">
        <v>44722</v>
      </c>
      <c r="C900">
        <v>1</v>
      </c>
      <c r="D900" t="s">
        <v>168</v>
      </c>
      <c r="E900" s="22">
        <f>30-17</f>
        <v>13</v>
      </c>
      <c r="F900" t="s">
        <v>363</v>
      </c>
      <c r="G900" t="s">
        <v>361</v>
      </c>
      <c r="K900" t="s">
        <v>780</v>
      </c>
    </row>
    <row r="901" spans="1:11" x14ac:dyDescent="0.75">
      <c r="A901" t="s">
        <v>69</v>
      </c>
      <c r="B901" s="3">
        <v>44722</v>
      </c>
      <c r="C901">
        <v>1</v>
      </c>
      <c r="D901" t="s">
        <v>201</v>
      </c>
      <c r="E901" s="22" t="s">
        <v>363</v>
      </c>
      <c r="F901">
        <v>907</v>
      </c>
      <c r="G901" t="s">
        <v>361</v>
      </c>
      <c r="K901" t="s">
        <v>783</v>
      </c>
    </row>
    <row r="902" spans="1:11" x14ac:dyDescent="0.75">
      <c r="A902" t="s">
        <v>69</v>
      </c>
      <c r="B902" s="3">
        <v>44722</v>
      </c>
      <c r="C902">
        <v>1</v>
      </c>
      <c r="D902" t="s">
        <v>201</v>
      </c>
      <c r="E902" s="22">
        <f>41-33</f>
        <v>8</v>
      </c>
      <c r="F902" t="s">
        <v>363</v>
      </c>
      <c r="G902" t="s">
        <v>367</v>
      </c>
    </row>
    <row r="903" spans="1:11" x14ac:dyDescent="0.75">
      <c r="A903" t="s">
        <v>69</v>
      </c>
      <c r="B903" s="3">
        <v>44722</v>
      </c>
      <c r="C903">
        <v>1</v>
      </c>
      <c r="D903" t="s">
        <v>201</v>
      </c>
      <c r="E903" s="22">
        <f>33-30</f>
        <v>3</v>
      </c>
      <c r="F903" t="s">
        <v>363</v>
      </c>
      <c r="G903" t="s">
        <v>367</v>
      </c>
    </row>
    <row r="904" spans="1:11" x14ac:dyDescent="0.75">
      <c r="A904" t="s">
        <v>69</v>
      </c>
      <c r="B904" s="3">
        <v>44722</v>
      </c>
      <c r="C904">
        <v>1</v>
      </c>
      <c r="D904" t="s">
        <v>201</v>
      </c>
      <c r="E904" s="22">
        <f>30-28</f>
        <v>2</v>
      </c>
      <c r="F904" t="s">
        <v>363</v>
      </c>
      <c r="G904" t="s">
        <v>367</v>
      </c>
    </row>
    <row r="905" spans="1:11" x14ac:dyDescent="0.75">
      <c r="A905" t="s">
        <v>69</v>
      </c>
      <c r="B905" s="3">
        <v>44722</v>
      </c>
      <c r="C905">
        <v>1</v>
      </c>
      <c r="D905" t="s">
        <v>199</v>
      </c>
      <c r="E905" s="22">
        <f>28-23</f>
        <v>5</v>
      </c>
      <c r="F905" t="s">
        <v>363</v>
      </c>
      <c r="G905" t="s">
        <v>367</v>
      </c>
    </row>
    <row r="906" spans="1:11" x14ac:dyDescent="0.75">
      <c r="A906" t="s">
        <v>69</v>
      </c>
      <c r="B906" s="3">
        <v>44722</v>
      </c>
      <c r="C906">
        <v>1</v>
      </c>
      <c r="D906" t="s">
        <v>201</v>
      </c>
      <c r="E906" s="22">
        <f>23-20</f>
        <v>3</v>
      </c>
      <c r="F906" t="s">
        <v>363</v>
      </c>
      <c r="G906" t="s">
        <v>367</v>
      </c>
    </row>
    <row r="907" spans="1:11" s="23" customFormat="1" x14ac:dyDescent="0.75">
      <c r="A907" s="23" t="s">
        <v>69</v>
      </c>
      <c r="B907" s="24">
        <v>44722</v>
      </c>
      <c r="C907" s="23">
        <v>2</v>
      </c>
      <c r="D907" s="23" t="s">
        <v>207</v>
      </c>
      <c r="E907" s="52">
        <f>44-41</f>
        <v>3</v>
      </c>
      <c r="F907" s="23" t="s">
        <v>363</v>
      </c>
      <c r="G907" s="23" t="s">
        <v>733</v>
      </c>
    </row>
    <row r="908" spans="1:11" s="23" customFormat="1" x14ac:dyDescent="0.75">
      <c r="A908" s="23" t="s">
        <v>69</v>
      </c>
      <c r="B908" s="24">
        <v>44722</v>
      </c>
      <c r="C908" s="23">
        <v>2</v>
      </c>
      <c r="D908" s="23" t="s">
        <v>191</v>
      </c>
      <c r="E908" s="52">
        <f>41-24</f>
        <v>17</v>
      </c>
      <c r="F908" s="23" t="s">
        <v>363</v>
      </c>
      <c r="G908" s="23" t="s">
        <v>733</v>
      </c>
    </row>
    <row r="909" spans="1:11" s="23" customFormat="1" x14ac:dyDescent="0.75">
      <c r="A909" s="23" t="s">
        <v>69</v>
      </c>
      <c r="B909" s="24">
        <v>44722</v>
      </c>
      <c r="C909" s="23">
        <v>2</v>
      </c>
      <c r="D909" s="23" t="s">
        <v>191</v>
      </c>
      <c r="E909" s="52">
        <f>24-16</f>
        <v>8</v>
      </c>
      <c r="F909" s="23" t="s">
        <v>363</v>
      </c>
      <c r="G909" s="23" t="s">
        <v>733</v>
      </c>
    </row>
    <row r="910" spans="1:11" s="23" customFormat="1" x14ac:dyDescent="0.75">
      <c r="A910" s="23" t="s">
        <v>69</v>
      </c>
      <c r="B910" s="24">
        <v>44722</v>
      </c>
      <c r="C910" s="23">
        <v>2</v>
      </c>
      <c r="D910" s="23" t="s">
        <v>191</v>
      </c>
      <c r="E910" s="52">
        <f>16-2</f>
        <v>14</v>
      </c>
      <c r="F910" s="23" t="s">
        <v>363</v>
      </c>
      <c r="G910" s="23" t="s">
        <v>733</v>
      </c>
    </row>
    <row r="911" spans="1:11" s="23" customFormat="1" x14ac:dyDescent="0.75">
      <c r="A911" s="23" t="s">
        <v>69</v>
      </c>
      <c r="B911" s="24">
        <v>44722</v>
      </c>
      <c r="C911" s="23">
        <v>2</v>
      </c>
      <c r="D911" s="23" t="s">
        <v>164</v>
      </c>
      <c r="E911" s="52">
        <f>2+49-18</f>
        <v>33</v>
      </c>
      <c r="F911" s="23" t="s">
        <v>363</v>
      </c>
      <c r="G911" s="23" t="s">
        <v>733</v>
      </c>
      <c r="K911" s="23" t="s">
        <v>780</v>
      </c>
    </row>
    <row r="912" spans="1:11" s="23" customFormat="1" x14ac:dyDescent="0.75">
      <c r="A912" s="23" t="s">
        <v>69</v>
      </c>
      <c r="B912" s="24">
        <v>44722</v>
      </c>
      <c r="C912" s="23">
        <v>2</v>
      </c>
      <c r="D912" s="23" t="s">
        <v>197</v>
      </c>
      <c r="E912" s="52">
        <f>18+51-38</f>
        <v>31</v>
      </c>
      <c r="F912" s="23" t="s">
        <v>363</v>
      </c>
      <c r="G912" s="23" t="s">
        <v>733</v>
      </c>
    </row>
    <row r="913" spans="1:11" s="23" customFormat="1" x14ac:dyDescent="0.75">
      <c r="A913" s="23" t="s">
        <v>69</v>
      </c>
      <c r="B913" s="24">
        <v>44722</v>
      </c>
      <c r="C913" s="23">
        <v>2</v>
      </c>
      <c r="D913" s="23" t="s">
        <v>191</v>
      </c>
      <c r="E913" s="52">
        <f>38-4</f>
        <v>34</v>
      </c>
      <c r="F913" s="23" t="s">
        <v>363</v>
      </c>
      <c r="G913" s="23" t="s">
        <v>733</v>
      </c>
    </row>
    <row r="914" spans="1:11" s="23" customFormat="1" x14ac:dyDescent="0.75">
      <c r="A914" s="23" t="s">
        <v>69</v>
      </c>
      <c r="B914" s="24">
        <v>44722</v>
      </c>
      <c r="C914" s="23">
        <v>2</v>
      </c>
      <c r="D914" s="23" t="s">
        <v>191</v>
      </c>
      <c r="E914" s="52">
        <f>4+47-20</f>
        <v>31</v>
      </c>
      <c r="F914" s="23" t="s">
        <v>363</v>
      </c>
      <c r="G914" s="23" t="s">
        <v>733</v>
      </c>
    </row>
    <row r="915" spans="1:11" s="23" customFormat="1" x14ac:dyDescent="0.75">
      <c r="A915" s="23" t="s">
        <v>69</v>
      </c>
      <c r="B915" s="24">
        <v>44722</v>
      </c>
      <c r="C915" s="23">
        <v>2</v>
      </c>
      <c r="D915" s="23" t="s">
        <v>197</v>
      </c>
      <c r="E915" s="52">
        <f>20+46</f>
        <v>66</v>
      </c>
      <c r="F915" s="23" t="s">
        <v>363</v>
      </c>
      <c r="G915" s="23" t="s">
        <v>733</v>
      </c>
    </row>
    <row r="916" spans="1:11" s="23" customFormat="1" x14ac:dyDescent="0.75">
      <c r="A916" s="23" t="s">
        <v>69</v>
      </c>
      <c r="B916" s="24">
        <v>44722</v>
      </c>
      <c r="C916" s="23">
        <v>2</v>
      </c>
      <c r="D916" s="23" t="s">
        <v>207</v>
      </c>
      <c r="E916" s="52">
        <f>14-11</f>
        <v>3</v>
      </c>
      <c r="F916" s="23">
        <v>906</v>
      </c>
      <c r="G916" s="23" t="s">
        <v>361</v>
      </c>
      <c r="K916" s="23" t="s">
        <v>780</v>
      </c>
    </row>
    <row r="917" spans="1:11" s="23" customFormat="1" x14ac:dyDescent="0.75">
      <c r="A917" s="23" t="s">
        <v>69</v>
      </c>
      <c r="B917" s="24">
        <v>44722</v>
      </c>
      <c r="C917" s="23">
        <v>2</v>
      </c>
      <c r="D917" s="23" t="s">
        <v>197</v>
      </c>
      <c r="E917" s="52">
        <f>11-8</f>
        <v>3</v>
      </c>
      <c r="F917" s="23">
        <v>905</v>
      </c>
      <c r="G917" s="23" t="s">
        <v>361</v>
      </c>
      <c r="K917" s="23" t="s">
        <v>780</v>
      </c>
    </row>
    <row r="918" spans="1:11" s="23" customFormat="1" x14ac:dyDescent="0.75">
      <c r="A918" s="23" t="s">
        <v>69</v>
      </c>
      <c r="B918" s="24">
        <v>44722</v>
      </c>
      <c r="C918" s="23">
        <v>2</v>
      </c>
      <c r="D918" s="23" t="s">
        <v>191</v>
      </c>
      <c r="E918" s="52">
        <f>8</f>
        <v>8</v>
      </c>
      <c r="F918" s="23" t="s">
        <v>363</v>
      </c>
      <c r="G918" s="23" t="s">
        <v>361</v>
      </c>
    </row>
    <row r="919" spans="1:11" s="23" customFormat="1" x14ac:dyDescent="0.75">
      <c r="A919" s="23" t="s">
        <v>69</v>
      </c>
      <c r="B919" s="24">
        <v>44722</v>
      </c>
      <c r="C919" s="23">
        <v>2</v>
      </c>
      <c r="D919" s="23" t="s">
        <v>191</v>
      </c>
      <c r="E919" s="52">
        <f>50-45</f>
        <v>5</v>
      </c>
      <c r="F919" s="23" t="s">
        <v>363</v>
      </c>
      <c r="G919" s="23" t="s">
        <v>361</v>
      </c>
    </row>
    <row r="920" spans="1:11" s="23" customFormat="1" x14ac:dyDescent="0.75">
      <c r="A920" s="23" t="s">
        <v>69</v>
      </c>
      <c r="B920" s="24">
        <v>44722</v>
      </c>
      <c r="C920" s="23">
        <v>2</v>
      </c>
      <c r="D920" s="23" t="s">
        <v>191</v>
      </c>
      <c r="E920" s="52">
        <f>36-30</f>
        <v>6</v>
      </c>
      <c r="F920" s="23" t="s">
        <v>363</v>
      </c>
      <c r="G920" s="23" t="s">
        <v>361</v>
      </c>
    </row>
    <row r="921" spans="1:11" s="23" customFormat="1" x14ac:dyDescent="0.75">
      <c r="A921" s="23" t="s">
        <v>69</v>
      </c>
      <c r="B921" s="24">
        <v>44722</v>
      </c>
      <c r="C921" s="23">
        <v>2</v>
      </c>
      <c r="D921" s="23" t="s">
        <v>191</v>
      </c>
      <c r="E921" s="52">
        <f>30-15</f>
        <v>15</v>
      </c>
      <c r="F921" s="23" t="s">
        <v>363</v>
      </c>
      <c r="G921" s="23" t="s">
        <v>361</v>
      </c>
    </row>
    <row r="922" spans="1:11" s="23" customFormat="1" x14ac:dyDescent="0.75">
      <c r="A922" s="23" t="s">
        <v>69</v>
      </c>
      <c r="B922" s="24">
        <v>44722</v>
      </c>
      <c r="C922" s="23">
        <v>2</v>
      </c>
      <c r="D922" s="23" t="s">
        <v>191</v>
      </c>
      <c r="E922" s="52">
        <f>15-9</f>
        <v>6</v>
      </c>
      <c r="F922" s="23" t="s">
        <v>363</v>
      </c>
      <c r="G922" s="23" t="s">
        <v>361</v>
      </c>
    </row>
    <row r="923" spans="1:11" s="23" customFormat="1" x14ac:dyDescent="0.75">
      <c r="A923" s="23" t="s">
        <v>69</v>
      </c>
      <c r="B923" s="24">
        <v>44722</v>
      </c>
      <c r="C923" s="23">
        <v>2</v>
      </c>
      <c r="D923" s="23" t="s">
        <v>207</v>
      </c>
      <c r="E923" s="52" t="s">
        <v>363</v>
      </c>
      <c r="F923" s="23" t="s">
        <v>363</v>
      </c>
      <c r="G923" s="23" t="s">
        <v>367</v>
      </c>
      <c r="K923" s="23" t="s">
        <v>776</v>
      </c>
    </row>
    <row r="924" spans="1:11" s="23" customFormat="1" x14ac:dyDescent="0.75">
      <c r="A924" s="23" t="s">
        <v>69</v>
      </c>
      <c r="B924" s="24">
        <v>44722</v>
      </c>
      <c r="C924" s="23">
        <v>2</v>
      </c>
      <c r="D924" s="23" t="s">
        <v>197</v>
      </c>
      <c r="E924" s="52">
        <f>14-13</f>
        <v>1</v>
      </c>
      <c r="F924" s="23" t="s">
        <v>363</v>
      </c>
      <c r="G924" s="23" t="s">
        <v>367</v>
      </c>
    </row>
    <row r="925" spans="1:11" s="23" customFormat="1" x14ac:dyDescent="0.75">
      <c r="A925" s="23" t="s">
        <v>69</v>
      </c>
      <c r="B925" s="24">
        <v>44722</v>
      </c>
      <c r="C925" s="23">
        <v>2</v>
      </c>
      <c r="D925" s="23" t="s">
        <v>197</v>
      </c>
      <c r="E925" s="52">
        <f>13-9</f>
        <v>4</v>
      </c>
      <c r="F925" s="23" t="s">
        <v>363</v>
      </c>
      <c r="G925" s="23" t="s">
        <v>367</v>
      </c>
    </row>
    <row r="926" spans="1:11" s="23" customFormat="1" x14ac:dyDescent="0.75">
      <c r="A926" s="23" t="s">
        <v>69</v>
      </c>
      <c r="B926" s="24">
        <v>44722</v>
      </c>
      <c r="C926" s="23">
        <v>2</v>
      </c>
      <c r="D926" s="23" t="s">
        <v>197</v>
      </c>
      <c r="E926" s="52">
        <f>9-4</f>
        <v>5</v>
      </c>
      <c r="F926" s="23" t="s">
        <v>363</v>
      </c>
      <c r="G926" s="23" t="s">
        <v>367</v>
      </c>
    </row>
    <row r="927" spans="1:11" s="23" customFormat="1" x14ac:dyDescent="0.75">
      <c r="A927" s="23" t="s">
        <v>69</v>
      </c>
      <c r="B927" s="24">
        <v>44722</v>
      </c>
      <c r="C927" s="23">
        <v>2</v>
      </c>
      <c r="D927" s="23" t="s">
        <v>191</v>
      </c>
      <c r="E927" s="52">
        <f>4+47-38</f>
        <v>13</v>
      </c>
      <c r="F927" s="23" t="s">
        <v>363</v>
      </c>
      <c r="G927" s="23" t="s">
        <v>367</v>
      </c>
    </row>
    <row r="928" spans="1:11" s="23" customFormat="1" x14ac:dyDescent="0.75">
      <c r="A928" s="23" t="s">
        <v>69</v>
      </c>
      <c r="B928" s="24">
        <v>44722</v>
      </c>
      <c r="C928" s="23">
        <v>2</v>
      </c>
      <c r="D928" s="23" t="s">
        <v>191</v>
      </c>
      <c r="E928" s="52">
        <f>38-32</f>
        <v>6</v>
      </c>
      <c r="F928" s="23" t="s">
        <v>363</v>
      </c>
      <c r="G928" s="23" t="s">
        <v>367</v>
      </c>
    </row>
    <row r="929" spans="1:11" s="23" customFormat="1" x14ac:dyDescent="0.75">
      <c r="A929" s="23" t="s">
        <v>69</v>
      </c>
      <c r="B929" s="24">
        <v>44722</v>
      </c>
      <c r="C929" s="23">
        <v>2</v>
      </c>
      <c r="D929" s="23" t="s">
        <v>197</v>
      </c>
      <c r="E929" s="52">
        <f>32+9-2</f>
        <v>39</v>
      </c>
      <c r="F929" s="23">
        <v>909</v>
      </c>
      <c r="G929" s="23" t="s">
        <v>367</v>
      </c>
    </row>
    <row r="930" spans="1:11" x14ac:dyDescent="0.75">
      <c r="A930" t="s">
        <v>69</v>
      </c>
      <c r="B930" s="3">
        <v>44722</v>
      </c>
      <c r="C930">
        <v>3</v>
      </c>
      <c r="D930" t="s">
        <v>160</v>
      </c>
      <c r="E930" s="22" t="s">
        <v>363</v>
      </c>
      <c r="F930" t="s">
        <v>363</v>
      </c>
      <c r="G930" t="s">
        <v>784</v>
      </c>
      <c r="K930" t="s">
        <v>785</v>
      </c>
    </row>
    <row r="931" spans="1:11" x14ac:dyDescent="0.75">
      <c r="A931" t="s">
        <v>69</v>
      </c>
      <c r="B931" s="3">
        <v>44722</v>
      </c>
      <c r="C931">
        <v>3</v>
      </c>
      <c r="D931" t="s">
        <v>197</v>
      </c>
      <c r="E931" s="22">
        <f>3+42-38</f>
        <v>7</v>
      </c>
      <c r="F931" t="s">
        <v>363</v>
      </c>
      <c r="G931" t="s">
        <v>733</v>
      </c>
    </row>
    <row r="932" spans="1:11" x14ac:dyDescent="0.75">
      <c r="A932" t="s">
        <v>69</v>
      </c>
      <c r="B932" s="3">
        <v>44722</v>
      </c>
      <c r="C932">
        <v>3</v>
      </c>
      <c r="D932" t="s">
        <v>197</v>
      </c>
      <c r="E932" s="22">
        <f>38-34</f>
        <v>4</v>
      </c>
      <c r="F932" t="s">
        <v>363</v>
      </c>
      <c r="G932" t="s">
        <v>733</v>
      </c>
    </row>
    <row r="933" spans="1:11" x14ac:dyDescent="0.75">
      <c r="A933" t="s">
        <v>69</v>
      </c>
      <c r="B933" s="3">
        <v>44722</v>
      </c>
      <c r="C933">
        <v>3</v>
      </c>
      <c r="D933" t="s">
        <v>207</v>
      </c>
      <c r="E933" s="22">
        <f>34-32</f>
        <v>2</v>
      </c>
      <c r="F933" t="s">
        <v>363</v>
      </c>
      <c r="G933" t="s">
        <v>733</v>
      </c>
    </row>
    <row r="934" spans="1:11" x14ac:dyDescent="0.75">
      <c r="A934" t="s">
        <v>69</v>
      </c>
      <c r="B934" s="3">
        <v>44722</v>
      </c>
      <c r="C934">
        <v>3</v>
      </c>
      <c r="D934" t="s">
        <v>201</v>
      </c>
      <c r="E934" s="22">
        <f>32-20</f>
        <v>12</v>
      </c>
      <c r="F934" t="s">
        <v>363</v>
      </c>
      <c r="G934" t="s">
        <v>733</v>
      </c>
    </row>
    <row r="935" spans="1:11" x14ac:dyDescent="0.75">
      <c r="A935" t="s">
        <v>69</v>
      </c>
      <c r="B935" s="3">
        <v>44722</v>
      </c>
      <c r="C935">
        <v>3</v>
      </c>
      <c r="D935" t="s">
        <v>201</v>
      </c>
      <c r="E935" s="22">
        <f>20-19</f>
        <v>1</v>
      </c>
      <c r="F935" t="s">
        <v>363</v>
      </c>
      <c r="G935" t="s">
        <v>733</v>
      </c>
    </row>
    <row r="936" spans="1:11" x14ac:dyDescent="0.75">
      <c r="A936" t="s">
        <v>69</v>
      </c>
      <c r="B936" s="3">
        <v>44722</v>
      </c>
      <c r="C936">
        <v>3</v>
      </c>
      <c r="D936" t="s">
        <v>160</v>
      </c>
      <c r="E936" s="22">
        <f>19+50-20</f>
        <v>49</v>
      </c>
      <c r="F936" t="s">
        <v>363</v>
      </c>
      <c r="G936" t="s">
        <v>733</v>
      </c>
    </row>
    <row r="937" spans="1:11" x14ac:dyDescent="0.75">
      <c r="A937" t="s">
        <v>69</v>
      </c>
      <c r="B937" s="3">
        <v>44722</v>
      </c>
      <c r="C937">
        <v>3</v>
      </c>
      <c r="D937" t="s">
        <v>160</v>
      </c>
      <c r="E937" s="22">
        <f>39-33</f>
        <v>6</v>
      </c>
      <c r="F937" t="s">
        <v>363</v>
      </c>
      <c r="G937" t="s">
        <v>361</v>
      </c>
    </row>
    <row r="938" spans="1:11" x14ac:dyDescent="0.75">
      <c r="A938" t="s">
        <v>69</v>
      </c>
      <c r="B938" s="3">
        <v>44722</v>
      </c>
      <c r="C938">
        <v>3</v>
      </c>
      <c r="D938" t="s">
        <v>172</v>
      </c>
      <c r="E938" s="22">
        <f>33-31</f>
        <v>2</v>
      </c>
      <c r="F938" t="s">
        <v>363</v>
      </c>
      <c r="G938" t="s">
        <v>361</v>
      </c>
    </row>
    <row r="939" spans="1:11" x14ac:dyDescent="0.75">
      <c r="A939" t="s">
        <v>69</v>
      </c>
      <c r="B939" s="3">
        <v>44722</v>
      </c>
      <c r="C939">
        <v>3</v>
      </c>
      <c r="D939" t="s">
        <v>160</v>
      </c>
      <c r="E939" s="22">
        <f>51-41</f>
        <v>10</v>
      </c>
      <c r="F939" t="s">
        <v>363</v>
      </c>
      <c r="G939" t="s">
        <v>367</v>
      </c>
    </row>
    <row r="940" spans="1:11" s="23" customFormat="1" x14ac:dyDescent="0.75">
      <c r="A940" s="23" t="s">
        <v>23</v>
      </c>
      <c r="B940" s="24">
        <v>44726</v>
      </c>
      <c r="C940" s="23">
        <v>1</v>
      </c>
      <c r="D940" s="23" t="s">
        <v>197</v>
      </c>
      <c r="E940" s="52">
        <f>44-37</f>
        <v>7</v>
      </c>
      <c r="F940" s="23" t="s">
        <v>363</v>
      </c>
      <c r="G940" s="23" t="s">
        <v>733</v>
      </c>
    </row>
    <row r="941" spans="1:11" s="23" customFormat="1" x14ac:dyDescent="0.75">
      <c r="A941" s="23" t="s">
        <v>23</v>
      </c>
      <c r="B941" s="24">
        <v>44726</v>
      </c>
      <c r="C941" s="23">
        <v>1</v>
      </c>
      <c r="D941" s="23" t="s">
        <v>211</v>
      </c>
      <c r="E941" s="52">
        <f>37-23</f>
        <v>14</v>
      </c>
      <c r="F941" s="23" t="s">
        <v>363</v>
      </c>
      <c r="G941" s="23" t="s">
        <v>733</v>
      </c>
    </row>
    <row r="942" spans="1:11" s="23" customFormat="1" x14ac:dyDescent="0.75">
      <c r="A942" s="23" t="s">
        <v>23</v>
      </c>
      <c r="B942" s="24">
        <v>44726</v>
      </c>
      <c r="C942" s="23">
        <v>1</v>
      </c>
      <c r="D942" s="23" t="s">
        <v>197</v>
      </c>
      <c r="E942" s="52">
        <f>23-15</f>
        <v>8</v>
      </c>
      <c r="F942" s="23" t="s">
        <v>363</v>
      </c>
      <c r="G942" s="23" t="s">
        <v>733</v>
      </c>
    </row>
    <row r="943" spans="1:11" s="23" customFormat="1" x14ac:dyDescent="0.75">
      <c r="A943" s="23" t="s">
        <v>23</v>
      </c>
      <c r="B943" s="24">
        <v>44726</v>
      </c>
      <c r="C943" s="23">
        <v>1</v>
      </c>
      <c r="D943" s="23" t="s">
        <v>164</v>
      </c>
      <c r="E943" s="52">
        <f>15+43-36</f>
        <v>22</v>
      </c>
      <c r="F943" s="23" t="s">
        <v>363</v>
      </c>
      <c r="G943" s="23" t="s">
        <v>733</v>
      </c>
    </row>
    <row r="944" spans="1:11" s="23" customFormat="1" x14ac:dyDescent="0.75">
      <c r="A944" s="23" t="s">
        <v>23</v>
      </c>
      <c r="B944" s="24">
        <v>44726</v>
      </c>
      <c r="C944" s="23">
        <v>1</v>
      </c>
      <c r="D944" s="23" t="s">
        <v>197</v>
      </c>
      <c r="E944" s="52">
        <f>36-12</f>
        <v>24</v>
      </c>
      <c r="F944" s="23" t="s">
        <v>363</v>
      </c>
      <c r="G944" s="23" t="s">
        <v>733</v>
      </c>
    </row>
    <row r="945" spans="1:7" s="23" customFormat="1" x14ac:dyDescent="0.75">
      <c r="A945" s="23" t="s">
        <v>23</v>
      </c>
      <c r="B945" s="24">
        <v>44726</v>
      </c>
      <c r="C945" s="23">
        <v>1</v>
      </c>
      <c r="D945" s="23" t="s">
        <v>197</v>
      </c>
      <c r="E945" s="52">
        <f>12-7</f>
        <v>5</v>
      </c>
      <c r="F945" s="23" t="s">
        <v>363</v>
      </c>
      <c r="G945" s="23" t="s">
        <v>733</v>
      </c>
    </row>
    <row r="946" spans="1:7" s="23" customFormat="1" x14ac:dyDescent="0.75">
      <c r="A946" s="23" t="s">
        <v>23</v>
      </c>
      <c r="B946" s="24">
        <v>44726</v>
      </c>
      <c r="C946" s="23">
        <v>1</v>
      </c>
      <c r="D946" s="23" t="s">
        <v>207</v>
      </c>
      <c r="E946" s="52">
        <f>44-41</f>
        <v>3</v>
      </c>
      <c r="F946" s="23" t="s">
        <v>363</v>
      </c>
      <c r="G946" s="23" t="s">
        <v>367</v>
      </c>
    </row>
    <row r="947" spans="1:7" s="23" customFormat="1" x14ac:dyDescent="0.75">
      <c r="A947" s="23" t="s">
        <v>23</v>
      </c>
      <c r="B947" s="24">
        <v>44726</v>
      </c>
      <c r="C947" s="23">
        <v>1</v>
      </c>
      <c r="D947" s="23" t="s">
        <v>197</v>
      </c>
      <c r="E947" s="52">
        <f>40-37</f>
        <v>3</v>
      </c>
      <c r="F947" s="23" t="s">
        <v>363</v>
      </c>
      <c r="G947" s="23" t="s">
        <v>367</v>
      </c>
    </row>
    <row r="948" spans="1:7" s="23" customFormat="1" x14ac:dyDescent="0.75">
      <c r="A948" s="23" t="s">
        <v>23</v>
      </c>
      <c r="B948" s="24">
        <v>44726</v>
      </c>
      <c r="C948" s="23">
        <v>1</v>
      </c>
      <c r="D948" s="23" t="s">
        <v>194</v>
      </c>
      <c r="E948" s="52">
        <f>37-18</f>
        <v>19</v>
      </c>
      <c r="F948" s="23" t="s">
        <v>363</v>
      </c>
      <c r="G948" s="23" t="s">
        <v>367</v>
      </c>
    </row>
    <row r="949" spans="1:7" x14ac:dyDescent="0.75">
      <c r="A949" t="s">
        <v>64</v>
      </c>
      <c r="B949" s="3">
        <v>44726</v>
      </c>
      <c r="C949">
        <v>1</v>
      </c>
      <c r="D949" t="s">
        <v>201</v>
      </c>
      <c r="E949" s="22">
        <f>6-2</f>
        <v>4</v>
      </c>
      <c r="F949" t="s">
        <v>363</v>
      </c>
      <c r="G949" t="s">
        <v>733</v>
      </c>
    </row>
    <row r="950" spans="1:7" x14ac:dyDescent="0.75">
      <c r="A950" t="s">
        <v>64</v>
      </c>
      <c r="B950" s="3">
        <v>44726</v>
      </c>
      <c r="C950">
        <v>1</v>
      </c>
      <c r="D950" t="s">
        <v>201</v>
      </c>
      <c r="E950" s="22">
        <f>2+49-44</f>
        <v>7</v>
      </c>
      <c r="F950" t="s">
        <v>363</v>
      </c>
      <c r="G950" t="s">
        <v>733</v>
      </c>
    </row>
    <row r="951" spans="1:7" x14ac:dyDescent="0.75">
      <c r="A951" t="s">
        <v>64</v>
      </c>
      <c r="B951" s="3">
        <v>44726</v>
      </c>
      <c r="C951">
        <v>1</v>
      </c>
      <c r="D951" t="s">
        <v>201</v>
      </c>
      <c r="E951" s="22">
        <f>44-32</f>
        <v>12</v>
      </c>
      <c r="F951" t="s">
        <v>363</v>
      </c>
      <c r="G951" t="s">
        <v>733</v>
      </c>
    </row>
    <row r="952" spans="1:7" x14ac:dyDescent="0.75">
      <c r="A952" t="s">
        <v>64</v>
      </c>
      <c r="B952" s="3">
        <v>44726</v>
      </c>
      <c r="C952">
        <v>1</v>
      </c>
      <c r="D952" t="s">
        <v>180</v>
      </c>
      <c r="E952" s="22">
        <f>32-27</f>
        <v>5</v>
      </c>
      <c r="F952" t="s">
        <v>363</v>
      </c>
      <c r="G952" t="s">
        <v>733</v>
      </c>
    </row>
    <row r="953" spans="1:7" x14ac:dyDescent="0.75">
      <c r="A953" t="s">
        <v>64</v>
      </c>
      <c r="B953" s="3">
        <v>44726</v>
      </c>
      <c r="C953">
        <v>1</v>
      </c>
      <c r="D953" t="s">
        <v>201</v>
      </c>
      <c r="E953" s="22">
        <f>27-20</f>
        <v>7</v>
      </c>
      <c r="F953" t="s">
        <v>363</v>
      </c>
      <c r="G953" t="s">
        <v>733</v>
      </c>
    </row>
    <row r="954" spans="1:7" x14ac:dyDescent="0.75">
      <c r="A954" t="s">
        <v>64</v>
      </c>
      <c r="B954" s="3">
        <v>44726</v>
      </c>
      <c r="C954">
        <v>1</v>
      </c>
      <c r="D954" t="s">
        <v>205</v>
      </c>
      <c r="E954" s="22">
        <f>18-16</f>
        <v>2</v>
      </c>
      <c r="F954" t="s">
        <v>363</v>
      </c>
      <c r="G954" t="s">
        <v>367</v>
      </c>
    </row>
    <row r="955" spans="1:7" x14ac:dyDescent="0.75">
      <c r="A955" t="s">
        <v>64</v>
      </c>
      <c r="B955" s="3">
        <v>44726</v>
      </c>
      <c r="C955">
        <v>1</v>
      </c>
      <c r="D955" t="s">
        <v>201</v>
      </c>
      <c r="E955" s="22">
        <f>16-14</f>
        <v>2</v>
      </c>
      <c r="F955" t="s">
        <v>363</v>
      </c>
      <c r="G955" t="s">
        <v>367</v>
      </c>
    </row>
    <row r="956" spans="1:7" x14ac:dyDescent="0.75">
      <c r="A956" t="s">
        <v>64</v>
      </c>
      <c r="B956" s="3">
        <v>44726</v>
      </c>
      <c r="C956">
        <v>1</v>
      </c>
      <c r="D956" t="s">
        <v>153</v>
      </c>
      <c r="E956" s="22">
        <f>14-12</f>
        <v>2</v>
      </c>
      <c r="F956" t="s">
        <v>363</v>
      </c>
      <c r="G956" t="s">
        <v>367</v>
      </c>
    </row>
    <row r="957" spans="1:7" x14ac:dyDescent="0.75">
      <c r="A957" t="s">
        <v>64</v>
      </c>
      <c r="B957" s="3">
        <v>44726</v>
      </c>
      <c r="C957">
        <v>1</v>
      </c>
      <c r="D957" t="s">
        <v>215</v>
      </c>
      <c r="E957" s="22">
        <f>12-5</f>
        <v>7</v>
      </c>
      <c r="F957" t="s">
        <v>363</v>
      </c>
      <c r="G957" t="s">
        <v>367</v>
      </c>
    </row>
    <row r="958" spans="1:7" x14ac:dyDescent="0.75">
      <c r="A958" t="s">
        <v>64</v>
      </c>
      <c r="B958" s="3">
        <v>44726</v>
      </c>
      <c r="C958">
        <v>1</v>
      </c>
      <c r="D958" t="s">
        <v>197</v>
      </c>
      <c r="E958" s="22">
        <f>5-3</f>
        <v>2</v>
      </c>
      <c r="F958" t="s">
        <v>363</v>
      </c>
      <c r="G958" t="s">
        <v>367</v>
      </c>
    </row>
    <row r="959" spans="1:7" s="23" customFormat="1" x14ac:dyDescent="0.75">
      <c r="A959" s="23" t="s">
        <v>28</v>
      </c>
      <c r="B959" s="24">
        <v>44727</v>
      </c>
      <c r="C959" s="23">
        <v>1</v>
      </c>
      <c r="D959" s="23" t="s">
        <v>197</v>
      </c>
      <c r="E959" s="52">
        <f>46-44</f>
        <v>2</v>
      </c>
      <c r="F959" s="23" t="s">
        <v>363</v>
      </c>
      <c r="G959" s="23" t="s">
        <v>733</v>
      </c>
    </row>
    <row r="960" spans="1:7" s="23" customFormat="1" x14ac:dyDescent="0.75">
      <c r="A960" s="23" t="s">
        <v>28</v>
      </c>
      <c r="B960" s="24">
        <v>44727</v>
      </c>
      <c r="C960" s="23">
        <v>1</v>
      </c>
      <c r="D960" s="23" t="s">
        <v>153</v>
      </c>
      <c r="E960" s="52">
        <f>44-43</f>
        <v>1</v>
      </c>
      <c r="F960" s="23" t="s">
        <v>363</v>
      </c>
      <c r="G960" s="23" t="s">
        <v>733</v>
      </c>
    </row>
    <row r="961" spans="1:11" s="23" customFormat="1" x14ac:dyDescent="0.75">
      <c r="A961" s="23" t="s">
        <v>28</v>
      </c>
      <c r="B961" s="24">
        <v>44727</v>
      </c>
      <c r="C961" s="23">
        <v>1</v>
      </c>
      <c r="D961" s="23" t="s">
        <v>153</v>
      </c>
      <c r="E961" s="52">
        <f>43-34</f>
        <v>9</v>
      </c>
      <c r="F961" s="23" t="s">
        <v>363</v>
      </c>
      <c r="G961" s="23" t="s">
        <v>733</v>
      </c>
    </row>
    <row r="962" spans="1:11" s="23" customFormat="1" x14ac:dyDescent="0.75">
      <c r="A962" s="23" t="s">
        <v>28</v>
      </c>
      <c r="B962" s="24">
        <v>44727</v>
      </c>
      <c r="C962" s="23">
        <v>1</v>
      </c>
      <c r="D962" s="23" t="s">
        <v>160</v>
      </c>
      <c r="E962" s="52">
        <f>47-38</f>
        <v>9</v>
      </c>
      <c r="F962" s="23">
        <v>4190</v>
      </c>
      <c r="G962" s="23" t="s">
        <v>367</v>
      </c>
      <c r="K962" s="23" t="s">
        <v>780</v>
      </c>
    </row>
    <row r="963" spans="1:11" s="23" customFormat="1" x14ac:dyDescent="0.75">
      <c r="A963" s="23" t="s">
        <v>28</v>
      </c>
      <c r="B963" s="24">
        <v>44727</v>
      </c>
      <c r="C963" s="23">
        <v>1</v>
      </c>
      <c r="D963" s="23" t="s">
        <v>191</v>
      </c>
      <c r="E963" s="52">
        <f>38-37</f>
        <v>1</v>
      </c>
      <c r="F963" s="23" t="s">
        <v>363</v>
      </c>
      <c r="G963" s="23" t="s">
        <v>367</v>
      </c>
    </row>
    <row r="964" spans="1:11" s="23" customFormat="1" x14ac:dyDescent="0.75">
      <c r="A964" s="23" t="s">
        <v>28</v>
      </c>
      <c r="B964" s="24">
        <v>44727</v>
      </c>
      <c r="C964" s="23">
        <v>1</v>
      </c>
      <c r="D964" s="23" t="s">
        <v>191</v>
      </c>
      <c r="E964" s="52">
        <f>37-36</f>
        <v>1</v>
      </c>
      <c r="F964" s="23" t="s">
        <v>363</v>
      </c>
      <c r="G964" s="23" t="s">
        <v>367</v>
      </c>
    </row>
    <row r="965" spans="1:11" s="23" customFormat="1" x14ac:dyDescent="0.75">
      <c r="A965" s="23" t="s">
        <v>28</v>
      </c>
      <c r="B965" s="24">
        <v>44727</v>
      </c>
      <c r="C965" s="23">
        <v>1</v>
      </c>
      <c r="D965" s="23" t="s">
        <v>194</v>
      </c>
      <c r="E965" s="52">
        <f>36-30</f>
        <v>6</v>
      </c>
      <c r="F965" s="23" t="s">
        <v>363</v>
      </c>
      <c r="G965" s="23" t="s">
        <v>367</v>
      </c>
    </row>
    <row r="966" spans="1:11" s="23" customFormat="1" x14ac:dyDescent="0.75">
      <c r="A966" s="23" t="s">
        <v>28</v>
      </c>
      <c r="B966" s="24">
        <v>44727</v>
      </c>
      <c r="C966" s="23">
        <v>1</v>
      </c>
      <c r="D966" s="23" t="s">
        <v>207</v>
      </c>
      <c r="E966" s="52">
        <f>30-28</f>
        <v>2</v>
      </c>
      <c r="F966" s="23" t="s">
        <v>363</v>
      </c>
      <c r="G966" s="23" t="s">
        <v>367</v>
      </c>
    </row>
    <row r="967" spans="1:11" s="23" customFormat="1" x14ac:dyDescent="0.75">
      <c r="A967" s="23" t="s">
        <v>28</v>
      </c>
      <c r="B967" s="24">
        <v>44727</v>
      </c>
      <c r="C967" s="23">
        <v>1</v>
      </c>
      <c r="D967" s="23" t="s">
        <v>197</v>
      </c>
      <c r="E967" s="52">
        <f>28-26</f>
        <v>2</v>
      </c>
      <c r="F967" s="23" t="s">
        <v>363</v>
      </c>
      <c r="G967" s="23" t="s">
        <v>367</v>
      </c>
    </row>
    <row r="968" spans="1:11" s="23" customFormat="1" x14ac:dyDescent="0.75">
      <c r="A968" s="23" t="s">
        <v>28</v>
      </c>
      <c r="B968" s="24">
        <v>44727</v>
      </c>
      <c r="C968" s="23">
        <v>1</v>
      </c>
      <c r="D968" s="23" t="s">
        <v>191</v>
      </c>
      <c r="E968" s="52">
        <f>26-23</f>
        <v>3</v>
      </c>
      <c r="F968" s="23" t="s">
        <v>363</v>
      </c>
      <c r="G968" s="23" t="s">
        <v>367</v>
      </c>
    </row>
    <row r="969" spans="1:11" s="23" customFormat="1" x14ac:dyDescent="0.75">
      <c r="A969" s="23" t="s">
        <v>28</v>
      </c>
      <c r="B969" s="24">
        <v>44727</v>
      </c>
      <c r="C969" s="23">
        <v>1</v>
      </c>
      <c r="D969" s="23" t="s">
        <v>197</v>
      </c>
      <c r="E969" s="52">
        <f>23-16</f>
        <v>7</v>
      </c>
      <c r="F969" s="23" t="s">
        <v>363</v>
      </c>
      <c r="G969" s="23" t="s">
        <v>367</v>
      </c>
    </row>
    <row r="970" spans="1:11" s="23" customFormat="1" x14ac:dyDescent="0.75">
      <c r="A970" s="23" t="s">
        <v>28</v>
      </c>
      <c r="B970" s="24">
        <v>44727</v>
      </c>
      <c r="C970" s="23">
        <v>1</v>
      </c>
      <c r="D970" s="23" t="s">
        <v>176</v>
      </c>
      <c r="E970" s="52">
        <f>16-10</f>
        <v>6</v>
      </c>
      <c r="F970" s="23" t="s">
        <v>363</v>
      </c>
      <c r="G970" s="23" t="s">
        <v>367</v>
      </c>
    </row>
    <row r="971" spans="1:11" x14ac:dyDescent="0.75">
      <c r="A971" t="s">
        <v>28</v>
      </c>
      <c r="B971" s="3">
        <v>44727</v>
      </c>
      <c r="C971">
        <v>2</v>
      </c>
      <c r="D971" t="s">
        <v>191</v>
      </c>
      <c r="E971" s="22">
        <f>48-45</f>
        <v>3</v>
      </c>
      <c r="F971">
        <v>4133</v>
      </c>
      <c r="G971" t="s">
        <v>733</v>
      </c>
      <c r="K971" t="s">
        <v>780</v>
      </c>
    </row>
    <row r="972" spans="1:11" x14ac:dyDescent="0.75">
      <c r="A972" t="s">
        <v>28</v>
      </c>
      <c r="B972" s="3">
        <v>44727</v>
      </c>
      <c r="C972">
        <v>2</v>
      </c>
      <c r="D972" t="s">
        <v>176</v>
      </c>
      <c r="E972" s="22">
        <f>44-15</f>
        <v>29</v>
      </c>
      <c r="F972" t="s">
        <v>363</v>
      </c>
      <c r="G972" t="s">
        <v>733</v>
      </c>
    </row>
    <row r="973" spans="1:11" x14ac:dyDescent="0.75">
      <c r="A973" t="s">
        <v>28</v>
      </c>
      <c r="B973" s="3">
        <v>44727</v>
      </c>
      <c r="C973">
        <v>2</v>
      </c>
      <c r="D973" t="s">
        <v>207</v>
      </c>
      <c r="E973" s="22">
        <f>15-13</f>
        <v>2</v>
      </c>
      <c r="F973" t="s">
        <v>363</v>
      </c>
      <c r="G973" t="s">
        <v>733</v>
      </c>
    </row>
    <row r="974" spans="1:11" x14ac:dyDescent="0.75">
      <c r="A974" t="s">
        <v>28</v>
      </c>
      <c r="B974" s="3">
        <v>44727</v>
      </c>
      <c r="C974">
        <v>2</v>
      </c>
      <c r="D974" t="s">
        <v>197</v>
      </c>
      <c r="E974" s="22">
        <f>13-10</f>
        <v>3</v>
      </c>
      <c r="F974" t="s">
        <v>363</v>
      </c>
      <c r="G974" t="s">
        <v>733</v>
      </c>
    </row>
    <row r="975" spans="1:11" x14ac:dyDescent="0.75">
      <c r="A975" t="s">
        <v>28</v>
      </c>
      <c r="B975" s="3">
        <v>44727</v>
      </c>
      <c r="C975">
        <v>2</v>
      </c>
      <c r="D975" t="s">
        <v>168</v>
      </c>
      <c r="E975" s="22">
        <f>10+44-40</f>
        <v>14</v>
      </c>
      <c r="F975" t="s">
        <v>363</v>
      </c>
      <c r="G975" t="s">
        <v>733</v>
      </c>
      <c r="K975" t="s">
        <v>780</v>
      </c>
    </row>
    <row r="976" spans="1:11" x14ac:dyDescent="0.75">
      <c r="A976" t="s">
        <v>28</v>
      </c>
      <c r="B976" s="3">
        <v>44727</v>
      </c>
      <c r="C976">
        <v>2</v>
      </c>
      <c r="D976" t="s">
        <v>168</v>
      </c>
      <c r="E976" s="22">
        <f>40-30</f>
        <v>10</v>
      </c>
      <c r="F976" t="s">
        <v>363</v>
      </c>
      <c r="G976" t="s">
        <v>733</v>
      </c>
      <c r="K976" t="s">
        <v>780</v>
      </c>
    </row>
    <row r="977" spans="1:11" x14ac:dyDescent="0.75">
      <c r="A977" t="s">
        <v>28</v>
      </c>
      <c r="B977" s="3">
        <v>44727</v>
      </c>
      <c r="C977">
        <v>2</v>
      </c>
      <c r="D977" t="s">
        <v>201</v>
      </c>
      <c r="E977" s="22">
        <f>30-22</f>
        <v>8</v>
      </c>
      <c r="F977" t="s">
        <v>363</v>
      </c>
      <c r="G977" t="s">
        <v>733</v>
      </c>
    </row>
    <row r="978" spans="1:11" x14ac:dyDescent="0.75">
      <c r="A978" t="s">
        <v>28</v>
      </c>
      <c r="B978" s="3">
        <v>44727</v>
      </c>
      <c r="C978">
        <v>2</v>
      </c>
      <c r="D978" t="s">
        <v>209</v>
      </c>
      <c r="E978" s="22">
        <f>22-19</f>
        <v>3</v>
      </c>
      <c r="F978" t="s">
        <v>363</v>
      </c>
      <c r="G978" t="s">
        <v>733</v>
      </c>
    </row>
    <row r="979" spans="1:11" x14ac:dyDescent="0.75">
      <c r="A979" t="s">
        <v>28</v>
      </c>
      <c r="B979" s="3">
        <v>44727</v>
      </c>
      <c r="C979">
        <v>2</v>
      </c>
      <c r="D979" t="s">
        <v>168</v>
      </c>
      <c r="E979" s="22">
        <f>19-7</f>
        <v>12</v>
      </c>
      <c r="F979" t="s">
        <v>363</v>
      </c>
      <c r="G979" t="s">
        <v>733</v>
      </c>
      <c r="K979" t="s">
        <v>780</v>
      </c>
    </row>
    <row r="980" spans="1:11" x14ac:dyDescent="0.75">
      <c r="A980" t="s">
        <v>28</v>
      </c>
      <c r="B980" s="3">
        <v>44727</v>
      </c>
      <c r="C980">
        <v>2</v>
      </c>
      <c r="D980" t="s">
        <v>168</v>
      </c>
      <c r="E980" s="22">
        <f>7-5</f>
        <v>2</v>
      </c>
      <c r="F980" t="s">
        <v>363</v>
      </c>
      <c r="G980" t="s">
        <v>733</v>
      </c>
      <c r="K980" t="s">
        <v>780</v>
      </c>
    </row>
    <row r="981" spans="1:11" x14ac:dyDescent="0.75">
      <c r="A981" t="s">
        <v>28</v>
      </c>
      <c r="B981" s="3">
        <v>44727</v>
      </c>
      <c r="C981">
        <v>2</v>
      </c>
      <c r="D981" t="s">
        <v>172</v>
      </c>
      <c r="E981" s="22">
        <f>5+52-50</f>
        <v>7</v>
      </c>
      <c r="F981" t="s">
        <v>363</v>
      </c>
      <c r="G981" t="s">
        <v>733</v>
      </c>
    </row>
    <row r="982" spans="1:11" x14ac:dyDescent="0.75">
      <c r="A982" t="s">
        <v>28</v>
      </c>
      <c r="B982" s="3">
        <v>44727</v>
      </c>
      <c r="C982">
        <v>2</v>
      </c>
      <c r="D982" t="s">
        <v>207</v>
      </c>
      <c r="E982" s="22">
        <f>46-34</f>
        <v>12</v>
      </c>
      <c r="F982" t="s">
        <v>363</v>
      </c>
      <c r="G982" t="s">
        <v>367</v>
      </c>
    </row>
    <row r="983" spans="1:11" x14ac:dyDescent="0.75">
      <c r="A983" t="s">
        <v>28</v>
      </c>
      <c r="B983" s="3">
        <v>44727</v>
      </c>
      <c r="C983">
        <v>2</v>
      </c>
      <c r="D983" t="s">
        <v>207</v>
      </c>
      <c r="E983" s="22">
        <f>34-29</f>
        <v>5</v>
      </c>
      <c r="F983" t="s">
        <v>363</v>
      </c>
      <c r="G983" t="s">
        <v>367</v>
      </c>
    </row>
    <row r="984" spans="1:11" x14ac:dyDescent="0.75">
      <c r="A984" t="s">
        <v>28</v>
      </c>
      <c r="B984" s="3">
        <v>44727</v>
      </c>
      <c r="C984">
        <v>2</v>
      </c>
      <c r="D984" t="s">
        <v>207</v>
      </c>
      <c r="E984" s="22">
        <f>29-24</f>
        <v>5</v>
      </c>
      <c r="F984" t="s">
        <v>363</v>
      </c>
      <c r="G984" t="s">
        <v>367</v>
      </c>
    </row>
    <row r="985" spans="1:11" x14ac:dyDescent="0.75">
      <c r="A985" t="s">
        <v>28</v>
      </c>
      <c r="B985" s="3">
        <v>44727</v>
      </c>
      <c r="C985">
        <v>2</v>
      </c>
      <c r="D985" t="s">
        <v>207</v>
      </c>
      <c r="E985" s="22">
        <f>24-23</f>
        <v>1</v>
      </c>
      <c r="F985" t="s">
        <v>363</v>
      </c>
      <c r="G985" t="s">
        <v>367</v>
      </c>
    </row>
    <row r="986" spans="1:11" x14ac:dyDescent="0.75">
      <c r="A986" t="s">
        <v>28</v>
      </c>
      <c r="B986" s="3">
        <v>44727</v>
      </c>
      <c r="C986">
        <v>2</v>
      </c>
      <c r="D986" t="s">
        <v>197</v>
      </c>
      <c r="E986" s="22">
        <f>23-22</f>
        <v>1</v>
      </c>
      <c r="F986" t="s">
        <v>363</v>
      </c>
      <c r="G986" t="s">
        <v>367</v>
      </c>
    </row>
    <row r="987" spans="1:11" x14ac:dyDescent="0.75">
      <c r="A987" t="s">
        <v>28</v>
      </c>
      <c r="B987" s="3">
        <v>44727</v>
      </c>
      <c r="C987">
        <v>2</v>
      </c>
      <c r="D987" t="s">
        <v>207</v>
      </c>
      <c r="E987" s="22">
        <f>22-19</f>
        <v>3</v>
      </c>
      <c r="F987" t="s">
        <v>363</v>
      </c>
      <c r="G987" t="s">
        <v>367</v>
      </c>
    </row>
    <row r="988" spans="1:11" x14ac:dyDescent="0.75">
      <c r="A988" t="s">
        <v>28</v>
      </c>
      <c r="B988" s="3">
        <v>44727</v>
      </c>
      <c r="C988">
        <v>2</v>
      </c>
      <c r="D988" t="s">
        <v>191</v>
      </c>
      <c r="E988" s="22">
        <f>19-14</f>
        <v>5</v>
      </c>
      <c r="F988" t="s">
        <v>363</v>
      </c>
      <c r="G988" t="s">
        <v>367</v>
      </c>
    </row>
    <row r="989" spans="1:11" x14ac:dyDescent="0.75">
      <c r="A989" t="s">
        <v>28</v>
      </c>
      <c r="B989" s="3">
        <v>44727</v>
      </c>
      <c r="C989">
        <v>2</v>
      </c>
      <c r="D989" t="s">
        <v>207</v>
      </c>
      <c r="E989" s="22">
        <f>14-12</f>
        <v>2</v>
      </c>
      <c r="F989" t="s">
        <v>363</v>
      </c>
      <c r="G989" t="s">
        <v>367</v>
      </c>
    </row>
    <row r="990" spans="1:11" s="23" customFormat="1" x14ac:dyDescent="0.75">
      <c r="A990" s="23" t="s">
        <v>28</v>
      </c>
      <c r="B990" s="24">
        <v>44727</v>
      </c>
      <c r="C990" s="23">
        <v>3</v>
      </c>
      <c r="D990" s="23" t="s">
        <v>191</v>
      </c>
      <c r="E990" s="52">
        <f>51-44</f>
        <v>7</v>
      </c>
      <c r="F990" s="23" t="s">
        <v>363</v>
      </c>
      <c r="G990" s="23" t="s">
        <v>733</v>
      </c>
    </row>
    <row r="991" spans="1:11" s="23" customFormat="1" x14ac:dyDescent="0.75">
      <c r="A991" s="23" t="s">
        <v>28</v>
      </c>
      <c r="B991" s="24">
        <v>44727</v>
      </c>
      <c r="C991" s="23">
        <v>3</v>
      </c>
      <c r="D991" s="23" t="s">
        <v>207</v>
      </c>
      <c r="E991" s="52">
        <f>44-31</f>
        <v>13</v>
      </c>
      <c r="F991" s="23" t="s">
        <v>363</v>
      </c>
      <c r="G991" s="23" t="s">
        <v>733</v>
      </c>
    </row>
    <row r="992" spans="1:11" s="23" customFormat="1" x14ac:dyDescent="0.75">
      <c r="A992" s="23" t="s">
        <v>28</v>
      </c>
      <c r="B992" s="24">
        <v>44727</v>
      </c>
      <c r="C992" s="23">
        <v>3</v>
      </c>
      <c r="D992" s="23" t="s">
        <v>191</v>
      </c>
      <c r="E992" s="52">
        <f>31-28</f>
        <v>3</v>
      </c>
      <c r="F992" s="23" t="s">
        <v>363</v>
      </c>
      <c r="G992" s="23" t="s">
        <v>733</v>
      </c>
    </row>
    <row r="993" spans="1:7" s="23" customFormat="1" x14ac:dyDescent="0.75">
      <c r="A993" s="23" t="s">
        <v>28</v>
      </c>
      <c r="B993" s="24">
        <v>44727</v>
      </c>
      <c r="C993" s="23">
        <v>3</v>
      </c>
      <c r="D993" s="23" t="s">
        <v>153</v>
      </c>
      <c r="E993" s="52">
        <f>28-26</f>
        <v>2</v>
      </c>
      <c r="F993" s="23" t="s">
        <v>363</v>
      </c>
      <c r="G993" s="23" t="s">
        <v>733</v>
      </c>
    </row>
    <row r="994" spans="1:7" s="23" customFormat="1" x14ac:dyDescent="0.75">
      <c r="A994" s="23" t="s">
        <v>28</v>
      </c>
      <c r="B994" s="24">
        <v>44727</v>
      </c>
      <c r="C994" s="23">
        <v>3</v>
      </c>
      <c r="D994" s="23" t="s">
        <v>197</v>
      </c>
      <c r="E994" s="52">
        <f>26-21</f>
        <v>5</v>
      </c>
      <c r="F994" s="23" t="s">
        <v>363</v>
      </c>
      <c r="G994" s="23" t="s">
        <v>733</v>
      </c>
    </row>
    <row r="995" spans="1:7" s="23" customFormat="1" x14ac:dyDescent="0.75">
      <c r="A995" s="23" t="s">
        <v>28</v>
      </c>
      <c r="B995" s="24">
        <v>44727</v>
      </c>
      <c r="C995" s="23">
        <v>3</v>
      </c>
      <c r="D995" s="23" t="s">
        <v>215</v>
      </c>
      <c r="E995" s="52">
        <f>21-11</f>
        <v>10</v>
      </c>
      <c r="F995" s="23" t="s">
        <v>363</v>
      </c>
      <c r="G995" s="23" t="s">
        <v>733</v>
      </c>
    </row>
    <row r="996" spans="1:7" s="23" customFormat="1" x14ac:dyDescent="0.75">
      <c r="A996" s="23" t="s">
        <v>28</v>
      </c>
      <c r="B996" s="24">
        <v>44727</v>
      </c>
      <c r="C996" s="23">
        <v>3</v>
      </c>
      <c r="D996" s="23" t="s">
        <v>197</v>
      </c>
      <c r="E996" s="52">
        <f>26-21</f>
        <v>5</v>
      </c>
      <c r="F996" s="23" t="s">
        <v>363</v>
      </c>
      <c r="G996" s="23" t="s">
        <v>733</v>
      </c>
    </row>
    <row r="997" spans="1:7" s="23" customFormat="1" x14ac:dyDescent="0.75">
      <c r="A997" s="23" t="s">
        <v>28</v>
      </c>
      <c r="B997" s="24">
        <v>44727</v>
      </c>
      <c r="C997" s="23">
        <v>3</v>
      </c>
      <c r="D997" s="23" t="s">
        <v>191</v>
      </c>
      <c r="E997" s="52">
        <f>53-47</f>
        <v>6</v>
      </c>
      <c r="F997" s="23" t="s">
        <v>363</v>
      </c>
      <c r="G997" s="23" t="s">
        <v>733</v>
      </c>
    </row>
    <row r="998" spans="1:7" s="23" customFormat="1" x14ac:dyDescent="0.75">
      <c r="A998" s="23" t="s">
        <v>28</v>
      </c>
      <c r="B998" s="24">
        <v>44727</v>
      </c>
      <c r="C998" s="23">
        <v>3</v>
      </c>
      <c r="D998" s="23" t="s">
        <v>197</v>
      </c>
      <c r="E998" s="52">
        <f>47-43</f>
        <v>4</v>
      </c>
      <c r="F998" s="23" t="s">
        <v>363</v>
      </c>
      <c r="G998" s="23" t="s">
        <v>733</v>
      </c>
    </row>
    <row r="999" spans="1:7" s="23" customFormat="1" x14ac:dyDescent="0.75">
      <c r="A999" s="23" t="s">
        <v>28</v>
      </c>
      <c r="B999" s="24">
        <v>44727</v>
      </c>
      <c r="C999" s="23">
        <v>3</v>
      </c>
      <c r="D999" s="23" t="s">
        <v>197</v>
      </c>
      <c r="E999" s="52">
        <f>43-34</f>
        <v>9</v>
      </c>
      <c r="F999" s="23" t="s">
        <v>363</v>
      </c>
      <c r="G999" s="23" t="s">
        <v>733</v>
      </c>
    </row>
    <row r="1000" spans="1:7" s="23" customFormat="1" x14ac:dyDescent="0.75">
      <c r="A1000" s="23" t="s">
        <v>28</v>
      </c>
      <c r="B1000" s="24">
        <v>44727</v>
      </c>
      <c r="C1000" s="23">
        <v>3</v>
      </c>
      <c r="D1000" s="23" t="s">
        <v>194</v>
      </c>
      <c r="E1000" s="52">
        <f>34-31</f>
        <v>3</v>
      </c>
      <c r="F1000" s="23" t="s">
        <v>363</v>
      </c>
      <c r="G1000" s="23" t="s">
        <v>733</v>
      </c>
    </row>
    <row r="1001" spans="1:7" s="23" customFormat="1" x14ac:dyDescent="0.75">
      <c r="A1001" s="23" t="s">
        <v>28</v>
      </c>
      <c r="B1001" s="24">
        <v>44727</v>
      </c>
      <c r="C1001" s="23">
        <v>3</v>
      </c>
      <c r="D1001" s="23" t="s">
        <v>207</v>
      </c>
      <c r="E1001" s="52">
        <f>31-27</f>
        <v>4</v>
      </c>
      <c r="F1001" s="23" t="s">
        <v>363</v>
      </c>
      <c r="G1001" s="23" t="s">
        <v>733</v>
      </c>
    </row>
    <row r="1002" spans="1:7" s="23" customFormat="1" x14ac:dyDescent="0.75">
      <c r="A1002" s="23" t="s">
        <v>28</v>
      </c>
      <c r="B1002" s="24">
        <v>44727</v>
      </c>
      <c r="C1002" s="23">
        <v>3</v>
      </c>
      <c r="D1002" s="23" t="s">
        <v>201</v>
      </c>
      <c r="E1002" s="52">
        <f>27-19</f>
        <v>8</v>
      </c>
      <c r="F1002" s="23" t="s">
        <v>363</v>
      </c>
      <c r="G1002" s="23" t="s">
        <v>733</v>
      </c>
    </row>
    <row r="1003" spans="1:7" s="23" customFormat="1" x14ac:dyDescent="0.75">
      <c r="A1003" s="23" t="s">
        <v>28</v>
      </c>
      <c r="B1003" s="24">
        <v>44727</v>
      </c>
      <c r="C1003" s="23">
        <v>3</v>
      </c>
      <c r="D1003" s="23" t="s">
        <v>160</v>
      </c>
      <c r="E1003" s="52">
        <f>19-12</f>
        <v>7</v>
      </c>
      <c r="F1003" s="23" t="s">
        <v>363</v>
      </c>
      <c r="G1003" s="23" t="s">
        <v>733</v>
      </c>
    </row>
    <row r="1004" spans="1:7" s="23" customFormat="1" x14ac:dyDescent="0.75">
      <c r="A1004" s="23" t="s">
        <v>28</v>
      </c>
      <c r="B1004" s="24">
        <v>44727</v>
      </c>
      <c r="C1004" s="23">
        <v>3</v>
      </c>
      <c r="D1004" s="23" t="s">
        <v>191</v>
      </c>
      <c r="E1004" s="52">
        <f>50-43</f>
        <v>7</v>
      </c>
      <c r="F1004" s="23" t="s">
        <v>363</v>
      </c>
      <c r="G1004" s="23" t="s">
        <v>367</v>
      </c>
    </row>
    <row r="1005" spans="1:7" s="23" customFormat="1" x14ac:dyDescent="0.75">
      <c r="A1005" s="23" t="s">
        <v>28</v>
      </c>
      <c r="B1005" s="24">
        <v>44727</v>
      </c>
      <c r="C1005" s="23">
        <v>3</v>
      </c>
      <c r="D1005" s="23" t="s">
        <v>191</v>
      </c>
      <c r="E1005" s="52">
        <f>43-42</f>
        <v>1</v>
      </c>
      <c r="F1005" s="23" t="s">
        <v>363</v>
      </c>
      <c r="G1005" s="23" t="s">
        <v>367</v>
      </c>
    </row>
    <row r="1006" spans="1:7" s="23" customFormat="1" x14ac:dyDescent="0.75">
      <c r="A1006" s="23" t="s">
        <v>28</v>
      </c>
      <c r="B1006" s="24">
        <v>44727</v>
      </c>
      <c r="C1006" s="23">
        <v>3</v>
      </c>
      <c r="D1006" s="23" t="s">
        <v>207</v>
      </c>
      <c r="E1006" s="52">
        <f>42-38</f>
        <v>4</v>
      </c>
      <c r="F1006" s="23" t="s">
        <v>363</v>
      </c>
      <c r="G1006" s="23" t="s">
        <v>367</v>
      </c>
    </row>
    <row r="1007" spans="1:7" s="23" customFormat="1" x14ac:dyDescent="0.75">
      <c r="A1007" s="23" t="s">
        <v>28</v>
      </c>
      <c r="B1007" s="24">
        <v>44727</v>
      </c>
      <c r="C1007" s="23">
        <v>3</v>
      </c>
      <c r="D1007" s="23" t="s">
        <v>191</v>
      </c>
      <c r="E1007" s="52">
        <f>38-36</f>
        <v>2</v>
      </c>
      <c r="F1007" s="23" t="s">
        <v>363</v>
      </c>
      <c r="G1007" s="23" t="s">
        <v>367</v>
      </c>
    </row>
    <row r="1008" spans="1:7" s="23" customFormat="1" x14ac:dyDescent="0.75">
      <c r="A1008" s="23" t="s">
        <v>28</v>
      </c>
      <c r="B1008" s="24">
        <v>44727</v>
      </c>
      <c r="C1008" s="23">
        <v>3</v>
      </c>
      <c r="D1008" s="23" t="s">
        <v>201</v>
      </c>
      <c r="E1008" s="52">
        <f>36-32</f>
        <v>4</v>
      </c>
      <c r="F1008" s="23" t="s">
        <v>363</v>
      </c>
      <c r="G1008" s="23" t="s">
        <v>367</v>
      </c>
    </row>
    <row r="1009" spans="1:7" s="23" customFormat="1" x14ac:dyDescent="0.75">
      <c r="A1009" s="23" t="s">
        <v>28</v>
      </c>
      <c r="B1009" s="24">
        <v>44727</v>
      </c>
      <c r="C1009" s="23">
        <v>3</v>
      </c>
      <c r="D1009" s="23" t="s">
        <v>207</v>
      </c>
      <c r="E1009" s="52">
        <f>32-31</f>
        <v>1</v>
      </c>
      <c r="F1009" s="23" t="s">
        <v>363</v>
      </c>
      <c r="G1009" s="23" t="s">
        <v>367</v>
      </c>
    </row>
    <row r="1010" spans="1:7" s="23" customFormat="1" x14ac:dyDescent="0.75">
      <c r="A1010" s="23" t="s">
        <v>28</v>
      </c>
      <c r="B1010" s="24">
        <v>44727</v>
      </c>
      <c r="C1010" s="23">
        <v>3</v>
      </c>
      <c r="D1010" s="23" t="s">
        <v>197</v>
      </c>
      <c r="E1010" s="52">
        <f>31-27</f>
        <v>4</v>
      </c>
      <c r="F1010" s="23" t="s">
        <v>363</v>
      </c>
      <c r="G1010" s="23" t="s">
        <v>367</v>
      </c>
    </row>
    <row r="1011" spans="1:7" s="23" customFormat="1" x14ac:dyDescent="0.75">
      <c r="A1011" s="23" t="s">
        <v>28</v>
      </c>
      <c r="B1011" s="24">
        <v>44727</v>
      </c>
      <c r="C1011" s="23">
        <v>3</v>
      </c>
      <c r="D1011" s="23" t="s">
        <v>197</v>
      </c>
      <c r="E1011" s="52">
        <f>27-25</f>
        <v>2</v>
      </c>
      <c r="F1011" s="23" t="s">
        <v>363</v>
      </c>
      <c r="G1011" s="23" t="s">
        <v>367</v>
      </c>
    </row>
    <row r="1012" spans="1:7" s="23" customFormat="1" x14ac:dyDescent="0.75">
      <c r="A1012" s="23" t="s">
        <v>28</v>
      </c>
      <c r="B1012" s="24">
        <v>44727</v>
      </c>
      <c r="C1012" s="23">
        <v>3</v>
      </c>
      <c r="D1012" s="23" t="s">
        <v>197</v>
      </c>
      <c r="E1012" s="52">
        <f>25+48-41</f>
        <v>32</v>
      </c>
      <c r="F1012" s="23" t="s">
        <v>363</v>
      </c>
      <c r="G1012" s="23" t="s">
        <v>367</v>
      </c>
    </row>
    <row r="1013" spans="1:7" x14ac:dyDescent="0.75">
      <c r="A1013" t="s">
        <v>39</v>
      </c>
      <c r="B1013" s="3">
        <v>44740</v>
      </c>
      <c r="C1013">
        <v>1</v>
      </c>
      <c r="D1013" t="s">
        <v>201</v>
      </c>
      <c r="E1013" s="22">
        <f>33-30</f>
        <v>3</v>
      </c>
      <c r="F1013" t="s">
        <v>363</v>
      </c>
      <c r="G1013" t="s">
        <v>374</v>
      </c>
    </row>
    <row r="1014" spans="1:7" x14ac:dyDescent="0.75">
      <c r="A1014" t="s">
        <v>39</v>
      </c>
      <c r="B1014" s="3">
        <v>44740</v>
      </c>
      <c r="C1014">
        <v>1</v>
      </c>
      <c r="D1014" t="s">
        <v>172</v>
      </c>
      <c r="E1014" s="22">
        <f>30-27</f>
        <v>3</v>
      </c>
      <c r="F1014" t="s">
        <v>363</v>
      </c>
      <c r="G1014" t="s">
        <v>374</v>
      </c>
    </row>
    <row r="1015" spans="1:7" x14ac:dyDescent="0.75">
      <c r="A1015" t="s">
        <v>39</v>
      </c>
      <c r="B1015" s="3">
        <v>44740</v>
      </c>
      <c r="C1015">
        <v>1</v>
      </c>
      <c r="D1015" t="s">
        <v>168</v>
      </c>
      <c r="E1015" s="22">
        <f>53-46</f>
        <v>7</v>
      </c>
      <c r="F1015" t="s">
        <v>363</v>
      </c>
      <c r="G1015" t="s">
        <v>367</v>
      </c>
    </row>
    <row r="1016" spans="1:7" x14ac:dyDescent="0.75">
      <c r="A1016" t="s">
        <v>39</v>
      </c>
      <c r="B1016" s="3">
        <v>44740</v>
      </c>
      <c r="C1016">
        <v>1</v>
      </c>
      <c r="D1016" t="s">
        <v>201</v>
      </c>
      <c r="E1016" s="22">
        <f>46-41</f>
        <v>5</v>
      </c>
      <c r="F1016" t="s">
        <v>363</v>
      </c>
      <c r="G1016" t="s">
        <v>367</v>
      </c>
    </row>
    <row r="1017" spans="1:7" s="23" customFormat="1" x14ac:dyDescent="0.75">
      <c r="A1017" s="23" t="s">
        <v>23</v>
      </c>
      <c r="B1017" s="24">
        <v>44740</v>
      </c>
      <c r="C1017" s="23">
        <v>1</v>
      </c>
      <c r="D1017" s="23" t="s">
        <v>197</v>
      </c>
      <c r="E1017" s="52">
        <f>36-33</f>
        <v>3</v>
      </c>
      <c r="F1017" s="23" t="s">
        <v>363</v>
      </c>
      <c r="G1017" s="23" t="s">
        <v>374</v>
      </c>
    </row>
    <row r="1018" spans="1:7" s="23" customFormat="1" x14ac:dyDescent="0.75">
      <c r="A1018" s="23" t="s">
        <v>23</v>
      </c>
      <c r="B1018" s="24">
        <v>44740</v>
      </c>
      <c r="C1018" s="23">
        <v>1</v>
      </c>
      <c r="D1018" s="23" t="s">
        <v>197</v>
      </c>
      <c r="E1018" s="52">
        <f>33-24</f>
        <v>9</v>
      </c>
      <c r="F1018" s="23" t="s">
        <v>363</v>
      </c>
      <c r="G1018" s="23" t="s">
        <v>374</v>
      </c>
    </row>
    <row r="1019" spans="1:7" s="23" customFormat="1" x14ac:dyDescent="0.75">
      <c r="A1019" s="23" t="s">
        <v>23</v>
      </c>
      <c r="B1019" s="24">
        <v>44740</v>
      </c>
      <c r="C1019" s="23">
        <v>1</v>
      </c>
      <c r="D1019" s="23" t="s">
        <v>194</v>
      </c>
      <c r="E1019" s="52">
        <f>24-22</f>
        <v>2</v>
      </c>
      <c r="F1019" s="23" t="s">
        <v>363</v>
      </c>
      <c r="G1019" s="23" t="s">
        <v>374</v>
      </c>
    </row>
    <row r="1020" spans="1:7" s="23" customFormat="1" x14ac:dyDescent="0.75">
      <c r="A1020" s="23" t="s">
        <v>23</v>
      </c>
      <c r="B1020" s="24">
        <v>44740</v>
      </c>
      <c r="C1020" s="23">
        <v>1</v>
      </c>
      <c r="D1020" s="23" t="s">
        <v>164</v>
      </c>
      <c r="E1020" s="52">
        <f>22-13</f>
        <v>9</v>
      </c>
      <c r="F1020" s="23" t="s">
        <v>363</v>
      </c>
      <c r="G1020" s="23" t="s">
        <v>374</v>
      </c>
    </row>
    <row r="1021" spans="1:7" s="23" customFormat="1" x14ac:dyDescent="0.75">
      <c r="A1021" s="23" t="s">
        <v>23</v>
      </c>
      <c r="B1021" s="24">
        <v>44740</v>
      </c>
      <c r="C1021" s="23">
        <v>1</v>
      </c>
      <c r="D1021" s="23" t="s">
        <v>191</v>
      </c>
      <c r="E1021" s="52">
        <f>13-6</f>
        <v>7</v>
      </c>
      <c r="F1021" s="23" t="s">
        <v>363</v>
      </c>
      <c r="G1021" s="23" t="s">
        <v>374</v>
      </c>
    </row>
    <row r="1022" spans="1:7" s="23" customFormat="1" x14ac:dyDescent="0.75">
      <c r="A1022" s="23" t="s">
        <v>23</v>
      </c>
      <c r="B1022" s="24">
        <v>44740</v>
      </c>
      <c r="C1022" s="23">
        <v>1</v>
      </c>
      <c r="D1022" s="23" t="s">
        <v>194</v>
      </c>
      <c r="E1022" s="52">
        <f>6-4</f>
        <v>2</v>
      </c>
      <c r="F1022" s="23" t="s">
        <v>363</v>
      </c>
      <c r="G1022" s="23" t="s">
        <v>374</v>
      </c>
    </row>
    <row r="1023" spans="1:7" s="23" customFormat="1" x14ac:dyDescent="0.75">
      <c r="A1023" s="23" t="s">
        <v>23</v>
      </c>
      <c r="B1023" s="24">
        <v>44740</v>
      </c>
      <c r="C1023" s="23">
        <v>1</v>
      </c>
      <c r="D1023" s="23" t="s">
        <v>201</v>
      </c>
      <c r="E1023" s="52">
        <f>4</f>
        <v>4</v>
      </c>
      <c r="F1023" s="23" t="s">
        <v>363</v>
      </c>
      <c r="G1023" s="23" t="s">
        <v>374</v>
      </c>
    </row>
    <row r="1024" spans="1:7" s="23" customFormat="1" x14ac:dyDescent="0.75">
      <c r="A1024" s="23" t="s">
        <v>23</v>
      </c>
      <c r="B1024" s="24">
        <v>44740</v>
      </c>
      <c r="C1024" s="23">
        <v>1</v>
      </c>
      <c r="D1024" s="23" t="s">
        <v>197</v>
      </c>
      <c r="E1024" s="52">
        <f>45-38</f>
        <v>7</v>
      </c>
      <c r="F1024" s="23" t="s">
        <v>363</v>
      </c>
      <c r="G1024" s="23" t="s">
        <v>374</v>
      </c>
    </row>
    <row r="1025" spans="1:7" s="23" customFormat="1" x14ac:dyDescent="0.75">
      <c r="A1025" s="23" t="s">
        <v>23</v>
      </c>
      <c r="B1025" s="24">
        <v>44740</v>
      </c>
      <c r="C1025" s="23">
        <v>1</v>
      </c>
      <c r="D1025" s="23" t="s">
        <v>197</v>
      </c>
      <c r="E1025" s="52">
        <f>38-33</f>
        <v>5</v>
      </c>
      <c r="F1025" s="23" t="s">
        <v>363</v>
      </c>
      <c r="G1025" s="23" t="s">
        <v>374</v>
      </c>
    </row>
    <row r="1026" spans="1:7" s="23" customFormat="1" x14ac:dyDescent="0.75">
      <c r="A1026" s="23" t="s">
        <v>23</v>
      </c>
      <c r="B1026" s="24">
        <v>44740</v>
      </c>
      <c r="C1026" s="23">
        <v>1</v>
      </c>
      <c r="D1026" s="23" t="s">
        <v>197</v>
      </c>
      <c r="E1026" s="52">
        <f>33-31</f>
        <v>2</v>
      </c>
      <c r="F1026" s="23" t="s">
        <v>363</v>
      </c>
      <c r="G1026" s="23" t="s">
        <v>374</v>
      </c>
    </row>
    <row r="1027" spans="1:7" s="23" customFormat="1" x14ac:dyDescent="0.75">
      <c r="A1027" s="23" t="s">
        <v>23</v>
      </c>
      <c r="B1027" s="24">
        <v>44740</v>
      </c>
      <c r="C1027" s="23">
        <v>1</v>
      </c>
      <c r="D1027" s="23" t="s">
        <v>207</v>
      </c>
      <c r="E1027" s="52">
        <f>45-42</f>
        <v>3</v>
      </c>
      <c r="F1027" s="23" t="s">
        <v>363</v>
      </c>
      <c r="G1027" s="23" t="s">
        <v>367</v>
      </c>
    </row>
    <row r="1028" spans="1:7" s="23" customFormat="1" x14ac:dyDescent="0.75">
      <c r="A1028" s="23" t="s">
        <v>23</v>
      </c>
      <c r="B1028" s="24">
        <v>44740</v>
      </c>
      <c r="C1028" s="23">
        <v>1</v>
      </c>
      <c r="D1028" s="23" t="s">
        <v>207</v>
      </c>
      <c r="E1028" s="52">
        <f>42-40</f>
        <v>2</v>
      </c>
      <c r="F1028" s="23" t="s">
        <v>363</v>
      </c>
      <c r="G1028" s="23" t="s">
        <v>367</v>
      </c>
    </row>
    <row r="1029" spans="1:7" s="23" customFormat="1" x14ac:dyDescent="0.75">
      <c r="A1029" s="23" t="s">
        <v>23</v>
      </c>
      <c r="B1029" s="24">
        <v>44740</v>
      </c>
      <c r="C1029" s="23">
        <v>1</v>
      </c>
      <c r="D1029" s="23" t="s">
        <v>197</v>
      </c>
      <c r="E1029" s="52">
        <f>40-37</f>
        <v>3</v>
      </c>
      <c r="F1029" s="23" t="s">
        <v>363</v>
      </c>
      <c r="G1029" s="23" t="s">
        <v>367</v>
      </c>
    </row>
    <row r="1030" spans="1:7" s="23" customFormat="1" x14ac:dyDescent="0.75">
      <c r="A1030" s="23" t="s">
        <v>23</v>
      </c>
      <c r="B1030" s="24">
        <v>44740</v>
      </c>
      <c r="C1030" s="23">
        <v>1</v>
      </c>
      <c r="D1030" s="23" t="s">
        <v>197</v>
      </c>
      <c r="E1030" s="52">
        <f>37-30</f>
        <v>7</v>
      </c>
      <c r="F1030" s="23" t="s">
        <v>363</v>
      </c>
      <c r="G1030" s="23" t="s">
        <v>367</v>
      </c>
    </row>
    <row r="1031" spans="1:7" s="23" customFormat="1" x14ac:dyDescent="0.75">
      <c r="A1031" s="23" t="s">
        <v>23</v>
      </c>
      <c r="B1031" s="24">
        <v>44740</v>
      </c>
      <c r="C1031" s="23">
        <v>1</v>
      </c>
      <c r="D1031" s="23" t="s">
        <v>207</v>
      </c>
      <c r="E1031" s="52">
        <f>30-28</f>
        <v>2</v>
      </c>
      <c r="F1031" s="23" t="s">
        <v>363</v>
      </c>
      <c r="G1031" s="23" t="s">
        <v>367</v>
      </c>
    </row>
    <row r="1032" spans="1:7" s="23" customFormat="1" x14ac:dyDescent="0.75">
      <c r="A1032" s="23" t="s">
        <v>23</v>
      </c>
      <c r="B1032" s="24">
        <v>44740</v>
      </c>
      <c r="C1032" s="23">
        <v>1</v>
      </c>
      <c r="D1032" s="23" t="s">
        <v>197</v>
      </c>
      <c r="E1032" s="52">
        <f>28-18</f>
        <v>10</v>
      </c>
      <c r="F1032" s="23" t="s">
        <v>363</v>
      </c>
      <c r="G1032" s="23" t="s">
        <v>367</v>
      </c>
    </row>
    <row r="1033" spans="1:7" s="23" customFormat="1" x14ac:dyDescent="0.75">
      <c r="A1033" s="23" t="s">
        <v>23</v>
      </c>
      <c r="B1033" s="24">
        <v>44740</v>
      </c>
      <c r="C1033" s="23">
        <v>1</v>
      </c>
      <c r="D1033" s="23" t="s">
        <v>197</v>
      </c>
      <c r="E1033" s="52">
        <f>18-14</f>
        <v>4</v>
      </c>
      <c r="F1033" s="23" t="s">
        <v>363</v>
      </c>
      <c r="G1033" s="23" t="s">
        <v>367</v>
      </c>
    </row>
    <row r="1034" spans="1:7" s="23" customFormat="1" x14ac:dyDescent="0.75">
      <c r="A1034" s="23" t="s">
        <v>23</v>
      </c>
      <c r="B1034" s="24">
        <v>44740</v>
      </c>
      <c r="C1034" s="23">
        <v>1</v>
      </c>
      <c r="D1034" s="23" t="s">
        <v>194</v>
      </c>
      <c r="E1034" s="52">
        <f>14-11</f>
        <v>3</v>
      </c>
      <c r="F1034" s="23" t="s">
        <v>363</v>
      </c>
      <c r="G1034" s="23" t="s">
        <v>367</v>
      </c>
    </row>
    <row r="1035" spans="1:7" s="23" customFormat="1" x14ac:dyDescent="0.75">
      <c r="A1035" s="23" t="s">
        <v>23</v>
      </c>
      <c r="B1035" s="24">
        <v>44740</v>
      </c>
      <c r="C1035" s="23">
        <v>1</v>
      </c>
      <c r="D1035" s="23" t="s">
        <v>197</v>
      </c>
      <c r="E1035" s="52">
        <f>11-9</f>
        <v>2</v>
      </c>
      <c r="F1035" s="23" t="s">
        <v>363</v>
      </c>
      <c r="G1035" s="23" t="s">
        <v>367</v>
      </c>
    </row>
    <row r="1036" spans="1:7" s="23" customFormat="1" x14ac:dyDescent="0.75">
      <c r="A1036" s="23" t="s">
        <v>23</v>
      </c>
      <c r="B1036" s="24">
        <v>44740</v>
      </c>
      <c r="C1036" s="23">
        <v>1</v>
      </c>
      <c r="D1036" s="23" t="s">
        <v>197</v>
      </c>
      <c r="E1036" s="52">
        <f>9-5</f>
        <v>4</v>
      </c>
      <c r="F1036" s="23" t="s">
        <v>363</v>
      </c>
      <c r="G1036" s="23" t="s">
        <v>367</v>
      </c>
    </row>
    <row r="1037" spans="1:7" s="23" customFormat="1" x14ac:dyDescent="0.75">
      <c r="A1037" s="23" t="s">
        <v>23</v>
      </c>
      <c r="B1037" s="24">
        <v>44740</v>
      </c>
      <c r="C1037" s="23">
        <v>1</v>
      </c>
      <c r="D1037" s="23" t="s">
        <v>197</v>
      </c>
      <c r="E1037" s="52">
        <f>5-1</f>
        <v>4</v>
      </c>
      <c r="F1037" s="23" t="s">
        <v>363</v>
      </c>
      <c r="G1037" s="23" t="s">
        <v>367</v>
      </c>
    </row>
    <row r="1038" spans="1:7" s="23" customFormat="1" x14ac:dyDescent="0.75">
      <c r="A1038" s="23" t="s">
        <v>23</v>
      </c>
      <c r="B1038" s="24">
        <v>44740</v>
      </c>
      <c r="C1038" s="23">
        <v>1</v>
      </c>
      <c r="D1038" s="23" t="s">
        <v>197</v>
      </c>
      <c r="E1038" s="52">
        <f>1+50-44</f>
        <v>7</v>
      </c>
      <c r="F1038" s="23" t="s">
        <v>363</v>
      </c>
      <c r="G1038" s="23" t="s">
        <v>367</v>
      </c>
    </row>
    <row r="1039" spans="1:7" s="23" customFormat="1" x14ac:dyDescent="0.75">
      <c r="A1039" s="23" t="s">
        <v>23</v>
      </c>
      <c r="B1039" s="24">
        <v>44740</v>
      </c>
      <c r="C1039" s="23">
        <v>1</v>
      </c>
      <c r="D1039" s="23" t="s">
        <v>194</v>
      </c>
      <c r="E1039" s="52">
        <f>44-40</f>
        <v>4</v>
      </c>
      <c r="F1039" s="23" t="s">
        <v>363</v>
      </c>
      <c r="G1039" s="23" t="s">
        <v>367</v>
      </c>
    </row>
    <row r="1040" spans="1:7" s="23" customFormat="1" x14ac:dyDescent="0.75">
      <c r="A1040" s="23" t="s">
        <v>23</v>
      </c>
      <c r="B1040" s="24">
        <v>44740</v>
      </c>
      <c r="C1040" s="23">
        <v>1</v>
      </c>
      <c r="D1040" s="23" t="s">
        <v>197</v>
      </c>
      <c r="E1040" s="52">
        <f>40-36</f>
        <v>4</v>
      </c>
      <c r="F1040" s="23" t="s">
        <v>363</v>
      </c>
      <c r="G1040" s="23" t="s">
        <v>367</v>
      </c>
    </row>
    <row r="1041" spans="1:11" s="23" customFormat="1" x14ac:dyDescent="0.75">
      <c r="A1041" s="23" t="s">
        <v>23</v>
      </c>
      <c r="B1041" s="24">
        <v>44740</v>
      </c>
      <c r="C1041" s="23">
        <v>1</v>
      </c>
      <c r="D1041" s="23" t="s">
        <v>207</v>
      </c>
      <c r="E1041" s="52" t="s">
        <v>363</v>
      </c>
      <c r="F1041" s="23" t="s">
        <v>363</v>
      </c>
      <c r="G1041" s="23" t="s">
        <v>367</v>
      </c>
      <c r="K1041" s="23" t="s">
        <v>776</v>
      </c>
    </row>
    <row r="1042" spans="1:11" x14ac:dyDescent="0.75">
      <c r="A1042" t="s">
        <v>23</v>
      </c>
      <c r="B1042" s="3">
        <v>44740</v>
      </c>
      <c r="C1042">
        <v>2</v>
      </c>
      <c r="D1042" t="s">
        <v>194</v>
      </c>
      <c r="E1042" s="22">
        <f>32-28</f>
        <v>4</v>
      </c>
      <c r="F1042" t="s">
        <v>363</v>
      </c>
      <c r="G1042" t="s">
        <v>374</v>
      </c>
    </row>
    <row r="1043" spans="1:11" x14ac:dyDescent="0.75">
      <c r="A1043" t="s">
        <v>23</v>
      </c>
      <c r="B1043" s="3">
        <v>44740</v>
      </c>
      <c r="C1043">
        <v>2</v>
      </c>
      <c r="D1043" t="s">
        <v>201</v>
      </c>
      <c r="E1043" s="22">
        <f>28-23</f>
        <v>5</v>
      </c>
      <c r="F1043" t="s">
        <v>363</v>
      </c>
      <c r="G1043" t="s">
        <v>374</v>
      </c>
    </row>
    <row r="1044" spans="1:11" x14ac:dyDescent="0.75">
      <c r="A1044" t="s">
        <v>23</v>
      </c>
      <c r="B1044" s="3">
        <v>44740</v>
      </c>
      <c r="C1044">
        <v>2</v>
      </c>
      <c r="D1044" t="s">
        <v>207</v>
      </c>
      <c r="E1044" s="22">
        <f>23-20</f>
        <v>3</v>
      </c>
      <c r="F1044" t="s">
        <v>363</v>
      </c>
      <c r="G1044" t="s">
        <v>374</v>
      </c>
    </row>
    <row r="1045" spans="1:11" x14ac:dyDescent="0.75">
      <c r="A1045" t="s">
        <v>23</v>
      </c>
      <c r="B1045" s="3">
        <v>44740</v>
      </c>
      <c r="C1045">
        <v>2</v>
      </c>
      <c r="D1045" t="s">
        <v>197</v>
      </c>
      <c r="E1045" s="22">
        <f>48-41</f>
        <v>7</v>
      </c>
      <c r="F1045" t="s">
        <v>363</v>
      </c>
      <c r="G1045" t="s">
        <v>367</v>
      </c>
    </row>
    <row r="1046" spans="1:11" x14ac:dyDescent="0.75">
      <c r="A1046" t="s">
        <v>23</v>
      </c>
      <c r="B1046" s="3">
        <v>44740</v>
      </c>
      <c r="C1046">
        <v>2</v>
      </c>
      <c r="D1046" t="s">
        <v>176</v>
      </c>
      <c r="E1046" s="22">
        <f>41-35</f>
        <v>6</v>
      </c>
      <c r="F1046" t="s">
        <v>363</v>
      </c>
      <c r="G1046" t="s">
        <v>367</v>
      </c>
    </row>
    <row r="1047" spans="1:11" x14ac:dyDescent="0.75">
      <c r="A1047" t="s">
        <v>23</v>
      </c>
      <c r="B1047" s="3">
        <v>44740</v>
      </c>
      <c r="C1047">
        <v>2</v>
      </c>
      <c r="D1047" t="s">
        <v>197</v>
      </c>
      <c r="E1047" s="22">
        <f>35-28</f>
        <v>7</v>
      </c>
      <c r="F1047" t="s">
        <v>363</v>
      </c>
      <c r="G1047" t="s">
        <v>367</v>
      </c>
    </row>
    <row r="1048" spans="1:11" x14ac:dyDescent="0.75">
      <c r="A1048" t="s">
        <v>23</v>
      </c>
      <c r="B1048" s="3">
        <v>44740</v>
      </c>
      <c r="C1048">
        <v>2</v>
      </c>
      <c r="D1048" t="s">
        <v>197</v>
      </c>
      <c r="E1048" s="22">
        <f>28-22</f>
        <v>6</v>
      </c>
      <c r="F1048" t="s">
        <v>363</v>
      </c>
      <c r="G1048" t="s">
        <v>367</v>
      </c>
    </row>
    <row r="1049" spans="1:11" s="23" customFormat="1" x14ac:dyDescent="0.75">
      <c r="A1049" s="23" t="s">
        <v>23</v>
      </c>
      <c r="B1049" s="24">
        <v>44740</v>
      </c>
      <c r="C1049" s="23">
        <v>3</v>
      </c>
      <c r="D1049" s="23" t="s">
        <v>160</v>
      </c>
      <c r="E1049" s="52">
        <f>23-20</f>
        <v>3</v>
      </c>
      <c r="F1049" s="23">
        <v>904</v>
      </c>
      <c r="G1049" s="23" t="s">
        <v>374</v>
      </c>
      <c r="K1049" s="23" t="s">
        <v>780</v>
      </c>
    </row>
    <row r="1050" spans="1:11" s="23" customFormat="1" x14ac:dyDescent="0.75">
      <c r="A1050" s="23" t="s">
        <v>23</v>
      </c>
      <c r="B1050" s="24">
        <v>44740</v>
      </c>
      <c r="C1050" s="23">
        <v>3</v>
      </c>
      <c r="D1050" s="23" t="s">
        <v>160</v>
      </c>
      <c r="E1050" s="52">
        <f>18-11</f>
        <v>7</v>
      </c>
      <c r="F1050" s="23">
        <v>3884</v>
      </c>
      <c r="G1050" s="23" t="s">
        <v>374</v>
      </c>
      <c r="K1050" s="23" t="s">
        <v>780</v>
      </c>
    </row>
    <row r="1051" spans="1:11" x14ac:dyDescent="0.75">
      <c r="A1051" t="s">
        <v>23</v>
      </c>
      <c r="B1051" s="3">
        <v>44742</v>
      </c>
      <c r="C1051">
        <v>1</v>
      </c>
      <c r="D1051" t="s">
        <v>197</v>
      </c>
      <c r="E1051" s="22">
        <f>48-44</f>
        <v>4</v>
      </c>
      <c r="F1051" t="s">
        <v>761</v>
      </c>
      <c r="G1051" t="s">
        <v>374</v>
      </c>
      <c r="K1051" t="s">
        <v>780</v>
      </c>
    </row>
    <row r="1052" spans="1:11" x14ac:dyDescent="0.75">
      <c r="A1052" t="s">
        <v>23</v>
      </c>
      <c r="B1052" s="3">
        <v>44742</v>
      </c>
      <c r="C1052">
        <v>1</v>
      </c>
      <c r="D1052" t="s">
        <v>197</v>
      </c>
      <c r="E1052" s="22">
        <f>41-17</f>
        <v>24</v>
      </c>
      <c r="F1052" t="s">
        <v>363</v>
      </c>
      <c r="G1052" t="s">
        <v>374</v>
      </c>
    </row>
    <row r="1053" spans="1:11" x14ac:dyDescent="0.75">
      <c r="A1053" t="s">
        <v>23</v>
      </c>
      <c r="B1053" s="3">
        <v>44742</v>
      </c>
      <c r="C1053">
        <v>1</v>
      </c>
      <c r="D1053" t="s">
        <v>197</v>
      </c>
      <c r="E1053" s="22">
        <f>17-10</f>
        <v>7</v>
      </c>
      <c r="F1053" t="s">
        <v>363</v>
      </c>
      <c r="G1053" t="s">
        <v>374</v>
      </c>
    </row>
    <row r="1054" spans="1:11" x14ac:dyDescent="0.75">
      <c r="A1054" t="s">
        <v>23</v>
      </c>
      <c r="B1054" s="3">
        <v>44742</v>
      </c>
      <c r="C1054">
        <v>1</v>
      </c>
      <c r="D1054" t="s">
        <v>191</v>
      </c>
      <c r="E1054" s="22">
        <f>10-3</f>
        <v>7</v>
      </c>
      <c r="F1054" t="s">
        <v>363</v>
      </c>
      <c r="G1054" t="s">
        <v>374</v>
      </c>
    </row>
    <row r="1055" spans="1:11" x14ac:dyDescent="0.75">
      <c r="A1055" t="s">
        <v>23</v>
      </c>
      <c r="B1055" s="3">
        <v>44742</v>
      </c>
      <c r="C1055">
        <v>1</v>
      </c>
      <c r="D1055" t="s">
        <v>197</v>
      </c>
      <c r="E1055" s="22">
        <f>48-41</f>
        <v>7</v>
      </c>
      <c r="F1055" t="s">
        <v>363</v>
      </c>
      <c r="G1055" t="s">
        <v>374</v>
      </c>
    </row>
    <row r="1056" spans="1:11" x14ac:dyDescent="0.75">
      <c r="A1056" t="s">
        <v>23</v>
      </c>
      <c r="B1056" s="3">
        <v>44742</v>
      </c>
      <c r="C1056">
        <v>1</v>
      </c>
      <c r="D1056" t="s">
        <v>197</v>
      </c>
      <c r="E1056" s="22">
        <f>41-39</f>
        <v>2</v>
      </c>
      <c r="F1056" t="s">
        <v>363</v>
      </c>
      <c r="G1056" t="s">
        <v>374</v>
      </c>
    </row>
    <row r="1057" spans="1:11" x14ac:dyDescent="0.75">
      <c r="A1057" t="s">
        <v>23</v>
      </c>
      <c r="B1057" s="3">
        <v>44742</v>
      </c>
      <c r="C1057">
        <v>1</v>
      </c>
      <c r="D1057" t="s">
        <v>197</v>
      </c>
      <c r="E1057" s="22">
        <f>39-10</f>
        <v>29</v>
      </c>
      <c r="F1057">
        <v>970</v>
      </c>
      <c r="G1057" t="s">
        <v>374</v>
      </c>
    </row>
    <row r="1058" spans="1:11" x14ac:dyDescent="0.75">
      <c r="A1058" t="s">
        <v>23</v>
      </c>
      <c r="B1058" s="3">
        <v>44742</v>
      </c>
      <c r="C1058">
        <v>1</v>
      </c>
      <c r="D1058" t="s">
        <v>168</v>
      </c>
      <c r="E1058" s="22">
        <f>10-3</f>
        <v>7</v>
      </c>
      <c r="F1058" t="s">
        <v>363</v>
      </c>
      <c r="G1058" t="s">
        <v>374</v>
      </c>
    </row>
    <row r="1059" spans="1:11" x14ac:dyDescent="0.75">
      <c r="A1059" t="s">
        <v>23</v>
      </c>
      <c r="B1059" s="3">
        <v>44742</v>
      </c>
      <c r="C1059">
        <v>1</v>
      </c>
      <c r="D1059" t="s">
        <v>153</v>
      </c>
      <c r="E1059" s="22">
        <f>3-2</f>
        <v>1</v>
      </c>
      <c r="F1059" t="s">
        <v>363</v>
      </c>
      <c r="G1059" t="s">
        <v>374</v>
      </c>
    </row>
    <row r="1060" spans="1:11" x14ac:dyDescent="0.75">
      <c r="A1060" t="s">
        <v>23</v>
      </c>
      <c r="B1060" s="3">
        <v>44742</v>
      </c>
      <c r="C1060">
        <v>1</v>
      </c>
      <c r="D1060" t="s">
        <v>197</v>
      </c>
      <c r="E1060" s="22">
        <f>52-45</f>
        <v>7</v>
      </c>
      <c r="F1060" t="s">
        <v>363</v>
      </c>
      <c r="G1060" t="s">
        <v>367</v>
      </c>
    </row>
    <row r="1061" spans="1:11" x14ac:dyDescent="0.75">
      <c r="A1061" t="s">
        <v>23</v>
      </c>
      <c r="B1061" s="3">
        <v>44742</v>
      </c>
      <c r="C1061">
        <v>1</v>
      </c>
      <c r="D1061" t="s">
        <v>191</v>
      </c>
      <c r="E1061" s="22">
        <f>45-42</f>
        <v>3</v>
      </c>
      <c r="F1061" t="s">
        <v>363</v>
      </c>
      <c r="G1061" t="s">
        <v>367</v>
      </c>
    </row>
    <row r="1062" spans="1:11" x14ac:dyDescent="0.75">
      <c r="A1062" t="s">
        <v>23</v>
      </c>
      <c r="B1062" s="3">
        <v>44742</v>
      </c>
      <c r="C1062">
        <v>1</v>
      </c>
      <c r="D1062" t="s">
        <v>194</v>
      </c>
      <c r="E1062" s="22">
        <f>32-25</f>
        <v>7</v>
      </c>
      <c r="F1062" t="s">
        <v>363</v>
      </c>
      <c r="G1062" t="s">
        <v>367</v>
      </c>
    </row>
    <row r="1063" spans="1:11" s="23" customFormat="1" x14ac:dyDescent="0.75">
      <c r="A1063" s="23" t="s">
        <v>23</v>
      </c>
      <c r="B1063" s="24">
        <v>44742</v>
      </c>
      <c r="C1063" s="23">
        <v>2</v>
      </c>
      <c r="D1063" s="23" t="s">
        <v>197</v>
      </c>
      <c r="E1063" s="52">
        <f>48-39</f>
        <v>9</v>
      </c>
      <c r="F1063" s="23">
        <v>944</v>
      </c>
      <c r="G1063" s="23" t="s">
        <v>374</v>
      </c>
    </row>
    <row r="1064" spans="1:11" s="23" customFormat="1" x14ac:dyDescent="0.75">
      <c r="A1064" s="23" t="s">
        <v>23</v>
      </c>
      <c r="B1064" s="24">
        <v>44742</v>
      </c>
      <c r="C1064" s="23">
        <v>2</v>
      </c>
      <c r="D1064" s="23" t="s">
        <v>197</v>
      </c>
      <c r="E1064" s="52">
        <f>20-15</f>
        <v>5</v>
      </c>
      <c r="F1064" s="23" t="s">
        <v>363</v>
      </c>
      <c r="G1064" s="23" t="s">
        <v>374</v>
      </c>
    </row>
    <row r="1065" spans="1:11" s="23" customFormat="1" x14ac:dyDescent="0.75">
      <c r="A1065" s="23" t="s">
        <v>23</v>
      </c>
      <c r="B1065" s="24">
        <v>44742</v>
      </c>
      <c r="C1065" s="23">
        <v>2</v>
      </c>
      <c r="D1065" s="23" t="s">
        <v>194</v>
      </c>
      <c r="E1065" s="52">
        <f>15-7</f>
        <v>8</v>
      </c>
      <c r="F1065" s="23" t="s">
        <v>363</v>
      </c>
      <c r="G1065" s="23" t="s">
        <v>374</v>
      </c>
    </row>
    <row r="1066" spans="1:11" s="23" customFormat="1" x14ac:dyDescent="0.75">
      <c r="A1066" s="23" t="s">
        <v>23</v>
      </c>
      <c r="B1066" s="24">
        <v>44742</v>
      </c>
      <c r="C1066" s="23">
        <v>2</v>
      </c>
      <c r="D1066" s="23" t="s">
        <v>197</v>
      </c>
      <c r="E1066" s="52">
        <f>7-3</f>
        <v>4</v>
      </c>
      <c r="F1066" s="23" t="s">
        <v>363</v>
      </c>
      <c r="G1066" s="23" t="s">
        <v>374</v>
      </c>
    </row>
    <row r="1067" spans="1:11" s="23" customFormat="1" x14ac:dyDescent="0.75">
      <c r="A1067" s="23" t="s">
        <v>23</v>
      </c>
      <c r="B1067" s="24">
        <v>44742</v>
      </c>
      <c r="C1067" s="23">
        <v>2</v>
      </c>
      <c r="D1067" s="23" t="s">
        <v>197</v>
      </c>
      <c r="E1067" s="52" t="s">
        <v>363</v>
      </c>
      <c r="F1067" s="23" t="s">
        <v>363</v>
      </c>
      <c r="G1067" s="23" t="s">
        <v>374</v>
      </c>
      <c r="K1067" s="23" t="s">
        <v>762</v>
      </c>
    </row>
    <row r="1068" spans="1:11" s="23" customFormat="1" x14ac:dyDescent="0.75">
      <c r="A1068" s="23" t="s">
        <v>23</v>
      </c>
      <c r="B1068" s="24">
        <v>44742</v>
      </c>
      <c r="C1068" s="23">
        <v>2</v>
      </c>
      <c r="D1068" s="23" t="s">
        <v>197</v>
      </c>
      <c r="E1068" s="52" t="s">
        <v>363</v>
      </c>
      <c r="F1068" s="23" t="s">
        <v>363</v>
      </c>
      <c r="G1068" s="23" t="s">
        <v>374</v>
      </c>
      <c r="K1068" s="23" t="s">
        <v>762</v>
      </c>
    </row>
    <row r="1069" spans="1:11" s="23" customFormat="1" x14ac:dyDescent="0.75">
      <c r="A1069" s="23" t="s">
        <v>23</v>
      </c>
      <c r="B1069" s="24">
        <v>44742</v>
      </c>
      <c r="C1069" s="23">
        <v>2</v>
      </c>
      <c r="D1069" s="23" t="s">
        <v>197</v>
      </c>
      <c r="E1069" s="52">
        <f>40-37</f>
        <v>3</v>
      </c>
      <c r="F1069" s="23">
        <v>971</v>
      </c>
      <c r="G1069" s="23" t="s">
        <v>374</v>
      </c>
    </row>
    <row r="1070" spans="1:11" s="23" customFormat="1" x14ac:dyDescent="0.75">
      <c r="A1070" s="23" t="s">
        <v>23</v>
      </c>
      <c r="B1070" s="24">
        <v>44742</v>
      </c>
      <c r="C1070" s="23">
        <v>2</v>
      </c>
      <c r="D1070" s="23" t="s">
        <v>153</v>
      </c>
      <c r="E1070" s="52">
        <f>44-42</f>
        <v>2</v>
      </c>
      <c r="F1070" s="23" t="s">
        <v>363</v>
      </c>
      <c r="G1070" s="23" t="s">
        <v>367</v>
      </c>
    </row>
    <row r="1071" spans="1:11" s="23" customFormat="1" x14ac:dyDescent="0.75">
      <c r="A1071" s="23" t="s">
        <v>23</v>
      </c>
      <c r="B1071" s="24">
        <v>44742</v>
      </c>
      <c r="C1071" s="23">
        <v>2</v>
      </c>
      <c r="D1071" s="23" t="s">
        <v>197</v>
      </c>
      <c r="E1071" s="52">
        <f>42-38</f>
        <v>4</v>
      </c>
      <c r="F1071" s="23" t="s">
        <v>363</v>
      </c>
      <c r="G1071" s="23" t="s">
        <v>367</v>
      </c>
    </row>
    <row r="1072" spans="1:11" s="23" customFormat="1" x14ac:dyDescent="0.75">
      <c r="A1072" s="23" t="s">
        <v>23</v>
      </c>
      <c r="B1072" s="24">
        <v>44742</v>
      </c>
      <c r="C1072" s="23">
        <v>2</v>
      </c>
      <c r="D1072" s="23" t="s">
        <v>164</v>
      </c>
      <c r="E1072" s="52">
        <f>38-5</f>
        <v>33</v>
      </c>
      <c r="F1072" s="23" t="s">
        <v>363</v>
      </c>
      <c r="G1072" s="23" t="s">
        <v>367</v>
      </c>
    </row>
    <row r="1073" spans="1:11" s="23" customFormat="1" x14ac:dyDescent="0.75">
      <c r="A1073" s="23" t="s">
        <v>23</v>
      </c>
      <c r="B1073" s="24">
        <v>44742</v>
      </c>
      <c r="C1073" s="23">
        <v>2</v>
      </c>
      <c r="D1073" s="23" t="s">
        <v>194</v>
      </c>
      <c r="E1073" s="52">
        <f>31-24</f>
        <v>7</v>
      </c>
      <c r="F1073" s="23" t="s">
        <v>363</v>
      </c>
      <c r="G1073" s="23" t="s">
        <v>367</v>
      </c>
    </row>
    <row r="1074" spans="1:11" s="23" customFormat="1" x14ac:dyDescent="0.75">
      <c r="A1074" s="23" t="s">
        <v>23</v>
      </c>
      <c r="B1074" s="24">
        <v>44742</v>
      </c>
      <c r="C1074" s="23">
        <v>2</v>
      </c>
      <c r="D1074" s="23" t="s">
        <v>197</v>
      </c>
      <c r="E1074" s="52">
        <f>24-5</f>
        <v>19</v>
      </c>
      <c r="F1074" s="23" t="s">
        <v>363</v>
      </c>
      <c r="G1074" s="23" t="s">
        <v>367</v>
      </c>
    </row>
    <row r="1075" spans="1:11" s="23" customFormat="1" x14ac:dyDescent="0.75">
      <c r="A1075" s="23" t="s">
        <v>23</v>
      </c>
      <c r="B1075" s="24">
        <v>44742</v>
      </c>
      <c r="C1075" s="23">
        <v>2</v>
      </c>
      <c r="D1075" s="23" t="s">
        <v>197</v>
      </c>
      <c r="E1075" s="52">
        <f>5+50-42</f>
        <v>13</v>
      </c>
      <c r="F1075" s="23" t="s">
        <v>363</v>
      </c>
      <c r="G1075" s="23" t="s">
        <v>367</v>
      </c>
    </row>
    <row r="1076" spans="1:11" x14ac:dyDescent="0.75">
      <c r="A1076" t="s">
        <v>23</v>
      </c>
      <c r="B1076" s="3">
        <v>44742</v>
      </c>
      <c r="C1076">
        <v>3</v>
      </c>
      <c r="D1076" t="s">
        <v>197</v>
      </c>
      <c r="E1076" s="22">
        <f>37-32</f>
        <v>5</v>
      </c>
      <c r="F1076">
        <v>972</v>
      </c>
      <c r="G1076" t="s">
        <v>374</v>
      </c>
    </row>
    <row r="1077" spans="1:11" x14ac:dyDescent="0.75">
      <c r="A1077" t="s">
        <v>23</v>
      </c>
      <c r="B1077" s="3">
        <v>44742</v>
      </c>
      <c r="C1077">
        <v>3</v>
      </c>
      <c r="D1077" t="s">
        <v>201</v>
      </c>
      <c r="E1077" s="22">
        <f>32-25</f>
        <v>7</v>
      </c>
      <c r="F1077" t="s">
        <v>363</v>
      </c>
      <c r="G1077" t="s">
        <v>374</v>
      </c>
    </row>
    <row r="1078" spans="1:11" x14ac:dyDescent="0.75">
      <c r="A1078" t="s">
        <v>23</v>
      </c>
      <c r="B1078" s="3">
        <v>44742</v>
      </c>
      <c r="C1078">
        <v>3</v>
      </c>
      <c r="D1078" t="s">
        <v>215</v>
      </c>
      <c r="E1078" s="22">
        <f>44-42</f>
        <v>2</v>
      </c>
      <c r="F1078" t="s">
        <v>363</v>
      </c>
      <c r="G1078" t="s">
        <v>367</v>
      </c>
    </row>
    <row r="1079" spans="1:11" s="23" customFormat="1" x14ac:dyDescent="0.75">
      <c r="A1079" s="23" t="s">
        <v>39</v>
      </c>
      <c r="B1079" s="24">
        <v>44743</v>
      </c>
      <c r="C1079" s="23">
        <v>1</v>
      </c>
      <c r="D1079" s="23" t="s">
        <v>197</v>
      </c>
      <c r="E1079" s="52">
        <f>53-42</f>
        <v>11</v>
      </c>
      <c r="F1079" s="23" t="s">
        <v>363</v>
      </c>
      <c r="G1079" s="23" t="s">
        <v>374</v>
      </c>
    </row>
    <row r="1080" spans="1:11" s="23" customFormat="1" x14ac:dyDescent="0.75">
      <c r="A1080" s="23" t="s">
        <v>39</v>
      </c>
      <c r="B1080" s="24">
        <v>44743</v>
      </c>
      <c r="C1080" s="23">
        <v>1</v>
      </c>
      <c r="D1080" s="23" t="s">
        <v>164</v>
      </c>
      <c r="E1080" s="52">
        <f>20-18</f>
        <v>2</v>
      </c>
      <c r="F1080" s="23" t="s">
        <v>777</v>
      </c>
      <c r="G1080" s="23" t="s">
        <v>374</v>
      </c>
    </row>
    <row r="1081" spans="1:11" s="23" customFormat="1" x14ac:dyDescent="0.75">
      <c r="A1081" s="23" t="s">
        <v>39</v>
      </c>
      <c r="B1081" s="24">
        <v>44743</v>
      </c>
      <c r="C1081" s="23">
        <v>1</v>
      </c>
      <c r="D1081" s="23" t="s">
        <v>191</v>
      </c>
      <c r="E1081" s="52">
        <f>18-15</f>
        <v>3</v>
      </c>
      <c r="F1081" s="23" t="s">
        <v>363</v>
      </c>
      <c r="G1081" s="23" t="s">
        <v>374</v>
      </c>
    </row>
    <row r="1082" spans="1:11" s="23" customFormat="1" x14ac:dyDescent="0.75">
      <c r="A1082" s="23" t="s">
        <v>39</v>
      </c>
      <c r="B1082" s="24">
        <v>44743</v>
      </c>
      <c r="C1082" s="23">
        <v>1</v>
      </c>
      <c r="D1082" s="23" t="s">
        <v>197</v>
      </c>
      <c r="E1082" s="52">
        <f>15-10</f>
        <v>5</v>
      </c>
      <c r="F1082" s="23" t="s">
        <v>363</v>
      </c>
      <c r="G1082" s="23" t="s">
        <v>374</v>
      </c>
    </row>
    <row r="1083" spans="1:11" s="23" customFormat="1" x14ac:dyDescent="0.75">
      <c r="A1083" s="23" t="s">
        <v>39</v>
      </c>
      <c r="B1083" s="24">
        <v>44743</v>
      </c>
      <c r="C1083" s="23">
        <v>1</v>
      </c>
      <c r="D1083" s="23" t="s">
        <v>197</v>
      </c>
      <c r="E1083" s="52">
        <f>42-39</f>
        <v>3</v>
      </c>
      <c r="F1083" s="23" t="s">
        <v>363</v>
      </c>
      <c r="G1083" s="23" t="s">
        <v>374</v>
      </c>
    </row>
    <row r="1084" spans="1:11" s="23" customFormat="1" x14ac:dyDescent="0.75">
      <c r="A1084" s="23" t="s">
        <v>39</v>
      </c>
      <c r="B1084" s="24">
        <v>44743</v>
      </c>
      <c r="C1084" s="23">
        <v>1</v>
      </c>
      <c r="D1084" s="23" t="s">
        <v>197</v>
      </c>
      <c r="E1084" s="52">
        <f>39-38</f>
        <v>1</v>
      </c>
      <c r="F1084" s="23" t="s">
        <v>363</v>
      </c>
      <c r="G1084" s="23" t="s">
        <v>374</v>
      </c>
    </row>
    <row r="1085" spans="1:11" s="23" customFormat="1" x14ac:dyDescent="0.75">
      <c r="A1085" s="23" t="s">
        <v>39</v>
      </c>
      <c r="B1085" s="24">
        <v>44743</v>
      </c>
      <c r="C1085" s="23">
        <v>1</v>
      </c>
      <c r="D1085" s="23" t="s">
        <v>201</v>
      </c>
      <c r="E1085" s="52">
        <f>30+41-29</f>
        <v>42</v>
      </c>
      <c r="F1085" s="23">
        <v>974</v>
      </c>
      <c r="G1085" s="23" t="s">
        <v>374</v>
      </c>
    </row>
    <row r="1086" spans="1:11" s="23" customFormat="1" x14ac:dyDescent="0.75">
      <c r="A1086" s="23" t="s">
        <v>39</v>
      </c>
      <c r="B1086" s="24">
        <v>44743</v>
      </c>
      <c r="C1086" s="23">
        <v>1</v>
      </c>
      <c r="D1086" s="23" t="s">
        <v>207</v>
      </c>
      <c r="E1086" s="52" t="s">
        <v>363</v>
      </c>
      <c r="F1086" s="23" t="s">
        <v>363</v>
      </c>
      <c r="G1086" s="23" t="s">
        <v>374</v>
      </c>
      <c r="K1086" s="23" t="s">
        <v>762</v>
      </c>
    </row>
    <row r="1087" spans="1:11" s="43" customFormat="1" x14ac:dyDescent="0.75">
      <c r="A1087" s="23" t="s">
        <v>39</v>
      </c>
      <c r="B1087" s="44">
        <v>44743</v>
      </c>
      <c r="C1087" s="43">
        <v>1</v>
      </c>
      <c r="D1087" s="43" t="s">
        <v>164</v>
      </c>
      <c r="E1087" s="55">
        <f>25-16</f>
        <v>9</v>
      </c>
      <c r="F1087" s="43">
        <v>3535</v>
      </c>
      <c r="G1087" s="43" t="s">
        <v>786</v>
      </c>
      <c r="K1087" s="43" t="s">
        <v>787</v>
      </c>
    </row>
    <row r="1088" spans="1:11" s="43" customFormat="1" x14ac:dyDescent="0.75">
      <c r="A1088" s="23" t="s">
        <v>39</v>
      </c>
      <c r="B1088" s="44">
        <v>44743</v>
      </c>
      <c r="C1088" s="43">
        <v>1</v>
      </c>
      <c r="D1088" s="43" t="s">
        <v>197</v>
      </c>
      <c r="E1088" s="55">
        <f>16-10</f>
        <v>6</v>
      </c>
      <c r="F1088" s="43" t="s">
        <v>363</v>
      </c>
      <c r="G1088" s="43" t="s">
        <v>786</v>
      </c>
      <c r="K1088" s="43" t="s">
        <v>787</v>
      </c>
    </row>
    <row r="1089" spans="1:11" s="43" customFormat="1" x14ac:dyDescent="0.75">
      <c r="A1089" s="23" t="s">
        <v>39</v>
      </c>
      <c r="B1089" s="44">
        <v>44743</v>
      </c>
      <c r="C1089" s="43">
        <v>1</v>
      </c>
      <c r="D1089" s="43" t="s">
        <v>207</v>
      </c>
      <c r="E1089" s="55">
        <f>10</f>
        <v>10</v>
      </c>
      <c r="F1089" s="43" t="s">
        <v>363</v>
      </c>
      <c r="G1089" s="43" t="s">
        <v>786</v>
      </c>
      <c r="K1089" s="43" t="s">
        <v>787</v>
      </c>
    </row>
    <row r="1090" spans="1:11" s="43" customFormat="1" x14ac:dyDescent="0.75">
      <c r="A1090" s="23" t="s">
        <v>39</v>
      </c>
      <c r="B1090" s="44">
        <v>44743</v>
      </c>
      <c r="C1090" s="43">
        <v>1</v>
      </c>
      <c r="D1090" s="43" t="s">
        <v>201</v>
      </c>
      <c r="E1090" s="55">
        <f>42-38</f>
        <v>4</v>
      </c>
      <c r="F1090" s="43" t="s">
        <v>363</v>
      </c>
      <c r="G1090" s="43" t="s">
        <v>786</v>
      </c>
      <c r="K1090" s="43" t="s">
        <v>787</v>
      </c>
    </row>
    <row r="1091" spans="1:11" s="43" customFormat="1" x14ac:dyDescent="0.75">
      <c r="A1091" s="23" t="s">
        <v>39</v>
      </c>
      <c r="B1091" s="44">
        <v>44743</v>
      </c>
      <c r="C1091" s="43">
        <v>1</v>
      </c>
      <c r="D1091" s="43" t="s">
        <v>194</v>
      </c>
      <c r="E1091" s="55">
        <f>38-36</f>
        <v>2</v>
      </c>
      <c r="F1091" s="43" t="s">
        <v>363</v>
      </c>
      <c r="G1091" s="43" t="s">
        <v>786</v>
      </c>
      <c r="K1091" s="43" t="s">
        <v>787</v>
      </c>
    </row>
    <row r="1092" spans="1:11" s="43" customFormat="1" x14ac:dyDescent="0.75">
      <c r="A1092" s="23" t="s">
        <v>39</v>
      </c>
      <c r="B1092" s="44">
        <v>44743</v>
      </c>
      <c r="C1092" s="43">
        <v>1</v>
      </c>
      <c r="D1092" s="43" t="s">
        <v>194</v>
      </c>
      <c r="E1092" s="55">
        <f>32-25</f>
        <v>7</v>
      </c>
      <c r="F1092" s="43" t="s">
        <v>363</v>
      </c>
      <c r="G1092" s="43" t="s">
        <v>786</v>
      </c>
      <c r="K1092" s="43" t="s">
        <v>787</v>
      </c>
    </row>
    <row r="1093" spans="1:11" s="43" customFormat="1" x14ac:dyDescent="0.75">
      <c r="A1093" s="23" t="s">
        <v>39</v>
      </c>
      <c r="B1093" s="44">
        <v>44743</v>
      </c>
      <c r="C1093" s="43">
        <v>1</v>
      </c>
      <c r="D1093" s="43" t="s">
        <v>191</v>
      </c>
      <c r="E1093" s="55">
        <f>25-23</f>
        <v>2</v>
      </c>
      <c r="F1093" s="43" t="s">
        <v>363</v>
      </c>
      <c r="G1093" s="43" t="s">
        <v>786</v>
      </c>
      <c r="K1093" s="43" t="s">
        <v>787</v>
      </c>
    </row>
    <row r="1094" spans="1:11" s="43" customFormat="1" x14ac:dyDescent="0.75">
      <c r="A1094" s="23" t="s">
        <v>39</v>
      </c>
      <c r="B1094" s="44">
        <v>44743</v>
      </c>
      <c r="C1094" s="43">
        <v>1</v>
      </c>
      <c r="D1094" s="43" t="s">
        <v>197</v>
      </c>
      <c r="E1094" s="55">
        <f>23-9</f>
        <v>14</v>
      </c>
      <c r="F1094" s="43" t="s">
        <v>363</v>
      </c>
      <c r="G1094" s="43" t="s">
        <v>786</v>
      </c>
      <c r="K1094" s="43" t="s">
        <v>787</v>
      </c>
    </row>
    <row r="1095" spans="1:11" s="43" customFormat="1" x14ac:dyDescent="0.75">
      <c r="A1095" s="23" t="s">
        <v>39</v>
      </c>
      <c r="B1095" s="44">
        <v>44743</v>
      </c>
      <c r="C1095" s="43">
        <v>1</v>
      </c>
      <c r="D1095" s="43" t="s">
        <v>153</v>
      </c>
      <c r="E1095" s="55">
        <f>9-7</f>
        <v>2</v>
      </c>
      <c r="F1095" s="43" t="s">
        <v>363</v>
      </c>
      <c r="G1095" s="43" t="s">
        <v>786</v>
      </c>
      <c r="K1095" s="43" t="s">
        <v>787</v>
      </c>
    </row>
    <row r="1096" spans="1:11" s="43" customFormat="1" x14ac:dyDescent="0.75">
      <c r="A1096" s="23" t="s">
        <v>39</v>
      </c>
      <c r="B1096" s="44">
        <v>44743</v>
      </c>
      <c r="C1096" s="43">
        <v>1</v>
      </c>
      <c r="D1096" s="43" t="s">
        <v>191</v>
      </c>
      <c r="E1096" s="55">
        <f>7+38-37</f>
        <v>8</v>
      </c>
      <c r="F1096" s="43" t="s">
        <v>363</v>
      </c>
      <c r="G1096" s="43" t="s">
        <v>786</v>
      </c>
      <c r="K1096" s="43" t="s">
        <v>787</v>
      </c>
    </row>
    <row r="1097" spans="1:11" s="43" customFormat="1" x14ac:dyDescent="0.75">
      <c r="A1097" s="23" t="s">
        <v>39</v>
      </c>
      <c r="B1097" s="44">
        <v>44743</v>
      </c>
      <c r="C1097" s="43">
        <v>1</v>
      </c>
      <c r="D1097" s="43" t="s">
        <v>197</v>
      </c>
      <c r="E1097" s="55">
        <f>37-23</f>
        <v>14</v>
      </c>
      <c r="F1097" s="43" t="s">
        <v>363</v>
      </c>
      <c r="G1097" s="43" t="s">
        <v>786</v>
      </c>
      <c r="K1097" s="43" t="s">
        <v>787</v>
      </c>
    </row>
    <row r="1098" spans="1:11" s="43" customFormat="1" x14ac:dyDescent="0.75">
      <c r="A1098" s="23" t="s">
        <v>39</v>
      </c>
      <c r="B1098" s="44">
        <v>44743</v>
      </c>
      <c r="C1098" s="43">
        <v>1</v>
      </c>
      <c r="D1098" s="43" t="s">
        <v>197</v>
      </c>
      <c r="E1098" s="55">
        <f>57-52</f>
        <v>5</v>
      </c>
      <c r="F1098" s="43" t="s">
        <v>363</v>
      </c>
      <c r="G1098" s="43" t="s">
        <v>786</v>
      </c>
      <c r="K1098" s="43" t="s">
        <v>787</v>
      </c>
    </row>
    <row r="1099" spans="1:11" x14ac:dyDescent="0.75">
      <c r="A1099" t="s">
        <v>39</v>
      </c>
      <c r="B1099" s="3">
        <v>44743</v>
      </c>
      <c r="C1099">
        <v>2</v>
      </c>
      <c r="D1099" t="s">
        <v>153</v>
      </c>
      <c r="E1099" s="22">
        <f>24-21</f>
        <v>3</v>
      </c>
      <c r="F1099" t="s">
        <v>363</v>
      </c>
      <c r="G1099" t="s">
        <v>374</v>
      </c>
    </row>
    <row r="1100" spans="1:11" x14ac:dyDescent="0.75">
      <c r="A1100" t="s">
        <v>39</v>
      </c>
      <c r="B1100" s="3">
        <v>44743</v>
      </c>
      <c r="C1100">
        <v>2</v>
      </c>
      <c r="D1100" t="s">
        <v>194</v>
      </c>
      <c r="E1100" s="22">
        <f>21-14</f>
        <v>7</v>
      </c>
      <c r="F1100" t="s">
        <v>363</v>
      </c>
      <c r="G1100" t="s">
        <v>374</v>
      </c>
    </row>
    <row r="1101" spans="1:11" x14ac:dyDescent="0.75">
      <c r="A1101" t="s">
        <v>39</v>
      </c>
      <c r="B1101" s="3">
        <v>44743</v>
      </c>
      <c r="C1101">
        <v>2</v>
      </c>
      <c r="D1101" t="s">
        <v>207</v>
      </c>
      <c r="E1101" s="22">
        <f>14-9</f>
        <v>5</v>
      </c>
      <c r="F1101" t="s">
        <v>363</v>
      </c>
      <c r="G1101" t="s">
        <v>374</v>
      </c>
    </row>
    <row r="1102" spans="1:11" x14ac:dyDescent="0.75">
      <c r="A1102" t="s">
        <v>39</v>
      </c>
      <c r="B1102" s="3">
        <v>44743</v>
      </c>
      <c r="C1102">
        <v>2</v>
      </c>
      <c r="D1102" t="s">
        <v>197</v>
      </c>
      <c r="E1102" s="22">
        <f>9-8</f>
        <v>1</v>
      </c>
      <c r="F1102" t="s">
        <v>363</v>
      </c>
      <c r="G1102" t="s">
        <v>374</v>
      </c>
    </row>
    <row r="1103" spans="1:11" x14ac:dyDescent="0.75">
      <c r="A1103" t="s">
        <v>39</v>
      </c>
      <c r="B1103" s="3">
        <v>44743</v>
      </c>
      <c r="C1103">
        <v>2</v>
      </c>
      <c r="D1103" t="s">
        <v>201</v>
      </c>
      <c r="E1103" s="22">
        <f>33-12</f>
        <v>21</v>
      </c>
      <c r="F1103" t="s">
        <v>363</v>
      </c>
      <c r="G1103" t="s">
        <v>374</v>
      </c>
    </row>
    <row r="1104" spans="1:11" x14ac:dyDescent="0.75">
      <c r="A1104" t="s">
        <v>39</v>
      </c>
      <c r="B1104" s="3">
        <v>44743</v>
      </c>
      <c r="C1104">
        <v>2</v>
      </c>
      <c r="D1104" t="s">
        <v>197</v>
      </c>
      <c r="E1104" s="22">
        <f>12-10</f>
        <v>2</v>
      </c>
      <c r="F1104" t="s">
        <v>363</v>
      </c>
      <c r="G1104" t="s">
        <v>374</v>
      </c>
    </row>
    <row r="1105" spans="1:11" x14ac:dyDescent="0.75">
      <c r="A1105" t="s">
        <v>39</v>
      </c>
      <c r="B1105" s="3">
        <v>44743</v>
      </c>
      <c r="C1105">
        <v>2</v>
      </c>
      <c r="D1105" t="s">
        <v>197</v>
      </c>
      <c r="E1105" s="22">
        <f>10-8</f>
        <v>2</v>
      </c>
      <c r="F1105" t="s">
        <v>363</v>
      </c>
      <c r="G1105" t="s">
        <v>374</v>
      </c>
    </row>
    <row r="1106" spans="1:11" x14ac:dyDescent="0.75">
      <c r="A1106" t="s">
        <v>39</v>
      </c>
      <c r="B1106" s="3">
        <v>44743</v>
      </c>
      <c r="C1106">
        <v>2</v>
      </c>
      <c r="D1106" t="s">
        <v>197</v>
      </c>
      <c r="E1106" s="22">
        <f>8-6</f>
        <v>2</v>
      </c>
      <c r="F1106" t="s">
        <v>363</v>
      </c>
      <c r="G1106" t="s">
        <v>374</v>
      </c>
    </row>
    <row r="1107" spans="1:11" x14ac:dyDescent="0.75">
      <c r="A1107" t="s">
        <v>39</v>
      </c>
      <c r="B1107" s="3">
        <v>44743</v>
      </c>
      <c r="C1107">
        <v>2</v>
      </c>
      <c r="D1107" t="s">
        <v>197</v>
      </c>
      <c r="E1107" s="22">
        <v>6</v>
      </c>
      <c r="F1107" t="s">
        <v>363</v>
      </c>
      <c r="G1107" t="s">
        <v>374</v>
      </c>
    </row>
    <row r="1108" spans="1:11" x14ac:dyDescent="0.75">
      <c r="A1108" t="s">
        <v>39</v>
      </c>
      <c r="B1108" s="3">
        <v>44743</v>
      </c>
      <c r="C1108">
        <v>2</v>
      </c>
      <c r="D1108" t="s">
        <v>197</v>
      </c>
      <c r="E1108" s="22">
        <f>8-5</f>
        <v>3</v>
      </c>
      <c r="F1108" t="s">
        <v>363</v>
      </c>
      <c r="G1108" t="s">
        <v>374</v>
      </c>
    </row>
    <row r="1109" spans="1:11" x14ac:dyDescent="0.75">
      <c r="A1109" t="s">
        <v>39</v>
      </c>
      <c r="B1109" s="3">
        <v>44743</v>
      </c>
      <c r="C1109">
        <v>2</v>
      </c>
      <c r="D1109" t="s">
        <v>201</v>
      </c>
      <c r="E1109" s="22">
        <f>5-2</f>
        <v>3</v>
      </c>
      <c r="F1109" t="s">
        <v>363</v>
      </c>
      <c r="G1109" t="s">
        <v>374</v>
      </c>
    </row>
    <row r="1110" spans="1:11" x14ac:dyDescent="0.75">
      <c r="A1110" t="s">
        <v>39</v>
      </c>
      <c r="B1110" s="3">
        <v>44743</v>
      </c>
      <c r="C1110">
        <v>2</v>
      </c>
      <c r="D1110" t="s">
        <v>197</v>
      </c>
      <c r="E1110" s="22">
        <f>26-21</f>
        <v>5</v>
      </c>
      <c r="F1110" t="s">
        <v>363</v>
      </c>
      <c r="G1110" t="s">
        <v>374</v>
      </c>
    </row>
    <row r="1111" spans="1:11" x14ac:dyDescent="0.75">
      <c r="A1111" t="s">
        <v>39</v>
      </c>
      <c r="B1111" s="3">
        <v>44743</v>
      </c>
      <c r="C1111">
        <v>2</v>
      </c>
      <c r="D1111" t="s">
        <v>194</v>
      </c>
      <c r="E1111" s="22">
        <f>21-18</f>
        <v>3</v>
      </c>
      <c r="F1111" t="s">
        <v>363</v>
      </c>
      <c r="G1111" t="s">
        <v>374</v>
      </c>
    </row>
    <row r="1112" spans="1:11" x14ac:dyDescent="0.75">
      <c r="A1112" t="s">
        <v>39</v>
      </c>
      <c r="B1112" s="3">
        <v>44743</v>
      </c>
      <c r="C1112">
        <v>2</v>
      </c>
      <c r="D1112" t="s">
        <v>160</v>
      </c>
      <c r="E1112" s="22">
        <f>18-12</f>
        <v>6</v>
      </c>
      <c r="F1112" t="s">
        <v>363</v>
      </c>
      <c r="G1112" t="s">
        <v>374</v>
      </c>
    </row>
    <row r="1113" spans="1:11" x14ac:dyDescent="0.75">
      <c r="A1113" t="s">
        <v>39</v>
      </c>
      <c r="B1113" s="3">
        <v>44743</v>
      </c>
      <c r="C1113">
        <v>2</v>
      </c>
      <c r="D1113" t="s">
        <v>160</v>
      </c>
      <c r="E1113" s="22" t="s">
        <v>363</v>
      </c>
      <c r="F1113">
        <v>948</v>
      </c>
      <c r="G1113" t="s">
        <v>786</v>
      </c>
      <c r="K1113" t="s">
        <v>788</v>
      </c>
    </row>
    <row r="1114" spans="1:11" x14ac:dyDescent="0.75">
      <c r="A1114" t="s">
        <v>39</v>
      </c>
      <c r="B1114" s="3">
        <v>44743</v>
      </c>
      <c r="C1114">
        <v>2</v>
      </c>
      <c r="D1114" t="s">
        <v>191</v>
      </c>
      <c r="E1114" s="22">
        <f>29-27</f>
        <v>2</v>
      </c>
      <c r="F1114" t="s">
        <v>363</v>
      </c>
      <c r="G1114" t="s">
        <v>786</v>
      </c>
    </row>
    <row r="1115" spans="1:11" x14ac:dyDescent="0.75">
      <c r="A1115" t="s">
        <v>39</v>
      </c>
      <c r="B1115" s="3">
        <v>44743</v>
      </c>
      <c r="C1115">
        <v>2</v>
      </c>
      <c r="D1115" t="s">
        <v>197</v>
      </c>
      <c r="E1115" s="22">
        <f>40-33</f>
        <v>7</v>
      </c>
      <c r="F1115" t="s">
        <v>363</v>
      </c>
      <c r="G1115" t="s">
        <v>786</v>
      </c>
    </row>
    <row r="1116" spans="1:11" x14ac:dyDescent="0.75">
      <c r="A1116" t="s">
        <v>39</v>
      </c>
      <c r="B1116" s="3">
        <v>44743</v>
      </c>
      <c r="C1116">
        <v>2</v>
      </c>
      <c r="D1116" t="s">
        <v>207</v>
      </c>
      <c r="E1116" s="22">
        <f>27-19</f>
        <v>8</v>
      </c>
      <c r="F1116" t="s">
        <v>363</v>
      </c>
      <c r="G1116" t="s">
        <v>786</v>
      </c>
    </row>
    <row r="1117" spans="1:11" x14ac:dyDescent="0.75">
      <c r="A1117" t="s">
        <v>39</v>
      </c>
      <c r="B1117" s="3">
        <v>44743</v>
      </c>
      <c r="C1117">
        <v>2</v>
      </c>
      <c r="D1117" t="s">
        <v>201</v>
      </c>
      <c r="E1117" s="22">
        <f>19-4</f>
        <v>15</v>
      </c>
      <c r="F1117" t="s">
        <v>363</v>
      </c>
      <c r="G1117" t="s">
        <v>786</v>
      </c>
    </row>
    <row r="1118" spans="1:11" x14ac:dyDescent="0.75">
      <c r="A1118" t="s">
        <v>39</v>
      </c>
      <c r="B1118" s="3">
        <v>44743</v>
      </c>
      <c r="C1118">
        <v>2</v>
      </c>
      <c r="D1118" t="s">
        <v>194</v>
      </c>
      <c r="E1118" s="22">
        <f>33-29</f>
        <v>4</v>
      </c>
      <c r="F1118" t="s">
        <v>363</v>
      </c>
      <c r="G1118" t="s">
        <v>786</v>
      </c>
    </row>
    <row r="1119" spans="1:11" x14ac:dyDescent="0.75">
      <c r="A1119" t="s">
        <v>39</v>
      </c>
      <c r="B1119" s="3">
        <v>44743</v>
      </c>
      <c r="C1119">
        <v>2</v>
      </c>
      <c r="D1119" t="s">
        <v>205</v>
      </c>
      <c r="E1119" s="22">
        <f>4-1</f>
        <v>3</v>
      </c>
      <c r="F1119" t="s">
        <v>363</v>
      </c>
      <c r="G1119" t="s">
        <v>786</v>
      </c>
    </row>
    <row r="1120" spans="1:11" x14ac:dyDescent="0.75">
      <c r="A1120" t="s">
        <v>39</v>
      </c>
      <c r="B1120" s="3">
        <v>44743</v>
      </c>
      <c r="C1120">
        <v>2</v>
      </c>
      <c r="D1120" t="s">
        <v>164</v>
      </c>
      <c r="E1120" s="22">
        <f>29-20</f>
        <v>9</v>
      </c>
      <c r="F1120" t="s">
        <v>363</v>
      </c>
      <c r="G1120" t="s">
        <v>786</v>
      </c>
    </row>
    <row r="1121" spans="1:11" x14ac:dyDescent="0.75">
      <c r="A1121" t="s">
        <v>39</v>
      </c>
      <c r="B1121" s="3">
        <v>44743</v>
      </c>
      <c r="C1121">
        <v>2</v>
      </c>
      <c r="D1121" t="s">
        <v>207</v>
      </c>
      <c r="E1121" s="22">
        <f>42-36</f>
        <v>6</v>
      </c>
      <c r="F1121" t="s">
        <v>363</v>
      </c>
      <c r="G1121" t="s">
        <v>786</v>
      </c>
    </row>
    <row r="1122" spans="1:11" x14ac:dyDescent="0.75">
      <c r="A1122" t="s">
        <v>39</v>
      </c>
      <c r="B1122" s="3">
        <v>44743</v>
      </c>
      <c r="C1122">
        <v>2</v>
      </c>
      <c r="D1122" t="s">
        <v>207</v>
      </c>
      <c r="E1122" s="22">
        <f>20-16</f>
        <v>4</v>
      </c>
      <c r="F1122" t="s">
        <v>363</v>
      </c>
      <c r="G1122" t="s">
        <v>786</v>
      </c>
    </row>
    <row r="1123" spans="1:11" x14ac:dyDescent="0.75">
      <c r="A1123" t="s">
        <v>39</v>
      </c>
      <c r="B1123" s="3">
        <v>44743</v>
      </c>
      <c r="C1123">
        <v>2</v>
      </c>
      <c r="D1123" t="s">
        <v>187</v>
      </c>
      <c r="E1123" s="22">
        <f>37-36</f>
        <v>1</v>
      </c>
      <c r="F1123" t="s">
        <v>363</v>
      </c>
      <c r="G1123" t="s">
        <v>786</v>
      </c>
    </row>
    <row r="1124" spans="1:11" x14ac:dyDescent="0.75">
      <c r="A1124" t="s">
        <v>39</v>
      </c>
      <c r="B1124" s="3">
        <v>44743</v>
      </c>
      <c r="C1124">
        <v>2</v>
      </c>
      <c r="D1124" t="s">
        <v>160</v>
      </c>
      <c r="E1124" s="22">
        <f>36-34</f>
        <v>2</v>
      </c>
      <c r="F1124" t="s">
        <v>363</v>
      </c>
      <c r="G1124" t="s">
        <v>786</v>
      </c>
    </row>
    <row r="1125" spans="1:11" x14ac:dyDescent="0.75">
      <c r="A1125" t="s">
        <v>39</v>
      </c>
      <c r="B1125" s="3">
        <v>44743</v>
      </c>
      <c r="C1125">
        <v>2</v>
      </c>
      <c r="D1125" t="s">
        <v>168</v>
      </c>
      <c r="E1125" s="22">
        <f>34-24+16-13</f>
        <v>13</v>
      </c>
      <c r="F1125" t="s">
        <v>363</v>
      </c>
      <c r="G1125" t="s">
        <v>786</v>
      </c>
    </row>
    <row r="1126" spans="1:11" s="23" customFormat="1" x14ac:dyDescent="0.75">
      <c r="A1126" s="23" t="s">
        <v>69</v>
      </c>
      <c r="B1126" s="24">
        <v>44748</v>
      </c>
      <c r="C1126" s="23">
        <v>1</v>
      </c>
      <c r="D1126" s="23" t="s">
        <v>201</v>
      </c>
      <c r="E1126" s="52">
        <f>57-51</f>
        <v>6</v>
      </c>
      <c r="F1126" s="23" t="s">
        <v>363</v>
      </c>
      <c r="G1126" s="23" t="s">
        <v>789</v>
      </c>
      <c r="K1126" s="23" t="s">
        <v>790</v>
      </c>
    </row>
    <row r="1127" spans="1:11" s="23" customFormat="1" x14ac:dyDescent="0.75">
      <c r="A1127" s="23" t="s">
        <v>69</v>
      </c>
      <c r="B1127" s="24">
        <v>44748</v>
      </c>
      <c r="C1127" s="23">
        <v>1</v>
      </c>
      <c r="D1127" s="23" t="s">
        <v>168</v>
      </c>
      <c r="E1127" s="52">
        <f>51-48</f>
        <v>3</v>
      </c>
      <c r="F1127" s="23" t="s">
        <v>363</v>
      </c>
      <c r="G1127" s="23" t="s">
        <v>789</v>
      </c>
      <c r="K1127" s="23" t="s">
        <v>790</v>
      </c>
    </row>
    <row r="1128" spans="1:11" s="23" customFormat="1" x14ac:dyDescent="0.75">
      <c r="A1128" s="23" t="s">
        <v>69</v>
      </c>
      <c r="B1128" s="24">
        <v>44748</v>
      </c>
      <c r="C1128" s="23">
        <v>1</v>
      </c>
      <c r="D1128" s="23" t="s">
        <v>197</v>
      </c>
      <c r="E1128" s="52">
        <f>48-12</f>
        <v>36</v>
      </c>
      <c r="F1128" s="23" t="s">
        <v>363</v>
      </c>
      <c r="G1128" s="23" t="s">
        <v>789</v>
      </c>
      <c r="K1128" s="23" t="s">
        <v>790</v>
      </c>
    </row>
    <row r="1129" spans="1:11" s="23" customFormat="1" x14ac:dyDescent="0.75">
      <c r="A1129" s="23" t="s">
        <v>69</v>
      </c>
      <c r="B1129" s="24">
        <v>44748</v>
      </c>
      <c r="C1129" s="23">
        <v>1</v>
      </c>
      <c r="D1129" s="23" t="s">
        <v>168</v>
      </c>
      <c r="E1129" s="52">
        <f>12-8</f>
        <v>4</v>
      </c>
      <c r="F1129" s="23" t="s">
        <v>363</v>
      </c>
      <c r="G1129" s="23" t="s">
        <v>789</v>
      </c>
      <c r="K1129" s="23" t="s">
        <v>790</v>
      </c>
    </row>
    <row r="1130" spans="1:11" s="23" customFormat="1" x14ac:dyDescent="0.75">
      <c r="A1130" s="23" t="s">
        <v>69</v>
      </c>
      <c r="B1130" s="24">
        <v>44748</v>
      </c>
      <c r="C1130" s="23">
        <v>1</v>
      </c>
      <c r="D1130" s="23" t="s">
        <v>201</v>
      </c>
      <c r="E1130" s="52">
        <f>8-4</f>
        <v>4</v>
      </c>
      <c r="F1130" s="23" t="s">
        <v>363</v>
      </c>
      <c r="G1130" s="23" t="s">
        <v>789</v>
      </c>
      <c r="K1130" s="23" t="s">
        <v>790</v>
      </c>
    </row>
    <row r="1131" spans="1:11" s="23" customFormat="1" x14ac:dyDescent="0.75">
      <c r="A1131" s="23" t="s">
        <v>69</v>
      </c>
      <c r="B1131" s="24">
        <v>44748</v>
      </c>
      <c r="C1131" s="23">
        <v>1</v>
      </c>
      <c r="D1131" s="23" t="s">
        <v>207</v>
      </c>
      <c r="E1131" s="52">
        <f>4-2</f>
        <v>2</v>
      </c>
      <c r="F1131" s="23" t="s">
        <v>363</v>
      </c>
      <c r="G1131" s="23" t="s">
        <v>789</v>
      </c>
      <c r="K1131" s="23" t="s">
        <v>790</v>
      </c>
    </row>
    <row r="1132" spans="1:11" s="23" customFormat="1" x14ac:dyDescent="0.75">
      <c r="A1132" s="23" t="s">
        <v>69</v>
      </c>
      <c r="B1132" s="24">
        <v>44748</v>
      </c>
      <c r="C1132" s="23">
        <v>1</v>
      </c>
      <c r="D1132" s="23" t="s">
        <v>191</v>
      </c>
      <c r="E1132" s="52">
        <f>58-56</f>
        <v>2</v>
      </c>
      <c r="F1132" s="23" t="s">
        <v>363</v>
      </c>
      <c r="G1132" s="23" t="s">
        <v>789</v>
      </c>
      <c r="K1132" s="23" t="s">
        <v>790</v>
      </c>
    </row>
    <row r="1133" spans="1:11" s="23" customFormat="1" x14ac:dyDescent="0.75">
      <c r="A1133" s="23" t="s">
        <v>69</v>
      </c>
      <c r="B1133" s="24">
        <v>44748</v>
      </c>
      <c r="C1133" s="23">
        <v>1</v>
      </c>
      <c r="D1133" s="23" t="s">
        <v>168</v>
      </c>
      <c r="E1133" s="52">
        <f>56-53</f>
        <v>3</v>
      </c>
      <c r="F1133" s="23" t="s">
        <v>363</v>
      </c>
      <c r="G1133" s="23" t="s">
        <v>789</v>
      </c>
      <c r="K1133" s="23" t="s">
        <v>790</v>
      </c>
    </row>
    <row r="1134" spans="1:11" s="23" customFormat="1" x14ac:dyDescent="0.75">
      <c r="A1134" s="23" t="s">
        <v>69</v>
      </c>
      <c r="B1134" s="24">
        <v>44748</v>
      </c>
      <c r="C1134" s="23">
        <v>1</v>
      </c>
      <c r="D1134" s="23" t="s">
        <v>191</v>
      </c>
      <c r="E1134" s="52">
        <f>53-50</f>
        <v>3</v>
      </c>
      <c r="F1134" s="23" t="s">
        <v>363</v>
      </c>
      <c r="G1134" s="23" t="s">
        <v>789</v>
      </c>
      <c r="K1134" s="23" t="s">
        <v>790</v>
      </c>
    </row>
    <row r="1135" spans="1:11" s="23" customFormat="1" x14ac:dyDescent="0.75">
      <c r="A1135" s="23" t="s">
        <v>69</v>
      </c>
      <c r="B1135" s="24">
        <v>44748</v>
      </c>
      <c r="C1135" s="23">
        <v>1</v>
      </c>
      <c r="D1135" s="23" t="s">
        <v>160</v>
      </c>
      <c r="E1135" s="52">
        <f>50-45</f>
        <v>5</v>
      </c>
      <c r="F1135" s="23" t="s">
        <v>363</v>
      </c>
      <c r="G1135" s="23" t="s">
        <v>789</v>
      </c>
      <c r="K1135" s="23" t="s">
        <v>790</v>
      </c>
    </row>
    <row r="1136" spans="1:11" s="23" customFormat="1" x14ac:dyDescent="0.75">
      <c r="A1136" s="23" t="s">
        <v>69</v>
      </c>
      <c r="B1136" s="24">
        <v>44748</v>
      </c>
      <c r="C1136" s="23">
        <v>1</v>
      </c>
      <c r="D1136" s="23" t="s">
        <v>168</v>
      </c>
      <c r="E1136" s="52">
        <f>45-44</f>
        <v>1</v>
      </c>
      <c r="F1136" s="23" t="s">
        <v>363</v>
      </c>
      <c r="G1136" s="23" t="s">
        <v>789</v>
      </c>
      <c r="K1136" s="23" t="s">
        <v>790</v>
      </c>
    </row>
    <row r="1137" spans="1:11" s="23" customFormat="1" x14ac:dyDescent="0.75">
      <c r="A1137" s="23" t="s">
        <v>69</v>
      </c>
      <c r="B1137" s="24">
        <v>44748</v>
      </c>
      <c r="C1137" s="23">
        <v>1</v>
      </c>
      <c r="D1137" s="23" t="s">
        <v>191</v>
      </c>
      <c r="E1137" s="52">
        <f>52-44</f>
        <v>8</v>
      </c>
      <c r="F1137" s="23" t="s">
        <v>363</v>
      </c>
      <c r="G1137" s="23" t="s">
        <v>374</v>
      </c>
    </row>
    <row r="1138" spans="1:11" s="23" customFormat="1" x14ac:dyDescent="0.75">
      <c r="A1138" s="23" t="s">
        <v>69</v>
      </c>
      <c r="B1138" s="24">
        <v>44748</v>
      </c>
      <c r="C1138" s="23">
        <v>1</v>
      </c>
      <c r="D1138" s="23" t="s">
        <v>168</v>
      </c>
      <c r="E1138" s="52">
        <f>44-40</f>
        <v>4</v>
      </c>
      <c r="F1138" s="23" t="s">
        <v>363</v>
      </c>
      <c r="G1138" s="23" t="s">
        <v>374</v>
      </c>
    </row>
    <row r="1139" spans="1:11" s="23" customFormat="1" x14ac:dyDescent="0.75">
      <c r="A1139" s="23" t="s">
        <v>69</v>
      </c>
      <c r="B1139" s="24">
        <v>44748</v>
      </c>
      <c r="C1139" s="23">
        <v>1</v>
      </c>
      <c r="D1139" s="23" t="s">
        <v>168</v>
      </c>
      <c r="E1139" s="52">
        <f>40-39</f>
        <v>1</v>
      </c>
      <c r="F1139" s="23" t="s">
        <v>363</v>
      </c>
      <c r="G1139" s="23" t="s">
        <v>374</v>
      </c>
    </row>
    <row r="1140" spans="1:11" s="23" customFormat="1" x14ac:dyDescent="0.75">
      <c r="A1140" s="23" t="s">
        <v>69</v>
      </c>
      <c r="B1140" s="24">
        <v>44748</v>
      </c>
      <c r="C1140" s="23">
        <v>1</v>
      </c>
      <c r="D1140" s="23" t="s">
        <v>168</v>
      </c>
      <c r="E1140" s="52">
        <f>39-27</f>
        <v>12</v>
      </c>
      <c r="F1140" s="23" t="s">
        <v>363</v>
      </c>
      <c r="G1140" s="23" t="s">
        <v>374</v>
      </c>
    </row>
    <row r="1141" spans="1:11" s="23" customFormat="1" x14ac:dyDescent="0.75">
      <c r="A1141" s="23" t="s">
        <v>69</v>
      </c>
      <c r="B1141" s="24">
        <v>44748</v>
      </c>
      <c r="C1141" s="23">
        <v>1</v>
      </c>
      <c r="D1141" s="23" t="s">
        <v>201</v>
      </c>
      <c r="E1141" s="52">
        <f>27-20</f>
        <v>7</v>
      </c>
      <c r="F1141" s="23" t="s">
        <v>363</v>
      </c>
      <c r="G1141" s="23" t="s">
        <v>374</v>
      </c>
      <c r="K1141" s="23" t="s">
        <v>791</v>
      </c>
    </row>
    <row r="1142" spans="1:11" s="23" customFormat="1" x14ac:dyDescent="0.75">
      <c r="A1142" s="23" t="s">
        <v>69</v>
      </c>
      <c r="B1142" s="24">
        <v>44748</v>
      </c>
      <c r="C1142" s="23">
        <v>1</v>
      </c>
      <c r="D1142" s="23" t="s">
        <v>191</v>
      </c>
      <c r="E1142" s="52">
        <f>20-9</f>
        <v>11</v>
      </c>
      <c r="F1142" s="23" t="s">
        <v>363</v>
      </c>
      <c r="G1142" s="23" t="s">
        <v>374</v>
      </c>
    </row>
    <row r="1143" spans="1:11" s="23" customFormat="1" x14ac:dyDescent="0.75">
      <c r="A1143" s="23" t="s">
        <v>69</v>
      </c>
      <c r="B1143" s="24">
        <v>44748</v>
      </c>
      <c r="C1143" s="23">
        <v>1</v>
      </c>
      <c r="D1143" s="23" t="s">
        <v>191</v>
      </c>
      <c r="E1143" s="52">
        <f>9-4</f>
        <v>5</v>
      </c>
      <c r="F1143" s="23">
        <v>952</v>
      </c>
      <c r="G1143" s="23" t="s">
        <v>374</v>
      </c>
    </row>
    <row r="1144" spans="1:11" s="23" customFormat="1" x14ac:dyDescent="0.75">
      <c r="A1144" s="23" t="s">
        <v>69</v>
      </c>
      <c r="B1144" s="24">
        <v>44748</v>
      </c>
      <c r="C1144" s="23">
        <v>1</v>
      </c>
      <c r="D1144" s="23" t="s">
        <v>191</v>
      </c>
      <c r="E1144" s="52">
        <f>47-37</f>
        <v>10</v>
      </c>
      <c r="F1144" s="23">
        <v>3993</v>
      </c>
      <c r="G1144" s="23" t="s">
        <v>374</v>
      </c>
    </row>
    <row r="1145" spans="1:11" s="23" customFormat="1" x14ac:dyDescent="0.75">
      <c r="A1145" s="23" t="s">
        <v>69</v>
      </c>
      <c r="B1145" s="24">
        <v>44748</v>
      </c>
      <c r="C1145" s="23">
        <v>1</v>
      </c>
      <c r="D1145" s="23" t="s">
        <v>197</v>
      </c>
      <c r="E1145" s="52">
        <f>54-50</f>
        <v>4</v>
      </c>
      <c r="F1145" s="23">
        <v>3988</v>
      </c>
      <c r="G1145" s="23" t="s">
        <v>374</v>
      </c>
    </row>
    <row r="1146" spans="1:11" s="23" customFormat="1" x14ac:dyDescent="0.75">
      <c r="A1146" s="23" t="s">
        <v>69</v>
      </c>
      <c r="B1146" s="24">
        <v>44748</v>
      </c>
      <c r="C1146" s="23">
        <v>1</v>
      </c>
      <c r="D1146" s="23" t="s">
        <v>207</v>
      </c>
      <c r="E1146" s="52">
        <f>50-49</f>
        <v>1</v>
      </c>
      <c r="F1146" s="23" t="s">
        <v>363</v>
      </c>
      <c r="G1146" s="23" t="s">
        <v>374</v>
      </c>
    </row>
    <row r="1147" spans="1:11" s="23" customFormat="1" x14ac:dyDescent="0.75">
      <c r="A1147" s="23" t="s">
        <v>69</v>
      </c>
      <c r="B1147" s="24">
        <v>44748</v>
      </c>
      <c r="C1147" s="23">
        <v>1</v>
      </c>
      <c r="D1147" s="23" t="s">
        <v>201</v>
      </c>
      <c r="E1147" s="52">
        <f>49-39</f>
        <v>10</v>
      </c>
      <c r="F1147" s="23" t="s">
        <v>363</v>
      </c>
      <c r="G1147" s="23" t="s">
        <v>374</v>
      </c>
      <c r="K1147" s="23" t="s">
        <v>780</v>
      </c>
    </row>
    <row r="1148" spans="1:11" s="23" customFormat="1" x14ac:dyDescent="0.75">
      <c r="A1148" s="23" t="s">
        <v>69</v>
      </c>
      <c r="B1148" s="24">
        <v>44748</v>
      </c>
      <c r="C1148" s="23">
        <v>1</v>
      </c>
      <c r="D1148" s="23" t="s">
        <v>191</v>
      </c>
      <c r="E1148" s="52">
        <f>39-30</f>
        <v>9</v>
      </c>
      <c r="F1148" s="23" t="s">
        <v>363</v>
      </c>
      <c r="G1148" s="23" t="s">
        <v>374</v>
      </c>
    </row>
    <row r="1149" spans="1:11" s="23" customFormat="1" x14ac:dyDescent="0.75">
      <c r="A1149" s="23" t="s">
        <v>69</v>
      </c>
      <c r="B1149" s="24">
        <v>44748</v>
      </c>
      <c r="C1149" s="23">
        <v>1</v>
      </c>
      <c r="D1149" s="23" t="s">
        <v>194</v>
      </c>
      <c r="E1149" s="52">
        <f>30-27</f>
        <v>3</v>
      </c>
      <c r="F1149" s="23" t="s">
        <v>363</v>
      </c>
      <c r="G1149" s="23" t="s">
        <v>374</v>
      </c>
    </row>
    <row r="1150" spans="1:11" s="23" customFormat="1" x14ac:dyDescent="0.75">
      <c r="A1150" s="23" t="s">
        <v>69</v>
      </c>
      <c r="B1150" s="24">
        <v>44748</v>
      </c>
      <c r="C1150" s="23">
        <v>1</v>
      </c>
      <c r="D1150" s="23" t="s">
        <v>207</v>
      </c>
      <c r="E1150" s="52">
        <f>27-24</f>
        <v>3</v>
      </c>
      <c r="F1150" s="23" t="s">
        <v>363</v>
      </c>
      <c r="G1150" s="23" t="s">
        <v>374</v>
      </c>
    </row>
    <row r="1151" spans="1:11" s="23" customFormat="1" x14ac:dyDescent="0.75">
      <c r="A1151" s="23" t="s">
        <v>69</v>
      </c>
      <c r="B1151" s="24">
        <v>44748</v>
      </c>
      <c r="C1151" s="23">
        <v>1</v>
      </c>
      <c r="D1151" s="23" t="s">
        <v>194</v>
      </c>
      <c r="E1151" s="52">
        <f>24-22</f>
        <v>2</v>
      </c>
      <c r="F1151" s="23" t="s">
        <v>363</v>
      </c>
      <c r="G1151" s="23" t="s">
        <v>374</v>
      </c>
    </row>
    <row r="1152" spans="1:11" s="23" customFormat="1" x14ac:dyDescent="0.75">
      <c r="A1152" s="23" t="s">
        <v>69</v>
      </c>
      <c r="B1152" s="24">
        <v>44748</v>
      </c>
      <c r="C1152" s="23">
        <v>1</v>
      </c>
      <c r="D1152" s="23" t="s">
        <v>172</v>
      </c>
      <c r="E1152" s="52">
        <f>22-20</f>
        <v>2</v>
      </c>
      <c r="F1152" s="23" t="s">
        <v>363</v>
      </c>
      <c r="G1152" s="23" t="s">
        <v>374</v>
      </c>
    </row>
    <row r="1153" spans="1:11" s="23" customFormat="1" x14ac:dyDescent="0.75">
      <c r="A1153" s="23" t="s">
        <v>69</v>
      </c>
      <c r="B1153" s="24">
        <v>44748</v>
      </c>
      <c r="C1153" s="23">
        <v>1</v>
      </c>
      <c r="D1153" s="23" t="s">
        <v>172</v>
      </c>
      <c r="E1153" s="52">
        <f>20-17</f>
        <v>3</v>
      </c>
      <c r="F1153" s="23" t="s">
        <v>363</v>
      </c>
      <c r="G1153" s="23" t="s">
        <v>374</v>
      </c>
    </row>
    <row r="1154" spans="1:11" s="23" customFormat="1" x14ac:dyDescent="0.75">
      <c r="A1154" s="23" t="s">
        <v>69</v>
      </c>
      <c r="B1154" s="24">
        <v>44748</v>
      </c>
      <c r="C1154" s="23">
        <v>1</v>
      </c>
      <c r="D1154" s="23" t="s">
        <v>172</v>
      </c>
      <c r="E1154" s="52">
        <f>17-13</f>
        <v>4</v>
      </c>
      <c r="F1154" s="23" t="s">
        <v>363</v>
      </c>
      <c r="G1154" s="23" t="s">
        <v>374</v>
      </c>
    </row>
    <row r="1155" spans="1:11" s="23" customFormat="1" x14ac:dyDescent="0.75">
      <c r="A1155" s="23" t="s">
        <v>69</v>
      </c>
      <c r="B1155" s="24">
        <v>44748</v>
      </c>
      <c r="C1155" s="23">
        <v>1</v>
      </c>
      <c r="D1155" s="23" t="s">
        <v>191</v>
      </c>
      <c r="E1155" s="52">
        <f>60-43</f>
        <v>17</v>
      </c>
      <c r="F1155" s="23" t="s">
        <v>363</v>
      </c>
      <c r="G1155" s="23" t="s">
        <v>367</v>
      </c>
    </row>
    <row r="1156" spans="1:11" s="23" customFormat="1" x14ac:dyDescent="0.75">
      <c r="A1156" s="23" t="s">
        <v>69</v>
      </c>
      <c r="B1156" s="24">
        <v>44748</v>
      </c>
      <c r="C1156" s="23">
        <v>1</v>
      </c>
      <c r="D1156" s="23" t="s">
        <v>207</v>
      </c>
      <c r="E1156" s="52">
        <f>43-41</f>
        <v>2</v>
      </c>
      <c r="F1156" s="23" t="s">
        <v>363</v>
      </c>
      <c r="G1156" s="23" t="s">
        <v>367</v>
      </c>
    </row>
    <row r="1157" spans="1:11" s="23" customFormat="1" x14ac:dyDescent="0.75">
      <c r="A1157" s="23" t="s">
        <v>69</v>
      </c>
      <c r="B1157" s="24">
        <v>44748</v>
      </c>
      <c r="C1157" s="23">
        <v>1</v>
      </c>
      <c r="D1157" s="23" t="s">
        <v>168</v>
      </c>
      <c r="E1157" s="52">
        <f>41-28</f>
        <v>13</v>
      </c>
      <c r="F1157" s="23" t="s">
        <v>363</v>
      </c>
      <c r="G1157" s="23" t="s">
        <v>367</v>
      </c>
    </row>
    <row r="1158" spans="1:11" s="23" customFormat="1" x14ac:dyDescent="0.75">
      <c r="A1158" s="23" t="s">
        <v>69</v>
      </c>
      <c r="B1158" s="24">
        <v>44748</v>
      </c>
      <c r="C1158" s="23">
        <v>1</v>
      </c>
      <c r="D1158" s="23" t="s">
        <v>207</v>
      </c>
      <c r="E1158" s="52">
        <f>28-27</f>
        <v>1</v>
      </c>
      <c r="F1158" s="23" t="s">
        <v>363</v>
      </c>
      <c r="G1158" s="23" t="s">
        <v>367</v>
      </c>
    </row>
    <row r="1159" spans="1:11" s="23" customFormat="1" x14ac:dyDescent="0.75">
      <c r="A1159" s="23" t="s">
        <v>69</v>
      </c>
      <c r="B1159" s="24">
        <v>44748</v>
      </c>
      <c r="C1159" s="23">
        <v>1</v>
      </c>
      <c r="D1159" s="23" t="s">
        <v>172</v>
      </c>
      <c r="E1159" s="52">
        <f>27-22</f>
        <v>5</v>
      </c>
      <c r="F1159" s="23" t="s">
        <v>363</v>
      </c>
      <c r="G1159" s="23" t="s">
        <v>367</v>
      </c>
    </row>
    <row r="1160" spans="1:11" s="23" customFormat="1" x14ac:dyDescent="0.75">
      <c r="A1160" s="23" t="s">
        <v>69</v>
      </c>
      <c r="B1160" s="24">
        <v>44748</v>
      </c>
      <c r="C1160" s="23">
        <v>1</v>
      </c>
      <c r="D1160" s="23" t="s">
        <v>207</v>
      </c>
      <c r="E1160" s="52">
        <f>22-17</f>
        <v>5</v>
      </c>
      <c r="F1160" s="23" t="s">
        <v>363</v>
      </c>
      <c r="G1160" s="23" t="s">
        <v>367</v>
      </c>
    </row>
    <row r="1161" spans="1:11" s="23" customFormat="1" x14ac:dyDescent="0.75">
      <c r="A1161" s="23" t="s">
        <v>69</v>
      </c>
      <c r="B1161" s="24">
        <v>44748</v>
      </c>
      <c r="C1161" s="23">
        <v>1</v>
      </c>
      <c r="D1161" s="23" t="s">
        <v>197</v>
      </c>
      <c r="E1161" s="52">
        <f>17-14</f>
        <v>3</v>
      </c>
      <c r="F1161" s="23" t="s">
        <v>363</v>
      </c>
      <c r="G1161" s="23" t="s">
        <v>367</v>
      </c>
    </row>
    <row r="1162" spans="1:11" s="23" customFormat="1" x14ac:dyDescent="0.75">
      <c r="A1162" s="23" t="s">
        <v>69</v>
      </c>
      <c r="B1162" s="24">
        <v>44748</v>
      </c>
      <c r="C1162" s="23">
        <v>1</v>
      </c>
      <c r="D1162" s="23" t="s">
        <v>207</v>
      </c>
      <c r="E1162" s="52">
        <f>14-12</f>
        <v>2</v>
      </c>
      <c r="F1162" s="23" t="s">
        <v>363</v>
      </c>
      <c r="G1162" s="23" t="s">
        <v>367</v>
      </c>
    </row>
    <row r="1163" spans="1:11" s="23" customFormat="1" x14ac:dyDescent="0.75">
      <c r="A1163" s="23" t="s">
        <v>69</v>
      </c>
      <c r="B1163" s="24">
        <v>44748</v>
      </c>
      <c r="C1163" s="23">
        <v>1</v>
      </c>
      <c r="D1163" s="23" t="s">
        <v>207</v>
      </c>
      <c r="E1163" s="52">
        <f>12-10</f>
        <v>2</v>
      </c>
      <c r="F1163" s="23">
        <v>906</v>
      </c>
      <c r="G1163" s="23" t="s">
        <v>367</v>
      </c>
      <c r="K1163" s="23" t="s">
        <v>780</v>
      </c>
    </row>
    <row r="1164" spans="1:11" s="23" customFormat="1" x14ac:dyDescent="0.75">
      <c r="A1164" s="23" t="s">
        <v>69</v>
      </c>
      <c r="B1164" s="24">
        <v>44748</v>
      </c>
      <c r="C1164" s="23">
        <v>1</v>
      </c>
      <c r="D1164" s="23" t="s">
        <v>160</v>
      </c>
      <c r="E1164" s="52">
        <f>10-6</f>
        <v>4</v>
      </c>
      <c r="F1164" s="23" t="s">
        <v>363</v>
      </c>
      <c r="G1164" s="23" t="s">
        <v>367</v>
      </c>
    </row>
    <row r="1165" spans="1:11" s="23" customFormat="1" x14ac:dyDescent="0.75">
      <c r="A1165" s="23" t="s">
        <v>69</v>
      </c>
      <c r="B1165" s="24">
        <v>44748</v>
      </c>
      <c r="C1165" s="23">
        <v>1</v>
      </c>
      <c r="D1165" s="23" t="s">
        <v>207</v>
      </c>
      <c r="E1165" s="52">
        <f>6-4</f>
        <v>2</v>
      </c>
      <c r="F1165" s="23" t="s">
        <v>363</v>
      </c>
      <c r="G1165" s="23" t="s">
        <v>367</v>
      </c>
    </row>
    <row r="1166" spans="1:11" s="23" customFormat="1" x14ac:dyDescent="0.75">
      <c r="A1166" s="23" t="s">
        <v>69</v>
      </c>
      <c r="B1166" s="24">
        <v>44748</v>
      </c>
      <c r="C1166" s="23">
        <v>1</v>
      </c>
      <c r="D1166" s="23" t="s">
        <v>201</v>
      </c>
      <c r="E1166" s="52">
        <f>55-49</f>
        <v>6</v>
      </c>
      <c r="F1166" s="23" t="s">
        <v>363</v>
      </c>
      <c r="G1166" s="23" t="s">
        <v>789</v>
      </c>
      <c r="K1166" s="23" t="s">
        <v>787</v>
      </c>
    </row>
    <row r="1167" spans="1:11" s="23" customFormat="1" x14ac:dyDescent="0.75">
      <c r="A1167" s="23" t="s">
        <v>69</v>
      </c>
      <c r="B1167" s="24">
        <v>44748</v>
      </c>
      <c r="C1167" s="23">
        <v>1</v>
      </c>
      <c r="D1167" s="23" t="s">
        <v>201</v>
      </c>
      <c r="E1167" s="52">
        <f>49-48</f>
        <v>1</v>
      </c>
      <c r="F1167" s="23" t="s">
        <v>363</v>
      </c>
      <c r="G1167" s="23" t="s">
        <v>789</v>
      </c>
    </row>
    <row r="1168" spans="1:11" s="23" customFormat="1" x14ac:dyDescent="0.75">
      <c r="A1168" s="23" t="s">
        <v>69</v>
      </c>
      <c r="B1168" s="24">
        <v>44748</v>
      </c>
      <c r="C1168" s="23">
        <v>1</v>
      </c>
      <c r="D1168" s="23" t="s">
        <v>201</v>
      </c>
      <c r="E1168" s="52">
        <f>48-47</f>
        <v>1</v>
      </c>
      <c r="F1168" s="23" t="s">
        <v>363</v>
      </c>
      <c r="G1168" s="23" t="s">
        <v>789</v>
      </c>
    </row>
    <row r="1169" spans="1:11" s="23" customFormat="1" x14ac:dyDescent="0.75">
      <c r="A1169" s="23" t="s">
        <v>69</v>
      </c>
      <c r="B1169" s="24">
        <v>44748</v>
      </c>
      <c r="C1169" s="23">
        <v>1</v>
      </c>
      <c r="D1169" s="23" t="s">
        <v>201</v>
      </c>
      <c r="E1169" s="52">
        <f>47-35</f>
        <v>12</v>
      </c>
      <c r="F1169" s="23" t="s">
        <v>363</v>
      </c>
      <c r="G1169" s="23" t="s">
        <v>789</v>
      </c>
    </row>
    <row r="1170" spans="1:11" s="23" customFormat="1" x14ac:dyDescent="0.75">
      <c r="A1170" s="23" t="s">
        <v>69</v>
      </c>
      <c r="B1170" s="24">
        <v>44748</v>
      </c>
      <c r="C1170" s="23">
        <v>1</v>
      </c>
      <c r="D1170" s="23" t="s">
        <v>191</v>
      </c>
      <c r="E1170" s="52">
        <f>35-29</f>
        <v>6</v>
      </c>
      <c r="F1170" s="23" t="s">
        <v>363</v>
      </c>
      <c r="G1170" s="23" t="s">
        <v>789</v>
      </c>
    </row>
    <row r="1171" spans="1:11" s="23" customFormat="1" x14ac:dyDescent="0.75">
      <c r="A1171" s="23" t="s">
        <v>69</v>
      </c>
      <c r="B1171" s="24">
        <v>44748</v>
      </c>
      <c r="C1171" s="23">
        <v>1</v>
      </c>
      <c r="D1171" s="23" t="s">
        <v>197</v>
      </c>
      <c r="E1171" s="52" t="s">
        <v>363</v>
      </c>
      <c r="F1171" s="23" t="s">
        <v>363</v>
      </c>
      <c r="G1171" s="23" t="s">
        <v>789</v>
      </c>
      <c r="K1171" s="23" t="s">
        <v>762</v>
      </c>
    </row>
    <row r="1172" spans="1:11" s="23" customFormat="1" x14ac:dyDescent="0.75">
      <c r="A1172" s="23" t="s">
        <v>69</v>
      </c>
      <c r="B1172" s="24">
        <v>44748</v>
      </c>
      <c r="C1172" s="23">
        <v>1</v>
      </c>
      <c r="D1172" s="23" t="s">
        <v>197</v>
      </c>
      <c r="E1172" s="52" t="s">
        <v>363</v>
      </c>
      <c r="F1172" s="23" t="s">
        <v>363</v>
      </c>
      <c r="G1172" s="23" t="s">
        <v>789</v>
      </c>
      <c r="K1172" s="23" t="s">
        <v>762</v>
      </c>
    </row>
    <row r="1173" spans="1:11" s="23" customFormat="1" x14ac:dyDescent="0.75">
      <c r="A1173" s="23" t="s">
        <v>69</v>
      </c>
      <c r="B1173" s="24">
        <v>44748</v>
      </c>
      <c r="C1173" s="23">
        <v>1</v>
      </c>
      <c r="D1173" s="23" t="s">
        <v>201</v>
      </c>
      <c r="E1173" s="52">
        <f>19-17</f>
        <v>2</v>
      </c>
      <c r="F1173" s="23" t="s">
        <v>363</v>
      </c>
      <c r="G1173" s="23" t="s">
        <v>789</v>
      </c>
    </row>
    <row r="1174" spans="1:11" s="23" customFormat="1" x14ac:dyDescent="0.75">
      <c r="A1174" s="23" t="s">
        <v>69</v>
      </c>
      <c r="B1174" s="24">
        <v>44748</v>
      </c>
      <c r="C1174" s="23">
        <v>1</v>
      </c>
      <c r="D1174" s="23" t="s">
        <v>194</v>
      </c>
      <c r="E1174" s="52">
        <f>17-10</f>
        <v>7</v>
      </c>
      <c r="F1174" s="23" t="s">
        <v>363</v>
      </c>
      <c r="G1174" s="23" t="s">
        <v>789</v>
      </c>
    </row>
    <row r="1175" spans="1:11" s="23" customFormat="1" x14ac:dyDescent="0.75">
      <c r="A1175" s="23" t="s">
        <v>69</v>
      </c>
      <c r="B1175" s="24">
        <v>44748</v>
      </c>
      <c r="C1175" s="23">
        <v>1</v>
      </c>
      <c r="D1175" s="23" t="s">
        <v>172</v>
      </c>
      <c r="E1175" s="52">
        <f>4</f>
        <v>4</v>
      </c>
      <c r="F1175" s="23" t="s">
        <v>363</v>
      </c>
      <c r="G1175" s="23" t="s">
        <v>789</v>
      </c>
    </row>
    <row r="1176" spans="1:11" s="23" customFormat="1" x14ac:dyDescent="0.75">
      <c r="A1176" s="23" t="s">
        <v>69</v>
      </c>
      <c r="B1176" s="24">
        <v>44748</v>
      </c>
      <c r="C1176" s="23">
        <v>1</v>
      </c>
      <c r="D1176" s="23" t="s">
        <v>172</v>
      </c>
      <c r="E1176" s="52">
        <f>10-4</f>
        <v>6</v>
      </c>
      <c r="F1176" s="23" t="s">
        <v>363</v>
      </c>
      <c r="G1176" s="23" t="s">
        <v>789</v>
      </c>
    </row>
    <row r="1177" spans="1:11" s="23" customFormat="1" x14ac:dyDescent="0.75">
      <c r="A1177" s="23" t="s">
        <v>69</v>
      </c>
      <c r="B1177" s="24">
        <v>44748</v>
      </c>
      <c r="C1177" s="23">
        <v>1</v>
      </c>
      <c r="D1177" s="23" t="s">
        <v>168</v>
      </c>
      <c r="E1177" s="52">
        <f>37-36</f>
        <v>1</v>
      </c>
      <c r="F1177" s="23" t="s">
        <v>363</v>
      </c>
      <c r="G1177" s="23" t="s">
        <v>789</v>
      </c>
    </row>
    <row r="1178" spans="1:11" s="23" customFormat="1" x14ac:dyDescent="0.75">
      <c r="A1178" s="23" t="s">
        <v>69</v>
      </c>
      <c r="B1178" s="24">
        <v>44748</v>
      </c>
      <c r="C1178" s="23">
        <v>1</v>
      </c>
      <c r="D1178" s="23" t="s">
        <v>153</v>
      </c>
      <c r="E1178" s="52">
        <f>36-32</f>
        <v>4</v>
      </c>
      <c r="F1178" s="23" t="s">
        <v>363</v>
      </c>
      <c r="G1178" s="23" t="s">
        <v>789</v>
      </c>
    </row>
    <row r="1179" spans="1:11" s="23" customFormat="1" x14ac:dyDescent="0.75">
      <c r="A1179" s="23" t="s">
        <v>69</v>
      </c>
      <c r="B1179" s="24">
        <v>44748</v>
      </c>
      <c r="C1179" s="23">
        <v>1</v>
      </c>
      <c r="D1179" s="23" t="s">
        <v>191</v>
      </c>
      <c r="E1179" s="52">
        <f>25-12</f>
        <v>13</v>
      </c>
      <c r="F1179" s="23" t="s">
        <v>363</v>
      </c>
      <c r="G1179" s="23" t="s">
        <v>789</v>
      </c>
    </row>
    <row r="1180" spans="1:11" s="23" customFormat="1" x14ac:dyDescent="0.75">
      <c r="A1180" s="23" t="s">
        <v>69</v>
      </c>
      <c r="B1180" s="24">
        <v>44748</v>
      </c>
      <c r="C1180" s="23">
        <v>1</v>
      </c>
      <c r="D1180" s="23" t="s">
        <v>172</v>
      </c>
      <c r="E1180" s="52" t="s">
        <v>363</v>
      </c>
      <c r="F1180" s="23" t="s">
        <v>363</v>
      </c>
      <c r="G1180" s="23" t="s">
        <v>789</v>
      </c>
      <c r="K1180" s="23" t="s">
        <v>762</v>
      </c>
    </row>
    <row r="1181" spans="1:11" s="23" customFormat="1" x14ac:dyDescent="0.75">
      <c r="A1181" s="23" t="s">
        <v>69</v>
      </c>
      <c r="B1181" s="24">
        <v>44748</v>
      </c>
      <c r="C1181" s="23">
        <v>1</v>
      </c>
      <c r="D1181" s="23" t="s">
        <v>191</v>
      </c>
      <c r="E1181" s="52" t="s">
        <v>363</v>
      </c>
      <c r="F1181" s="23" t="s">
        <v>363</v>
      </c>
      <c r="G1181" s="23" t="s">
        <v>789</v>
      </c>
      <c r="K1181" s="23" t="s">
        <v>762</v>
      </c>
    </row>
    <row r="1182" spans="1:11" s="23" customFormat="1" x14ac:dyDescent="0.75">
      <c r="A1182" s="23" t="s">
        <v>69</v>
      </c>
      <c r="B1182" s="24">
        <v>44748</v>
      </c>
      <c r="C1182" s="23">
        <v>1</v>
      </c>
      <c r="D1182" s="23" t="s">
        <v>176</v>
      </c>
      <c r="E1182" s="52">
        <f>48-39</f>
        <v>9</v>
      </c>
      <c r="F1182" s="23" t="s">
        <v>363</v>
      </c>
      <c r="G1182" s="23" t="s">
        <v>789</v>
      </c>
    </row>
    <row r="1183" spans="1:11" s="23" customFormat="1" x14ac:dyDescent="0.75">
      <c r="A1183" s="23" t="s">
        <v>69</v>
      </c>
      <c r="B1183" s="24">
        <v>44748</v>
      </c>
      <c r="C1183" s="23">
        <v>1</v>
      </c>
      <c r="D1183" s="23" t="s">
        <v>191</v>
      </c>
      <c r="E1183" s="52">
        <f>39-32</f>
        <v>7</v>
      </c>
      <c r="F1183" s="23" t="s">
        <v>363</v>
      </c>
      <c r="G1183" s="23" t="s">
        <v>789</v>
      </c>
    </row>
    <row r="1184" spans="1:11" s="23" customFormat="1" x14ac:dyDescent="0.75">
      <c r="A1184" s="23" t="s">
        <v>69</v>
      </c>
      <c r="B1184" s="24">
        <v>44748</v>
      </c>
      <c r="C1184" s="23">
        <v>1</v>
      </c>
      <c r="D1184" s="23" t="s">
        <v>168</v>
      </c>
      <c r="E1184" s="52">
        <f>32-18</f>
        <v>14</v>
      </c>
      <c r="F1184" s="23" t="s">
        <v>363</v>
      </c>
      <c r="G1184" s="23" t="s">
        <v>789</v>
      </c>
    </row>
    <row r="1185" spans="1:11" s="23" customFormat="1" x14ac:dyDescent="0.75">
      <c r="A1185" s="23" t="s">
        <v>69</v>
      </c>
      <c r="B1185" s="24">
        <v>44748</v>
      </c>
      <c r="C1185" s="23">
        <v>1</v>
      </c>
      <c r="D1185" s="23" t="s">
        <v>168</v>
      </c>
      <c r="E1185" s="52">
        <f>18-7</f>
        <v>11</v>
      </c>
      <c r="F1185" s="23" t="s">
        <v>363</v>
      </c>
      <c r="G1185" s="23" t="s">
        <v>789</v>
      </c>
    </row>
    <row r="1186" spans="1:11" s="23" customFormat="1" x14ac:dyDescent="0.75">
      <c r="A1186" s="23" t="s">
        <v>69</v>
      </c>
      <c r="B1186" s="24">
        <v>44748</v>
      </c>
      <c r="C1186" s="23">
        <v>1</v>
      </c>
      <c r="D1186" s="23" t="s">
        <v>168</v>
      </c>
      <c r="E1186" s="52">
        <v>7</v>
      </c>
      <c r="F1186" s="23" t="s">
        <v>363</v>
      </c>
      <c r="G1186" s="23" t="s">
        <v>789</v>
      </c>
    </row>
    <row r="1187" spans="1:11" s="23" customFormat="1" x14ac:dyDescent="0.75">
      <c r="A1187" s="23" t="s">
        <v>69</v>
      </c>
      <c r="B1187" s="24">
        <v>44748</v>
      </c>
      <c r="C1187" s="23">
        <v>1</v>
      </c>
      <c r="D1187" s="23" t="s">
        <v>172</v>
      </c>
      <c r="E1187" s="52">
        <f>2+52-45</f>
        <v>9</v>
      </c>
      <c r="F1187" s="23" t="s">
        <v>363</v>
      </c>
      <c r="G1187" s="23" t="s">
        <v>789</v>
      </c>
    </row>
    <row r="1188" spans="1:11" s="23" customFormat="1" x14ac:dyDescent="0.75">
      <c r="A1188" s="23" t="s">
        <v>69</v>
      </c>
      <c r="B1188" s="24">
        <v>44748</v>
      </c>
      <c r="C1188" s="23">
        <v>1</v>
      </c>
      <c r="D1188" s="23" t="s">
        <v>172</v>
      </c>
      <c r="E1188" s="52">
        <f>6-2</f>
        <v>4</v>
      </c>
      <c r="F1188" s="23" t="s">
        <v>363</v>
      </c>
      <c r="G1188" s="23" t="s">
        <v>789</v>
      </c>
    </row>
    <row r="1189" spans="1:11" s="23" customFormat="1" x14ac:dyDescent="0.75">
      <c r="A1189" s="23" t="s">
        <v>69</v>
      </c>
      <c r="B1189" s="24">
        <v>44748</v>
      </c>
      <c r="C1189" s="23">
        <v>1</v>
      </c>
      <c r="D1189" s="23" t="s">
        <v>172</v>
      </c>
      <c r="E1189" s="52" t="s">
        <v>363</v>
      </c>
      <c r="F1189" s="23" t="s">
        <v>363</v>
      </c>
      <c r="G1189" s="23" t="s">
        <v>789</v>
      </c>
      <c r="K1189" s="23" t="s">
        <v>762</v>
      </c>
    </row>
    <row r="1190" spans="1:11" s="23" customFormat="1" x14ac:dyDescent="0.75">
      <c r="A1190" s="23" t="s">
        <v>69</v>
      </c>
      <c r="B1190" s="24">
        <v>44748</v>
      </c>
      <c r="C1190" s="23">
        <v>1</v>
      </c>
      <c r="D1190" s="23" t="s">
        <v>191</v>
      </c>
      <c r="E1190" s="52" t="s">
        <v>363</v>
      </c>
      <c r="F1190" s="23" t="s">
        <v>363</v>
      </c>
      <c r="G1190" s="23" t="s">
        <v>789</v>
      </c>
      <c r="K1190" s="23" t="s">
        <v>762</v>
      </c>
    </row>
    <row r="1191" spans="1:11" s="23" customFormat="1" x14ac:dyDescent="0.75">
      <c r="A1191" s="23" t="s">
        <v>69</v>
      </c>
      <c r="B1191" s="24">
        <v>44748</v>
      </c>
      <c r="C1191" s="23">
        <v>1</v>
      </c>
      <c r="D1191" s="23" t="s">
        <v>172</v>
      </c>
      <c r="E1191" s="52">
        <f>25-16</f>
        <v>9</v>
      </c>
      <c r="F1191" s="23" t="s">
        <v>363</v>
      </c>
      <c r="G1191" s="23" t="s">
        <v>789</v>
      </c>
    </row>
    <row r="1192" spans="1:11" s="23" customFormat="1" x14ac:dyDescent="0.75">
      <c r="A1192" s="23" t="s">
        <v>69</v>
      </c>
      <c r="B1192" s="24">
        <v>44748</v>
      </c>
      <c r="C1192" s="23">
        <v>1</v>
      </c>
      <c r="D1192" s="23" t="s">
        <v>168</v>
      </c>
      <c r="E1192" s="52">
        <f>28-25</f>
        <v>3</v>
      </c>
      <c r="F1192" s="23" t="s">
        <v>363</v>
      </c>
      <c r="G1192" s="23" t="s">
        <v>789</v>
      </c>
    </row>
    <row r="1193" spans="1:11" s="23" customFormat="1" x14ac:dyDescent="0.75">
      <c r="A1193" s="23" t="s">
        <v>69</v>
      </c>
      <c r="B1193" s="24">
        <v>44748</v>
      </c>
      <c r="C1193" s="23">
        <v>1</v>
      </c>
      <c r="D1193" s="23" t="s">
        <v>168</v>
      </c>
      <c r="E1193" s="52">
        <f>38-28</f>
        <v>10</v>
      </c>
      <c r="F1193" s="23" t="s">
        <v>363</v>
      </c>
      <c r="G1193" s="23" t="s">
        <v>789</v>
      </c>
    </row>
    <row r="1194" spans="1:11" s="23" customFormat="1" x14ac:dyDescent="0.75">
      <c r="A1194" s="23" t="s">
        <v>69</v>
      </c>
      <c r="B1194" s="24">
        <v>44748</v>
      </c>
      <c r="C1194" s="23">
        <v>1</v>
      </c>
      <c r="D1194" s="23" t="s">
        <v>168</v>
      </c>
      <c r="E1194" s="52">
        <f>49-38</f>
        <v>11</v>
      </c>
      <c r="F1194" s="23" t="s">
        <v>363</v>
      </c>
      <c r="G1194" s="23" t="s">
        <v>789</v>
      </c>
    </row>
    <row r="1195" spans="1:11" x14ac:dyDescent="0.75">
      <c r="A1195" t="s">
        <v>23</v>
      </c>
      <c r="B1195" s="3">
        <v>44750</v>
      </c>
      <c r="C1195">
        <v>1</v>
      </c>
      <c r="D1195" t="s">
        <v>197</v>
      </c>
      <c r="E1195" s="22">
        <f>40-35</f>
        <v>5</v>
      </c>
      <c r="F1195" t="s">
        <v>363</v>
      </c>
      <c r="G1195" t="s">
        <v>792</v>
      </c>
      <c r="K1195" t="s">
        <v>793</v>
      </c>
    </row>
    <row r="1196" spans="1:11" x14ac:dyDescent="0.75">
      <c r="A1196" t="s">
        <v>23</v>
      </c>
      <c r="B1196" s="3">
        <v>44750</v>
      </c>
      <c r="C1196">
        <v>1</v>
      </c>
      <c r="D1196" t="s">
        <v>194</v>
      </c>
      <c r="E1196" s="22">
        <f>42-38</f>
        <v>4</v>
      </c>
      <c r="F1196" t="s">
        <v>363</v>
      </c>
      <c r="G1196" t="s">
        <v>792</v>
      </c>
      <c r="K1196" t="s">
        <v>793</v>
      </c>
    </row>
    <row r="1197" spans="1:11" x14ac:dyDescent="0.75">
      <c r="A1197" t="s">
        <v>23</v>
      </c>
      <c r="B1197" s="3">
        <v>44750</v>
      </c>
      <c r="C1197">
        <v>1</v>
      </c>
      <c r="D1197" t="s">
        <v>194</v>
      </c>
      <c r="E1197" s="22">
        <f>42-38</f>
        <v>4</v>
      </c>
      <c r="F1197" t="s">
        <v>363</v>
      </c>
      <c r="G1197" t="s">
        <v>792</v>
      </c>
      <c r="K1197" t="s">
        <v>793</v>
      </c>
    </row>
    <row r="1198" spans="1:11" x14ac:dyDescent="0.75">
      <c r="A1198" t="s">
        <v>23</v>
      </c>
      <c r="B1198" s="3">
        <v>44750</v>
      </c>
      <c r="C1198">
        <v>1</v>
      </c>
      <c r="D1198" t="s">
        <v>194</v>
      </c>
      <c r="E1198" s="22">
        <f>30-27</f>
        <v>3</v>
      </c>
      <c r="F1198" t="s">
        <v>363</v>
      </c>
      <c r="G1198" t="s">
        <v>792</v>
      </c>
      <c r="K1198" t="s">
        <v>793</v>
      </c>
    </row>
    <row r="1199" spans="1:11" x14ac:dyDescent="0.75">
      <c r="A1199" t="s">
        <v>23</v>
      </c>
      <c r="B1199" s="3">
        <v>44750</v>
      </c>
      <c r="C1199">
        <v>1</v>
      </c>
      <c r="D1199" t="s">
        <v>215</v>
      </c>
      <c r="E1199" s="22">
        <f>26-23</f>
        <v>3</v>
      </c>
      <c r="F1199" t="s">
        <v>363</v>
      </c>
      <c r="G1199" t="s">
        <v>792</v>
      </c>
      <c r="K1199" t="s">
        <v>793</v>
      </c>
    </row>
    <row r="1200" spans="1:11" x14ac:dyDescent="0.75">
      <c r="A1200" t="s">
        <v>23</v>
      </c>
      <c r="B1200" s="3">
        <v>44750</v>
      </c>
      <c r="C1200">
        <v>1</v>
      </c>
      <c r="D1200" t="s">
        <v>164</v>
      </c>
      <c r="E1200" s="22">
        <f>27-23</f>
        <v>4</v>
      </c>
      <c r="F1200" t="s">
        <v>363</v>
      </c>
      <c r="G1200" t="s">
        <v>792</v>
      </c>
      <c r="K1200" t="s">
        <v>794</v>
      </c>
    </row>
    <row r="1201" spans="1:11" x14ac:dyDescent="0.75">
      <c r="A1201" t="s">
        <v>23</v>
      </c>
      <c r="B1201" s="3">
        <v>44750</v>
      </c>
      <c r="C1201">
        <v>1</v>
      </c>
      <c r="D1201" t="s">
        <v>197</v>
      </c>
      <c r="E1201" s="22">
        <f>23-20</f>
        <v>3</v>
      </c>
      <c r="F1201" t="s">
        <v>363</v>
      </c>
      <c r="G1201" t="s">
        <v>792</v>
      </c>
      <c r="K1201" t="s">
        <v>793</v>
      </c>
    </row>
    <row r="1202" spans="1:11" x14ac:dyDescent="0.75">
      <c r="A1202" t="s">
        <v>23</v>
      </c>
      <c r="B1202" s="3">
        <v>44750</v>
      </c>
      <c r="C1202">
        <v>1</v>
      </c>
      <c r="D1202" t="s">
        <v>194</v>
      </c>
      <c r="E1202" s="22">
        <f>23-5</f>
        <v>18</v>
      </c>
      <c r="F1202" t="s">
        <v>363</v>
      </c>
      <c r="G1202" t="s">
        <v>792</v>
      </c>
      <c r="K1202" t="s">
        <v>793</v>
      </c>
    </row>
    <row r="1203" spans="1:11" x14ac:dyDescent="0.75">
      <c r="A1203" t="s">
        <v>23</v>
      </c>
      <c r="B1203" s="3">
        <v>44750</v>
      </c>
      <c r="C1203">
        <v>1</v>
      </c>
      <c r="D1203" t="s">
        <v>194</v>
      </c>
      <c r="E1203" s="22">
        <f>20-6</f>
        <v>14</v>
      </c>
      <c r="F1203" t="s">
        <v>363</v>
      </c>
      <c r="G1203" t="s">
        <v>792</v>
      </c>
      <c r="K1203" t="s">
        <v>794</v>
      </c>
    </row>
    <row r="1204" spans="1:11" x14ac:dyDescent="0.75">
      <c r="A1204" t="s">
        <v>23</v>
      </c>
      <c r="B1204" s="3">
        <v>44750</v>
      </c>
      <c r="C1204">
        <v>1</v>
      </c>
      <c r="D1204" t="s">
        <v>199</v>
      </c>
      <c r="E1204" s="22">
        <f>6-3</f>
        <v>3</v>
      </c>
      <c r="F1204" t="s">
        <v>363</v>
      </c>
      <c r="G1204" t="s">
        <v>792</v>
      </c>
      <c r="K1204" t="s">
        <v>793</v>
      </c>
    </row>
    <row r="1205" spans="1:11" x14ac:dyDescent="0.75">
      <c r="A1205" t="s">
        <v>23</v>
      </c>
      <c r="B1205" s="3">
        <v>44750</v>
      </c>
      <c r="C1205">
        <v>1</v>
      </c>
      <c r="D1205" t="s">
        <v>194</v>
      </c>
      <c r="E1205" s="22">
        <f>5-2</f>
        <v>3</v>
      </c>
      <c r="F1205" t="s">
        <v>363</v>
      </c>
      <c r="G1205" t="s">
        <v>792</v>
      </c>
      <c r="K1205" t="s">
        <v>793</v>
      </c>
    </row>
    <row r="1206" spans="1:11" x14ac:dyDescent="0.75">
      <c r="A1206" t="s">
        <v>23</v>
      </c>
      <c r="B1206" s="3">
        <v>44750</v>
      </c>
      <c r="C1206">
        <v>1</v>
      </c>
      <c r="D1206" t="s">
        <v>194</v>
      </c>
      <c r="E1206" s="22">
        <f>3-1</f>
        <v>2</v>
      </c>
      <c r="F1206" t="s">
        <v>363</v>
      </c>
      <c r="G1206" t="s">
        <v>792</v>
      </c>
      <c r="K1206" t="s">
        <v>793</v>
      </c>
    </row>
    <row r="1207" spans="1:11" x14ac:dyDescent="0.75">
      <c r="A1207" t="s">
        <v>23</v>
      </c>
      <c r="B1207" s="3">
        <v>44750</v>
      </c>
      <c r="C1207">
        <v>1</v>
      </c>
      <c r="D1207" t="s">
        <v>194</v>
      </c>
      <c r="E1207" s="22">
        <f>1+40-29</f>
        <v>12</v>
      </c>
      <c r="F1207" t="s">
        <v>363</v>
      </c>
      <c r="G1207" t="s">
        <v>792</v>
      </c>
      <c r="K1207" t="s">
        <v>793</v>
      </c>
    </row>
    <row r="1208" spans="1:11" s="23" customFormat="1" x14ac:dyDescent="0.75">
      <c r="A1208" s="23" t="s">
        <v>69</v>
      </c>
      <c r="B1208" s="24">
        <v>44748</v>
      </c>
      <c r="C1208" s="23">
        <v>2</v>
      </c>
      <c r="D1208" s="23" t="s">
        <v>197</v>
      </c>
      <c r="E1208" s="52">
        <f>51-24</f>
        <v>27</v>
      </c>
      <c r="F1208" s="23" t="s">
        <v>363</v>
      </c>
      <c r="G1208" s="23" t="s">
        <v>374</v>
      </c>
    </row>
    <row r="1209" spans="1:11" s="23" customFormat="1" x14ac:dyDescent="0.75">
      <c r="A1209" s="23" t="s">
        <v>69</v>
      </c>
      <c r="B1209" s="24">
        <v>44748</v>
      </c>
      <c r="C1209" s="23">
        <v>2</v>
      </c>
      <c r="D1209" s="23" t="s">
        <v>168</v>
      </c>
      <c r="E1209" s="52">
        <f>24-14</f>
        <v>10</v>
      </c>
      <c r="F1209" s="23" t="s">
        <v>363</v>
      </c>
      <c r="G1209" s="23" t="s">
        <v>374</v>
      </c>
    </row>
    <row r="1210" spans="1:11" s="23" customFormat="1" x14ac:dyDescent="0.75">
      <c r="A1210" s="23" t="s">
        <v>69</v>
      </c>
      <c r="B1210" s="24">
        <v>44748</v>
      </c>
      <c r="C1210" s="23">
        <v>2</v>
      </c>
      <c r="D1210" s="23" t="s">
        <v>191</v>
      </c>
      <c r="E1210" s="52">
        <f>49-39</f>
        <v>10</v>
      </c>
      <c r="F1210" s="23" t="s">
        <v>363</v>
      </c>
      <c r="G1210" s="23" t="s">
        <v>374</v>
      </c>
    </row>
    <row r="1211" spans="1:11" s="23" customFormat="1" x14ac:dyDescent="0.75">
      <c r="A1211" s="23" t="s">
        <v>69</v>
      </c>
      <c r="B1211" s="24">
        <v>44748</v>
      </c>
      <c r="C1211" s="23">
        <v>2</v>
      </c>
      <c r="D1211" s="23" t="s">
        <v>197</v>
      </c>
      <c r="E1211" s="52">
        <f>39-22</f>
        <v>17</v>
      </c>
      <c r="F1211" s="23" t="s">
        <v>363</v>
      </c>
      <c r="G1211" s="23" t="s">
        <v>374</v>
      </c>
    </row>
    <row r="1212" spans="1:11" s="23" customFormat="1" x14ac:dyDescent="0.75">
      <c r="A1212" s="23" t="s">
        <v>69</v>
      </c>
      <c r="B1212" s="24">
        <v>44748</v>
      </c>
      <c r="C1212" s="23">
        <v>2</v>
      </c>
      <c r="D1212" s="23" t="s">
        <v>191</v>
      </c>
      <c r="E1212" s="52">
        <v>22</v>
      </c>
      <c r="F1212" s="23" t="s">
        <v>363</v>
      </c>
      <c r="G1212" s="23" t="s">
        <v>374</v>
      </c>
    </row>
    <row r="1213" spans="1:11" s="23" customFormat="1" x14ac:dyDescent="0.75">
      <c r="A1213" s="23" t="s">
        <v>69</v>
      </c>
      <c r="B1213" s="24">
        <v>44748</v>
      </c>
      <c r="C1213" s="23">
        <v>2</v>
      </c>
      <c r="D1213" s="23" t="s">
        <v>191</v>
      </c>
      <c r="E1213" s="52">
        <f>14-8</f>
        <v>6</v>
      </c>
      <c r="F1213" s="23" t="s">
        <v>363</v>
      </c>
      <c r="G1213" s="23" t="s">
        <v>374</v>
      </c>
    </row>
    <row r="1214" spans="1:11" s="23" customFormat="1" x14ac:dyDescent="0.75">
      <c r="A1214" s="23" t="s">
        <v>69</v>
      </c>
      <c r="B1214" s="24">
        <v>44748</v>
      </c>
      <c r="C1214" s="23">
        <v>2</v>
      </c>
      <c r="D1214" s="23" t="s">
        <v>197</v>
      </c>
      <c r="E1214" s="52">
        <f>8-6</f>
        <v>2</v>
      </c>
      <c r="F1214" s="23" t="s">
        <v>363</v>
      </c>
      <c r="G1214" s="23" t="s">
        <v>374</v>
      </c>
    </row>
    <row r="1215" spans="1:11" s="23" customFormat="1" x14ac:dyDescent="0.75">
      <c r="A1215" s="23" t="s">
        <v>69</v>
      </c>
      <c r="B1215" s="24">
        <v>44748</v>
      </c>
      <c r="C1215" s="23">
        <v>2</v>
      </c>
      <c r="D1215" s="23" t="s">
        <v>191</v>
      </c>
      <c r="E1215" s="52">
        <f>51-11</f>
        <v>40</v>
      </c>
      <c r="F1215" s="23" t="s">
        <v>363</v>
      </c>
      <c r="G1215" s="23" t="s">
        <v>795</v>
      </c>
      <c r="K1215" s="23" t="s">
        <v>787</v>
      </c>
    </row>
    <row r="1216" spans="1:11" s="23" customFormat="1" x14ac:dyDescent="0.75">
      <c r="A1216" s="23" t="s">
        <v>69</v>
      </c>
      <c r="B1216" s="24">
        <v>44748</v>
      </c>
      <c r="C1216" s="23">
        <v>2</v>
      </c>
      <c r="D1216" s="23" t="s">
        <v>164</v>
      </c>
      <c r="E1216" s="52">
        <f>11-4</f>
        <v>7</v>
      </c>
      <c r="F1216" s="23" t="s">
        <v>363</v>
      </c>
      <c r="G1216" s="23" t="s">
        <v>374</v>
      </c>
    </row>
    <row r="1217" spans="1:11" s="23" customFormat="1" x14ac:dyDescent="0.75">
      <c r="A1217" s="23" t="s">
        <v>69</v>
      </c>
      <c r="B1217" s="24">
        <v>44748</v>
      </c>
      <c r="C1217" s="23">
        <v>2</v>
      </c>
      <c r="D1217" s="23" t="s">
        <v>191</v>
      </c>
      <c r="E1217" s="52">
        <f>4+6-4</f>
        <v>6</v>
      </c>
      <c r="F1217" s="23" t="s">
        <v>363</v>
      </c>
      <c r="G1217" s="23" t="s">
        <v>374</v>
      </c>
    </row>
    <row r="1218" spans="1:11" s="23" customFormat="1" x14ac:dyDescent="0.75">
      <c r="A1218" s="23" t="s">
        <v>69</v>
      </c>
      <c r="B1218" s="24">
        <v>44748</v>
      </c>
      <c r="C1218" s="23">
        <v>2</v>
      </c>
      <c r="D1218" s="23" t="s">
        <v>201</v>
      </c>
      <c r="E1218" s="52">
        <f>54-48</f>
        <v>6</v>
      </c>
      <c r="F1218" s="23" t="s">
        <v>363</v>
      </c>
      <c r="G1218" s="23" t="s">
        <v>374</v>
      </c>
    </row>
    <row r="1219" spans="1:11" s="23" customFormat="1" x14ac:dyDescent="0.75">
      <c r="A1219" s="23" t="s">
        <v>69</v>
      </c>
      <c r="B1219" s="24">
        <v>44748</v>
      </c>
      <c r="C1219" s="23">
        <v>2</v>
      </c>
      <c r="D1219" s="23" t="s">
        <v>191</v>
      </c>
      <c r="E1219" s="52">
        <f>48-14</f>
        <v>34</v>
      </c>
      <c r="F1219" s="23" t="s">
        <v>363</v>
      </c>
      <c r="G1219" s="23" t="s">
        <v>374</v>
      </c>
    </row>
    <row r="1220" spans="1:11" s="23" customFormat="1" x14ac:dyDescent="0.75">
      <c r="A1220" s="23" t="s">
        <v>69</v>
      </c>
      <c r="B1220" s="24">
        <v>44748</v>
      </c>
      <c r="C1220" s="23">
        <v>2</v>
      </c>
      <c r="D1220" s="23" t="s">
        <v>191</v>
      </c>
      <c r="E1220" s="52">
        <f>14-10</f>
        <v>4</v>
      </c>
      <c r="F1220" s="23" t="s">
        <v>363</v>
      </c>
      <c r="G1220" s="23" t="s">
        <v>374</v>
      </c>
    </row>
    <row r="1221" spans="1:11" s="23" customFormat="1" x14ac:dyDescent="0.75">
      <c r="A1221" s="23" t="s">
        <v>69</v>
      </c>
      <c r="B1221" s="24">
        <v>44748</v>
      </c>
      <c r="C1221" s="23">
        <v>2</v>
      </c>
      <c r="D1221" s="23" t="s">
        <v>191</v>
      </c>
      <c r="E1221" s="52">
        <f>10-8</f>
        <v>2</v>
      </c>
      <c r="F1221" s="23" t="s">
        <v>363</v>
      </c>
      <c r="G1221" s="23" t="s">
        <v>374</v>
      </c>
    </row>
    <row r="1222" spans="1:11" s="23" customFormat="1" x14ac:dyDescent="0.75">
      <c r="A1222" s="23" t="s">
        <v>69</v>
      </c>
      <c r="B1222" s="24">
        <v>44748</v>
      </c>
      <c r="C1222" s="23">
        <v>2</v>
      </c>
      <c r="D1222" s="23" t="s">
        <v>191</v>
      </c>
      <c r="E1222" s="52">
        <f>18-11</f>
        <v>7</v>
      </c>
      <c r="F1222" s="23" t="s">
        <v>363</v>
      </c>
      <c r="G1222" s="23" t="s">
        <v>374</v>
      </c>
    </row>
    <row r="1223" spans="1:11" s="23" customFormat="1" x14ac:dyDescent="0.75">
      <c r="A1223" s="23" t="s">
        <v>69</v>
      </c>
      <c r="B1223" s="24">
        <v>44748</v>
      </c>
      <c r="C1223" s="23">
        <v>2</v>
      </c>
      <c r="D1223" s="23" t="s">
        <v>191</v>
      </c>
      <c r="E1223" s="52">
        <f>11-7</f>
        <v>4</v>
      </c>
      <c r="F1223" s="23" t="s">
        <v>363</v>
      </c>
      <c r="G1223" s="23" t="s">
        <v>374</v>
      </c>
    </row>
    <row r="1224" spans="1:11" s="23" customFormat="1" x14ac:dyDescent="0.75">
      <c r="A1224" s="23" t="s">
        <v>69</v>
      </c>
      <c r="B1224" s="24">
        <v>44748</v>
      </c>
      <c r="C1224" s="23">
        <v>2</v>
      </c>
      <c r="D1224" s="23" t="s">
        <v>191</v>
      </c>
      <c r="E1224" s="52">
        <f>7-2</f>
        <v>5</v>
      </c>
      <c r="G1224" s="23" t="s">
        <v>374</v>
      </c>
    </row>
    <row r="1225" spans="1:11" s="23" customFormat="1" x14ac:dyDescent="0.75">
      <c r="A1225" s="23" t="s">
        <v>69</v>
      </c>
      <c r="B1225" s="24">
        <v>44748</v>
      </c>
      <c r="C1225" s="23">
        <v>2</v>
      </c>
      <c r="D1225" s="23" t="s">
        <v>197</v>
      </c>
      <c r="E1225" s="52">
        <f>36-12+24+49-38</f>
        <v>59</v>
      </c>
      <c r="F1225" s="23" t="s">
        <v>363</v>
      </c>
      <c r="G1225" s="23" t="s">
        <v>374</v>
      </c>
    </row>
    <row r="1226" spans="1:11" s="23" customFormat="1" x14ac:dyDescent="0.75">
      <c r="A1226" s="23" t="s">
        <v>69</v>
      </c>
      <c r="B1226" s="24">
        <v>44748</v>
      </c>
      <c r="C1226" s="23">
        <v>2</v>
      </c>
      <c r="D1226" s="23" t="s">
        <v>197</v>
      </c>
      <c r="E1226" s="52" t="s">
        <v>363</v>
      </c>
      <c r="F1226" s="23" t="s">
        <v>363</v>
      </c>
      <c r="G1226" s="23" t="s">
        <v>374</v>
      </c>
      <c r="K1226" s="23" t="s">
        <v>762</v>
      </c>
    </row>
    <row r="1227" spans="1:11" s="23" customFormat="1" x14ac:dyDescent="0.75">
      <c r="A1227" s="23" t="s">
        <v>69</v>
      </c>
      <c r="B1227" s="24">
        <v>44748</v>
      </c>
      <c r="C1227" s="23">
        <v>2</v>
      </c>
      <c r="D1227" s="23" t="s">
        <v>191</v>
      </c>
      <c r="E1227" s="52" t="s">
        <v>363</v>
      </c>
      <c r="F1227" s="23" t="s">
        <v>363</v>
      </c>
      <c r="G1227" s="23" t="s">
        <v>789</v>
      </c>
      <c r="K1227" s="23" t="s">
        <v>796</v>
      </c>
    </row>
    <row r="1228" spans="1:11" s="23" customFormat="1" x14ac:dyDescent="0.75">
      <c r="A1228" s="23" t="s">
        <v>69</v>
      </c>
      <c r="B1228" s="24">
        <v>44748</v>
      </c>
      <c r="C1228" s="23">
        <v>2</v>
      </c>
      <c r="D1228" s="23" t="s">
        <v>191</v>
      </c>
      <c r="E1228" s="52" t="s">
        <v>363</v>
      </c>
      <c r="F1228" s="23" t="s">
        <v>363</v>
      </c>
      <c r="G1228" s="23" t="s">
        <v>789</v>
      </c>
      <c r="K1228" s="23" t="s">
        <v>796</v>
      </c>
    </row>
    <row r="1229" spans="1:11" s="23" customFormat="1" x14ac:dyDescent="0.75">
      <c r="A1229" s="23" t="s">
        <v>69</v>
      </c>
      <c r="B1229" s="24">
        <v>44748</v>
      </c>
      <c r="C1229" s="23">
        <v>2</v>
      </c>
      <c r="D1229" s="23" t="s">
        <v>191</v>
      </c>
      <c r="E1229" s="52">
        <f>54-46</f>
        <v>8</v>
      </c>
      <c r="F1229" s="23" t="s">
        <v>363</v>
      </c>
      <c r="G1229" s="23" t="s">
        <v>789</v>
      </c>
      <c r="K1229" s="23" t="s">
        <v>787</v>
      </c>
    </row>
    <row r="1230" spans="1:11" s="23" customFormat="1" x14ac:dyDescent="0.75">
      <c r="A1230" s="23" t="s">
        <v>69</v>
      </c>
      <c r="B1230" s="24">
        <v>44748</v>
      </c>
      <c r="C1230" s="23">
        <v>2</v>
      </c>
      <c r="D1230" s="23" t="s">
        <v>191</v>
      </c>
      <c r="E1230" s="52" t="s">
        <v>363</v>
      </c>
      <c r="F1230" s="23" t="s">
        <v>363</v>
      </c>
      <c r="G1230" s="23" t="s">
        <v>789</v>
      </c>
      <c r="K1230" s="23" t="s">
        <v>796</v>
      </c>
    </row>
    <row r="1231" spans="1:11" s="23" customFormat="1" x14ac:dyDescent="0.75">
      <c r="A1231" s="23" t="s">
        <v>69</v>
      </c>
      <c r="B1231" s="24">
        <v>44748</v>
      </c>
      <c r="C1231" s="23">
        <v>2</v>
      </c>
      <c r="D1231" s="23" t="s">
        <v>197</v>
      </c>
      <c r="E1231" s="52">
        <f>32-19</f>
        <v>13</v>
      </c>
      <c r="F1231" s="23" t="s">
        <v>363</v>
      </c>
      <c r="G1231" s="23" t="s">
        <v>789</v>
      </c>
      <c r="K1231" s="23" t="s">
        <v>787</v>
      </c>
    </row>
    <row r="1232" spans="1:11" s="23" customFormat="1" x14ac:dyDescent="0.75">
      <c r="A1232" s="23" t="s">
        <v>69</v>
      </c>
      <c r="B1232" s="24">
        <v>44748</v>
      </c>
      <c r="C1232" s="23">
        <v>2</v>
      </c>
      <c r="D1232" s="23" t="s">
        <v>191</v>
      </c>
      <c r="E1232" s="52" t="s">
        <v>363</v>
      </c>
      <c r="F1232" s="23" t="s">
        <v>363</v>
      </c>
      <c r="G1232" s="23" t="s">
        <v>789</v>
      </c>
      <c r="K1232" s="23" t="s">
        <v>796</v>
      </c>
    </row>
    <row r="1233" spans="1:11" s="23" customFormat="1" x14ac:dyDescent="0.75">
      <c r="A1233" s="23" t="s">
        <v>69</v>
      </c>
      <c r="B1233" s="24">
        <v>44748</v>
      </c>
      <c r="C1233" s="23">
        <v>2</v>
      </c>
      <c r="D1233" s="23" t="s">
        <v>197</v>
      </c>
      <c r="E1233" s="52" t="s">
        <v>363</v>
      </c>
      <c r="F1233" s="23" t="s">
        <v>363</v>
      </c>
      <c r="G1233" s="23" t="s">
        <v>789</v>
      </c>
      <c r="K1233" s="23" t="s">
        <v>796</v>
      </c>
    </row>
    <row r="1234" spans="1:11" s="23" customFormat="1" x14ac:dyDescent="0.75">
      <c r="A1234" s="23" t="s">
        <v>69</v>
      </c>
      <c r="B1234" s="24">
        <v>44748</v>
      </c>
      <c r="C1234" s="23">
        <v>2</v>
      </c>
      <c r="D1234" s="23" t="s">
        <v>191</v>
      </c>
      <c r="E1234" s="52" t="s">
        <v>363</v>
      </c>
      <c r="F1234" s="23" t="s">
        <v>363</v>
      </c>
      <c r="G1234" s="23" t="s">
        <v>789</v>
      </c>
      <c r="K1234" s="23" t="s">
        <v>796</v>
      </c>
    </row>
    <row r="1235" spans="1:11" s="23" customFormat="1" x14ac:dyDescent="0.75">
      <c r="A1235" s="23" t="s">
        <v>69</v>
      </c>
      <c r="B1235" s="24">
        <v>44748</v>
      </c>
      <c r="C1235" s="23">
        <v>2</v>
      </c>
      <c r="D1235" s="23" t="s">
        <v>191</v>
      </c>
      <c r="E1235" s="52">
        <f>11-8</f>
        <v>3</v>
      </c>
      <c r="F1235" s="23" t="s">
        <v>363</v>
      </c>
      <c r="G1235" s="23" t="s">
        <v>789</v>
      </c>
      <c r="K1235" s="23" t="s">
        <v>787</v>
      </c>
    </row>
    <row r="1236" spans="1:11" s="23" customFormat="1" x14ac:dyDescent="0.75">
      <c r="A1236" s="23" t="s">
        <v>69</v>
      </c>
      <c r="B1236" s="24">
        <v>44748</v>
      </c>
      <c r="C1236" s="23">
        <v>2</v>
      </c>
      <c r="D1236" s="23" t="s">
        <v>191</v>
      </c>
      <c r="E1236" s="52">
        <f>44-40</f>
        <v>4</v>
      </c>
      <c r="F1236" s="23" t="s">
        <v>363</v>
      </c>
      <c r="G1236" s="23" t="s">
        <v>367</v>
      </c>
    </row>
    <row r="1237" spans="1:11" s="23" customFormat="1" x14ac:dyDescent="0.75">
      <c r="A1237" s="23" t="s">
        <v>69</v>
      </c>
      <c r="B1237" s="24">
        <v>44748</v>
      </c>
      <c r="C1237" s="23">
        <v>2</v>
      </c>
      <c r="D1237" s="23" t="s">
        <v>197</v>
      </c>
      <c r="E1237" s="52">
        <f>40-34</f>
        <v>6</v>
      </c>
      <c r="F1237" s="23">
        <v>954</v>
      </c>
      <c r="G1237" s="23" t="s">
        <v>367</v>
      </c>
    </row>
    <row r="1238" spans="1:11" s="23" customFormat="1" x14ac:dyDescent="0.75">
      <c r="A1238" s="23" t="s">
        <v>69</v>
      </c>
      <c r="B1238" s="24">
        <v>44748</v>
      </c>
      <c r="C1238" s="23">
        <v>2</v>
      </c>
      <c r="D1238" s="23" t="s">
        <v>191</v>
      </c>
      <c r="E1238" s="52">
        <f>34-19</f>
        <v>15</v>
      </c>
      <c r="F1238" s="23" t="s">
        <v>363</v>
      </c>
      <c r="G1238" s="23" t="s">
        <v>367</v>
      </c>
    </row>
    <row r="1239" spans="1:11" s="23" customFormat="1" x14ac:dyDescent="0.75">
      <c r="A1239" s="23" t="s">
        <v>69</v>
      </c>
      <c r="B1239" s="24">
        <v>44748</v>
      </c>
      <c r="C1239" s="23">
        <v>2</v>
      </c>
      <c r="D1239" s="23" t="s">
        <v>215</v>
      </c>
      <c r="E1239" s="52">
        <f>1</f>
        <v>1</v>
      </c>
      <c r="F1239" s="23" t="s">
        <v>363</v>
      </c>
      <c r="G1239" s="23" t="s">
        <v>367</v>
      </c>
    </row>
    <row r="1240" spans="1:11" s="23" customFormat="1" x14ac:dyDescent="0.75">
      <c r="A1240" s="23" t="s">
        <v>69</v>
      </c>
      <c r="B1240" s="24">
        <v>44748</v>
      </c>
      <c r="C1240" s="23">
        <v>2</v>
      </c>
      <c r="D1240" s="23" t="s">
        <v>164</v>
      </c>
      <c r="E1240" s="52">
        <f>11</f>
        <v>11</v>
      </c>
      <c r="F1240" s="23">
        <v>955</v>
      </c>
      <c r="G1240" s="23" t="s">
        <v>367</v>
      </c>
    </row>
    <row r="1241" spans="1:11" s="23" customFormat="1" x14ac:dyDescent="0.75">
      <c r="A1241" s="23" t="s">
        <v>69</v>
      </c>
      <c r="B1241" s="24">
        <v>44748</v>
      </c>
      <c r="C1241" s="23">
        <v>2</v>
      </c>
      <c r="D1241" s="23" t="s">
        <v>197</v>
      </c>
      <c r="E1241" s="52">
        <f>57-49</f>
        <v>8</v>
      </c>
      <c r="F1241" s="23" t="s">
        <v>363</v>
      </c>
      <c r="G1241" s="23" t="s">
        <v>367</v>
      </c>
    </row>
    <row r="1242" spans="1:11" s="23" customFormat="1" x14ac:dyDescent="0.75">
      <c r="A1242" s="23" t="s">
        <v>69</v>
      </c>
      <c r="B1242" s="24">
        <v>44748</v>
      </c>
      <c r="C1242" s="23">
        <v>2</v>
      </c>
      <c r="D1242" s="23" t="s">
        <v>197</v>
      </c>
      <c r="E1242" s="52">
        <f>49-45</f>
        <v>4</v>
      </c>
      <c r="F1242" s="23" t="s">
        <v>363</v>
      </c>
      <c r="G1242" s="23" t="s">
        <v>367</v>
      </c>
    </row>
    <row r="1243" spans="1:11" s="23" customFormat="1" x14ac:dyDescent="0.75">
      <c r="A1243" s="23" t="s">
        <v>69</v>
      </c>
      <c r="B1243" s="24">
        <v>44748</v>
      </c>
      <c r="C1243" s="23">
        <v>2</v>
      </c>
      <c r="D1243" s="23" t="s">
        <v>153</v>
      </c>
      <c r="E1243" s="52">
        <f>45-43</f>
        <v>2</v>
      </c>
      <c r="F1243" s="23" t="s">
        <v>363</v>
      </c>
      <c r="G1243" s="23" t="s">
        <v>367</v>
      </c>
      <c r="K1243" s="23" t="s">
        <v>150</v>
      </c>
    </row>
    <row r="1244" spans="1:11" s="23" customFormat="1" x14ac:dyDescent="0.75">
      <c r="A1244" s="23" t="s">
        <v>69</v>
      </c>
      <c r="B1244" s="24">
        <v>44748</v>
      </c>
      <c r="C1244" s="23">
        <v>2</v>
      </c>
      <c r="D1244" s="23" t="s">
        <v>197</v>
      </c>
      <c r="E1244" s="52">
        <f>43-40</f>
        <v>3</v>
      </c>
      <c r="F1244" s="23" t="s">
        <v>363</v>
      </c>
      <c r="G1244" s="23" t="s">
        <v>367</v>
      </c>
    </row>
    <row r="1245" spans="1:11" s="23" customFormat="1" x14ac:dyDescent="0.75">
      <c r="A1245" s="23" t="s">
        <v>69</v>
      </c>
      <c r="B1245" s="24">
        <v>44748</v>
      </c>
      <c r="C1245" s="23">
        <v>2</v>
      </c>
      <c r="D1245" s="23" t="s">
        <v>194</v>
      </c>
      <c r="E1245" s="52">
        <f>40-32</f>
        <v>8</v>
      </c>
      <c r="F1245" s="23" t="s">
        <v>363</v>
      </c>
      <c r="G1245" s="23" t="s">
        <v>367</v>
      </c>
    </row>
    <row r="1246" spans="1:11" s="23" customFormat="1" x14ac:dyDescent="0.75">
      <c r="A1246" s="23" t="s">
        <v>69</v>
      </c>
      <c r="B1246" s="24">
        <v>44748</v>
      </c>
      <c r="C1246" s="23">
        <v>2</v>
      </c>
      <c r="D1246" s="23" t="s">
        <v>197</v>
      </c>
      <c r="E1246" s="52">
        <f>32-24</f>
        <v>8</v>
      </c>
      <c r="F1246" s="23" t="s">
        <v>363</v>
      </c>
      <c r="G1246" s="23" t="s">
        <v>367</v>
      </c>
    </row>
    <row r="1247" spans="1:11" s="23" customFormat="1" x14ac:dyDescent="0.75">
      <c r="A1247" s="23" t="s">
        <v>69</v>
      </c>
      <c r="B1247" s="24">
        <v>44748</v>
      </c>
      <c r="C1247" s="23">
        <v>2</v>
      </c>
      <c r="D1247" s="23" t="s">
        <v>194</v>
      </c>
      <c r="E1247" s="52">
        <f>24-13</f>
        <v>11</v>
      </c>
      <c r="F1247" s="23" t="s">
        <v>363</v>
      </c>
      <c r="G1247" s="23" t="s">
        <v>367</v>
      </c>
    </row>
    <row r="1248" spans="1:11" s="23" customFormat="1" x14ac:dyDescent="0.75">
      <c r="A1248" s="23" t="s">
        <v>69</v>
      </c>
      <c r="B1248" s="24">
        <v>44748</v>
      </c>
      <c r="C1248" s="23">
        <v>2</v>
      </c>
      <c r="D1248" s="23" t="s">
        <v>164</v>
      </c>
      <c r="E1248" s="52">
        <f>13+51-24</f>
        <v>40</v>
      </c>
      <c r="F1248" s="23" t="s">
        <v>363</v>
      </c>
      <c r="G1248" s="23" t="s">
        <v>367</v>
      </c>
    </row>
    <row r="1249" spans="1:11" s="23" customFormat="1" x14ac:dyDescent="0.75">
      <c r="A1249" s="23" t="s">
        <v>69</v>
      </c>
      <c r="B1249" s="24">
        <v>44748</v>
      </c>
      <c r="C1249" s="23">
        <v>2</v>
      </c>
      <c r="D1249" s="23" t="s">
        <v>191</v>
      </c>
      <c r="E1249" s="52">
        <f>54-46</f>
        <v>8</v>
      </c>
      <c r="F1249" s="23" t="s">
        <v>363</v>
      </c>
      <c r="G1249" s="23" t="s">
        <v>789</v>
      </c>
      <c r="K1249" s="23" t="s">
        <v>790</v>
      </c>
    </row>
    <row r="1250" spans="1:11" s="23" customFormat="1" x14ac:dyDescent="0.75">
      <c r="A1250" s="23" t="s">
        <v>69</v>
      </c>
      <c r="B1250" s="24">
        <v>44748</v>
      </c>
      <c r="C1250" s="23">
        <v>2</v>
      </c>
      <c r="D1250" s="23" t="s">
        <v>197</v>
      </c>
      <c r="E1250" s="52">
        <f>46-31</f>
        <v>15</v>
      </c>
      <c r="F1250" s="23">
        <v>953</v>
      </c>
      <c r="G1250" s="23" t="s">
        <v>789</v>
      </c>
      <c r="K1250" s="23" t="s">
        <v>790</v>
      </c>
    </row>
    <row r="1251" spans="1:11" s="23" customFormat="1" x14ac:dyDescent="0.75">
      <c r="A1251" s="23" t="s">
        <v>69</v>
      </c>
      <c r="B1251" s="24">
        <v>44748</v>
      </c>
      <c r="C1251" s="23">
        <v>2</v>
      </c>
      <c r="D1251" s="23" t="s">
        <v>197</v>
      </c>
      <c r="E1251" s="52">
        <f>31-29</f>
        <v>2</v>
      </c>
      <c r="F1251" s="23" t="s">
        <v>363</v>
      </c>
      <c r="G1251" s="23" t="s">
        <v>789</v>
      </c>
      <c r="K1251" s="23" t="s">
        <v>790</v>
      </c>
    </row>
    <row r="1252" spans="1:11" s="23" customFormat="1" x14ac:dyDescent="0.75">
      <c r="A1252" s="23" t="s">
        <v>69</v>
      </c>
      <c r="B1252" s="24">
        <v>44748</v>
      </c>
      <c r="C1252" s="23">
        <v>2</v>
      </c>
      <c r="D1252" s="23" t="s">
        <v>197</v>
      </c>
      <c r="E1252" s="52">
        <f>29-21</f>
        <v>8</v>
      </c>
      <c r="F1252" s="23" t="s">
        <v>363</v>
      </c>
      <c r="G1252" s="23" t="s">
        <v>789</v>
      </c>
      <c r="K1252" s="23" t="s">
        <v>790</v>
      </c>
    </row>
    <row r="1253" spans="1:11" s="23" customFormat="1" x14ac:dyDescent="0.75">
      <c r="A1253" s="23" t="s">
        <v>69</v>
      </c>
      <c r="B1253" s="24">
        <v>44748</v>
      </c>
      <c r="C1253" s="23">
        <v>2</v>
      </c>
      <c r="D1253" s="23" t="s">
        <v>197</v>
      </c>
      <c r="E1253" s="52">
        <f>21+51-43</f>
        <v>29</v>
      </c>
      <c r="F1253" s="23" t="s">
        <v>363</v>
      </c>
      <c r="G1253" s="23" t="s">
        <v>789</v>
      </c>
      <c r="K1253" s="23" t="s">
        <v>790</v>
      </c>
    </row>
    <row r="1254" spans="1:11" s="23" customFormat="1" x14ac:dyDescent="0.75">
      <c r="A1254" s="23" t="s">
        <v>69</v>
      </c>
      <c r="B1254" s="24">
        <v>44748</v>
      </c>
      <c r="C1254" s="23">
        <v>2</v>
      </c>
      <c r="D1254" s="23" t="s">
        <v>201</v>
      </c>
      <c r="E1254" s="52">
        <f>43-27</f>
        <v>16</v>
      </c>
      <c r="F1254" s="23" t="s">
        <v>363</v>
      </c>
      <c r="G1254" s="23" t="s">
        <v>789</v>
      </c>
      <c r="K1254" s="23" t="s">
        <v>790</v>
      </c>
    </row>
    <row r="1255" spans="1:11" s="23" customFormat="1" x14ac:dyDescent="0.75">
      <c r="A1255" s="23" t="s">
        <v>69</v>
      </c>
      <c r="B1255" s="24">
        <v>44748</v>
      </c>
      <c r="C1255" s="23">
        <v>2</v>
      </c>
      <c r="D1255" s="23" t="s">
        <v>201</v>
      </c>
      <c r="E1255" s="52">
        <f>27-15</f>
        <v>12</v>
      </c>
      <c r="F1255" s="23" t="s">
        <v>363</v>
      </c>
      <c r="G1255" s="23" t="s">
        <v>789</v>
      </c>
      <c r="K1255" s="23" t="s">
        <v>790</v>
      </c>
    </row>
    <row r="1256" spans="1:11" s="23" customFormat="1" x14ac:dyDescent="0.75">
      <c r="A1256" s="23" t="s">
        <v>69</v>
      </c>
      <c r="B1256" s="24">
        <v>44748</v>
      </c>
      <c r="C1256" s="23">
        <v>2</v>
      </c>
      <c r="D1256" s="23" t="s">
        <v>191</v>
      </c>
      <c r="E1256" s="52">
        <f>15+53-50</f>
        <v>18</v>
      </c>
      <c r="F1256" s="23" t="s">
        <v>363</v>
      </c>
      <c r="G1256" s="23" t="s">
        <v>789</v>
      </c>
      <c r="K1256" s="23" t="s">
        <v>790</v>
      </c>
    </row>
    <row r="1257" spans="1:11" s="23" customFormat="1" x14ac:dyDescent="0.75">
      <c r="A1257" s="23" t="s">
        <v>69</v>
      </c>
      <c r="B1257" s="24">
        <v>44748</v>
      </c>
      <c r="C1257" s="23">
        <v>2</v>
      </c>
      <c r="D1257" s="23" t="s">
        <v>201</v>
      </c>
      <c r="E1257" s="52">
        <f>50-49</f>
        <v>1</v>
      </c>
      <c r="F1257" s="23" t="s">
        <v>363</v>
      </c>
      <c r="G1257" s="23" t="s">
        <v>789</v>
      </c>
      <c r="K1257" s="23" t="s">
        <v>790</v>
      </c>
    </row>
    <row r="1258" spans="1:11" s="23" customFormat="1" x14ac:dyDescent="0.75">
      <c r="A1258" s="23" t="s">
        <v>69</v>
      </c>
      <c r="B1258" s="24">
        <v>44748</v>
      </c>
      <c r="C1258" s="23">
        <v>2</v>
      </c>
      <c r="D1258" s="23" t="s">
        <v>197</v>
      </c>
      <c r="E1258" s="52">
        <f>49-40</f>
        <v>9</v>
      </c>
      <c r="F1258" s="23" t="s">
        <v>363</v>
      </c>
      <c r="G1258" s="23" t="s">
        <v>789</v>
      </c>
      <c r="K1258" s="23" t="s">
        <v>790</v>
      </c>
    </row>
    <row r="1259" spans="1:11" s="23" customFormat="1" x14ac:dyDescent="0.75">
      <c r="A1259" s="23" t="s">
        <v>69</v>
      </c>
      <c r="B1259" s="24">
        <v>44748</v>
      </c>
      <c r="C1259" s="23">
        <v>2</v>
      </c>
      <c r="D1259" s="23" t="s">
        <v>191</v>
      </c>
      <c r="E1259" s="52">
        <f>40-38</f>
        <v>2</v>
      </c>
      <c r="F1259" s="23" t="s">
        <v>363</v>
      </c>
      <c r="G1259" s="23" t="s">
        <v>789</v>
      </c>
      <c r="K1259" s="23" t="s">
        <v>790</v>
      </c>
    </row>
    <row r="1260" spans="1:11" s="23" customFormat="1" x14ac:dyDescent="0.75">
      <c r="A1260" s="23" t="s">
        <v>69</v>
      </c>
      <c r="B1260" s="24">
        <v>44748</v>
      </c>
      <c r="C1260" s="23">
        <v>2</v>
      </c>
      <c r="D1260" s="23" t="s">
        <v>194</v>
      </c>
      <c r="E1260" s="52">
        <f>38-25</f>
        <v>13</v>
      </c>
      <c r="F1260" s="23" t="s">
        <v>363</v>
      </c>
      <c r="G1260" s="23" t="s">
        <v>789</v>
      </c>
      <c r="K1260" s="23" t="s">
        <v>790</v>
      </c>
    </row>
    <row r="1261" spans="1:11" s="23" customFormat="1" x14ac:dyDescent="0.75">
      <c r="A1261" s="23" t="s">
        <v>69</v>
      </c>
      <c r="B1261" s="24">
        <v>44748</v>
      </c>
      <c r="C1261" s="23">
        <v>2</v>
      </c>
      <c r="D1261" s="23" t="s">
        <v>164</v>
      </c>
      <c r="E1261" s="52">
        <f>35</f>
        <v>35</v>
      </c>
      <c r="F1261" s="23" t="s">
        <v>363</v>
      </c>
      <c r="G1261" s="23" t="s">
        <v>789</v>
      </c>
      <c r="K1261" s="23" t="s">
        <v>790</v>
      </c>
    </row>
    <row r="1262" spans="1:11" s="23" customFormat="1" x14ac:dyDescent="0.75">
      <c r="A1262" s="23" t="s">
        <v>69</v>
      </c>
      <c r="B1262" s="24">
        <v>44748</v>
      </c>
      <c r="C1262" s="23">
        <v>3</v>
      </c>
      <c r="D1262" s="23" t="s">
        <v>197</v>
      </c>
      <c r="E1262" s="52">
        <f>38-20</f>
        <v>18</v>
      </c>
      <c r="F1262" s="23" t="s">
        <v>363</v>
      </c>
      <c r="G1262" s="23" t="s">
        <v>374</v>
      </c>
    </row>
    <row r="1263" spans="1:11" s="23" customFormat="1" x14ac:dyDescent="0.75">
      <c r="A1263" s="23" t="s">
        <v>69</v>
      </c>
      <c r="B1263" s="24">
        <v>44748</v>
      </c>
      <c r="C1263" s="23">
        <v>3</v>
      </c>
      <c r="D1263" s="23" t="s">
        <v>197</v>
      </c>
      <c r="E1263" s="52">
        <f>20-11</f>
        <v>9</v>
      </c>
      <c r="F1263" s="23" t="s">
        <v>363</v>
      </c>
      <c r="G1263" s="23" t="s">
        <v>374</v>
      </c>
    </row>
    <row r="1264" spans="1:11" s="23" customFormat="1" x14ac:dyDescent="0.75">
      <c r="A1264" s="23" t="s">
        <v>69</v>
      </c>
      <c r="B1264" s="24">
        <v>44748</v>
      </c>
      <c r="C1264" s="23">
        <v>3</v>
      </c>
      <c r="D1264" s="23" t="s">
        <v>191</v>
      </c>
      <c r="E1264" s="52">
        <f>11-2</f>
        <v>9</v>
      </c>
      <c r="F1264" s="23" t="s">
        <v>363</v>
      </c>
      <c r="G1264" s="23" t="s">
        <v>374</v>
      </c>
    </row>
    <row r="1265" spans="1:11" s="23" customFormat="1" x14ac:dyDescent="0.75">
      <c r="A1265" s="23" t="s">
        <v>69</v>
      </c>
      <c r="B1265" s="24">
        <v>44748</v>
      </c>
      <c r="C1265" s="23">
        <v>3</v>
      </c>
      <c r="D1265" s="23" t="s">
        <v>197</v>
      </c>
      <c r="E1265" s="52" t="s">
        <v>363</v>
      </c>
      <c r="F1265" s="23" t="s">
        <v>363</v>
      </c>
      <c r="G1265" s="23" t="s">
        <v>374</v>
      </c>
      <c r="K1265" s="23" t="s">
        <v>762</v>
      </c>
    </row>
    <row r="1266" spans="1:11" s="23" customFormat="1" x14ac:dyDescent="0.75">
      <c r="A1266" s="23" t="s">
        <v>69</v>
      </c>
      <c r="B1266" s="24">
        <v>44748</v>
      </c>
      <c r="C1266" s="23">
        <v>3</v>
      </c>
      <c r="D1266" s="23" t="s">
        <v>194</v>
      </c>
      <c r="E1266" s="52">
        <f>45-28</f>
        <v>17</v>
      </c>
      <c r="F1266" s="23" t="s">
        <v>363</v>
      </c>
      <c r="G1266" s="23" t="s">
        <v>374</v>
      </c>
    </row>
    <row r="1267" spans="1:11" s="23" customFormat="1" x14ac:dyDescent="0.75">
      <c r="A1267" s="23" t="s">
        <v>69</v>
      </c>
      <c r="B1267" s="24">
        <v>44748</v>
      </c>
      <c r="C1267" s="23">
        <v>3</v>
      </c>
      <c r="D1267" s="23" t="s">
        <v>164</v>
      </c>
      <c r="E1267" s="52">
        <f>28-23</f>
        <v>5</v>
      </c>
      <c r="F1267" s="23" t="s">
        <v>363</v>
      </c>
      <c r="G1267" s="23" t="s">
        <v>374</v>
      </c>
    </row>
    <row r="1268" spans="1:11" s="23" customFormat="1" x14ac:dyDescent="0.75">
      <c r="A1268" s="23" t="s">
        <v>69</v>
      </c>
      <c r="B1268" s="24">
        <v>44748</v>
      </c>
      <c r="C1268" s="23">
        <v>3</v>
      </c>
      <c r="D1268" s="23" t="s">
        <v>197</v>
      </c>
      <c r="E1268" s="52">
        <f>17-3</f>
        <v>14</v>
      </c>
      <c r="F1268" s="23" t="s">
        <v>363</v>
      </c>
      <c r="G1268" s="23" t="s">
        <v>374</v>
      </c>
    </row>
    <row r="1269" spans="1:11" s="23" customFormat="1" x14ac:dyDescent="0.75">
      <c r="A1269" s="23" t="s">
        <v>69</v>
      </c>
      <c r="B1269" s="24">
        <v>44748</v>
      </c>
      <c r="C1269" s="23">
        <v>3</v>
      </c>
      <c r="D1269" s="23" t="s">
        <v>191</v>
      </c>
      <c r="E1269" s="52" t="s">
        <v>363</v>
      </c>
      <c r="F1269" s="23" t="s">
        <v>363</v>
      </c>
      <c r="G1269" s="23" t="s">
        <v>374</v>
      </c>
    </row>
    <row r="1270" spans="1:11" s="23" customFormat="1" x14ac:dyDescent="0.75">
      <c r="A1270" s="23" t="s">
        <v>69</v>
      </c>
      <c r="B1270" s="24">
        <v>44748</v>
      </c>
      <c r="C1270" s="23">
        <v>3</v>
      </c>
      <c r="D1270" s="23" t="s">
        <v>191</v>
      </c>
      <c r="E1270" s="52" t="s">
        <v>363</v>
      </c>
      <c r="F1270" s="23" t="s">
        <v>363</v>
      </c>
      <c r="G1270" s="23" t="s">
        <v>789</v>
      </c>
      <c r="K1270" s="23" t="s">
        <v>797</v>
      </c>
    </row>
    <row r="1271" spans="1:11" s="23" customFormat="1" x14ac:dyDescent="0.75">
      <c r="A1271" s="23" t="s">
        <v>69</v>
      </c>
      <c r="B1271" s="24">
        <v>44748</v>
      </c>
      <c r="C1271" s="23">
        <v>3</v>
      </c>
      <c r="D1271" s="23" t="s">
        <v>197</v>
      </c>
      <c r="E1271" s="52">
        <f>35-30</f>
        <v>5</v>
      </c>
      <c r="F1271" s="23" t="s">
        <v>363</v>
      </c>
      <c r="G1271" s="23" t="s">
        <v>789</v>
      </c>
      <c r="K1271" s="23" t="s">
        <v>787</v>
      </c>
    </row>
    <row r="1272" spans="1:11" s="23" customFormat="1" x14ac:dyDescent="0.75">
      <c r="A1272" s="23" t="s">
        <v>69</v>
      </c>
      <c r="B1272" s="24">
        <v>44748</v>
      </c>
      <c r="C1272" s="23">
        <v>3</v>
      </c>
      <c r="D1272" s="23" t="s">
        <v>191</v>
      </c>
      <c r="E1272" s="52">
        <f>30-27</f>
        <v>3</v>
      </c>
      <c r="F1272" s="23" t="s">
        <v>363</v>
      </c>
      <c r="G1272" s="23" t="s">
        <v>789</v>
      </c>
      <c r="K1272" s="23" t="s">
        <v>787</v>
      </c>
    </row>
    <row r="1273" spans="1:11" s="23" customFormat="1" x14ac:dyDescent="0.75">
      <c r="A1273" s="23" t="s">
        <v>69</v>
      </c>
      <c r="B1273" s="24">
        <v>44748</v>
      </c>
      <c r="C1273" s="23">
        <v>3</v>
      </c>
      <c r="D1273" s="23" t="s">
        <v>191</v>
      </c>
      <c r="E1273" s="52">
        <f>27-21</f>
        <v>6</v>
      </c>
      <c r="F1273" s="23" t="s">
        <v>363</v>
      </c>
      <c r="G1273" s="23" t="s">
        <v>789</v>
      </c>
      <c r="K1273" s="23" t="s">
        <v>787</v>
      </c>
    </row>
    <row r="1274" spans="1:11" s="23" customFormat="1" x14ac:dyDescent="0.75">
      <c r="A1274" s="23" t="s">
        <v>69</v>
      </c>
      <c r="B1274" s="24">
        <v>44748</v>
      </c>
      <c r="C1274" s="23">
        <v>3</v>
      </c>
      <c r="D1274" s="23" t="s">
        <v>191</v>
      </c>
      <c r="E1274" s="52">
        <f>21-16</f>
        <v>5</v>
      </c>
      <c r="F1274" s="23" t="s">
        <v>363</v>
      </c>
      <c r="G1274" s="23" t="s">
        <v>789</v>
      </c>
      <c r="K1274" s="23" t="s">
        <v>787</v>
      </c>
    </row>
    <row r="1275" spans="1:11" s="23" customFormat="1" x14ac:dyDescent="0.75">
      <c r="A1275" s="23" t="s">
        <v>69</v>
      </c>
      <c r="B1275" s="24">
        <v>44748</v>
      </c>
      <c r="C1275" s="23">
        <v>3</v>
      </c>
      <c r="D1275" s="23" t="s">
        <v>191</v>
      </c>
      <c r="E1275" s="52">
        <f>16-13</f>
        <v>3</v>
      </c>
      <c r="F1275" s="23" t="s">
        <v>363</v>
      </c>
      <c r="G1275" s="23" t="s">
        <v>789</v>
      </c>
      <c r="K1275" s="23" t="s">
        <v>787</v>
      </c>
    </row>
    <row r="1276" spans="1:11" s="23" customFormat="1" x14ac:dyDescent="0.75">
      <c r="A1276" s="23" t="s">
        <v>69</v>
      </c>
      <c r="B1276" s="24">
        <v>44748</v>
      </c>
      <c r="C1276" s="23">
        <v>3</v>
      </c>
      <c r="D1276" s="23" t="s">
        <v>191</v>
      </c>
      <c r="E1276" s="52">
        <f>13-9</f>
        <v>4</v>
      </c>
      <c r="F1276" s="23" t="s">
        <v>363</v>
      </c>
      <c r="G1276" s="23" t="s">
        <v>789</v>
      </c>
      <c r="K1276" s="23" t="s">
        <v>787</v>
      </c>
    </row>
    <row r="1277" spans="1:11" s="23" customFormat="1" x14ac:dyDescent="0.75">
      <c r="A1277" s="23" t="s">
        <v>69</v>
      </c>
      <c r="B1277" s="24">
        <v>44748</v>
      </c>
      <c r="C1277" s="23">
        <v>3</v>
      </c>
      <c r="D1277" s="23" t="s">
        <v>191</v>
      </c>
      <c r="E1277" s="52">
        <f>9-6</f>
        <v>3</v>
      </c>
      <c r="F1277" s="23" t="s">
        <v>363</v>
      </c>
      <c r="G1277" s="23" t="s">
        <v>789</v>
      </c>
      <c r="K1277" s="23" t="s">
        <v>787</v>
      </c>
    </row>
    <row r="1278" spans="1:11" s="23" customFormat="1" x14ac:dyDescent="0.75">
      <c r="A1278" s="23" t="s">
        <v>69</v>
      </c>
      <c r="B1278" s="24">
        <v>44748</v>
      </c>
      <c r="C1278" s="23">
        <v>3</v>
      </c>
      <c r="D1278" s="23" t="s">
        <v>191</v>
      </c>
      <c r="E1278" s="52">
        <f>6-5</f>
        <v>1</v>
      </c>
      <c r="F1278" s="23" t="s">
        <v>363</v>
      </c>
      <c r="G1278" s="23" t="s">
        <v>789</v>
      </c>
      <c r="K1278" s="23" t="s">
        <v>787</v>
      </c>
    </row>
    <row r="1279" spans="1:11" s="23" customFormat="1" x14ac:dyDescent="0.75">
      <c r="A1279" s="23" t="s">
        <v>69</v>
      </c>
      <c r="B1279" s="24">
        <v>44748</v>
      </c>
      <c r="C1279" s="23">
        <v>3</v>
      </c>
      <c r="D1279" s="23" t="s">
        <v>191</v>
      </c>
      <c r="E1279" s="52">
        <v>5</v>
      </c>
      <c r="F1279" s="23" t="s">
        <v>363</v>
      </c>
      <c r="G1279" s="23" t="s">
        <v>789</v>
      </c>
      <c r="K1279" s="23" t="s">
        <v>787</v>
      </c>
    </row>
    <row r="1280" spans="1:11" s="15" customFormat="1" x14ac:dyDescent="0.75">
      <c r="A1280" s="49" t="s">
        <v>64</v>
      </c>
      <c r="B1280" s="50">
        <v>44750</v>
      </c>
      <c r="C1280" s="49">
        <v>1</v>
      </c>
      <c r="D1280" s="49" t="s">
        <v>207</v>
      </c>
      <c r="E1280" s="56">
        <f>41-31</f>
        <v>10</v>
      </c>
      <c r="F1280" s="49" t="s">
        <v>363</v>
      </c>
      <c r="G1280" s="49" t="s">
        <v>361</v>
      </c>
      <c r="H1280" s="49"/>
    </row>
    <row r="1281" spans="1:8" s="15" customFormat="1" x14ac:dyDescent="0.75">
      <c r="A1281" s="49" t="s">
        <v>64</v>
      </c>
      <c r="B1281" s="50">
        <v>44750</v>
      </c>
      <c r="C1281" s="49">
        <v>1</v>
      </c>
      <c r="D1281" s="49" t="s">
        <v>160</v>
      </c>
      <c r="E1281" s="56">
        <f>31-30</f>
        <v>1</v>
      </c>
      <c r="F1281" s="49" t="s">
        <v>363</v>
      </c>
      <c r="G1281" s="49" t="s">
        <v>361</v>
      </c>
      <c r="H1281" s="49"/>
    </row>
    <row r="1282" spans="1:8" s="15" customFormat="1" x14ac:dyDescent="0.75">
      <c r="A1282" s="49" t="s">
        <v>64</v>
      </c>
      <c r="B1282" s="50">
        <v>44750</v>
      </c>
      <c r="C1282" s="49">
        <v>1</v>
      </c>
      <c r="D1282" s="49" t="s">
        <v>160</v>
      </c>
      <c r="E1282" s="56">
        <f>30-27</f>
        <v>3</v>
      </c>
      <c r="F1282" s="49" t="s">
        <v>363</v>
      </c>
      <c r="G1282" s="49" t="s">
        <v>361</v>
      </c>
      <c r="H1282" s="49"/>
    </row>
    <row r="1283" spans="1:8" s="15" customFormat="1" x14ac:dyDescent="0.75">
      <c r="A1283" s="49" t="s">
        <v>64</v>
      </c>
      <c r="B1283" s="50">
        <v>44750</v>
      </c>
      <c r="C1283" s="49">
        <v>1</v>
      </c>
      <c r="D1283" s="49" t="s">
        <v>160</v>
      </c>
      <c r="E1283" s="56">
        <f>40-37</f>
        <v>3</v>
      </c>
      <c r="F1283" s="49" t="s">
        <v>363</v>
      </c>
      <c r="G1283" s="49" t="s">
        <v>367</v>
      </c>
      <c r="H1283" s="49"/>
    </row>
    <row r="1284" spans="1:8" s="23" customFormat="1" x14ac:dyDescent="0.75">
      <c r="A1284" s="23" t="s">
        <v>28</v>
      </c>
      <c r="B1284" s="24">
        <v>44754</v>
      </c>
      <c r="C1284" s="23">
        <v>1</v>
      </c>
      <c r="D1284" s="23" t="s">
        <v>160</v>
      </c>
      <c r="E1284" s="52">
        <f>27-18</f>
        <v>9</v>
      </c>
      <c r="F1284" s="23">
        <v>4190</v>
      </c>
      <c r="G1284" s="23" t="s">
        <v>361</v>
      </c>
    </row>
    <row r="1285" spans="1:8" s="23" customFormat="1" x14ac:dyDescent="0.75">
      <c r="A1285" s="23" t="s">
        <v>28</v>
      </c>
      <c r="B1285" s="24">
        <v>44754</v>
      </c>
      <c r="C1285" s="23">
        <v>1</v>
      </c>
      <c r="D1285" s="23" t="s">
        <v>153</v>
      </c>
      <c r="E1285" s="52">
        <f>18-12</f>
        <v>6</v>
      </c>
      <c r="F1285" s="23" t="s">
        <v>363</v>
      </c>
      <c r="G1285" s="23" t="s">
        <v>361</v>
      </c>
    </row>
    <row r="1286" spans="1:8" s="23" customFormat="1" x14ac:dyDescent="0.75">
      <c r="A1286" s="23" t="s">
        <v>28</v>
      </c>
      <c r="B1286" s="24">
        <v>44754</v>
      </c>
      <c r="C1286" s="23">
        <v>1</v>
      </c>
      <c r="D1286" s="23" t="s">
        <v>191</v>
      </c>
      <c r="E1286" s="52">
        <f>44-40</f>
        <v>4</v>
      </c>
      <c r="F1286" s="23" t="s">
        <v>363</v>
      </c>
      <c r="G1286" s="23" t="s">
        <v>374</v>
      </c>
    </row>
    <row r="1287" spans="1:8" s="23" customFormat="1" x14ac:dyDescent="0.75">
      <c r="A1287" s="23" t="s">
        <v>28</v>
      </c>
      <c r="B1287" s="24">
        <v>44754</v>
      </c>
      <c r="C1287" s="23">
        <v>1</v>
      </c>
      <c r="D1287" s="23" t="s">
        <v>197</v>
      </c>
      <c r="E1287" s="52">
        <f>39-27</f>
        <v>12</v>
      </c>
      <c r="F1287" s="23" t="s">
        <v>363</v>
      </c>
      <c r="G1287" s="23" t="s">
        <v>374</v>
      </c>
    </row>
    <row r="1288" spans="1:8" s="23" customFormat="1" x14ac:dyDescent="0.75">
      <c r="A1288" s="23" t="s">
        <v>28</v>
      </c>
      <c r="B1288" s="24">
        <v>44754</v>
      </c>
      <c r="C1288" s="23">
        <v>1</v>
      </c>
      <c r="D1288" s="23" t="s">
        <v>197</v>
      </c>
      <c r="E1288" s="52">
        <f>27-23</f>
        <v>4</v>
      </c>
      <c r="F1288" s="23" t="s">
        <v>363</v>
      </c>
      <c r="G1288" s="23" t="s">
        <v>374</v>
      </c>
    </row>
    <row r="1289" spans="1:8" s="23" customFormat="1" x14ac:dyDescent="0.75">
      <c r="A1289" s="23" t="s">
        <v>28</v>
      </c>
      <c r="B1289" s="24">
        <v>44754</v>
      </c>
      <c r="C1289" s="23">
        <v>1</v>
      </c>
      <c r="D1289" s="23" t="s">
        <v>194</v>
      </c>
      <c r="E1289" s="52">
        <f>23-20</f>
        <v>3</v>
      </c>
      <c r="F1289" s="23" t="s">
        <v>363</v>
      </c>
      <c r="G1289" s="23" t="s">
        <v>374</v>
      </c>
    </row>
    <row r="1290" spans="1:8" s="23" customFormat="1" x14ac:dyDescent="0.75">
      <c r="A1290" s="23" t="s">
        <v>28</v>
      </c>
      <c r="B1290" s="24">
        <v>44754</v>
      </c>
      <c r="C1290" s="23">
        <v>1</v>
      </c>
      <c r="D1290" s="23" t="s">
        <v>199</v>
      </c>
      <c r="E1290" s="52">
        <f>20-14</f>
        <v>6</v>
      </c>
      <c r="F1290" s="23" t="s">
        <v>363</v>
      </c>
      <c r="G1290" s="23" t="s">
        <v>374</v>
      </c>
    </row>
    <row r="1291" spans="1:8" s="23" customFormat="1" x14ac:dyDescent="0.75">
      <c r="A1291" s="23" t="s">
        <v>28</v>
      </c>
      <c r="B1291" s="24">
        <v>44754</v>
      </c>
      <c r="C1291" s="23">
        <v>1</v>
      </c>
      <c r="D1291" s="23" t="s">
        <v>194</v>
      </c>
      <c r="E1291" s="52">
        <f>14-12</f>
        <v>2</v>
      </c>
      <c r="F1291" s="23" t="s">
        <v>363</v>
      </c>
      <c r="G1291" s="23" t="s">
        <v>374</v>
      </c>
    </row>
    <row r="1292" spans="1:8" s="23" customFormat="1" x14ac:dyDescent="0.75">
      <c r="A1292" s="23" t="s">
        <v>28</v>
      </c>
      <c r="B1292" s="24">
        <v>44754</v>
      </c>
      <c r="C1292" s="23">
        <v>1</v>
      </c>
      <c r="D1292" s="23" t="s">
        <v>201</v>
      </c>
      <c r="E1292" s="52">
        <f>45-1</f>
        <v>44</v>
      </c>
      <c r="F1292" s="23" t="s">
        <v>363</v>
      </c>
      <c r="G1292" s="23" t="s">
        <v>374</v>
      </c>
    </row>
    <row r="1293" spans="1:8" s="23" customFormat="1" x14ac:dyDescent="0.75">
      <c r="A1293" s="23" t="s">
        <v>28</v>
      </c>
      <c r="B1293" s="24">
        <v>44754</v>
      </c>
      <c r="C1293" s="23">
        <v>1</v>
      </c>
      <c r="D1293" s="23" t="s">
        <v>194</v>
      </c>
      <c r="E1293" s="52">
        <f>1</f>
        <v>1</v>
      </c>
      <c r="F1293" s="23" t="s">
        <v>363</v>
      </c>
      <c r="G1293" s="23" t="s">
        <v>374</v>
      </c>
    </row>
    <row r="1294" spans="1:8" x14ac:dyDescent="0.75">
      <c r="A1294" t="s">
        <v>28</v>
      </c>
      <c r="B1294" s="3">
        <v>44754</v>
      </c>
      <c r="C1294">
        <v>2</v>
      </c>
      <c r="D1294" t="s">
        <v>194</v>
      </c>
      <c r="E1294" s="22">
        <f>30-24</f>
        <v>6</v>
      </c>
      <c r="F1294" t="s">
        <v>363</v>
      </c>
      <c r="G1294" t="s">
        <v>361</v>
      </c>
    </row>
    <row r="1295" spans="1:8" x14ac:dyDescent="0.75">
      <c r="A1295" t="s">
        <v>28</v>
      </c>
      <c r="B1295" s="3">
        <v>44754</v>
      </c>
      <c r="C1295">
        <v>2</v>
      </c>
      <c r="D1295" t="s">
        <v>197</v>
      </c>
      <c r="E1295" s="22">
        <f>24-21</f>
        <v>3</v>
      </c>
      <c r="F1295" t="s">
        <v>363</v>
      </c>
      <c r="G1295" t="s">
        <v>361</v>
      </c>
    </row>
    <row r="1296" spans="1:8" x14ac:dyDescent="0.75">
      <c r="A1296" t="s">
        <v>28</v>
      </c>
      <c r="B1296" s="3">
        <v>44754</v>
      </c>
      <c r="C1296">
        <v>2</v>
      </c>
      <c r="D1296" t="s">
        <v>197</v>
      </c>
      <c r="E1296" s="22">
        <f>21-20</f>
        <v>1</v>
      </c>
      <c r="F1296" t="s">
        <v>363</v>
      </c>
      <c r="G1296" t="s">
        <v>361</v>
      </c>
    </row>
    <row r="1297" spans="1:16" x14ac:dyDescent="0.75">
      <c r="A1297" t="s">
        <v>28</v>
      </c>
      <c r="B1297" s="3">
        <v>44754</v>
      </c>
      <c r="C1297">
        <v>2</v>
      </c>
      <c r="D1297" t="s">
        <v>197</v>
      </c>
      <c r="E1297" s="22">
        <f>20-17</f>
        <v>3</v>
      </c>
      <c r="F1297" t="s">
        <v>363</v>
      </c>
      <c r="G1297" t="s">
        <v>361</v>
      </c>
    </row>
    <row r="1298" spans="1:16" x14ac:dyDescent="0.75">
      <c r="A1298" t="s">
        <v>28</v>
      </c>
      <c r="B1298" s="3">
        <v>44754</v>
      </c>
      <c r="C1298">
        <v>2</v>
      </c>
      <c r="D1298" t="s">
        <v>191</v>
      </c>
      <c r="E1298" s="22">
        <f>17-15</f>
        <v>2</v>
      </c>
      <c r="F1298" t="s">
        <v>363</v>
      </c>
      <c r="G1298" t="s">
        <v>361</v>
      </c>
    </row>
    <row r="1299" spans="1:16" x14ac:dyDescent="0.75">
      <c r="A1299" t="s">
        <v>28</v>
      </c>
      <c r="B1299" s="3">
        <v>44754</v>
      </c>
      <c r="C1299">
        <v>2</v>
      </c>
      <c r="D1299" t="s">
        <v>191</v>
      </c>
      <c r="E1299" s="22">
        <f>15-8</f>
        <v>7</v>
      </c>
      <c r="F1299" t="s">
        <v>363</v>
      </c>
      <c r="G1299" t="s">
        <v>361</v>
      </c>
    </row>
    <row r="1300" spans="1:16" x14ac:dyDescent="0.75">
      <c r="A1300" t="s">
        <v>28</v>
      </c>
      <c r="B1300" s="3">
        <v>44754</v>
      </c>
      <c r="C1300">
        <v>2</v>
      </c>
      <c r="D1300" t="s">
        <v>201</v>
      </c>
      <c r="E1300" s="22">
        <f>39-32</f>
        <v>7</v>
      </c>
      <c r="F1300" t="s">
        <v>363</v>
      </c>
      <c r="G1300" t="s">
        <v>374</v>
      </c>
      <c r="P1300">
        <f>41-36</f>
        <v>5</v>
      </c>
    </row>
    <row r="1301" spans="1:16" x14ac:dyDescent="0.75">
      <c r="A1301" t="s">
        <v>28</v>
      </c>
      <c r="B1301" s="3">
        <v>44754</v>
      </c>
      <c r="C1301">
        <v>2</v>
      </c>
      <c r="D1301" t="s">
        <v>197</v>
      </c>
      <c r="E1301" s="22">
        <f>32-24</f>
        <v>8</v>
      </c>
      <c r="F1301" t="s">
        <v>363</v>
      </c>
      <c r="G1301" t="s">
        <v>374</v>
      </c>
    </row>
    <row r="1302" spans="1:16" x14ac:dyDescent="0.75">
      <c r="A1302" t="s">
        <v>28</v>
      </c>
      <c r="B1302" s="3">
        <v>44754</v>
      </c>
      <c r="C1302">
        <v>2</v>
      </c>
      <c r="D1302" t="s">
        <v>194</v>
      </c>
      <c r="E1302" s="22">
        <f>24-16</f>
        <v>8</v>
      </c>
      <c r="F1302" t="s">
        <v>363</v>
      </c>
      <c r="G1302" t="s">
        <v>374</v>
      </c>
    </row>
    <row r="1303" spans="1:16" x14ac:dyDescent="0.75">
      <c r="A1303" t="s">
        <v>28</v>
      </c>
      <c r="B1303" s="3">
        <v>44754</v>
      </c>
      <c r="C1303">
        <v>2</v>
      </c>
      <c r="D1303" t="s">
        <v>194</v>
      </c>
      <c r="E1303" s="22">
        <f>16-6</f>
        <v>10</v>
      </c>
      <c r="F1303" t="s">
        <v>363</v>
      </c>
      <c r="G1303" t="s">
        <v>374</v>
      </c>
    </row>
    <row r="1304" spans="1:16" x14ac:dyDescent="0.75">
      <c r="A1304" t="s">
        <v>28</v>
      </c>
      <c r="B1304" s="3">
        <v>44754</v>
      </c>
      <c r="C1304">
        <v>2</v>
      </c>
      <c r="D1304" t="s">
        <v>207</v>
      </c>
      <c r="E1304" s="22">
        <f>5-2</f>
        <v>3</v>
      </c>
      <c r="F1304" t="s">
        <v>363</v>
      </c>
      <c r="G1304" t="s">
        <v>374</v>
      </c>
    </row>
    <row r="1305" spans="1:16" x14ac:dyDescent="0.75">
      <c r="A1305" t="s">
        <v>28</v>
      </c>
      <c r="B1305" s="3">
        <v>44754</v>
      </c>
      <c r="C1305">
        <v>2</v>
      </c>
      <c r="D1305" t="s">
        <v>207</v>
      </c>
      <c r="E1305" s="22">
        <f>2</f>
        <v>2</v>
      </c>
      <c r="F1305" t="s">
        <v>363</v>
      </c>
      <c r="G1305" t="s">
        <v>374</v>
      </c>
    </row>
    <row r="1306" spans="1:16" x14ac:dyDescent="0.75">
      <c r="A1306" t="s">
        <v>28</v>
      </c>
      <c r="B1306" s="3">
        <v>44754</v>
      </c>
      <c r="C1306">
        <v>2</v>
      </c>
      <c r="D1306" t="s">
        <v>207</v>
      </c>
      <c r="E1306" s="22">
        <v>1</v>
      </c>
      <c r="F1306" t="s">
        <v>363</v>
      </c>
      <c r="G1306" t="s">
        <v>374</v>
      </c>
      <c r="K1306" t="s">
        <v>798</v>
      </c>
    </row>
    <row r="1307" spans="1:16" x14ac:dyDescent="0.75">
      <c r="A1307" t="s">
        <v>28</v>
      </c>
      <c r="B1307" s="3">
        <v>44754</v>
      </c>
      <c r="C1307">
        <v>2</v>
      </c>
      <c r="D1307" t="s">
        <v>168</v>
      </c>
      <c r="E1307" s="22">
        <f>31-4</f>
        <v>27</v>
      </c>
      <c r="F1307" t="s">
        <v>363</v>
      </c>
      <c r="G1307" t="s">
        <v>374</v>
      </c>
    </row>
    <row r="1308" spans="1:16" x14ac:dyDescent="0.75">
      <c r="A1308" t="s">
        <v>28</v>
      </c>
      <c r="B1308" s="3">
        <v>44754</v>
      </c>
      <c r="C1308">
        <v>2</v>
      </c>
      <c r="D1308" t="s">
        <v>172</v>
      </c>
      <c r="E1308" s="22">
        <f>14+12-3</f>
        <v>23</v>
      </c>
      <c r="F1308" t="s">
        <v>363</v>
      </c>
      <c r="G1308" t="s">
        <v>374</v>
      </c>
    </row>
    <row r="1309" spans="1:16" s="23" customFormat="1" x14ac:dyDescent="0.75">
      <c r="A1309" s="23" t="s">
        <v>28</v>
      </c>
      <c r="B1309" s="24">
        <v>44754</v>
      </c>
      <c r="C1309" s="23">
        <v>3</v>
      </c>
      <c r="D1309" s="23" t="s">
        <v>168</v>
      </c>
      <c r="E1309" s="52">
        <f>8-4</f>
        <v>4</v>
      </c>
      <c r="F1309" s="23" t="s">
        <v>363</v>
      </c>
      <c r="G1309" s="23" t="s">
        <v>361</v>
      </c>
    </row>
    <row r="1310" spans="1:16" s="23" customFormat="1" x14ac:dyDescent="0.75">
      <c r="A1310" s="23" t="s">
        <v>28</v>
      </c>
      <c r="B1310" s="24">
        <v>44754</v>
      </c>
      <c r="C1310" s="23">
        <v>3</v>
      </c>
      <c r="D1310" s="23" t="s">
        <v>207</v>
      </c>
      <c r="E1310" s="52">
        <f>4</f>
        <v>4</v>
      </c>
      <c r="F1310" s="23" t="s">
        <v>363</v>
      </c>
      <c r="G1310" s="23" t="s">
        <v>361</v>
      </c>
    </row>
    <row r="1311" spans="1:16" s="23" customFormat="1" x14ac:dyDescent="0.75">
      <c r="A1311" s="23" t="s">
        <v>28</v>
      </c>
      <c r="B1311" s="24">
        <v>44754</v>
      </c>
      <c r="C1311" s="23">
        <v>3</v>
      </c>
      <c r="D1311" s="23" t="s">
        <v>168</v>
      </c>
      <c r="E1311" s="52">
        <f>41-36</f>
        <v>5</v>
      </c>
      <c r="F1311" s="23" t="s">
        <v>363</v>
      </c>
      <c r="G1311" s="23" t="s">
        <v>361</v>
      </c>
    </row>
    <row r="1312" spans="1:16" s="23" customFormat="1" x14ac:dyDescent="0.75">
      <c r="A1312" s="23" t="s">
        <v>28</v>
      </c>
      <c r="B1312" s="24">
        <v>44754</v>
      </c>
      <c r="C1312" s="23">
        <v>3</v>
      </c>
      <c r="D1312" s="23" t="s">
        <v>168</v>
      </c>
      <c r="E1312" s="52">
        <f>3</f>
        <v>3</v>
      </c>
      <c r="F1312" s="23" t="s">
        <v>363</v>
      </c>
      <c r="G1312" s="23" t="s">
        <v>374</v>
      </c>
    </row>
    <row r="1313" spans="1:11" s="23" customFormat="1" x14ac:dyDescent="0.75">
      <c r="A1313" s="23" t="s">
        <v>28</v>
      </c>
      <c r="B1313" s="24">
        <v>44754</v>
      </c>
      <c r="C1313" s="23">
        <v>3</v>
      </c>
      <c r="D1313" s="23" t="s">
        <v>172</v>
      </c>
      <c r="E1313" s="52">
        <f>40-30</f>
        <v>10</v>
      </c>
      <c r="F1313" s="23" t="s">
        <v>363</v>
      </c>
      <c r="G1313" s="23" t="s">
        <v>374</v>
      </c>
    </row>
    <row r="1314" spans="1:11" s="23" customFormat="1" x14ac:dyDescent="0.75">
      <c r="A1314" s="23" t="s">
        <v>28</v>
      </c>
      <c r="B1314" s="24">
        <v>44754</v>
      </c>
      <c r="C1314" s="23">
        <v>3</v>
      </c>
      <c r="D1314" s="23" t="s">
        <v>207</v>
      </c>
      <c r="E1314" s="52">
        <f>30-27</f>
        <v>3</v>
      </c>
      <c r="F1314" s="23" t="s">
        <v>363</v>
      </c>
      <c r="G1314" s="23" t="s">
        <v>374</v>
      </c>
    </row>
    <row r="1315" spans="1:11" s="23" customFormat="1" x14ac:dyDescent="0.75">
      <c r="A1315" s="23" t="s">
        <v>28</v>
      </c>
      <c r="B1315" s="24">
        <v>44754</v>
      </c>
      <c r="C1315" s="23">
        <v>3</v>
      </c>
      <c r="D1315" s="23" t="s">
        <v>197</v>
      </c>
      <c r="E1315" s="52">
        <f>26</f>
        <v>26</v>
      </c>
      <c r="F1315" s="23" t="s">
        <v>363</v>
      </c>
      <c r="G1315" s="23" t="s">
        <v>374</v>
      </c>
    </row>
    <row r="1316" spans="1:11" s="23" customFormat="1" x14ac:dyDescent="0.75">
      <c r="A1316" s="23" t="s">
        <v>28</v>
      </c>
      <c r="B1316" s="24">
        <v>44754</v>
      </c>
      <c r="C1316" s="23">
        <v>3</v>
      </c>
      <c r="D1316" s="23" t="s">
        <v>207</v>
      </c>
      <c r="E1316" s="52">
        <f>41-39</f>
        <v>2</v>
      </c>
      <c r="F1316" s="23" t="s">
        <v>363</v>
      </c>
      <c r="G1316" s="23" t="s">
        <v>374</v>
      </c>
    </row>
    <row r="1317" spans="1:11" s="23" customFormat="1" x14ac:dyDescent="0.75">
      <c r="A1317" s="23" t="s">
        <v>28</v>
      </c>
      <c r="B1317" s="24">
        <v>44754</v>
      </c>
      <c r="C1317" s="23">
        <v>3</v>
      </c>
      <c r="D1317" s="23" t="s">
        <v>191</v>
      </c>
      <c r="E1317" s="52">
        <f>39-27</f>
        <v>12</v>
      </c>
      <c r="F1317" s="23" t="s">
        <v>363</v>
      </c>
      <c r="G1317" s="23" t="s">
        <v>374</v>
      </c>
    </row>
    <row r="1318" spans="1:11" s="23" customFormat="1" x14ac:dyDescent="0.75">
      <c r="A1318" s="23" t="s">
        <v>28</v>
      </c>
      <c r="B1318" s="24">
        <v>44754</v>
      </c>
      <c r="C1318" s="23">
        <v>3</v>
      </c>
      <c r="D1318" s="23" t="s">
        <v>172</v>
      </c>
      <c r="E1318" s="52">
        <f>27-19</f>
        <v>8</v>
      </c>
      <c r="F1318" s="23" t="s">
        <v>363</v>
      </c>
      <c r="G1318" s="23" t="s">
        <v>374</v>
      </c>
      <c r="K1318" s="23" t="s">
        <v>798</v>
      </c>
    </row>
    <row r="1319" spans="1:11" s="23" customFormat="1" x14ac:dyDescent="0.75">
      <c r="A1319" s="23" t="s">
        <v>28</v>
      </c>
      <c r="B1319" s="24">
        <v>44754</v>
      </c>
      <c r="C1319" s="23">
        <v>3</v>
      </c>
      <c r="D1319" s="23" t="s">
        <v>168</v>
      </c>
      <c r="E1319" s="52">
        <f>20-11</f>
        <v>9</v>
      </c>
      <c r="F1319" s="23" t="s">
        <v>363</v>
      </c>
      <c r="G1319" s="23" t="s">
        <v>374</v>
      </c>
    </row>
    <row r="1320" spans="1:11" s="23" customFormat="1" x14ac:dyDescent="0.75">
      <c r="A1320" s="23" t="s">
        <v>28</v>
      </c>
      <c r="B1320" s="24">
        <v>44754</v>
      </c>
      <c r="C1320" s="23">
        <v>3</v>
      </c>
      <c r="D1320" s="23" t="s">
        <v>172</v>
      </c>
      <c r="E1320" s="52">
        <f>11-8</f>
        <v>3</v>
      </c>
      <c r="F1320" s="23" t="s">
        <v>363</v>
      </c>
      <c r="G1320" s="23" t="s">
        <v>374</v>
      </c>
    </row>
    <row r="1321" spans="1:11" x14ac:dyDescent="0.75">
      <c r="A1321" t="s">
        <v>48</v>
      </c>
      <c r="B1321" s="3">
        <v>44756</v>
      </c>
      <c r="C1321">
        <v>1</v>
      </c>
      <c r="D1321" t="s">
        <v>194</v>
      </c>
      <c r="E1321" s="22">
        <f>36-29</f>
        <v>7</v>
      </c>
      <c r="F1321" t="s">
        <v>363</v>
      </c>
      <c r="G1321" t="s">
        <v>361</v>
      </c>
    </row>
    <row r="1322" spans="1:11" x14ac:dyDescent="0.75">
      <c r="A1322" t="s">
        <v>48</v>
      </c>
      <c r="B1322" s="3">
        <v>44756</v>
      </c>
      <c r="C1322">
        <v>1</v>
      </c>
      <c r="D1322" t="s">
        <v>199</v>
      </c>
      <c r="E1322" s="22">
        <f>29-26</f>
        <v>3</v>
      </c>
      <c r="F1322" t="s">
        <v>363</v>
      </c>
      <c r="G1322" t="s">
        <v>361</v>
      </c>
    </row>
    <row r="1323" spans="1:11" x14ac:dyDescent="0.75">
      <c r="A1323" t="s">
        <v>48</v>
      </c>
      <c r="B1323" s="3">
        <v>44756</v>
      </c>
      <c r="C1323">
        <v>1</v>
      </c>
      <c r="D1323" t="s">
        <v>191</v>
      </c>
      <c r="E1323" s="22">
        <f>26-21</f>
        <v>5</v>
      </c>
      <c r="F1323" t="s">
        <v>363</v>
      </c>
      <c r="G1323" t="s">
        <v>361</v>
      </c>
    </row>
    <row r="1324" spans="1:11" x14ac:dyDescent="0.75">
      <c r="A1324" t="s">
        <v>48</v>
      </c>
      <c r="B1324" s="3">
        <v>44756</v>
      </c>
      <c r="C1324">
        <v>1</v>
      </c>
      <c r="D1324" t="s">
        <v>207</v>
      </c>
      <c r="E1324" s="22">
        <f>21-20</f>
        <v>1</v>
      </c>
      <c r="F1324" t="s">
        <v>363</v>
      </c>
      <c r="G1324" t="s">
        <v>361</v>
      </c>
    </row>
    <row r="1325" spans="1:11" x14ac:dyDescent="0.75">
      <c r="A1325" t="s">
        <v>48</v>
      </c>
      <c r="B1325" s="3">
        <v>44756</v>
      </c>
      <c r="C1325">
        <v>1</v>
      </c>
      <c r="D1325" t="s">
        <v>197</v>
      </c>
      <c r="E1325" s="22">
        <f>20-18</f>
        <v>2</v>
      </c>
      <c r="F1325" t="s">
        <v>363</v>
      </c>
      <c r="G1325" t="s">
        <v>361</v>
      </c>
    </row>
    <row r="1326" spans="1:11" x14ac:dyDescent="0.75">
      <c r="A1326" t="s">
        <v>48</v>
      </c>
      <c r="B1326" s="3">
        <v>44756</v>
      </c>
      <c r="C1326">
        <v>1</v>
      </c>
      <c r="D1326" t="s">
        <v>197</v>
      </c>
      <c r="E1326" s="22">
        <f>18+52-39</f>
        <v>31</v>
      </c>
      <c r="F1326" t="s">
        <v>363</v>
      </c>
      <c r="G1326" t="s">
        <v>361</v>
      </c>
    </row>
    <row r="1327" spans="1:11" x14ac:dyDescent="0.75">
      <c r="A1327" t="s">
        <v>48</v>
      </c>
      <c r="B1327" s="3">
        <v>44756</v>
      </c>
      <c r="C1327">
        <v>1</v>
      </c>
      <c r="D1327" t="s">
        <v>191</v>
      </c>
      <c r="E1327" s="22">
        <f>50-44</f>
        <v>6</v>
      </c>
      <c r="F1327" t="s">
        <v>363</v>
      </c>
      <c r="G1327" t="s">
        <v>374</v>
      </c>
    </row>
    <row r="1328" spans="1:11" x14ac:dyDescent="0.75">
      <c r="A1328" t="s">
        <v>48</v>
      </c>
      <c r="B1328" s="3">
        <v>44756</v>
      </c>
      <c r="C1328">
        <v>1</v>
      </c>
      <c r="D1328" t="s">
        <v>191</v>
      </c>
      <c r="E1328" s="22">
        <f>44-30</f>
        <v>14</v>
      </c>
      <c r="F1328" t="s">
        <v>363</v>
      </c>
      <c r="G1328" t="s">
        <v>374</v>
      </c>
    </row>
    <row r="1329" spans="1:11" x14ac:dyDescent="0.75">
      <c r="A1329" t="s">
        <v>48</v>
      </c>
      <c r="B1329" s="3">
        <v>44756</v>
      </c>
      <c r="C1329">
        <v>1</v>
      </c>
      <c r="D1329" t="s">
        <v>191</v>
      </c>
      <c r="E1329" s="22">
        <f>30-18</f>
        <v>12</v>
      </c>
      <c r="F1329" t="s">
        <v>363</v>
      </c>
      <c r="G1329" t="s">
        <v>374</v>
      </c>
    </row>
    <row r="1330" spans="1:11" x14ac:dyDescent="0.75">
      <c r="A1330" t="s">
        <v>48</v>
      </c>
      <c r="B1330" s="3">
        <v>44756</v>
      </c>
      <c r="C1330">
        <v>1</v>
      </c>
      <c r="D1330" t="s">
        <v>191</v>
      </c>
      <c r="E1330" s="22">
        <f>18-17</f>
        <v>1</v>
      </c>
      <c r="F1330" t="s">
        <v>363</v>
      </c>
      <c r="G1330" t="s">
        <v>374</v>
      </c>
    </row>
    <row r="1331" spans="1:11" x14ac:dyDescent="0.75">
      <c r="A1331" t="s">
        <v>48</v>
      </c>
      <c r="B1331" s="3">
        <v>44756</v>
      </c>
      <c r="C1331">
        <v>1</v>
      </c>
      <c r="D1331" t="s">
        <v>199</v>
      </c>
      <c r="E1331" s="22">
        <f>17-9</f>
        <v>8</v>
      </c>
      <c r="F1331" t="s">
        <v>363</v>
      </c>
      <c r="G1331" t="s">
        <v>374</v>
      </c>
    </row>
    <row r="1332" spans="1:11" x14ac:dyDescent="0.75">
      <c r="A1332" t="s">
        <v>48</v>
      </c>
      <c r="B1332" s="3">
        <v>44756</v>
      </c>
      <c r="C1332">
        <v>1</v>
      </c>
      <c r="D1332" t="s">
        <v>197</v>
      </c>
      <c r="E1332" s="22">
        <f>48-21</f>
        <v>27</v>
      </c>
      <c r="F1332" t="s">
        <v>363</v>
      </c>
      <c r="G1332" t="s">
        <v>374</v>
      </c>
    </row>
    <row r="1333" spans="1:11" x14ac:dyDescent="0.75">
      <c r="A1333" t="s">
        <v>48</v>
      </c>
      <c r="B1333" s="3">
        <v>44756</v>
      </c>
      <c r="C1333">
        <v>1</v>
      </c>
      <c r="D1333" t="s">
        <v>160</v>
      </c>
      <c r="E1333" s="22">
        <f>9-5</f>
        <v>4</v>
      </c>
      <c r="F1333" t="s">
        <v>363</v>
      </c>
      <c r="G1333" t="s">
        <v>374</v>
      </c>
    </row>
    <row r="1334" spans="1:11" s="23" customFormat="1" x14ac:dyDescent="0.75">
      <c r="A1334" s="23" t="s">
        <v>60</v>
      </c>
      <c r="B1334" s="24">
        <v>44756</v>
      </c>
      <c r="C1334" s="23">
        <v>1</v>
      </c>
      <c r="D1334" s="23" t="s">
        <v>194</v>
      </c>
      <c r="E1334" s="52">
        <f>44-30</f>
        <v>14</v>
      </c>
      <c r="F1334" s="23" t="s">
        <v>363</v>
      </c>
      <c r="G1334" s="23" t="s">
        <v>361</v>
      </c>
    </row>
    <row r="1335" spans="1:11" s="23" customFormat="1" x14ac:dyDescent="0.75">
      <c r="A1335" s="23" t="s">
        <v>60</v>
      </c>
      <c r="B1335" s="24">
        <v>44756</v>
      </c>
      <c r="C1335" s="23">
        <v>1</v>
      </c>
      <c r="D1335" s="23" t="s">
        <v>201</v>
      </c>
      <c r="E1335" s="52">
        <f>30-20</f>
        <v>10</v>
      </c>
      <c r="F1335" s="23" t="s">
        <v>363</v>
      </c>
      <c r="G1335" s="23" t="s">
        <v>361</v>
      </c>
    </row>
    <row r="1336" spans="1:11" s="23" customFormat="1" x14ac:dyDescent="0.75">
      <c r="A1336" s="23" t="s">
        <v>60</v>
      </c>
      <c r="B1336" s="24">
        <v>44756</v>
      </c>
      <c r="C1336" s="23">
        <v>1</v>
      </c>
      <c r="D1336" s="23" t="s">
        <v>194</v>
      </c>
      <c r="E1336" s="52">
        <f>20-15</f>
        <v>5</v>
      </c>
      <c r="F1336" s="23" t="s">
        <v>363</v>
      </c>
      <c r="G1336" s="23" t="s">
        <v>361</v>
      </c>
    </row>
    <row r="1337" spans="1:11" s="23" customFormat="1" x14ac:dyDescent="0.75">
      <c r="A1337" s="23" t="s">
        <v>60</v>
      </c>
      <c r="B1337" s="24">
        <v>44756</v>
      </c>
      <c r="C1337" s="23">
        <v>1</v>
      </c>
      <c r="D1337" s="23" t="s">
        <v>194</v>
      </c>
      <c r="E1337" s="52">
        <f>15-10</f>
        <v>5</v>
      </c>
      <c r="F1337" s="23" t="s">
        <v>363</v>
      </c>
      <c r="G1337" s="23" t="s">
        <v>361</v>
      </c>
    </row>
    <row r="1338" spans="1:11" s="23" customFormat="1" x14ac:dyDescent="0.75">
      <c r="A1338" s="23" t="s">
        <v>60</v>
      </c>
      <c r="B1338" s="24">
        <v>44756</v>
      </c>
      <c r="C1338" s="23">
        <v>1</v>
      </c>
      <c r="D1338" s="23" t="s">
        <v>199</v>
      </c>
      <c r="E1338" s="52">
        <f>22-20</f>
        <v>2</v>
      </c>
      <c r="F1338" s="23" t="s">
        <v>363</v>
      </c>
      <c r="G1338" s="23" t="s">
        <v>374</v>
      </c>
    </row>
    <row r="1339" spans="1:11" s="23" customFormat="1" x14ac:dyDescent="0.75">
      <c r="A1339" s="23" t="s">
        <v>60</v>
      </c>
      <c r="B1339" s="24">
        <v>44756</v>
      </c>
      <c r="C1339" s="23">
        <v>1</v>
      </c>
      <c r="D1339" s="23" t="s">
        <v>191</v>
      </c>
      <c r="E1339" s="52">
        <f>18-4</f>
        <v>14</v>
      </c>
      <c r="F1339" s="23" t="s">
        <v>363</v>
      </c>
      <c r="G1339" s="23" t="s">
        <v>374</v>
      </c>
    </row>
    <row r="1340" spans="1:11" x14ac:dyDescent="0.75">
      <c r="A1340" t="s">
        <v>64</v>
      </c>
      <c r="B1340" s="3">
        <v>44756</v>
      </c>
      <c r="C1340">
        <v>1</v>
      </c>
      <c r="D1340" t="s">
        <v>197</v>
      </c>
      <c r="E1340" s="22">
        <f>48-44</f>
        <v>4</v>
      </c>
      <c r="F1340" t="s">
        <v>363</v>
      </c>
      <c r="G1340" t="s">
        <v>374</v>
      </c>
    </row>
    <row r="1341" spans="1:11" x14ac:dyDescent="0.75">
      <c r="A1341" t="s">
        <v>64</v>
      </c>
      <c r="B1341" s="3">
        <v>44756</v>
      </c>
      <c r="C1341">
        <v>1</v>
      </c>
      <c r="D1341" t="s">
        <v>207</v>
      </c>
      <c r="E1341" s="22">
        <f>43-35</f>
        <v>8</v>
      </c>
      <c r="F1341" t="s">
        <v>363</v>
      </c>
      <c r="G1341" t="s">
        <v>374</v>
      </c>
      <c r="K1341" t="s">
        <v>798</v>
      </c>
    </row>
    <row r="1342" spans="1:11" x14ac:dyDescent="0.75">
      <c r="A1342" t="s">
        <v>64</v>
      </c>
      <c r="B1342" s="3">
        <v>44756</v>
      </c>
      <c r="C1342">
        <v>1</v>
      </c>
      <c r="D1342" t="s">
        <v>207</v>
      </c>
      <c r="E1342" s="22">
        <f>35-28</f>
        <v>7</v>
      </c>
      <c r="F1342" t="s">
        <v>363</v>
      </c>
      <c r="G1342" t="s">
        <v>374</v>
      </c>
    </row>
    <row r="1343" spans="1:11" x14ac:dyDescent="0.75">
      <c r="A1343" t="s">
        <v>64</v>
      </c>
      <c r="B1343" s="3">
        <v>44756</v>
      </c>
      <c r="C1343">
        <v>1</v>
      </c>
      <c r="D1343" t="s">
        <v>153</v>
      </c>
      <c r="E1343" s="22">
        <f>28-27</f>
        <v>1</v>
      </c>
      <c r="F1343" t="s">
        <v>363</v>
      </c>
      <c r="G1343" t="s">
        <v>374</v>
      </c>
    </row>
    <row r="1344" spans="1:11" x14ac:dyDescent="0.75">
      <c r="A1344" t="s">
        <v>64</v>
      </c>
      <c r="B1344" s="3">
        <v>44756</v>
      </c>
      <c r="C1344">
        <v>1</v>
      </c>
      <c r="D1344" t="s">
        <v>194</v>
      </c>
      <c r="E1344" s="22">
        <f>27-24</f>
        <v>3</v>
      </c>
      <c r="F1344" t="s">
        <v>363</v>
      </c>
      <c r="G1344" t="s">
        <v>374</v>
      </c>
    </row>
    <row r="1345" spans="1:11" x14ac:dyDescent="0.75">
      <c r="A1345" t="s">
        <v>64</v>
      </c>
      <c r="B1345" s="3">
        <v>44756</v>
      </c>
      <c r="C1345">
        <v>1</v>
      </c>
      <c r="D1345" t="s">
        <v>207</v>
      </c>
      <c r="E1345" s="22" t="s">
        <v>363</v>
      </c>
      <c r="F1345" t="s">
        <v>363</v>
      </c>
      <c r="G1345" t="s">
        <v>374</v>
      </c>
      <c r="K1345" t="s">
        <v>799</v>
      </c>
    </row>
    <row r="1346" spans="1:11" s="23" customFormat="1" x14ac:dyDescent="0.75">
      <c r="A1346" s="23" t="s">
        <v>44</v>
      </c>
      <c r="B1346" s="24">
        <v>44756</v>
      </c>
      <c r="C1346" s="23">
        <v>1</v>
      </c>
      <c r="D1346" s="23" t="s">
        <v>194</v>
      </c>
      <c r="E1346" s="52">
        <f>40-37</f>
        <v>3</v>
      </c>
      <c r="F1346" s="23" t="s">
        <v>363</v>
      </c>
      <c r="G1346" s="23" t="s">
        <v>361</v>
      </c>
    </row>
    <row r="1347" spans="1:11" s="23" customFormat="1" x14ac:dyDescent="0.75">
      <c r="A1347" s="23" t="s">
        <v>44</v>
      </c>
      <c r="B1347" s="24">
        <v>44756</v>
      </c>
      <c r="C1347" s="23">
        <v>1</v>
      </c>
      <c r="D1347" s="23" t="s">
        <v>191</v>
      </c>
      <c r="E1347" s="52">
        <f>37-35</f>
        <v>2</v>
      </c>
      <c r="F1347" s="23" t="s">
        <v>363</v>
      </c>
      <c r="G1347" s="23" t="s">
        <v>361</v>
      </c>
    </row>
    <row r="1348" spans="1:11" s="23" customFormat="1" x14ac:dyDescent="0.75">
      <c r="A1348" s="23" t="s">
        <v>44</v>
      </c>
      <c r="B1348" s="24">
        <v>44756</v>
      </c>
      <c r="C1348" s="23">
        <v>1</v>
      </c>
      <c r="D1348" s="23" t="s">
        <v>191</v>
      </c>
      <c r="E1348" s="52">
        <f>6-2</f>
        <v>4</v>
      </c>
      <c r="F1348" s="23" t="s">
        <v>363</v>
      </c>
      <c r="G1348" s="23" t="s">
        <v>374</v>
      </c>
    </row>
    <row r="1349" spans="1:11" s="23" customFormat="1" x14ac:dyDescent="0.75">
      <c r="A1349" s="23" t="s">
        <v>44</v>
      </c>
      <c r="B1349" s="24">
        <v>44756</v>
      </c>
      <c r="C1349" s="23">
        <v>1</v>
      </c>
      <c r="D1349" s="23" t="s">
        <v>194</v>
      </c>
      <c r="E1349" s="52">
        <f>2-1</f>
        <v>1</v>
      </c>
      <c r="F1349" s="23" t="s">
        <v>363</v>
      </c>
      <c r="G1349" s="23" t="s">
        <v>374</v>
      </c>
    </row>
    <row r="1350" spans="1:11" s="23" customFormat="1" x14ac:dyDescent="0.75">
      <c r="A1350" s="23" t="s">
        <v>44</v>
      </c>
      <c r="B1350" s="24">
        <v>44756</v>
      </c>
      <c r="C1350" s="23">
        <v>1</v>
      </c>
      <c r="D1350" s="23" t="s">
        <v>207</v>
      </c>
      <c r="E1350" s="52">
        <f>1</f>
        <v>1</v>
      </c>
      <c r="F1350" s="23" t="s">
        <v>363</v>
      </c>
      <c r="G1350" s="23" t="s">
        <v>374</v>
      </c>
    </row>
    <row r="1351" spans="1:11" s="23" customFormat="1" x14ac:dyDescent="0.75">
      <c r="A1351" s="23" t="s">
        <v>44</v>
      </c>
      <c r="B1351" s="24">
        <v>44756</v>
      </c>
      <c r="C1351" s="23">
        <v>1</v>
      </c>
      <c r="D1351" s="23" t="s">
        <v>194</v>
      </c>
      <c r="E1351" s="52">
        <f>58-48</f>
        <v>10</v>
      </c>
      <c r="F1351" s="23" t="s">
        <v>363</v>
      </c>
      <c r="G1351" s="23" t="s">
        <v>374</v>
      </c>
    </row>
    <row r="1352" spans="1:11" s="23" customFormat="1" x14ac:dyDescent="0.75">
      <c r="A1352" s="23" t="s">
        <v>44</v>
      </c>
      <c r="B1352" s="24">
        <v>44756</v>
      </c>
      <c r="C1352" s="23">
        <v>1</v>
      </c>
      <c r="D1352" s="23" t="s">
        <v>209</v>
      </c>
      <c r="E1352" s="52">
        <v>1</v>
      </c>
      <c r="F1352" s="23" t="s">
        <v>363</v>
      </c>
      <c r="G1352" s="23" t="s">
        <v>374</v>
      </c>
    </row>
    <row r="1353" spans="1:11" s="23" customFormat="1" x14ac:dyDescent="0.75">
      <c r="A1353" s="23" t="s">
        <v>44</v>
      </c>
      <c r="B1353" s="24">
        <v>44756</v>
      </c>
      <c r="C1353" s="23">
        <v>1</v>
      </c>
      <c r="D1353" s="23" t="s">
        <v>201</v>
      </c>
      <c r="E1353" s="52">
        <f>48-45</f>
        <v>3</v>
      </c>
      <c r="F1353" s="23" t="s">
        <v>363</v>
      </c>
      <c r="G1353" s="23" t="s">
        <v>374</v>
      </c>
    </row>
    <row r="1354" spans="1:11" s="23" customFormat="1" x14ac:dyDescent="0.75">
      <c r="A1354" s="23" t="s">
        <v>44</v>
      </c>
      <c r="B1354" s="24">
        <v>44756</v>
      </c>
      <c r="C1354" s="23">
        <v>1</v>
      </c>
      <c r="D1354" s="23" t="s">
        <v>194</v>
      </c>
      <c r="E1354" s="52">
        <f>45-41</f>
        <v>4</v>
      </c>
      <c r="F1354" s="23" t="s">
        <v>363</v>
      </c>
      <c r="G1354" s="23" t="s">
        <v>374</v>
      </c>
    </row>
    <row r="1355" spans="1:11" s="23" customFormat="1" x14ac:dyDescent="0.75">
      <c r="A1355" s="23" t="s">
        <v>44</v>
      </c>
      <c r="B1355" s="24">
        <v>44756</v>
      </c>
      <c r="C1355" s="23">
        <v>1</v>
      </c>
      <c r="D1355" s="23" t="s">
        <v>184</v>
      </c>
      <c r="E1355" s="52">
        <f>41-39</f>
        <v>2</v>
      </c>
      <c r="F1355" s="23" t="s">
        <v>363</v>
      </c>
      <c r="G1355" s="23" t="s">
        <v>374</v>
      </c>
    </row>
    <row r="1356" spans="1:11" x14ac:dyDescent="0.75">
      <c r="A1356" t="s">
        <v>23</v>
      </c>
      <c r="B1356" s="3">
        <v>44757</v>
      </c>
      <c r="C1356">
        <v>1</v>
      </c>
      <c r="D1356" t="s">
        <v>194</v>
      </c>
      <c r="E1356" s="22">
        <f>41-36</f>
        <v>5</v>
      </c>
      <c r="F1356" t="s">
        <v>363</v>
      </c>
      <c r="G1356" t="s">
        <v>361</v>
      </c>
    </row>
    <row r="1357" spans="1:11" x14ac:dyDescent="0.75">
      <c r="A1357" t="s">
        <v>23</v>
      </c>
      <c r="B1357" s="3">
        <v>44757</v>
      </c>
      <c r="C1357">
        <v>1</v>
      </c>
      <c r="D1357" t="s">
        <v>194</v>
      </c>
      <c r="E1357" s="22">
        <f>36-24</f>
        <v>12</v>
      </c>
      <c r="F1357" t="s">
        <v>363</v>
      </c>
      <c r="G1357" t="s">
        <v>361</v>
      </c>
    </row>
    <row r="1358" spans="1:11" x14ac:dyDescent="0.75">
      <c r="A1358" t="s">
        <v>23</v>
      </c>
      <c r="B1358" s="3">
        <v>44757</v>
      </c>
      <c r="C1358">
        <v>1</v>
      </c>
      <c r="D1358" t="s">
        <v>197</v>
      </c>
      <c r="E1358" s="22">
        <f>41-35</f>
        <v>6</v>
      </c>
      <c r="F1358" t="s">
        <v>363</v>
      </c>
      <c r="G1358" t="s">
        <v>361</v>
      </c>
    </row>
    <row r="1359" spans="1:11" x14ac:dyDescent="0.75">
      <c r="A1359" t="s">
        <v>23</v>
      </c>
      <c r="B1359" s="3">
        <v>44757</v>
      </c>
      <c r="C1359">
        <v>1</v>
      </c>
      <c r="D1359" t="s">
        <v>197</v>
      </c>
      <c r="E1359" s="22">
        <f>55-48</f>
        <v>7</v>
      </c>
      <c r="F1359" t="s">
        <v>363</v>
      </c>
      <c r="G1359" t="s">
        <v>374</v>
      </c>
    </row>
    <row r="1360" spans="1:11" x14ac:dyDescent="0.75">
      <c r="A1360" t="s">
        <v>23</v>
      </c>
      <c r="B1360" s="3">
        <v>44757</v>
      </c>
      <c r="C1360">
        <v>1</v>
      </c>
      <c r="D1360" t="s">
        <v>197</v>
      </c>
      <c r="E1360" s="22">
        <f>48-44</f>
        <v>4</v>
      </c>
      <c r="F1360" t="s">
        <v>363</v>
      </c>
      <c r="G1360" t="s">
        <v>374</v>
      </c>
    </row>
    <row r="1361" spans="1:7" x14ac:dyDescent="0.75">
      <c r="A1361" t="s">
        <v>23</v>
      </c>
      <c r="B1361" s="3">
        <v>44757</v>
      </c>
      <c r="C1361">
        <v>1</v>
      </c>
      <c r="D1361" t="s">
        <v>207</v>
      </c>
      <c r="E1361" s="22">
        <f>44-14</f>
        <v>30</v>
      </c>
      <c r="F1361" t="s">
        <v>363</v>
      </c>
      <c r="G1361" t="s">
        <v>374</v>
      </c>
    </row>
    <row r="1362" spans="1:7" x14ac:dyDescent="0.75">
      <c r="A1362" t="s">
        <v>23</v>
      </c>
      <c r="B1362" s="3">
        <v>44757</v>
      </c>
      <c r="C1362">
        <v>1</v>
      </c>
      <c r="D1362" t="s">
        <v>197</v>
      </c>
      <c r="E1362" s="22">
        <f>14</f>
        <v>14</v>
      </c>
      <c r="F1362" t="s">
        <v>363</v>
      </c>
      <c r="G1362" t="s">
        <v>374</v>
      </c>
    </row>
    <row r="1363" spans="1:7" x14ac:dyDescent="0.75">
      <c r="A1363" t="s">
        <v>23</v>
      </c>
      <c r="B1363" s="3">
        <v>44757</v>
      </c>
      <c r="C1363">
        <v>1</v>
      </c>
      <c r="D1363" t="s">
        <v>194</v>
      </c>
      <c r="E1363" s="22">
        <f>35-28</f>
        <v>7</v>
      </c>
      <c r="F1363" t="s">
        <v>363</v>
      </c>
      <c r="G1363" t="s">
        <v>374</v>
      </c>
    </row>
    <row r="1364" spans="1:7" x14ac:dyDescent="0.75">
      <c r="A1364" t="s">
        <v>23</v>
      </c>
      <c r="B1364" s="3">
        <v>44757</v>
      </c>
      <c r="C1364">
        <v>1</v>
      </c>
      <c r="D1364" t="s">
        <v>199</v>
      </c>
      <c r="E1364" s="22">
        <f>28-25</f>
        <v>3</v>
      </c>
      <c r="F1364" t="s">
        <v>363</v>
      </c>
      <c r="G1364" t="s">
        <v>374</v>
      </c>
    </row>
    <row r="1365" spans="1:7" x14ac:dyDescent="0.75">
      <c r="A1365" t="s">
        <v>23</v>
      </c>
      <c r="B1365" s="3">
        <v>44757</v>
      </c>
      <c r="C1365">
        <v>1</v>
      </c>
      <c r="D1365" t="s">
        <v>197</v>
      </c>
      <c r="E1365" s="22">
        <f>25-20</f>
        <v>5</v>
      </c>
      <c r="F1365" t="s">
        <v>363</v>
      </c>
      <c r="G1365" t="s">
        <v>374</v>
      </c>
    </row>
    <row r="1366" spans="1:7" x14ac:dyDescent="0.75">
      <c r="A1366" t="s">
        <v>23</v>
      </c>
      <c r="B1366" s="3">
        <v>44757</v>
      </c>
      <c r="C1366">
        <v>1</v>
      </c>
      <c r="D1366" t="s">
        <v>187</v>
      </c>
      <c r="E1366" s="22">
        <f>54-32</f>
        <v>22</v>
      </c>
      <c r="F1366" t="s">
        <v>363</v>
      </c>
      <c r="G1366" t="s">
        <v>374</v>
      </c>
    </row>
    <row r="1367" spans="1:7" x14ac:dyDescent="0.75">
      <c r="A1367" t="s">
        <v>23</v>
      </c>
      <c r="B1367" s="3">
        <v>44757</v>
      </c>
      <c r="C1367">
        <v>1</v>
      </c>
      <c r="D1367" t="s">
        <v>201</v>
      </c>
      <c r="E1367" s="22">
        <f>32-31</f>
        <v>1</v>
      </c>
      <c r="F1367" t="s">
        <v>363</v>
      </c>
      <c r="G1367" t="s">
        <v>374</v>
      </c>
    </row>
    <row r="1368" spans="1:7" x14ac:dyDescent="0.75">
      <c r="A1368" t="s">
        <v>23</v>
      </c>
      <c r="B1368" s="3">
        <v>44757</v>
      </c>
      <c r="C1368">
        <v>1</v>
      </c>
      <c r="D1368" t="s">
        <v>197</v>
      </c>
      <c r="E1368" s="22">
        <f>31-27</f>
        <v>4</v>
      </c>
      <c r="F1368" t="s">
        <v>363</v>
      </c>
      <c r="G1368" t="s">
        <v>374</v>
      </c>
    </row>
    <row r="1369" spans="1:7" x14ac:dyDescent="0.75">
      <c r="A1369" t="s">
        <v>23</v>
      </c>
      <c r="B1369" s="3">
        <v>44757</v>
      </c>
      <c r="C1369">
        <v>1</v>
      </c>
      <c r="D1369" t="s">
        <v>207</v>
      </c>
      <c r="E1369" s="22">
        <f>27-24</f>
        <v>3</v>
      </c>
      <c r="F1369" t="s">
        <v>363</v>
      </c>
      <c r="G1369" t="s">
        <v>374</v>
      </c>
    </row>
    <row r="1370" spans="1:7" x14ac:dyDescent="0.75">
      <c r="A1370" t="s">
        <v>23</v>
      </c>
      <c r="B1370" s="3">
        <v>44757</v>
      </c>
      <c r="C1370">
        <v>1</v>
      </c>
      <c r="D1370" t="s">
        <v>197</v>
      </c>
      <c r="E1370" s="22">
        <f>24-22</f>
        <v>2</v>
      </c>
      <c r="F1370" t="s">
        <v>363</v>
      </c>
      <c r="G1370" t="s">
        <v>374</v>
      </c>
    </row>
    <row r="1371" spans="1:7" x14ac:dyDescent="0.75">
      <c r="A1371" t="s">
        <v>23</v>
      </c>
      <c r="B1371" s="3">
        <v>44757</v>
      </c>
      <c r="C1371">
        <v>1</v>
      </c>
      <c r="D1371" t="s">
        <v>197</v>
      </c>
      <c r="E1371" s="22">
        <f>22-21</f>
        <v>1</v>
      </c>
      <c r="F1371" t="s">
        <v>363</v>
      </c>
      <c r="G1371" t="s">
        <v>374</v>
      </c>
    </row>
    <row r="1372" spans="1:7" x14ac:dyDescent="0.75">
      <c r="A1372" t="s">
        <v>23</v>
      </c>
      <c r="B1372" s="3">
        <v>44757</v>
      </c>
      <c r="C1372">
        <v>1</v>
      </c>
      <c r="D1372" t="s">
        <v>197</v>
      </c>
      <c r="E1372" s="22">
        <f>21-16</f>
        <v>5</v>
      </c>
      <c r="F1372" t="s">
        <v>363</v>
      </c>
      <c r="G1372" t="s">
        <v>374</v>
      </c>
    </row>
    <row r="1373" spans="1:7" x14ac:dyDescent="0.75">
      <c r="A1373" t="s">
        <v>23</v>
      </c>
      <c r="B1373" s="3">
        <v>44757</v>
      </c>
      <c r="C1373">
        <v>1</v>
      </c>
      <c r="D1373" t="s">
        <v>194</v>
      </c>
      <c r="E1373" s="22">
        <f>16-2</f>
        <v>14</v>
      </c>
      <c r="F1373" t="s">
        <v>363</v>
      </c>
      <c r="G1373" t="s">
        <v>374</v>
      </c>
    </row>
    <row r="1374" spans="1:7" x14ac:dyDescent="0.75">
      <c r="A1374" t="s">
        <v>23</v>
      </c>
      <c r="B1374" s="3">
        <v>44757</v>
      </c>
      <c r="C1374">
        <v>1</v>
      </c>
      <c r="D1374" t="s">
        <v>225</v>
      </c>
      <c r="E1374" s="22">
        <f>10-4</f>
        <v>6</v>
      </c>
      <c r="F1374" t="s">
        <v>363</v>
      </c>
      <c r="G1374" t="s">
        <v>374</v>
      </c>
    </row>
    <row r="1375" spans="1:7" x14ac:dyDescent="0.75">
      <c r="A1375" t="s">
        <v>23</v>
      </c>
      <c r="B1375" s="3">
        <v>44757</v>
      </c>
      <c r="C1375">
        <v>1</v>
      </c>
      <c r="D1375" t="s">
        <v>197</v>
      </c>
      <c r="E1375" s="22">
        <f>19-16</f>
        <v>3</v>
      </c>
      <c r="F1375" t="s">
        <v>363</v>
      </c>
      <c r="G1375" t="s">
        <v>374</v>
      </c>
    </row>
    <row r="1376" spans="1:7" x14ac:dyDescent="0.75">
      <c r="A1376" t="s">
        <v>23</v>
      </c>
      <c r="B1376" s="3">
        <v>44757</v>
      </c>
      <c r="C1376">
        <v>1</v>
      </c>
      <c r="D1376" t="s">
        <v>194</v>
      </c>
      <c r="E1376" s="22">
        <f>16</f>
        <v>16</v>
      </c>
      <c r="F1376" t="s">
        <v>363</v>
      </c>
      <c r="G1376" t="s">
        <v>374</v>
      </c>
    </row>
    <row r="1377" spans="1:7" x14ac:dyDescent="0.75">
      <c r="A1377" t="s">
        <v>23</v>
      </c>
      <c r="B1377" s="3">
        <v>44757</v>
      </c>
      <c r="C1377">
        <v>1</v>
      </c>
      <c r="D1377" t="s">
        <v>197</v>
      </c>
      <c r="E1377" s="22">
        <f>38-28</f>
        <v>10</v>
      </c>
      <c r="F1377" t="s">
        <v>363</v>
      </c>
      <c r="G1377" t="s">
        <v>374</v>
      </c>
    </row>
    <row r="1378" spans="1:7" x14ac:dyDescent="0.75">
      <c r="A1378" t="s">
        <v>23</v>
      </c>
      <c r="B1378" s="3">
        <v>44757</v>
      </c>
      <c r="C1378">
        <v>1</v>
      </c>
      <c r="D1378" t="s">
        <v>197</v>
      </c>
      <c r="E1378" s="22">
        <f>28-5</f>
        <v>23</v>
      </c>
      <c r="F1378" t="s">
        <v>363</v>
      </c>
      <c r="G1378" t="s">
        <v>374</v>
      </c>
    </row>
    <row r="1379" spans="1:7" x14ac:dyDescent="0.75">
      <c r="A1379" t="s">
        <v>23</v>
      </c>
      <c r="B1379" s="3">
        <v>44757</v>
      </c>
      <c r="C1379">
        <v>1</v>
      </c>
      <c r="D1379" t="s">
        <v>197</v>
      </c>
      <c r="E1379" s="22">
        <f>5</f>
        <v>5</v>
      </c>
      <c r="F1379" t="s">
        <v>363</v>
      </c>
      <c r="G1379" t="s">
        <v>374</v>
      </c>
    </row>
    <row r="1380" spans="1:7" x14ac:dyDescent="0.75">
      <c r="A1380" t="s">
        <v>23</v>
      </c>
      <c r="B1380" s="3">
        <v>44757</v>
      </c>
      <c r="C1380">
        <v>1</v>
      </c>
      <c r="D1380" t="s">
        <v>191</v>
      </c>
      <c r="E1380" s="22">
        <f>49-43</f>
        <v>6</v>
      </c>
      <c r="F1380" t="s">
        <v>363</v>
      </c>
      <c r="G1380" t="s">
        <v>374</v>
      </c>
    </row>
    <row r="1381" spans="1:7" x14ac:dyDescent="0.75">
      <c r="A1381" t="s">
        <v>23</v>
      </c>
      <c r="B1381" s="3">
        <v>44757</v>
      </c>
      <c r="C1381">
        <v>1</v>
      </c>
      <c r="D1381" t="s">
        <v>215</v>
      </c>
      <c r="E1381" s="22">
        <f>43-41</f>
        <v>2</v>
      </c>
      <c r="F1381" t="s">
        <v>363</v>
      </c>
      <c r="G1381" t="s">
        <v>374</v>
      </c>
    </row>
    <row r="1382" spans="1:7" x14ac:dyDescent="0.75">
      <c r="A1382" t="s">
        <v>23</v>
      </c>
      <c r="B1382" s="3">
        <v>44757</v>
      </c>
      <c r="C1382">
        <v>1</v>
      </c>
      <c r="D1382" t="s">
        <v>201</v>
      </c>
      <c r="E1382" s="22">
        <f>41-35</f>
        <v>6</v>
      </c>
      <c r="F1382" t="s">
        <v>363</v>
      </c>
      <c r="G1382" t="s">
        <v>374</v>
      </c>
    </row>
    <row r="1383" spans="1:7" x14ac:dyDescent="0.75">
      <c r="A1383" t="s">
        <v>23</v>
      </c>
      <c r="B1383" s="3">
        <v>44757</v>
      </c>
      <c r="C1383">
        <v>1</v>
      </c>
      <c r="D1383" t="s">
        <v>199</v>
      </c>
      <c r="E1383" s="22">
        <f>35-29</f>
        <v>6</v>
      </c>
      <c r="F1383" t="s">
        <v>363</v>
      </c>
      <c r="G1383" t="s">
        <v>374</v>
      </c>
    </row>
    <row r="1384" spans="1:7" x14ac:dyDescent="0.75">
      <c r="A1384" t="s">
        <v>23</v>
      </c>
      <c r="B1384" s="3">
        <v>44757</v>
      </c>
      <c r="C1384">
        <v>1</v>
      </c>
      <c r="D1384" t="s">
        <v>194</v>
      </c>
      <c r="E1384" s="22">
        <f>29-24</f>
        <v>5</v>
      </c>
      <c r="F1384" t="s">
        <v>363</v>
      </c>
      <c r="G1384" t="s">
        <v>374</v>
      </c>
    </row>
    <row r="1385" spans="1:7" x14ac:dyDescent="0.75">
      <c r="A1385" t="s">
        <v>23</v>
      </c>
      <c r="B1385" s="3">
        <v>44757</v>
      </c>
      <c r="C1385">
        <v>2</v>
      </c>
      <c r="D1385" t="s">
        <v>197</v>
      </c>
      <c r="E1385" s="22">
        <f>40-36</f>
        <v>4</v>
      </c>
      <c r="F1385" t="s">
        <v>363</v>
      </c>
      <c r="G1385" t="s">
        <v>361</v>
      </c>
    </row>
    <row r="1386" spans="1:7" s="23" customFormat="1" x14ac:dyDescent="0.75">
      <c r="A1386" s="23" t="s">
        <v>23</v>
      </c>
      <c r="B1386" s="24">
        <v>44757</v>
      </c>
      <c r="C1386" s="23">
        <v>2</v>
      </c>
      <c r="D1386" s="23" t="s">
        <v>194</v>
      </c>
      <c r="E1386" s="52">
        <f>36-32</f>
        <v>4</v>
      </c>
      <c r="F1386" s="23" t="s">
        <v>363</v>
      </c>
      <c r="G1386" s="23" t="s">
        <v>361</v>
      </c>
    </row>
    <row r="1387" spans="1:7" s="23" customFormat="1" x14ac:dyDescent="0.75">
      <c r="A1387" s="23" t="s">
        <v>23</v>
      </c>
      <c r="B1387" s="24">
        <v>44757</v>
      </c>
      <c r="C1387" s="23">
        <v>2</v>
      </c>
      <c r="D1387" s="23" t="s">
        <v>197</v>
      </c>
      <c r="E1387" s="52">
        <f>32-29</f>
        <v>3</v>
      </c>
      <c r="F1387" s="23" t="s">
        <v>363</v>
      </c>
      <c r="G1387" s="23" t="s">
        <v>361</v>
      </c>
    </row>
    <row r="1388" spans="1:7" s="23" customFormat="1" x14ac:dyDescent="0.75">
      <c r="A1388" s="23" t="s">
        <v>23</v>
      </c>
      <c r="B1388" s="24">
        <v>44757</v>
      </c>
      <c r="C1388" s="23">
        <v>2</v>
      </c>
      <c r="D1388" s="23" t="s">
        <v>197</v>
      </c>
      <c r="E1388" s="52">
        <f>29-27</f>
        <v>2</v>
      </c>
      <c r="F1388" s="23" t="s">
        <v>363</v>
      </c>
      <c r="G1388" s="23" t="s">
        <v>361</v>
      </c>
    </row>
    <row r="1389" spans="1:7" s="23" customFormat="1" x14ac:dyDescent="0.75">
      <c r="A1389" s="23" t="s">
        <v>23</v>
      </c>
      <c r="B1389" s="24">
        <v>44757</v>
      </c>
      <c r="C1389" s="23">
        <v>2</v>
      </c>
      <c r="D1389" s="23" t="s">
        <v>197</v>
      </c>
      <c r="E1389" s="52">
        <f>27-23</f>
        <v>4</v>
      </c>
      <c r="F1389" s="23" t="s">
        <v>363</v>
      </c>
      <c r="G1389" s="23" t="s">
        <v>361</v>
      </c>
    </row>
    <row r="1390" spans="1:7" s="23" customFormat="1" x14ac:dyDescent="0.75">
      <c r="A1390" s="23" t="s">
        <v>23</v>
      </c>
      <c r="B1390" s="24">
        <v>44757</v>
      </c>
      <c r="C1390" s="23">
        <v>2</v>
      </c>
      <c r="D1390" s="23" t="s">
        <v>197</v>
      </c>
      <c r="E1390" s="52">
        <f>23-22</f>
        <v>1</v>
      </c>
      <c r="F1390" s="23" t="s">
        <v>363</v>
      </c>
      <c r="G1390" s="23" t="s">
        <v>361</v>
      </c>
    </row>
    <row r="1391" spans="1:7" s="23" customFormat="1" x14ac:dyDescent="0.75">
      <c r="A1391" s="23" t="s">
        <v>23</v>
      </c>
      <c r="B1391" s="24">
        <v>44757</v>
      </c>
      <c r="C1391" s="23">
        <v>2</v>
      </c>
      <c r="D1391" s="23" t="s">
        <v>197</v>
      </c>
      <c r="E1391" s="52">
        <f>24-21</f>
        <v>3</v>
      </c>
      <c r="F1391" s="23" t="s">
        <v>363</v>
      </c>
      <c r="G1391" s="23" t="s">
        <v>374</v>
      </c>
    </row>
    <row r="1392" spans="1:7" s="23" customFormat="1" x14ac:dyDescent="0.75">
      <c r="A1392" s="23" t="s">
        <v>23</v>
      </c>
      <c r="B1392" s="24">
        <v>44757</v>
      </c>
      <c r="C1392" s="23">
        <v>2</v>
      </c>
      <c r="D1392" s="23" t="s">
        <v>197</v>
      </c>
      <c r="E1392" s="52">
        <f>21-16</f>
        <v>5</v>
      </c>
      <c r="F1392" s="23" t="s">
        <v>363</v>
      </c>
      <c r="G1392" s="23" t="s">
        <v>374</v>
      </c>
    </row>
    <row r="1393" spans="1:7" s="23" customFormat="1" x14ac:dyDescent="0.75">
      <c r="A1393" s="23" t="s">
        <v>23</v>
      </c>
      <c r="B1393" s="24">
        <v>44757</v>
      </c>
      <c r="C1393" s="23">
        <v>2</v>
      </c>
      <c r="D1393" s="23" t="s">
        <v>194</v>
      </c>
      <c r="E1393" s="52">
        <f>16-14</f>
        <v>2</v>
      </c>
      <c r="F1393" s="23" t="s">
        <v>363</v>
      </c>
      <c r="G1393" s="23" t="s">
        <v>374</v>
      </c>
    </row>
    <row r="1394" spans="1:7" s="23" customFormat="1" x14ac:dyDescent="0.75">
      <c r="A1394" s="23" t="s">
        <v>23</v>
      </c>
      <c r="B1394" s="24">
        <v>44757</v>
      </c>
      <c r="C1394" s="23">
        <v>2</v>
      </c>
      <c r="D1394" s="23" t="s">
        <v>194</v>
      </c>
      <c r="E1394" s="52">
        <f>14-13</f>
        <v>1</v>
      </c>
      <c r="F1394" s="23" t="s">
        <v>363</v>
      </c>
      <c r="G1394" s="23" t="s">
        <v>374</v>
      </c>
    </row>
    <row r="1395" spans="1:7" s="23" customFormat="1" x14ac:dyDescent="0.75">
      <c r="A1395" s="23" t="s">
        <v>23</v>
      </c>
      <c r="B1395" s="24">
        <v>44757</v>
      </c>
      <c r="C1395" s="23">
        <v>2</v>
      </c>
      <c r="D1395" s="23" t="s">
        <v>153</v>
      </c>
      <c r="E1395" s="52">
        <f>13-12</f>
        <v>1</v>
      </c>
      <c r="F1395" s="23" t="s">
        <v>363</v>
      </c>
      <c r="G1395" s="23" t="s">
        <v>374</v>
      </c>
    </row>
    <row r="1396" spans="1:7" s="23" customFormat="1" x14ac:dyDescent="0.75">
      <c r="A1396" s="23" t="s">
        <v>23</v>
      </c>
      <c r="B1396" s="24">
        <v>44757</v>
      </c>
      <c r="C1396" s="23">
        <v>2</v>
      </c>
      <c r="D1396" s="23" t="s">
        <v>197</v>
      </c>
      <c r="E1396" s="52">
        <f>12-10</f>
        <v>2</v>
      </c>
      <c r="F1396" s="23" t="s">
        <v>363</v>
      </c>
      <c r="G1396" s="23" t="s">
        <v>374</v>
      </c>
    </row>
    <row r="1397" spans="1:7" s="23" customFormat="1" x14ac:dyDescent="0.75">
      <c r="A1397" s="23" t="s">
        <v>23</v>
      </c>
      <c r="B1397" s="24">
        <v>44757</v>
      </c>
      <c r="C1397" s="23">
        <v>2</v>
      </c>
      <c r="D1397" s="23" t="s">
        <v>197</v>
      </c>
      <c r="E1397" s="52">
        <f>10-5</f>
        <v>5</v>
      </c>
      <c r="F1397" s="23" t="s">
        <v>363</v>
      </c>
      <c r="G1397" s="23" t="s">
        <v>374</v>
      </c>
    </row>
    <row r="1398" spans="1:7" s="23" customFormat="1" x14ac:dyDescent="0.75">
      <c r="A1398" s="23" t="s">
        <v>23</v>
      </c>
      <c r="B1398" s="24">
        <v>44757</v>
      </c>
      <c r="C1398" s="23">
        <v>2</v>
      </c>
      <c r="D1398" s="23" t="s">
        <v>197</v>
      </c>
      <c r="E1398" s="52">
        <f>40-30</f>
        <v>10</v>
      </c>
      <c r="F1398" s="23" t="s">
        <v>363</v>
      </c>
      <c r="G1398" s="23" t="s">
        <v>374</v>
      </c>
    </row>
    <row r="1399" spans="1:7" s="23" customFormat="1" x14ac:dyDescent="0.75">
      <c r="A1399" s="23" t="s">
        <v>23</v>
      </c>
      <c r="B1399" s="24">
        <v>44757</v>
      </c>
      <c r="C1399" s="23">
        <v>2</v>
      </c>
      <c r="D1399" s="23" t="s">
        <v>194</v>
      </c>
      <c r="E1399" s="52">
        <f>30-28</f>
        <v>2</v>
      </c>
      <c r="F1399" s="23" t="s">
        <v>363</v>
      </c>
      <c r="G1399" s="23" t="s">
        <v>374</v>
      </c>
    </row>
    <row r="1400" spans="1:7" s="23" customFormat="1" x14ac:dyDescent="0.75">
      <c r="A1400" s="23" t="s">
        <v>23</v>
      </c>
      <c r="B1400" s="24">
        <v>44757</v>
      </c>
      <c r="C1400" s="23">
        <v>2</v>
      </c>
      <c r="D1400" s="23" t="s">
        <v>199</v>
      </c>
      <c r="E1400" s="52">
        <f>28-21</f>
        <v>7</v>
      </c>
      <c r="F1400" s="23" t="s">
        <v>363</v>
      </c>
      <c r="G1400" s="23" t="s">
        <v>374</v>
      </c>
    </row>
    <row r="1401" spans="1:7" s="23" customFormat="1" x14ac:dyDescent="0.75">
      <c r="A1401" s="23" t="s">
        <v>23</v>
      </c>
      <c r="B1401" s="24">
        <v>44757</v>
      </c>
      <c r="C1401" s="23">
        <v>2</v>
      </c>
      <c r="D1401" s="23" t="s">
        <v>194</v>
      </c>
      <c r="E1401" s="52">
        <v>1</v>
      </c>
      <c r="F1401" s="23" t="s">
        <v>363</v>
      </c>
      <c r="G1401" s="23" t="s">
        <v>374</v>
      </c>
    </row>
    <row r="1402" spans="1:7" s="23" customFormat="1" x14ac:dyDescent="0.75">
      <c r="A1402" s="23" t="s">
        <v>23</v>
      </c>
      <c r="B1402" s="24">
        <v>44757</v>
      </c>
      <c r="C1402" s="23">
        <v>2</v>
      </c>
      <c r="D1402" s="23" t="s">
        <v>153</v>
      </c>
      <c r="E1402" s="52">
        <f>21-15</f>
        <v>6</v>
      </c>
      <c r="F1402" s="23" t="s">
        <v>363</v>
      </c>
      <c r="G1402" s="23" t="s">
        <v>374</v>
      </c>
    </row>
    <row r="1403" spans="1:7" s="23" customFormat="1" x14ac:dyDescent="0.75">
      <c r="A1403" s="23" t="s">
        <v>23</v>
      </c>
      <c r="B1403" s="24">
        <v>44757</v>
      </c>
      <c r="C1403" s="23">
        <v>2</v>
      </c>
      <c r="D1403" s="23" t="s">
        <v>197</v>
      </c>
      <c r="E1403" s="52">
        <f>15-12</f>
        <v>3</v>
      </c>
      <c r="F1403" s="23" t="s">
        <v>363</v>
      </c>
      <c r="G1403" s="23" t="s">
        <v>374</v>
      </c>
    </row>
    <row r="1404" spans="1:7" s="23" customFormat="1" x14ac:dyDescent="0.75">
      <c r="A1404" s="23" t="s">
        <v>23</v>
      </c>
      <c r="B1404" s="24">
        <v>44757</v>
      </c>
      <c r="C1404" s="23">
        <v>2</v>
      </c>
      <c r="D1404" s="23" t="s">
        <v>199</v>
      </c>
      <c r="E1404" s="52">
        <f>12-3</f>
        <v>9</v>
      </c>
      <c r="F1404" s="23" t="s">
        <v>363</v>
      </c>
      <c r="G1404" s="23" t="s">
        <v>374</v>
      </c>
    </row>
    <row r="1405" spans="1:7" s="23" customFormat="1" x14ac:dyDescent="0.75">
      <c r="A1405" s="23" t="s">
        <v>23</v>
      </c>
      <c r="B1405" s="24">
        <v>44757</v>
      </c>
      <c r="C1405" s="23">
        <v>2</v>
      </c>
      <c r="D1405" s="23" t="s">
        <v>197</v>
      </c>
      <c r="E1405" s="52">
        <f>3</f>
        <v>3</v>
      </c>
      <c r="F1405" s="23" t="s">
        <v>363</v>
      </c>
      <c r="G1405" s="23" t="s">
        <v>374</v>
      </c>
    </row>
    <row r="1406" spans="1:7" s="23" customFormat="1" x14ac:dyDescent="0.75">
      <c r="A1406" s="23" t="s">
        <v>23</v>
      </c>
      <c r="B1406" s="24">
        <v>44757</v>
      </c>
      <c r="C1406" s="23">
        <v>2</v>
      </c>
      <c r="D1406" s="23" t="s">
        <v>194</v>
      </c>
      <c r="E1406" s="52">
        <f>55-37</f>
        <v>18</v>
      </c>
      <c r="F1406" s="23" t="s">
        <v>363</v>
      </c>
      <c r="G1406" s="23" t="s">
        <v>374</v>
      </c>
    </row>
    <row r="1407" spans="1:7" s="23" customFormat="1" x14ac:dyDescent="0.75">
      <c r="A1407" s="23" t="s">
        <v>23</v>
      </c>
      <c r="B1407" s="24">
        <v>44757</v>
      </c>
      <c r="C1407" s="23">
        <v>2</v>
      </c>
      <c r="D1407" s="23" t="s">
        <v>197</v>
      </c>
      <c r="E1407" s="52">
        <f>37-31</f>
        <v>6</v>
      </c>
      <c r="F1407" s="23" t="s">
        <v>363</v>
      </c>
      <c r="G1407" s="23" t="s">
        <v>374</v>
      </c>
    </row>
    <row r="1408" spans="1:7" s="23" customFormat="1" x14ac:dyDescent="0.75">
      <c r="A1408" s="23" t="s">
        <v>23</v>
      </c>
      <c r="B1408" s="24">
        <v>44757</v>
      </c>
      <c r="C1408" s="23">
        <v>2</v>
      </c>
      <c r="D1408" s="23" t="s">
        <v>199</v>
      </c>
      <c r="E1408" s="52">
        <f>29-27</f>
        <v>2</v>
      </c>
      <c r="F1408" s="23" t="s">
        <v>363</v>
      </c>
      <c r="G1408" s="23" t="s">
        <v>374</v>
      </c>
    </row>
    <row r="1409" spans="1:7" x14ac:dyDescent="0.75">
      <c r="A1409" t="s">
        <v>23</v>
      </c>
      <c r="B1409" s="3">
        <v>44757</v>
      </c>
      <c r="C1409">
        <v>3</v>
      </c>
      <c r="D1409" t="s">
        <v>191</v>
      </c>
      <c r="E1409" s="22">
        <f>22-19</f>
        <v>3</v>
      </c>
      <c r="F1409" t="s">
        <v>363</v>
      </c>
      <c r="G1409" t="s">
        <v>361</v>
      </c>
    </row>
    <row r="1410" spans="1:7" x14ac:dyDescent="0.75">
      <c r="A1410" t="s">
        <v>23</v>
      </c>
      <c r="B1410" s="3">
        <v>44757</v>
      </c>
      <c r="C1410">
        <v>3</v>
      </c>
      <c r="D1410" t="s">
        <v>197</v>
      </c>
      <c r="E1410" s="22">
        <f>19-11</f>
        <v>8</v>
      </c>
      <c r="F1410" t="s">
        <v>363</v>
      </c>
      <c r="G1410" t="s">
        <v>361</v>
      </c>
    </row>
    <row r="1411" spans="1:7" x14ac:dyDescent="0.75">
      <c r="A1411" t="s">
        <v>23</v>
      </c>
      <c r="B1411" s="3">
        <v>44757</v>
      </c>
      <c r="C1411">
        <v>3</v>
      </c>
      <c r="D1411" t="s">
        <v>194</v>
      </c>
      <c r="E1411" s="22">
        <f>11</f>
        <v>11</v>
      </c>
      <c r="F1411" t="s">
        <v>363</v>
      </c>
      <c r="G1411" t="s">
        <v>361</v>
      </c>
    </row>
    <row r="1412" spans="1:7" x14ac:dyDescent="0.75">
      <c r="A1412" t="s">
        <v>23</v>
      </c>
      <c r="B1412" s="3">
        <v>44757</v>
      </c>
      <c r="C1412">
        <v>3</v>
      </c>
      <c r="D1412" t="s">
        <v>191</v>
      </c>
      <c r="E1412" s="22">
        <f>56-53</f>
        <v>3</v>
      </c>
      <c r="F1412" t="s">
        <v>363</v>
      </c>
      <c r="G1412" t="s">
        <v>361</v>
      </c>
    </row>
    <row r="1413" spans="1:7" x14ac:dyDescent="0.75">
      <c r="A1413" t="s">
        <v>23</v>
      </c>
      <c r="B1413" s="3">
        <v>44757</v>
      </c>
      <c r="C1413">
        <v>3</v>
      </c>
      <c r="D1413" t="s">
        <v>191</v>
      </c>
      <c r="E1413" s="22">
        <f>53-48</f>
        <v>5</v>
      </c>
      <c r="F1413" t="s">
        <v>363</v>
      </c>
      <c r="G1413" t="s">
        <v>374</v>
      </c>
    </row>
    <row r="1414" spans="1:7" x14ac:dyDescent="0.75">
      <c r="A1414" t="s">
        <v>23</v>
      </c>
      <c r="B1414" s="3">
        <v>44757</v>
      </c>
      <c r="C1414">
        <v>3</v>
      </c>
      <c r="D1414" t="s">
        <v>194</v>
      </c>
      <c r="E1414" s="22">
        <f>45-33</f>
        <v>12</v>
      </c>
      <c r="F1414" t="s">
        <v>363</v>
      </c>
      <c r="G1414" t="s">
        <v>374</v>
      </c>
    </row>
    <row r="1415" spans="1:7" x14ac:dyDescent="0.75">
      <c r="A1415" t="s">
        <v>23</v>
      </c>
      <c r="B1415" s="3">
        <v>44757</v>
      </c>
      <c r="C1415">
        <v>3</v>
      </c>
      <c r="D1415" t="s">
        <v>194</v>
      </c>
      <c r="E1415" s="22">
        <f>33-25</f>
        <v>8</v>
      </c>
      <c r="F1415" t="s">
        <v>363</v>
      </c>
      <c r="G1415" t="s">
        <v>374</v>
      </c>
    </row>
    <row r="1416" spans="1:7" x14ac:dyDescent="0.75">
      <c r="A1416" t="s">
        <v>23</v>
      </c>
      <c r="B1416" s="3">
        <v>44757</v>
      </c>
      <c r="C1416">
        <v>3</v>
      </c>
      <c r="D1416" t="s">
        <v>197</v>
      </c>
      <c r="E1416" s="22">
        <f>56-47</f>
        <v>9</v>
      </c>
      <c r="F1416">
        <v>970</v>
      </c>
      <c r="G1416" t="s">
        <v>374</v>
      </c>
    </row>
    <row r="1417" spans="1:7" x14ac:dyDescent="0.75">
      <c r="A1417" t="s">
        <v>23</v>
      </c>
      <c r="B1417" s="3">
        <v>44757</v>
      </c>
      <c r="C1417">
        <v>3</v>
      </c>
      <c r="D1417" t="s">
        <v>197</v>
      </c>
      <c r="E1417" s="22">
        <f>47-42</f>
        <v>5</v>
      </c>
      <c r="F1417" t="s">
        <v>363</v>
      </c>
      <c r="G1417" t="s">
        <v>374</v>
      </c>
    </row>
    <row r="1418" spans="1:7" x14ac:dyDescent="0.75">
      <c r="A1418" t="s">
        <v>23</v>
      </c>
      <c r="B1418" s="3">
        <v>44757</v>
      </c>
      <c r="C1418">
        <v>3</v>
      </c>
      <c r="D1418" t="s">
        <v>197</v>
      </c>
      <c r="E1418" s="22">
        <f>42-35</f>
        <v>7</v>
      </c>
      <c r="F1418" t="s">
        <v>363</v>
      </c>
      <c r="G1418" t="s">
        <v>374</v>
      </c>
    </row>
    <row r="1419" spans="1:7" x14ac:dyDescent="0.75">
      <c r="A1419" t="s">
        <v>23</v>
      </c>
      <c r="B1419" s="3">
        <v>44757</v>
      </c>
      <c r="C1419">
        <v>3</v>
      </c>
      <c r="D1419" t="s">
        <v>194</v>
      </c>
      <c r="E1419" s="22">
        <f>35-32</f>
        <v>3</v>
      </c>
      <c r="F1419" t="s">
        <v>363</v>
      </c>
      <c r="G1419" t="s">
        <v>374</v>
      </c>
    </row>
    <row r="1420" spans="1:7" x14ac:dyDescent="0.75">
      <c r="A1420" t="s">
        <v>23</v>
      </c>
      <c r="B1420" s="3">
        <v>44757</v>
      </c>
      <c r="C1420">
        <v>3</v>
      </c>
      <c r="D1420" t="s">
        <v>197</v>
      </c>
      <c r="E1420" s="22">
        <f>32-28</f>
        <v>4</v>
      </c>
      <c r="F1420" t="s">
        <v>363</v>
      </c>
      <c r="G1420" t="s">
        <v>374</v>
      </c>
    </row>
    <row r="1421" spans="1:7" x14ac:dyDescent="0.75">
      <c r="A1421" t="s">
        <v>23</v>
      </c>
      <c r="B1421" s="3">
        <v>44757</v>
      </c>
      <c r="C1421">
        <v>3</v>
      </c>
      <c r="D1421" t="s">
        <v>194</v>
      </c>
      <c r="E1421" s="22">
        <f>28-27</f>
        <v>1</v>
      </c>
      <c r="F1421" t="s">
        <v>363</v>
      </c>
      <c r="G1421" t="s">
        <v>374</v>
      </c>
    </row>
    <row r="1422" spans="1:7" x14ac:dyDescent="0.75">
      <c r="A1422" t="s">
        <v>23</v>
      </c>
      <c r="B1422" s="3">
        <v>44757</v>
      </c>
      <c r="C1422">
        <v>3</v>
      </c>
      <c r="D1422" t="s">
        <v>197</v>
      </c>
      <c r="E1422" s="22">
        <f>27-13</f>
        <v>14</v>
      </c>
      <c r="F1422" t="s">
        <v>363</v>
      </c>
      <c r="G1422" t="s">
        <v>374</v>
      </c>
    </row>
    <row r="1423" spans="1:7" s="23" customFormat="1" x14ac:dyDescent="0.75">
      <c r="A1423" s="23" t="s">
        <v>64</v>
      </c>
      <c r="B1423" s="24">
        <v>44761</v>
      </c>
      <c r="C1423" s="23">
        <v>1</v>
      </c>
      <c r="D1423" s="23" t="s">
        <v>201</v>
      </c>
      <c r="E1423" s="52">
        <f>26-25</f>
        <v>1</v>
      </c>
      <c r="F1423" s="23">
        <v>3338</v>
      </c>
      <c r="G1423" s="23" t="s">
        <v>361</v>
      </c>
    </row>
    <row r="1424" spans="1:7" s="23" customFormat="1" x14ac:dyDescent="0.75">
      <c r="A1424" s="23" t="s">
        <v>64</v>
      </c>
      <c r="B1424" s="24">
        <v>44761</v>
      </c>
      <c r="C1424" s="23">
        <v>1</v>
      </c>
      <c r="D1424" s="23" t="s">
        <v>201</v>
      </c>
      <c r="E1424" s="52">
        <f>25-24</f>
        <v>1</v>
      </c>
      <c r="F1424" s="23" t="s">
        <v>363</v>
      </c>
      <c r="G1424" s="23" t="s">
        <v>361</v>
      </c>
    </row>
    <row r="1425" spans="1:7" s="23" customFormat="1" x14ac:dyDescent="0.75">
      <c r="A1425" s="23" t="s">
        <v>64</v>
      </c>
      <c r="B1425" s="24">
        <v>44761</v>
      </c>
      <c r="C1425" s="23">
        <v>1</v>
      </c>
      <c r="D1425" s="23" t="s">
        <v>207</v>
      </c>
      <c r="E1425" s="52">
        <f>5</f>
        <v>5</v>
      </c>
      <c r="F1425" s="23" t="s">
        <v>363</v>
      </c>
      <c r="G1425" s="23" t="s">
        <v>374</v>
      </c>
    </row>
    <row r="1426" spans="1:7" s="23" customFormat="1" x14ac:dyDescent="0.75">
      <c r="A1426" s="23" t="s">
        <v>64</v>
      </c>
      <c r="B1426" s="24">
        <v>44761</v>
      </c>
      <c r="C1426" s="23">
        <v>1</v>
      </c>
      <c r="D1426" s="23" t="s">
        <v>207</v>
      </c>
      <c r="E1426" s="52">
        <f>19-14</f>
        <v>5</v>
      </c>
      <c r="F1426" s="23" t="s">
        <v>363</v>
      </c>
      <c r="G1426" s="23" t="s">
        <v>374</v>
      </c>
    </row>
    <row r="1427" spans="1:7" s="23" customFormat="1" x14ac:dyDescent="0.75">
      <c r="A1427" s="23" t="s">
        <v>64</v>
      </c>
      <c r="B1427" s="24">
        <v>44761</v>
      </c>
      <c r="C1427" s="23">
        <v>1</v>
      </c>
      <c r="D1427" s="23" t="s">
        <v>207</v>
      </c>
      <c r="E1427" s="52">
        <f>13-3</f>
        <v>10</v>
      </c>
      <c r="F1427" s="23" t="s">
        <v>363</v>
      </c>
      <c r="G1427" s="23" t="s">
        <v>374</v>
      </c>
    </row>
    <row r="1428" spans="1:7" s="23" customFormat="1" x14ac:dyDescent="0.75">
      <c r="A1428" s="23" t="s">
        <v>64</v>
      </c>
      <c r="B1428" s="24">
        <v>44761</v>
      </c>
      <c r="C1428" s="23">
        <v>1</v>
      </c>
      <c r="D1428" s="23" t="s">
        <v>201</v>
      </c>
      <c r="E1428" s="52">
        <f>48-23</f>
        <v>25</v>
      </c>
      <c r="F1428" s="23" t="s">
        <v>363</v>
      </c>
      <c r="G1428" s="23" t="s">
        <v>374</v>
      </c>
    </row>
    <row r="1429" spans="1:7" x14ac:dyDescent="0.75">
      <c r="A1429" t="s">
        <v>39</v>
      </c>
      <c r="B1429" s="3">
        <v>44762</v>
      </c>
      <c r="C1429">
        <v>1</v>
      </c>
      <c r="D1429" t="s">
        <v>199</v>
      </c>
      <c r="E1429" s="22">
        <f>40-36</f>
        <v>4</v>
      </c>
      <c r="F1429" t="s">
        <v>363</v>
      </c>
      <c r="G1429" t="s">
        <v>361</v>
      </c>
    </row>
    <row r="1430" spans="1:7" x14ac:dyDescent="0.75">
      <c r="A1430" t="s">
        <v>39</v>
      </c>
      <c r="B1430" s="3">
        <v>44762</v>
      </c>
      <c r="C1430">
        <v>1</v>
      </c>
      <c r="D1430" t="s">
        <v>194</v>
      </c>
      <c r="E1430" s="22">
        <f>36-24</f>
        <v>12</v>
      </c>
      <c r="F1430" t="s">
        <v>363</v>
      </c>
      <c r="G1430" t="s">
        <v>361</v>
      </c>
    </row>
    <row r="1431" spans="1:7" x14ac:dyDescent="0.75">
      <c r="A1431" t="s">
        <v>39</v>
      </c>
      <c r="B1431" s="3">
        <v>44762</v>
      </c>
      <c r="C1431">
        <v>1</v>
      </c>
      <c r="D1431" t="s">
        <v>194</v>
      </c>
      <c r="E1431" s="22">
        <f>24-13</f>
        <v>11</v>
      </c>
      <c r="F1431" t="s">
        <v>363</v>
      </c>
      <c r="G1431" t="s">
        <v>361</v>
      </c>
    </row>
    <row r="1432" spans="1:7" x14ac:dyDescent="0.75">
      <c r="A1432" t="s">
        <v>39</v>
      </c>
      <c r="B1432" s="3">
        <v>44762</v>
      </c>
      <c r="C1432">
        <v>1</v>
      </c>
      <c r="D1432" t="s">
        <v>199</v>
      </c>
      <c r="E1432" s="22">
        <f>13-12</f>
        <v>1</v>
      </c>
      <c r="F1432" t="s">
        <v>363</v>
      </c>
      <c r="G1432" t="s">
        <v>361</v>
      </c>
    </row>
    <row r="1433" spans="1:7" x14ac:dyDescent="0.75">
      <c r="A1433" t="s">
        <v>39</v>
      </c>
      <c r="B1433" s="3">
        <v>44762</v>
      </c>
      <c r="C1433">
        <v>1</v>
      </c>
      <c r="D1433" t="s">
        <v>194</v>
      </c>
      <c r="E1433" s="22">
        <f>12-7</f>
        <v>5</v>
      </c>
      <c r="F1433" t="s">
        <v>363</v>
      </c>
      <c r="G1433" t="s">
        <v>361</v>
      </c>
    </row>
    <row r="1434" spans="1:7" x14ac:dyDescent="0.75">
      <c r="A1434" t="s">
        <v>39</v>
      </c>
      <c r="B1434" s="3">
        <v>44762</v>
      </c>
      <c r="C1434">
        <v>1</v>
      </c>
      <c r="D1434" t="s">
        <v>164</v>
      </c>
      <c r="E1434" s="22">
        <f>7+42-37</f>
        <v>12</v>
      </c>
      <c r="F1434" t="s">
        <v>363</v>
      </c>
      <c r="G1434" t="s">
        <v>361</v>
      </c>
    </row>
    <row r="1435" spans="1:7" x14ac:dyDescent="0.75">
      <c r="A1435" t="s">
        <v>39</v>
      </c>
      <c r="B1435" s="3">
        <v>44762</v>
      </c>
      <c r="C1435">
        <v>1</v>
      </c>
      <c r="D1435" t="s">
        <v>191</v>
      </c>
      <c r="E1435" s="22">
        <f>37-29</f>
        <v>8</v>
      </c>
      <c r="F1435" t="s">
        <v>363</v>
      </c>
      <c r="G1435" t="s">
        <v>361</v>
      </c>
    </row>
    <row r="1436" spans="1:7" x14ac:dyDescent="0.75">
      <c r="A1436" t="s">
        <v>39</v>
      </c>
      <c r="B1436" s="3">
        <v>44762</v>
      </c>
      <c r="C1436">
        <v>1</v>
      </c>
      <c r="D1436" t="s">
        <v>191</v>
      </c>
      <c r="E1436" s="22">
        <f>29-26</f>
        <v>3</v>
      </c>
      <c r="F1436" t="s">
        <v>363</v>
      </c>
      <c r="G1436" t="s">
        <v>361</v>
      </c>
    </row>
    <row r="1437" spans="1:7" x14ac:dyDescent="0.75">
      <c r="A1437" t="s">
        <v>39</v>
      </c>
      <c r="B1437" s="3">
        <v>44762</v>
      </c>
      <c r="C1437">
        <v>1</v>
      </c>
      <c r="D1437" t="s">
        <v>194</v>
      </c>
      <c r="E1437" s="22">
        <f>26-25</f>
        <v>1</v>
      </c>
      <c r="F1437">
        <v>956</v>
      </c>
      <c r="G1437" t="s">
        <v>361</v>
      </c>
    </row>
    <row r="1438" spans="1:7" x14ac:dyDescent="0.75">
      <c r="A1438" t="s">
        <v>39</v>
      </c>
      <c r="B1438" s="3">
        <v>44762</v>
      </c>
      <c r="C1438">
        <v>1</v>
      </c>
      <c r="D1438" t="s">
        <v>199</v>
      </c>
      <c r="E1438" s="22">
        <f>25-23</f>
        <v>2</v>
      </c>
      <c r="F1438" t="s">
        <v>363</v>
      </c>
      <c r="G1438" t="s">
        <v>361</v>
      </c>
    </row>
    <row r="1439" spans="1:7" x14ac:dyDescent="0.75">
      <c r="A1439" t="s">
        <v>39</v>
      </c>
      <c r="B1439" s="3">
        <v>44762</v>
      </c>
      <c r="C1439">
        <v>1</v>
      </c>
      <c r="D1439" t="s">
        <v>199</v>
      </c>
      <c r="E1439" s="22">
        <f>23-19</f>
        <v>4</v>
      </c>
      <c r="F1439" t="s">
        <v>363</v>
      </c>
      <c r="G1439" t="s">
        <v>361</v>
      </c>
    </row>
    <row r="1440" spans="1:7" x14ac:dyDescent="0.75">
      <c r="A1440" t="s">
        <v>39</v>
      </c>
      <c r="B1440" s="3">
        <v>44762</v>
      </c>
      <c r="C1440">
        <v>1</v>
      </c>
      <c r="D1440" t="s">
        <v>194</v>
      </c>
      <c r="E1440" s="22">
        <f>19-14</f>
        <v>5</v>
      </c>
      <c r="F1440" t="s">
        <v>363</v>
      </c>
      <c r="G1440" t="s">
        <v>361</v>
      </c>
    </row>
    <row r="1441" spans="1:11" x14ac:dyDescent="0.75">
      <c r="A1441" t="s">
        <v>39</v>
      </c>
      <c r="B1441" s="3">
        <v>44762</v>
      </c>
      <c r="C1441">
        <v>1</v>
      </c>
      <c r="D1441" t="s">
        <v>194</v>
      </c>
      <c r="E1441" s="22">
        <f>14-13</f>
        <v>1</v>
      </c>
      <c r="F1441" t="s">
        <v>363</v>
      </c>
      <c r="G1441" t="s">
        <v>361</v>
      </c>
    </row>
    <row r="1442" spans="1:11" x14ac:dyDescent="0.75">
      <c r="A1442" t="s">
        <v>39</v>
      </c>
      <c r="B1442" s="3">
        <v>44762</v>
      </c>
      <c r="C1442">
        <v>1</v>
      </c>
      <c r="D1442" t="s">
        <v>194</v>
      </c>
      <c r="E1442" s="22">
        <f>13-11</f>
        <v>2</v>
      </c>
      <c r="F1442">
        <v>973</v>
      </c>
      <c r="G1442" t="s">
        <v>361</v>
      </c>
    </row>
    <row r="1443" spans="1:11" x14ac:dyDescent="0.75">
      <c r="A1443" t="s">
        <v>39</v>
      </c>
      <c r="B1443" s="3">
        <v>44762</v>
      </c>
      <c r="C1443">
        <v>1</v>
      </c>
      <c r="D1443" t="s">
        <v>194</v>
      </c>
      <c r="E1443" s="22">
        <f>39-32</f>
        <v>7</v>
      </c>
      <c r="F1443" t="s">
        <v>363</v>
      </c>
      <c r="G1443" t="s">
        <v>367</v>
      </c>
    </row>
    <row r="1444" spans="1:11" x14ac:dyDescent="0.75">
      <c r="A1444" t="s">
        <v>39</v>
      </c>
      <c r="B1444" s="3">
        <v>44762</v>
      </c>
      <c r="C1444">
        <v>1</v>
      </c>
      <c r="D1444" t="s">
        <v>164</v>
      </c>
      <c r="E1444" s="22">
        <f>32-13</f>
        <v>19</v>
      </c>
      <c r="F1444">
        <v>3535</v>
      </c>
      <c r="G1444" t="s">
        <v>367</v>
      </c>
    </row>
    <row r="1445" spans="1:11" x14ac:dyDescent="0.75">
      <c r="A1445" t="s">
        <v>39</v>
      </c>
      <c r="B1445" s="3">
        <v>44762</v>
      </c>
      <c r="C1445">
        <v>1</v>
      </c>
      <c r="E1445" s="22" t="s">
        <v>363</v>
      </c>
      <c r="F1445" t="s">
        <v>363</v>
      </c>
      <c r="G1445" t="s">
        <v>367</v>
      </c>
      <c r="K1445" t="s">
        <v>800</v>
      </c>
    </row>
    <row r="1446" spans="1:11" s="23" customFormat="1" x14ac:dyDescent="0.75">
      <c r="A1446" s="23" t="s">
        <v>39</v>
      </c>
      <c r="B1446" s="24">
        <v>44762</v>
      </c>
      <c r="C1446" s="23">
        <v>2</v>
      </c>
      <c r="D1446" s="23" t="s">
        <v>194</v>
      </c>
      <c r="E1446" s="52">
        <f>7-5</f>
        <v>2</v>
      </c>
      <c r="F1446" s="23" t="s">
        <v>363</v>
      </c>
      <c r="G1446" s="23" t="s">
        <v>367</v>
      </c>
    </row>
    <row r="1447" spans="1:11" s="23" customFormat="1" x14ac:dyDescent="0.75">
      <c r="A1447" s="23" t="s">
        <v>39</v>
      </c>
      <c r="B1447" s="24">
        <v>44762</v>
      </c>
      <c r="C1447" s="23">
        <v>2</v>
      </c>
      <c r="D1447" s="23" t="s">
        <v>197</v>
      </c>
      <c r="E1447" s="52">
        <f>5-4</f>
        <v>1</v>
      </c>
      <c r="F1447" s="23" t="s">
        <v>363</v>
      </c>
      <c r="G1447" s="23" t="s">
        <v>367</v>
      </c>
    </row>
    <row r="1448" spans="1:11" s="23" customFormat="1" x14ac:dyDescent="0.75">
      <c r="A1448" s="23" t="s">
        <v>39</v>
      </c>
      <c r="B1448" s="24">
        <v>44762</v>
      </c>
      <c r="C1448" s="23">
        <v>2</v>
      </c>
      <c r="D1448" s="23" t="s">
        <v>197</v>
      </c>
      <c r="E1448" s="52">
        <f>39-27</f>
        <v>12</v>
      </c>
      <c r="F1448" s="23" t="s">
        <v>363</v>
      </c>
      <c r="G1448" s="23" t="s">
        <v>367</v>
      </c>
    </row>
    <row r="1449" spans="1:11" s="23" customFormat="1" x14ac:dyDescent="0.75">
      <c r="A1449" s="23" t="s">
        <v>39</v>
      </c>
      <c r="B1449" s="24">
        <v>44762</v>
      </c>
      <c r="C1449" s="23">
        <v>2</v>
      </c>
      <c r="D1449" s="23" t="s">
        <v>191</v>
      </c>
      <c r="E1449" s="52">
        <f>4-2</f>
        <v>2</v>
      </c>
      <c r="F1449" s="23" t="s">
        <v>363</v>
      </c>
      <c r="G1449" s="23" t="s">
        <v>367</v>
      </c>
    </row>
    <row r="1450" spans="1:11" s="23" customFormat="1" x14ac:dyDescent="0.75">
      <c r="A1450" s="23" t="s">
        <v>39</v>
      </c>
      <c r="B1450" s="24">
        <v>44762</v>
      </c>
      <c r="C1450" s="23">
        <v>2</v>
      </c>
      <c r="D1450" s="23" t="s">
        <v>207</v>
      </c>
      <c r="E1450" s="52">
        <f>27-18</f>
        <v>9</v>
      </c>
      <c r="F1450" s="23" t="s">
        <v>363</v>
      </c>
      <c r="G1450" s="23" t="s">
        <v>367</v>
      </c>
    </row>
    <row r="1451" spans="1:11" s="23" customFormat="1" x14ac:dyDescent="0.75">
      <c r="A1451" s="23" t="s">
        <v>39</v>
      </c>
      <c r="B1451" s="24">
        <v>44762</v>
      </c>
      <c r="C1451" s="23">
        <v>2</v>
      </c>
      <c r="D1451" s="23" t="s">
        <v>197</v>
      </c>
      <c r="E1451" s="52">
        <f>3</f>
        <v>3</v>
      </c>
      <c r="F1451" s="23" t="s">
        <v>363</v>
      </c>
      <c r="G1451" s="23" t="s">
        <v>374</v>
      </c>
    </row>
    <row r="1452" spans="1:11" s="23" customFormat="1" x14ac:dyDescent="0.75">
      <c r="A1452" s="23" t="s">
        <v>39</v>
      </c>
      <c r="B1452" s="24">
        <v>44762</v>
      </c>
      <c r="C1452" s="23">
        <v>2</v>
      </c>
      <c r="D1452" s="23" t="s">
        <v>201</v>
      </c>
      <c r="E1452" s="52">
        <f>5</f>
        <v>5</v>
      </c>
      <c r="F1452" s="23" t="s">
        <v>363</v>
      </c>
      <c r="G1452" s="23" t="s">
        <v>374</v>
      </c>
    </row>
    <row r="1453" spans="1:11" s="23" customFormat="1" x14ac:dyDescent="0.75">
      <c r="A1453" s="23" t="s">
        <v>39</v>
      </c>
      <c r="B1453" s="24">
        <v>44762</v>
      </c>
      <c r="C1453" s="23">
        <v>2</v>
      </c>
      <c r="D1453" s="23" t="s">
        <v>153</v>
      </c>
      <c r="E1453" s="52">
        <f>2</f>
        <v>2</v>
      </c>
      <c r="F1453" s="23" t="s">
        <v>363</v>
      </c>
      <c r="G1453" s="23" t="s">
        <v>374</v>
      </c>
    </row>
    <row r="1454" spans="1:11" s="23" customFormat="1" x14ac:dyDescent="0.75">
      <c r="A1454" s="23" t="s">
        <v>39</v>
      </c>
      <c r="B1454" s="24">
        <v>44762</v>
      </c>
      <c r="C1454" s="23">
        <v>2</v>
      </c>
      <c r="D1454" s="23" t="s">
        <v>207</v>
      </c>
      <c r="E1454" s="52">
        <f>5</f>
        <v>5</v>
      </c>
      <c r="F1454" s="23" t="s">
        <v>363</v>
      </c>
      <c r="G1454" s="23" t="s">
        <v>374</v>
      </c>
    </row>
    <row r="1455" spans="1:11" s="23" customFormat="1" x14ac:dyDescent="0.75">
      <c r="A1455" s="23" t="s">
        <v>39</v>
      </c>
      <c r="B1455" s="24">
        <v>44762</v>
      </c>
      <c r="C1455" s="23">
        <v>2</v>
      </c>
      <c r="D1455" s="23" t="s">
        <v>194</v>
      </c>
      <c r="E1455" s="52">
        <f>11-6</f>
        <v>5</v>
      </c>
      <c r="F1455" s="23" t="s">
        <v>363</v>
      </c>
      <c r="G1455" s="23" t="s">
        <v>361</v>
      </c>
    </row>
    <row r="1456" spans="1:11" s="23" customFormat="1" x14ac:dyDescent="0.75">
      <c r="A1456" s="23" t="s">
        <v>39</v>
      </c>
      <c r="B1456" s="24">
        <v>44762</v>
      </c>
      <c r="C1456" s="23">
        <v>2</v>
      </c>
      <c r="D1456" s="23" t="s">
        <v>153</v>
      </c>
      <c r="E1456" s="52">
        <f>6-5</f>
        <v>1</v>
      </c>
      <c r="F1456" s="23" t="s">
        <v>363</v>
      </c>
      <c r="G1456" s="23" t="s">
        <v>361</v>
      </c>
    </row>
    <row r="1457" spans="1:11" x14ac:dyDescent="0.75">
      <c r="A1457" t="s">
        <v>39</v>
      </c>
      <c r="B1457" s="3">
        <v>44762</v>
      </c>
      <c r="C1457">
        <v>3</v>
      </c>
      <c r="D1457" t="s">
        <v>201</v>
      </c>
      <c r="E1457" s="22">
        <f>31-28</f>
        <v>3</v>
      </c>
      <c r="F1457">
        <v>901</v>
      </c>
      <c r="G1457" t="s">
        <v>367</v>
      </c>
    </row>
    <row r="1458" spans="1:11" x14ac:dyDescent="0.75">
      <c r="A1458" t="s">
        <v>39</v>
      </c>
      <c r="B1458" s="3">
        <v>44762</v>
      </c>
      <c r="C1458">
        <v>3</v>
      </c>
      <c r="D1458" t="s">
        <v>201</v>
      </c>
      <c r="E1458" s="22">
        <f>28-23</f>
        <v>5</v>
      </c>
      <c r="F1458" t="s">
        <v>363</v>
      </c>
      <c r="G1458" t="s">
        <v>367</v>
      </c>
    </row>
    <row r="1459" spans="1:11" x14ac:dyDescent="0.75">
      <c r="A1459" t="s">
        <v>39</v>
      </c>
      <c r="B1459" s="3">
        <v>44762</v>
      </c>
      <c r="C1459">
        <v>3</v>
      </c>
      <c r="D1459" t="s">
        <v>168</v>
      </c>
      <c r="E1459" s="22">
        <f>23-19</f>
        <v>4</v>
      </c>
      <c r="F1459" t="s">
        <v>363</v>
      </c>
      <c r="G1459" t="s">
        <v>367</v>
      </c>
    </row>
    <row r="1460" spans="1:11" x14ac:dyDescent="0.75">
      <c r="A1460" t="s">
        <v>39</v>
      </c>
      <c r="B1460" s="3">
        <v>44762</v>
      </c>
      <c r="C1460">
        <v>3</v>
      </c>
      <c r="D1460" t="s">
        <v>168</v>
      </c>
      <c r="E1460" s="22">
        <f>19-15</f>
        <v>4</v>
      </c>
      <c r="F1460" t="s">
        <v>363</v>
      </c>
      <c r="G1460" t="s">
        <v>367</v>
      </c>
    </row>
    <row r="1461" spans="1:11" x14ac:dyDescent="0.75">
      <c r="A1461" t="s">
        <v>39</v>
      </c>
      <c r="B1461" s="3">
        <v>44762</v>
      </c>
      <c r="C1461">
        <v>3</v>
      </c>
      <c r="D1461" t="s">
        <v>168</v>
      </c>
      <c r="E1461" s="22">
        <f>5+41-38</f>
        <v>8</v>
      </c>
      <c r="F1461">
        <v>957</v>
      </c>
      <c r="G1461" t="s">
        <v>361</v>
      </c>
    </row>
    <row r="1462" spans="1:11" x14ac:dyDescent="0.75">
      <c r="A1462" t="s">
        <v>39</v>
      </c>
      <c r="B1462" s="3">
        <v>44762</v>
      </c>
      <c r="C1462">
        <v>3</v>
      </c>
      <c r="D1462" t="s">
        <v>168</v>
      </c>
      <c r="E1462" s="22">
        <f>38-36</f>
        <v>2</v>
      </c>
      <c r="F1462" t="s">
        <v>363</v>
      </c>
      <c r="G1462" t="s">
        <v>361</v>
      </c>
    </row>
    <row r="1463" spans="1:11" x14ac:dyDescent="0.75">
      <c r="A1463" t="s">
        <v>39</v>
      </c>
      <c r="B1463" s="3">
        <v>44762</v>
      </c>
      <c r="C1463">
        <v>3</v>
      </c>
      <c r="D1463" t="s">
        <v>168</v>
      </c>
      <c r="E1463" s="22">
        <f>36-17</f>
        <v>19</v>
      </c>
      <c r="F1463" t="s">
        <v>363</v>
      </c>
      <c r="G1463" t="s">
        <v>361</v>
      </c>
    </row>
    <row r="1464" spans="1:11" s="23" customFormat="1" x14ac:dyDescent="0.75">
      <c r="A1464" s="23" t="s">
        <v>69</v>
      </c>
      <c r="B1464" s="24">
        <v>44768</v>
      </c>
      <c r="C1464" s="23">
        <v>1</v>
      </c>
      <c r="D1464" s="23" t="s">
        <v>168</v>
      </c>
      <c r="E1464" s="52" t="s">
        <v>363</v>
      </c>
      <c r="F1464" s="23" t="s">
        <v>363</v>
      </c>
      <c r="G1464" s="23" t="s">
        <v>361</v>
      </c>
      <c r="K1464" s="23" t="s">
        <v>801</v>
      </c>
    </row>
    <row r="1465" spans="1:11" s="23" customFormat="1" x14ac:dyDescent="0.75">
      <c r="A1465" s="23" t="s">
        <v>69</v>
      </c>
      <c r="B1465" s="24">
        <v>44768</v>
      </c>
      <c r="C1465" s="23">
        <v>1</v>
      </c>
      <c r="D1465" s="23" t="s">
        <v>168</v>
      </c>
      <c r="E1465" s="52" t="s">
        <v>363</v>
      </c>
      <c r="F1465" s="23" t="s">
        <v>363</v>
      </c>
      <c r="G1465" s="23" t="s">
        <v>361</v>
      </c>
      <c r="K1465" s="23" t="s">
        <v>801</v>
      </c>
    </row>
    <row r="1466" spans="1:11" s="23" customFormat="1" x14ac:dyDescent="0.75">
      <c r="A1466" s="23" t="s">
        <v>69</v>
      </c>
      <c r="B1466" s="24">
        <v>44768</v>
      </c>
      <c r="C1466" s="23">
        <v>1</v>
      </c>
      <c r="D1466" s="23" t="s">
        <v>191</v>
      </c>
      <c r="E1466" s="52">
        <f>24-18</f>
        <v>6</v>
      </c>
      <c r="F1466" s="23" t="s">
        <v>363</v>
      </c>
      <c r="G1466" s="23" t="s">
        <v>361</v>
      </c>
    </row>
    <row r="1467" spans="1:11" s="23" customFormat="1" x14ac:dyDescent="0.75">
      <c r="A1467" s="23" t="s">
        <v>69</v>
      </c>
      <c r="B1467" s="24">
        <v>44768</v>
      </c>
      <c r="C1467" s="23">
        <v>1</v>
      </c>
      <c r="D1467" s="23" t="s">
        <v>194</v>
      </c>
      <c r="E1467" s="52">
        <f>18-16</f>
        <v>2</v>
      </c>
      <c r="F1467" s="23" t="s">
        <v>363</v>
      </c>
      <c r="G1467" s="23" t="s">
        <v>361</v>
      </c>
    </row>
    <row r="1468" spans="1:11" s="23" customFormat="1" x14ac:dyDescent="0.75">
      <c r="A1468" s="23" t="s">
        <v>69</v>
      </c>
      <c r="B1468" s="24">
        <v>44768</v>
      </c>
      <c r="C1468" s="23">
        <v>1</v>
      </c>
      <c r="D1468" s="23" t="s">
        <v>168</v>
      </c>
      <c r="E1468" s="52">
        <f>16-14</f>
        <v>2</v>
      </c>
      <c r="F1468" s="23" t="s">
        <v>363</v>
      </c>
      <c r="G1468" s="23" t="s">
        <v>361</v>
      </c>
    </row>
    <row r="1469" spans="1:11" s="23" customFormat="1" x14ac:dyDescent="0.75">
      <c r="A1469" s="23" t="s">
        <v>69</v>
      </c>
      <c r="B1469" s="24">
        <v>44768</v>
      </c>
      <c r="C1469" s="23">
        <v>1</v>
      </c>
      <c r="D1469" s="23" t="s">
        <v>191</v>
      </c>
      <c r="E1469" s="52">
        <f>14-12</f>
        <v>2</v>
      </c>
      <c r="F1469" s="23" t="s">
        <v>363</v>
      </c>
      <c r="G1469" s="23" t="s">
        <v>361</v>
      </c>
    </row>
    <row r="1470" spans="1:11" s="23" customFormat="1" x14ac:dyDescent="0.75">
      <c r="A1470" s="23" t="s">
        <v>69</v>
      </c>
      <c r="B1470" s="24">
        <v>44768</v>
      </c>
      <c r="C1470" s="23">
        <v>1</v>
      </c>
      <c r="D1470" s="23" t="s">
        <v>201</v>
      </c>
      <c r="E1470" s="52">
        <f>12-7</f>
        <v>5</v>
      </c>
      <c r="F1470" s="23" t="s">
        <v>363</v>
      </c>
      <c r="G1470" s="23" t="s">
        <v>361</v>
      </c>
    </row>
    <row r="1471" spans="1:11" s="23" customFormat="1" x14ac:dyDescent="0.75">
      <c r="A1471" s="23" t="s">
        <v>69</v>
      </c>
      <c r="B1471" s="24">
        <v>44768</v>
      </c>
      <c r="C1471" s="23">
        <v>1</v>
      </c>
      <c r="D1471" s="23" t="s">
        <v>201</v>
      </c>
      <c r="E1471" s="52">
        <f>7-4</f>
        <v>3</v>
      </c>
      <c r="F1471" s="23" t="s">
        <v>363</v>
      </c>
      <c r="G1471" s="23" t="s">
        <v>361</v>
      </c>
    </row>
    <row r="1472" spans="1:11" s="23" customFormat="1" x14ac:dyDescent="0.75">
      <c r="A1472" s="23" t="s">
        <v>69</v>
      </c>
      <c r="B1472" s="24">
        <v>44768</v>
      </c>
      <c r="C1472" s="23">
        <v>1</v>
      </c>
      <c r="D1472" s="23" t="s">
        <v>197</v>
      </c>
      <c r="E1472" s="52">
        <f>4+41-30</f>
        <v>15</v>
      </c>
      <c r="F1472" s="23" t="s">
        <v>363</v>
      </c>
      <c r="G1472" s="23" t="s">
        <v>361</v>
      </c>
    </row>
    <row r="1473" spans="1:11" s="23" customFormat="1" x14ac:dyDescent="0.75">
      <c r="A1473" s="23" t="s">
        <v>69</v>
      </c>
      <c r="B1473" s="24">
        <v>44768</v>
      </c>
      <c r="C1473" s="23">
        <v>1</v>
      </c>
      <c r="D1473" s="23" t="s">
        <v>201</v>
      </c>
      <c r="E1473" s="52">
        <f>47-34</f>
        <v>13</v>
      </c>
      <c r="F1473" s="23" t="s">
        <v>363</v>
      </c>
      <c r="G1473" s="23" t="s">
        <v>367</v>
      </c>
    </row>
    <row r="1474" spans="1:11" s="23" customFormat="1" x14ac:dyDescent="0.75">
      <c r="A1474" s="23" t="s">
        <v>69</v>
      </c>
      <c r="B1474" s="24">
        <v>44768</v>
      </c>
      <c r="C1474" s="23">
        <v>1</v>
      </c>
      <c r="D1474" s="23" t="s">
        <v>191</v>
      </c>
      <c r="E1474" s="52">
        <f>34-31</f>
        <v>3</v>
      </c>
      <c r="F1474" s="23" t="s">
        <v>363</v>
      </c>
      <c r="G1474" s="23" t="s">
        <v>367</v>
      </c>
    </row>
    <row r="1475" spans="1:11" s="23" customFormat="1" x14ac:dyDescent="0.75">
      <c r="A1475" s="23" t="s">
        <v>69</v>
      </c>
      <c r="B1475" s="24">
        <v>44768</v>
      </c>
      <c r="C1475" s="23">
        <v>1</v>
      </c>
      <c r="D1475" s="23" t="s">
        <v>197</v>
      </c>
      <c r="E1475" s="52">
        <f>31-28</f>
        <v>3</v>
      </c>
      <c r="F1475" s="23" t="s">
        <v>363</v>
      </c>
      <c r="G1475" s="23" t="s">
        <v>367</v>
      </c>
    </row>
    <row r="1476" spans="1:11" s="23" customFormat="1" x14ac:dyDescent="0.75">
      <c r="A1476" s="23" t="s">
        <v>69</v>
      </c>
      <c r="B1476" s="24">
        <v>44768</v>
      </c>
      <c r="C1476" s="23">
        <v>1</v>
      </c>
      <c r="D1476" s="23" t="s">
        <v>168</v>
      </c>
      <c r="E1476" s="52">
        <f>17-8</f>
        <v>9</v>
      </c>
      <c r="F1476" s="23" t="s">
        <v>363</v>
      </c>
      <c r="G1476" s="23" t="s">
        <v>374</v>
      </c>
    </row>
    <row r="1477" spans="1:11" s="23" customFormat="1" x14ac:dyDescent="0.75">
      <c r="A1477" s="23" t="s">
        <v>69</v>
      </c>
      <c r="B1477" s="24">
        <v>44768</v>
      </c>
      <c r="C1477" s="23">
        <v>1</v>
      </c>
      <c r="D1477" s="23" t="s">
        <v>207</v>
      </c>
      <c r="E1477" s="52">
        <f>8-4</f>
        <v>4</v>
      </c>
      <c r="F1477" s="23" t="s">
        <v>363</v>
      </c>
      <c r="G1477" s="23" t="s">
        <v>374</v>
      </c>
    </row>
    <row r="1478" spans="1:11" s="23" customFormat="1" x14ac:dyDescent="0.75">
      <c r="A1478" s="23" t="s">
        <v>69</v>
      </c>
      <c r="B1478" s="24">
        <v>44768</v>
      </c>
      <c r="C1478" s="23">
        <v>1</v>
      </c>
      <c r="D1478" s="23" t="s">
        <v>197</v>
      </c>
      <c r="E1478" s="52">
        <f>47-29</f>
        <v>18</v>
      </c>
      <c r="F1478" s="23" t="s">
        <v>363</v>
      </c>
      <c r="G1478" s="23" t="s">
        <v>374</v>
      </c>
    </row>
    <row r="1479" spans="1:11" s="23" customFormat="1" x14ac:dyDescent="0.75">
      <c r="A1479" s="23" t="s">
        <v>69</v>
      </c>
      <c r="B1479" s="24">
        <v>44768</v>
      </c>
      <c r="C1479" s="23">
        <v>1</v>
      </c>
      <c r="D1479" s="23" t="s">
        <v>164</v>
      </c>
      <c r="E1479" s="52">
        <f>29-12</f>
        <v>17</v>
      </c>
      <c r="F1479" s="23" t="s">
        <v>363</v>
      </c>
      <c r="G1479" s="23" t="s">
        <v>374</v>
      </c>
    </row>
    <row r="1480" spans="1:11" s="23" customFormat="1" x14ac:dyDescent="0.75">
      <c r="A1480" s="23" t="s">
        <v>69</v>
      </c>
      <c r="B1480" s="24">
        <v>44768</v>
      </c>
      <c r="C1480" s="23">
        <v>1</v>
      </c>
      <c r="D1480" s="23" t="s">
        <v>168</v>
      </c>
      <c r="E1480" s="52">
        <f>12-6</f>
        <v>6</v>
      </c>
      <c r="F1480" s="23" t="s">
        <v>363</v>
      </c>
      <c r="G1480" s="23" t="s">
        <v>374</v>
      </c>
    </row>
    <row r="1481" spans="1:11" s="23" customFormat="1" x14ac:dyDescent="0.75">
      <c r="A1481" s="23" t="s">
        <v>69</v>
      </c>
      <c r="B1481" s="24">
        <v>44768</v>
      </c>
      <c r="C1481" s="23">
        <v>1</v>
      </c>
      <c r="D1481" s="23" t="s">
        <v>191</v>
      </c>
      <c r="E1481" s="52">
        <f>6-2</f>
        <v>4</v>
      </c>
      <c r="F1481" s="23" t="s">
        <v>363</v>
      </c>
      <c r="G1481" s="23" t="s">
        <v>374</v>
      </c>
    </row>
    <row r="1482" spans="1:11" s="23" customFormat="1" x14ac:dyDescent="0.75">
      <c r="A1482" s="23" t="s">
        <v>69</v>
      </c>
      <c r="B1482" s="24">
        <v>44768</v>
      </c>
      <c r="C1482" s="23">
        <v>1</v>
      </c>
      <c r="D1482" s="23" t="s">
        <v>201</v>
      </c>
      <c r="E1482" s="52">
        <f>48-38</f>
        <v>10</v>
      </c>
      <c r="F1482" s="23" t="s">
        <v>363</v>
      </c>
      <c r="G1482" s="23" t="s">
        <v>374</v>
      </c>
    </row>
    <row r="1483" spans="1:11" s="23" customFormat="1" x14ac:dyDescent="0.75">
      <c r="A1483" s="23" t="s">
        <v>69</v>
      </c>
      <c r="B1483" s="24">
        <v>44768</v>
      </c>
      <c r="C1483" s="23">
        <v>1</v>
      </c>
      <c r="D1483" s="23" t="s">
        <v>197</v>
      </c>
      <c r="E1483" s="52">
        <f>38-31</f>
        <v>7</v>
      </c>
      <c r="F1483" s="23" t="s">
        <v>363</v>
      </c>
      <c r="G1483" s="23" t="s">
        <v>374</v>
      </c>
    </row>
    <row r="1484" spans="1:11" s="23" customFormat="1" x14ac:dyDescent="0.75">
      <c r="A1484" s="23" t="s">
        <v>69</v>
      </c>
      <c r="B1484" s="24">
        <v>44768</v>
      </c>
      <c r="C1484" s="23">
        <v>1</v>
      </c>
      <c r="D1484" s="23" t="s">
        <v>172</v>
      </c>
      <c r="E1484" s="52">
        <f>31-25</f>
        <v>6</v>
      </c>
      <c r="F1484" s="23" t="s">
        <v>363</v>
      </c>
      <c r="G1484" s="23" t="s">
        <v>374</v>
      </c>
    </row>
    <row r="1485" spans="1:11" s="23" customFormat="1" x14ac:dyDescent="0.75">
      <c r="A1485" s="23" t="s">
        <v>69</v>
      </c>
      <c r="B1485" s="24">
        <v>44768</v>
      </c>
      <c r="C1485" s="23">
        <v>1</v>
      </c>
      <c r="D1485" s="23" t="s">
        <v>168</v>
      </c>
      <c r="E1485" s="52">
        <f>25</f>
        <v>25</v>
      </c>
      <c r="F1485" s="23" t="s">
        <v>363</v>
      </c>
      <c r="G1485" s="23" t="s">
        <v>374</v>
      </c>
      <c r="K1485" s="23" t="s">
        <v>802</v>
      </c>
    </row>
    <row r="1486" spans="1:11" s="23" customFormat="1" x14ac:dyDescent="0.75">
      <c r="A1486" s="23" t="s">
        <v>69</v>
      </c>
      <c r="B1486" s="24">
        <v>44768</v>
      </c>
      <c r="C1486" s="23">
        <v>1</v>
      </c>
      <c r="D1486" s="23" t="s">
        <v>191</v>
      </c>
      <c r="E1486" s="52">
        <f>5-4</f>
        <v>1</v>
      </c>
      <c r="F1486" s="23" t="s">
        <v>363</v>
      </c>
      <c r="G1486" s="23" t="s">
        <v>374</v>
      </c>
    </row>
    <row r="1487" spans="1:11" s="23" customFormat="1" x14ac:dyDescent="0.75">
      <c r="A1487" s="23" t="s">
        <v>69</v>
      </c>
      <c r="B1487" s="24">
        <v>44768</v>
      </c>
      <c r="C1487" s="23">
        <v>1</v>
      </c>
      <c r="D1487" s="23" t="s">
        <v>201</v>
      </c>
      <c r="E1487" s="52">
        <f>5</f>
        <v>5</v>
      </c>
      <c r="F1487" s="23" t="s">
        <v>363</v>
      </c>
      <c r="G1487" s="23" t="s">
        <v>374</v>
      </c>
    </row>
    <row r="1488" spans="1:11" s="23" customFormat="1" x14ac:dyDescent="0.75">
      <c r="A1488" s="23" t="s">
        <v>69</v>
      </c>
      <c r="B1488" s="24">
        <v>44768</v>
      </c>
      <c r="C1488" s="23">
        <v>1</v>
      </c>
      <c r="D1488" s="23" t="s">
        <v>191</v>
      </c>
      <c r="E1488" s="52">
        <f>5</f>
        <v>5</v>
      </c>
      <c r="F1488" s="23" t="s">
        <v>363</v>
      </c>
      <c r="G1488" s="23" t="s">
        <v>374</v>
      </c>
    </row>
    <row r="1489" spans="1:11" s="23" customFormat="1" x14ac:dyDescent="0.75">
      <c r="A1489" s="23" t="s">
        <v>69</v>
      </c>
      <c r="B1489" s="24">
        <v>44768</v>
      </c>
      <c r="C1489" s="23">
        <v>1</v>
      </c>
      <c r="D1489" s="23" t="s">
        <v>207</v>
      </c>
      <c r="E1489" s="52">
        <f>2</f>
        <v>2</v>
      </c>
      <c r="F1489" s="23" t="s">
        <v>363</v>
      </c>
      <c r="G1489" s="23" t="s">
        <v>374</v>
      </c>
    </row>
    <row r="1490" spans="1:11" s="23" customFormat="1" x14ac:dyDescent="0.75">
      <c r="A1490" s="23" t="s">
        <v>69</v>
      </c>
      <c r="B1490" s="24">
        <v>44768</v>
      </c>
      <c r="C1490" s="23">
        <v>1</v>
      </c>
      <c r="D1490" s="23" t="s">
        <v>207</v>
      </c>
      <c r="E1490" s="52">
        <f>53-51</f>
        <v>2</v>
      </c>
      <c r="F1490" s="23" t="s">
        <v>363</v>
      </c>
      <c r="G1490" s="23" t="s">
        <v>374</v>
      </c>
    </row>
    <row r="1491" spans="1:11" s="23" customFormat="1" x14ac:dyDescent="0.75">
      <c r="A1491" s="23" t="s">
        <v>69</v>
      </c>
      <c r="B1491" s="24">
        <v>44768</v>
      </c>
      <c r="C1491" s="23">
        <v>1</v>
      </c>
      <c r="D1491" s="23" t="s">
        <v>207</v>
      </c>
      <c r="E1491" s="52">
        <f>51-50</f>
        <v>1</v>
      </c>
      <c r="F1491" s="23" t="s">
        <v>363</v>
      </c>
      <c r="G1491" s="23" t="s">
        <v>374</v>
      </c>
    </row>
    <row r="1492" spans="1:11" s="23" customFormat="1" x14ac:dyDescent="0.75">
      <c r="A1492" s="23" t="s">
        <v>69</v>
      </c>
      <c r="B1492" s="24">
        <v>44768</v>
      </c>
      <c r="C1492" s="23">
        <v>1</v>
      </c>
      <c r="D1492" s="23" t="s">
        <v>191</v>
      </c>
      <c r="E1492" s="52">
        <f>50-48</f>
        <v>2</v>
      </c>
      <c r="F1492" s="23" t="s">
        <v>363</v>
      </c>
      <c r="G1492" s="23" t="s">
        <v>374</v>
      </c>
    </row>
    <row r="1493" spans="1:11" s="23" customFormat="1" x14ac:dyDescent="0.75">
      <c r="A1493" s="23" t="s">
        <v>69</v>
      </c>
      <c r="B1493" s="24">
        <v>44768</v>
      </c>
      <c r="C1493" s="23">
        <v>1</v>
      </c>
      <c r="D1493" s="23" t="s">
        <v>197</v>
      </c>
      <c r="E1493" s="52">
        <f>48-42</f>
        <v>6</v>
      </c>
      <c r="F1493" s="23" t="s">
        <v>363</v>
      </c>
      <c r="G1493" s="23" t="s">
        <v>374</v>
      </c>
    </row>
    <row r="1494" spans="1:11" s="23" customFormat="1" x14ac:dyDescent="0.75">
      <c r="A1494" s="23" t="s">
        <v>69</v>
      </c>
      <c r="B1494" s="24">
        <v>44768</v>
      </c>
      <c r="C1494" s="23">
        <v>1</v>
      </c>
      <c r="D1494" s="23" t="s">
        <v>168</v>
      </c>
      <c r="E1494" s="52">
        <f>42-37</f>
        <v>5</v>
      </c>
      <c r="F1494" s="23" t="s">
        <v>363</v>
      </c>
      <c r="G1494" s="23" t="s">
        <v>374</v>
      </c>
    </row>
    <row r="1495" spans="1:11" s="23" customFormat="1" x14ac:dyDescent="0.75">
      <c r="A1495" s="23" t="s">
        <v>69</v>
      </c>
      <c r="B1495" s="24">
        <v>44768</v>
      </c>
      <c r="C1495" s="23">
        <v>1</v>
      </c>
      <c r="D1495" s="23" t="s">
        <v>207</v>
      </c>
      <c r="E1495" s="52">
        <f>37-35</f>
        <v>2</v>
      </c>
      <c r="F1495" s="23" t="s">
        <v>363</v>
      </c>
      <c r="G1495" s="23" t="s">
        <v>374</v>
      </c>
    </row>
    <row r="1496" spans="1:11" s="23" customFormat="1" x14ac:dyDescent="0.75">
      <c r="A1496" s="23" t="s">
        <v>69</v>
      </c>
      <c r="B1496" s="24">
        <v>44768</v>
      </c>
      <c r="C1496" s="23">
        <v>1</v>
      </c>
      <c r="D1496" s="23" t="s">
        <v>201</v>
      </c>
      <c r="E1496" s="52">
        <f>35-34</f>
        <v>1</v>
      </c>
      <c r="F1496" s="23" t="s">
        <v>363</v>
      </c>
      <c r="G1496" s="23" t="s">
        <v>374</v>
      </c>
    </row>
    <row r="1497" spans="1:11" s="23" customFormat="1" x14ac:dyDescent="0.75">
      <c r="A1497" s="23" t="s">
        <v>69</v>
      </c>
      <c r="B1497" s="24">
        <v>44768</v>
      </c>
      <c r="C1497" s="23">
        <v>1</v>
      </c>
      <c r="D1497" s="23" t="s">
        <v>207</v>
      </c>
      <c r="E1497" s="52">
        <f>34-33</f>
        <v>1</v>
      </c>
      <c r="F1497" s="23" t="s">
        <v>363</v>
      </c>
      <c r="G1497" s="23" t="s">
        <v>374</v>
      </c>
    </row>
    <row r="1498" spans="1:11" s="23" customFormat="1" x14ac:dyDescent="0.75">
      <c r="A1498" s="23" t="s">
        <v>69</v>
      </c>
      <c r="B1498" s="24">
        <v>44768</v>
      </c>
      <c r="C1498" s="23">
        <v>1</v>
      </c>
      <c r="D1498" s="23" t="s">
        <v>168</v>
      </c>
      <c r="E1498" s="52">
        <f>33-31</f>
        <v>2</v>
      </c>
      <c r="F1498" s="23" t="s">
        <v>363</v>
      </c>
      <c r="G1498" s="23" t="s">
        <v>374</v>
      </c>
    </row>
    <row r="1499" spans="1:11" s="23" customFormat="1" x14ac:dyDescent="0.75">
      <c r="A1499" s="23" t="s">
        <v>69</v>
      </c>
      <c r="B1499" s="24">
        <v>44768</v>
      </c>
      <c r="C1499" s="23">
        <v>1</v>
      </c>
      <c r="D1499" s="23" t="s">
        <v>172</v>
      </c>
      <c r="E1499" s="52">
        <f>31-27</f>
        <v>4</v>
      </c>
      <c r="F1499" s="23" t="s">
        <v>363</v>
      </c>
      <c r="G1499" s="23" t="s">
        <v>374</v>
      </c>
    </row>
    <row r="1500" spans="1:11" s="23" customFormat="1" x14ac:dyDescent="0.75">
      <c r="A1500" s="23" t="s">
        <v>69</v>
      </c>
      <c r="B1500" s="24">
        <v>44768</v>
      </c>
      <c r="C1500" s="23">
        <v>1</v>
      </c>
      <c r="D1500" s="23" t="s">
        <v>172</v>
      </c>
      <c r="E1500" s="52">
        <f>27-17</f>
        <v>10</v>
      </c>
      <c r="F1500" s="23" t="s">
        <v>363</v>
      </c>
      <c r="G1500" s="23" t="s">
        <v>374</v>
      </c>
    </row>
    <row r="1501" spans="1:11" s="23" customFormat="1" x14ac:dyDescent="0.75">
      <c r="A1501" s="23" t="s">
        <v>69</v>
      </c>
      <c r="B1501" s="24">
        <v>44768</v>
      </c>
      <c r="C1501" s="23">
        <v>1</v>
      </c>
      <c r="D1501" s="23" t="s">
        <v>168</v>
      </c>
      <c r="E1501" s="52">
        <f>17-16</f>
        <v>1</v>
      </c>
      <c r="F1501" s="23" t="s">
        <v>363</v>
      </c>
      <c r="G1501" s="23" t="s">
        <v>374</v>
      </c>
      <c r="K1501" s="23" t="s">
        <v>803</v>
      </c>
    </row>
    <row r="1502" spans="1:11" s="23" customFormat="1" x14ac:dyDescent="0.75">
      <c r="A1502" s="23" t="s">
        <v>69</v>
      </c>
      <c r="B1502" s="24">
        <v>44768</v>
      </c>
      <c r="C1502" s="23">
        <v>1</v>
      </c>
      <c r="D1502" s="23" t="s">
        <v>172</v>
      </c>
      <c r="E1502" s="52">
        <f>16-12</f>
        <v>4</v>
      </c>
      <c r="F1502" s="23" t="s">
        <v>363</v>
      </c>
      <c r="G1502" s="23" t="s">
        <v>374</v>
      </c>
    </row>
    <row r="1503" spans="1:11" s="23" customFormat="1" x14ac:dyDescent="0.75">
      <c r="A1503" s="23" t="s">
        <v>69</v>
      </c>
      <c r="B1503" s="24">
        <v>44768</v>
      </c>
      <c r="C1503" s="23">
        <v>1</v>
      </c>
      <c r="D1503" s="23" t="s">
        <v>207</v>
      </c>
      <c r="E1503" s="52">
        <f>12-9</f>
        <v>3</v>
      </c>
      <c r="F1503" s="23" t="s">
        <v>363</v>
      </c>
      <c r="G1503" s="23" t="s">
        <v>374</v>
      </c>
    </row>
    <row r="1504" spans="1:11" s="23" customFormat="1" x14ac:dyDescent="0.75">
      <c r="A1504" s="23" t="s">
        <v>69</v>
      </c>
      <c r="B1504" s="24">
        <v>44768</v>
      </c>
      <c r="C1504" s="23">
        <v>1</v>
      </c>
      <c r="D1504" s="23" t="s">
        <v>207</v>
      </c>
      <c r="E1504" s="52">
        <f>9-8</f>
        <v>1</v>
      </c>
      <c r="F1504" s="23" t="s">
        <v>363</v>
      </c>
      <c r="G1504" s="23" t="s">
        <v>374</v>
      </c>
    </row>
    <row r="1505" spans="1:11" s="23" customFormat="1" x14ac:dyDescent="0.75">
      <c r="A1505" s="23" t="s">
        <v>69</v>
      </c>
      <c r="B1505" s="24">
        <v>44768</v>
      </c>
      <c r="C1505" s="23">
        <v>1</v>
      </c>
      <c r="D1505" s="23" t="s">
        <v>194</v>
      </c>
      <c r="E1505" s="52" t="s">
        <v>363</v>
      </c>
      <c r="F1505" s="23" t="s">
        <v>363</v>
      </c>
      <c r="G1505" s="23" t="s">
        <v>374</v>
      </c>
      <c r="K1505" s="23" t="s">
        <v>804</v>
      </c>
    </row>
    <row r="1506" spans="1:11" x14ac:dyDescent="0.75">
      <c r="A1506" t="s">
        <v>69</v>
      </c>
      <c r="B1506" s="3">
        <v>44768</v>
      </c>
      <c r="C1506">
        <v>2</v>
      </c>
      <c r="D1506" t="s">
        <v>197</v>
      </c>
      <c r="E1506" s="22">
        <f>37-30</f>
        <v>7</v>
      </c>
      <c r="F1506" t="s">
        <v>363</v>
      </c>
      <c r="G1506" t="s">
        <v>361</v>
      </c>
    </row>
    <row r="1507" spans="1:11" x14ac:dyDescent="0.75">
      <c r="A1507" t="s">
        <v>69</v>
      </c>
      <c r="B1507" s="3">
        <v>44768</v>
      </c>
      <c r="C1507">
        <v>2</v>
      </c>
      <c r="D1507" t="s">
        <v>194</v>
      </c>
      <c r="E1507" s="22">
        <f>30-21</f>
        <v>9</v>
      </c>
      <c r="F1507" t="s">
        <v>363</v>
      </c>
      <c r="G1507" t="s">
        <v>361</v>
      </c>
    </row>
    <row r="1508" spans="1:11" x14ac:dyDescent="0.75">
      <c r="A1508" t="s">
        <v>69</v>
      </c>
      <c r="B1508" s="3">
        <v>44768</v>
      </c>
      <c r="C1508">
        <v>2</v>
      </c>
      <c r="D1508" t="s">
        <v>168</v>
      </c>
      <c r="E1508" s="22">
        <f>21-9</f>
        <v>12</v>
      </c>
      <c r="F1508" t="s">
        <v>363</v>
      </c>
      <c r="G1508" t="s">
        <v>361</v>
      </c>
    </row>
    <row r="1509" spans="1:11" x14ac:dyDescent="0.75">
      <c r="A1509" t="s">
        <v>69</v>
      </c>
      <c r="B1509" s="3">
        <v>44768</v>
      </c>
      <c r="C1509">
        <v>2</v>
      </c>
      <c r="D1509" t="s">
        <v>207</v>
      </c>
      <c r="E1509" s="22">
        <f>9-4</f>
        <v>5</v>
      </c>
      <c r="F1509">
        <v>906</v>
      </c>
      <c r="G1509" t="s">
        <v>361</v>
      </c>
    </row>
    <row r="1510" spans="1:11" x14ac:dyDescent="0.75">
      <c r="A1510" t="s">
        <v>69</v>
      </c>
      <c r="B1510" s="3">
        <v>44768</v>
      </c>
      <c r="C1510">
        <v>2</v>
      </c>
      <c r="D1510" t="s">
        <v>197</v>
      </c>
      <c r="E1510" s="22">
        <f>4+45-38</f>
        <v>11</v>
      </c>
      <c r="F1510" t="s">
        <v>363</v>
      </c>
      <c r="G1510" t="s">
        <v>361</v>
      </c>
    </row>
    <row r="1511" spans="1:11" x14ac:dyDescent="0.75">
      <c r="A1511" t="s">
        <v>69</v>
      </c>
      <c r="B1511" s="3">
        <v>44768</v>
      </c>
      <c r="C1511">
        <v>2</v>
      </c>
      <c r="D1511" t="s">
        <v>199</v>
      </c>
      <c r="E1511" s="22">
        <f>38-30</f>
        <v>8</v>
      </c>
      <c r="F1511" t="s">
        <v>363</v>
      </c>
      <c r="G1511" t="s">
        <v>361</v>
      </c>
    </row>
    <row r="1512" spans="1:11" x14ac:dyDescent="0.75">
      <c r="A1512" t="s">
        <v>69</v>
      </c>
      <c r="B1512" s="3">
        <v>44768</v>
      </c>
      <c r="C1512">
        <v>2</v>
      </c>
      <c r="D1512" t="s">
        <v>191</v>
      </c>
      <c r="E1512" s="22">
        <f>30-23</f>
        <v>7</v>
      </c>
      <c r="F1512" t="s">
        <v>363</v>
      </c>
      <c r="G1512" t="s">
        <v>361</v>
      </c>
    </row>
    <row r="1513" spans="1:11" x14ac:dyDescent="0.75">
      <c r="A1513" t="s">
        <v>69</v>
      </c>
      <c r="B1513" s="3">
        <v>44768</v>
      </c>
      <c r="C1513">
        <v>2</v>
      </c>
      <c r="D1513" t="s">
        <v>207</v>
      </c>
      <c r="E1513" s="22">
        <f>47-46</f>
        <v>1</v>
      </c>
      <c r="F1513" t="s">
        <v>363</v>
      </c>
      <c r="G1513" t="s">
        <v>374</v>
      </c>
    </row>
    <row r="1514" spans="1:11" x14ac:dyDescent="0.75">
      <c r="A1514" t="s">
        <v>69</v>
      </c>
      <c r="B1514" s="3">
        <v>44768</v>
      </c>
      <c r="C1514">
        <v>2</v>
      </c>
      <c r="D1514" t="s">
        <v>207</v>
      </c>
      <c r="E1514" s="22">
        <f>46-45</f>
        <v>1</v>
      </c>
      <c r="F1514" t="s">
        <v>363</v>
      </c>
      <c r="G1514" t="s">
        <v>374</v>
      </c>
    </row>
    <row r="1515" spans="1:11" x14ac:dyDescent="0.75">
      <c r="A1515" t="s">
        <v>69</v>
      </c>
      <c r="B1515" s="3">
        <v>44768</v>
      </c>
      <c r="C1515">
        <v>2</v>
      </c>
      <c r="D1515" t="s">
        <v>207</v>
      </c>
      <c r="E1515" s="22">
        <f>45-42</f>
        <v>3</v>
      </c>
      <c r="F1515" t="s">
        <v>363</v>
      </c>
      <c r="G1515" t="s">
        <v>374</v>
      </c>
    </row>
    <row r="1516" spans="1:11" x14ac:dyDescent="0.75">
      <c r="A1516" t="s">
        <v>69</v>
      </c>
      <c r="B1516" s="3">
        <v>44768</v>
      </c>
      <c r="C1516">
        <v>2</v>
      </c>
      <c r="D1516" t="s">
        <v>197</v>
      </c>
      <c r="E1516" s="22">
        <f>42-39</f>
        <v>3</v>
      </c>
      <c r="F1516" t="s">
        <v>363</v>
      </c>
      <c r="G1516" t="s">
        <v>374</v>
      </c>
    </row>
    <row r="1517" spans="1:11" x14ac:dyDescent="0.75">
      <c r="A1517" t="s">
        <v>69</v>
      </c>
      <c r="B1517" s="3">
        <v>44768</v>
      </c>
      <c r="C1517">
        <v>2</v>
      </c>
      <c r="D1517" t="s">
        <v>191</v>
      </c>
      <c r="E1517" s="22">
        <f>39-29</f>
        <v>10</v>
      </c>
      <c r="F1517" t="s">
        <v>363</v>
      </c>
      <c r="G1517" t="s">
        <v>374</v>
      </c>
    </row>
    <row r="1518" spans="1:11" x14ac:dyDescent="0.75">
      <c r="A1518" t="s">
        <v>69</v>
      </c>
      <c r="B1518" s="3">
        <v>44768</v>
      </c>
      <c r="C1518">
        <v>2</v>
      </c>
      <c r="D1518" t="s">
        <v>207</v>
      </c>
      <c r="E1518" s="22">
        <v>1</v>
      </c>
      <c r="F1518" t="s">
        <v>363</v>
      </c>
      <c r="G1518" t="s">
        <v>374</v>
      </c>
    </row>
    <row r="1519" spans="1:11" x14ac:dyDescent="0.75">
      <c r="A1519" t="s">
        <v>69</v>
      </c>
      <c r="B1519" s="3">
        <v>44768</v>
      </c>
      <c r="C1519">
        <v>2</v>
      </c>
      <c r="D1519" t="s">
        <v>172</v>
      </c>
      <c r="E1519" s="22">
        <f>29-22</f>
        <v>7</v>
      </c>
      <c r="F1519" t="s">
        <v>363</v>
      </c>
      <c r="G1519" t="s">
        <v>374</v>
      </c>
    </row>
    <row r="1520" spans="1:11" x14ac:dyDescent="0.75">
      <c r="A1520" t="s">
        <v>69</v>
      </c>
      <c r="B1520" s="3">
        <v>44768</v>
      </c>
      <c r="C1520">
        <v>2</v>
      </c>
      <c r="D1520" t="s">
        <v>191</v>
      </c>
      <c r="E1520" s="22">
        <f>22-13</f>
        <v>9</v>
      </c>
      <c r="F1520" t="s">
        <v>363</v>
      </c>
      <c r="G1520" t="s">
        <v>374</v>
      </c>
    </row>
    <row r="1521" spans="1:7" x14ac:dyDescent="0.75">
      <c r="A1521" t="s">
        <v>69</v>
      </c>
      <c r="B1521" s="3">
        <v>44768</v>
      </c>
      <c r="C1521">
        <v>2</v>
      </c>
      <c r="D1521" t="s">
        <v>191</v>
      </c>
      <c r="E1521" s="22">
        <f>13-9</f>
        <v>4</v>
      </c>
      <c r="F1521" t="s">
        <v>363</v>
      </c>
      <c r="G1521" t="s">
        <v>374</v>
      </c>
    </row>
    <row r="1522" spans="1:7" x14ac:dyDescent="0.75">
      <c r="A1522" t="s">
        <v>69</v>
      </c>
      <c r="B1522" s="3">
        <v>44768</v>
      </c>
      <c r="C1522">
        <v>2</v>
      </c>
      <c r="D1522" t="s">
        <v>199</v>
      </c>
      <c r="E1522" s="22">
        <f>9-4</f>
        <v>5</v>
      </c>
      <c r="F1522" t="s">
        <v>363</v>
      </c>
      <c r="G1522" t="s">
        <v>374</v>
      </c>
    </row>
    <row r="1523" spans="1:7" x14ac:dyDescent="0.75">
      <c r="A1523" t="s">
        <v>69</v>
      </c>
      <c r="B1523" s="3">
        <v>44768</v>
      </c>
      <c r="C1523">
        <v>2</v>
      </c>
      <c r="D1523" t="s">
        <v>191</v>
      </c>
      <c r="E1523" s="22">
        <f>4-1</f>
        <v>3</v>
      </c>
      <c r="F1523" t="s">
        <v>363</v>
      </c>
      <c r="G1523" t="s">
        <v>374</v>
      </c>
    </row>
    <row r="1524" spans="1:7" x14ac:dyDescent="0.75">
      <c r="A1524" t="s">
        <v>69</v>
      </c>
      <c r="B1524" s="3">
        <v>44768</v>
      </c>
      <c r="C1524">
        <v>2</v>
      </c>
      <c r="D1524" t="s">
        <v>197</v>
      </c>
      <c r="E1524" s="22">
        <f>50-39</f>
        <v>11</v>
      </c>
      <c r="F1524" t="s">
        <v>363</v>
      </c>
      <c r="G1524" t="s">
        <v>374</v>
      </c>
    </row>
    <row r="1525" spans="1:7" x14ac:dyDescent="0.75">
      <c r="A1525" t="s">
        <v>69</v>
      </c>
      <c r="B1525" s="3">
        <v>44768</v>
      </c>
      <c r="C1525">
        <v>2</v>
      </c>
      <c r="D1525" t="s">
        <v>191</v>
      </c>
      <c r="E1525" s="22">
        <f>39-36</f>
        <v>3</v>
      </c>
      <c r="F1525" t="s">
        <v>363</v>
      </c>
      <c r="G1525" t="s">
        <v>374</v>
      </c>
    </row>
    <row r="1526" spans="1:7" x14ac:dyDescent="0.75">
      <c r="A1526" t="s">
        <v>69</v>
      </c>
      <c r="B1526" s="3">
        <v>44768</v>
      </c>
      <c r="C1526">
        <v>2</v>
      </c>
      <c r="D1526" t="s">
        <v>207</v>
      </c>
      <c r="E1526" s="22">
        <f>36-24</f>
        <v>12</v>
      </c>
      <c r="F1526" t="s">
        <v>363</v>
      </c>
      <c r="G1526" t="s">
        <v>374</v>
      </c>
    </row>
    <row r="1527" spans="1:7" x14ac:dyDescent="0.75">
      <c r="A1527" t="s">
        <v>69</v>
      </c>
      <c r="B1527" s="3">
        <v>44768</v>
      </c>
      <c r="C1527">
        <v>2</v>
      </c>
      <c r="D1527" t="s">
        <v>176</v>
      </c>
      <c r="E1527" s="22">
        <f>24-18</f>
        <v>6</v>
      </c>
      <c r="F1527" t="s">
        <v>363</v>
      </c>
      <c r="G1527" t="s">
        <v>374</v>
      </c>
    </row>
    <row r="1528" spans="1:7" x14ac:dyDescent="0.75">
      <c r="A1528" t="s">
        <v>69</v>
      </c>
      <c r="B1528" s="3">
        <v>44768</v>
      </c>
      <c r="C1528">
        <v>2</v>
      </c>
      <c r="D1528" t="s">
        <v>207</v>
      </c>
      <c r="E1528" s="22">
        <f>18-17</f>
        <v>1</v>
      </c>
      <c r="F1528" t="s">
        <v>363</v>
      </c>
      <c r="G1528" t="s">
        <v>374</v>
      </c>
    </row>
    <row r="1529" spans="1:7" x14ac:dyDescent="0.75">
      <c r="A1529" t="s">
        <v>69</v>
      </c>
      <c r="B1529" s="3">
        <v>44768</v>
      </c>
      <c r="C1529">
        <v>2</v>
      </c>
      <c r="D1529" t="s">
        <v>191</v>
      </c>
      <c r="E1529" s="22">
        <f>17-16</f>
        <v>1</v>
      </c>
      <c r="F1529" t="s">
        <v>363</v>
      </c>
      <c r="G1529" t="s">
        <v>374</v>
      </c>
    </row>
    <row r="1530" spans="1:7" x14ac:dyDescent="0.75">
      <c r="A1530" t="s">
        <v>69</v>
      </c>
      <c r="B1530" s="3">
        <v>44768</v>
      </c>
      <c r="C1530">
        <v>2</v>
      </c>
      <c r="D1530" t="s">
        <v>207</v>
      </c>
      <c r="E1530" s="22">
        <v>1</v>
      </c>
      <c r="F1530" t="s">
        <v>363</v>
      </c>
      <c r="G1530" t="s">
        <v>374</v>
      </c>
    </row>
    <row r="1531" spans="1:7" x14ac:dyDescent="0.75">
      <c r="A1531" t="s">
        <v>69</v>
      </c>
      <c r="B1531" s="3">
        <v>44768</v>
      </c>
      <c r="C1531">
        <v>2</v>
      </c>
      <c r="D1531" t="s">
        <v>191</v>
      </c>
      <c r="E1531" s="22">
        <f>59-48</f>
        <v>11</v>
      </c>
      <c r="F1531" t="s">
        <v>363</v>
      </c>
      <c r="G1531" t="s">
        <v>374</v>
      </c>
    </row>
    <row r="1532" spans="1:7" x14ac:dyDescent="0.75">
      <c r="A1532" t="s">
        <v>69</v>
      </c>
      <c r="B1532" s="3">
        <v>44768</v>
      </c>
      <c r="C1532">
        <v>2</v>
      </c>
      <c r="D1532" t="s">
        <v>191</v>
      </c>
      <c r="E1532" s="22">
        <f>48-45</f>
        <v>3</v>
      </c>
      <c r="F1532" t="s">
        <v>363</v>
      </c>
      <c r="G1532" t="s">
        <v>374</v>
      </c>
    </row>
    <row r="1533" spans="1:7" x14ac:dyDescent="0.75">
      <c r="A1533" t="s">
        <v>69</v>
      </c>
      <c r="B1533" s="3">
        <v>44768</v>
      </c>
      <c r="C1533">
        <v>2</v>
      </c>
      <c r="D1533" t="s">
        <v>191</v>
      </c>
      <c r="E1533" s="22">
        <f>45-35</f>
        <v>10</v>
      </c>
      <c r="F1533" t="s">
        <v>363</v>
      </c>
      <c r="G1533" t="s">
        <v>374</v>
      </c>
    </row>
    <row r="1534" spans="1:7" x14ac:dyDescent="0.75">
      <c r="A1534" t="s">
        <v>69</v>
      </c>
      <c r="B1534" s="3">
        <v>44768</v>
      </c>
      <c r="C1534">
        <v>2</v>
      </c>
      <c r="D1534" t="s">
        <v>191</v>
      </c>
      <c r="E1534" s="22">
        <f>35-33</f>
        <v>2</v>
      </c>
      <c r="F1534" t="s">
        <v>363</v>
      </c>
      <c r="G1534" t="s">
        <v>374</v>
      </c>
    </row>
    <row r="1535" spans="1:7" x14ac:dyDescent="0.75">
      <c r="A1535" t="s">
        <v>69</v>
      </c>
      <c r="B1535" s="3">
        <v>44768</v>
      </c>
      <c r="C1535">
        <v>2</v>
      </c>
      <c r="D1535" t="s">
        <v>201</v>
      </c>
      <c r="E1535" s="22">
        <f>33-11</f>
        <v>22</v>
      </c>
      <c r="F1535" t="s">
        <v>363</v>
      </c>
      <c r="G1535" t="s">
        <v>374</v>
      </c>
    </row>
    <row r="1536" spans="1:7" x14ac:dyDescent="0.75">
      <c r="A1536" t="s">
        <v>69</v>
      </c>
      <c r="B1536" s="3">
        <v>44768</v>
      </c>
      <c r="C1536">
        <v>2</v>
      </c>
      <c r="D1536" t="s">
        <v>207</v>
      </c>
      <c r="E1536" s="22">
        <f>28-26</f>
        <v>2</v>
      </c>
      <c r="F1536" t="s">
        <v>363</v>
      </c>
      <c r="G1536" t="s">
        <v>367</v>
      </c>
    </row>
    <row r="1537" spans="1:11" x14ac:dyDescent="0.75">
      <c r="A1537" t="s">
        <v>69</v>
      </c>
      <c r="B1537" s="3">
        <v>44768</v>
      </c>
      <c r="C1537">
        <v>2</v>
      </c>
      <c r="D1537" t="s">
        <v>172</v>
      </c>
      <c r="E1537" s="22">
        <f>26-24</f>
        <v>2</v>
      </c>
      <c r="F1537" t="s">
        <v>363</v>
      </c>
      <c r="G1537" t="s">
        <v>367</v>
      </c>
    </row>
    <row r="1538" spans="1:11" x14ac:dyDescent="0.75">
      <c r="A1538" t="s">
        <v>69</v>
      </c>
      <c r="B1538" s="3">
        <v>44768</v>
      </c>
      <c r="C1538">
        <v>2</v>
      </c>
      <c r="D1538" t="s">
        <v>197</v>
      </c>
      <c r="E1538" s="22">
        <f>24+42+23-19</f>
        <v>70</v>
      </c>
      <c r="F1538" t="s">
        <v>363</v>
      </c>
      <c r="G1538" t="s">
        <v>367</v>
      </c>
    </row>
    <row r="1539" spans="1:11" x14ac:dyDescent="0.75">
      <c r="A1539" t="s">
        <v>69</v>
      </c>
      <c r="B1539" s="3">
        <v>44768</v>
      </c>
      <c r="C1539">
        <v>2</v>
      </c>
      <c r="D1539" t="s">
        <v>197</v>
      </c>
      <c r="E1539" s="22">
        <f>19-11</f>
        <v>8</v>
      </c>
      <c r="F1539" t="s">
        <v>363</v>
      </c>
      <c r="G1539" t="s">
        <v>367</v>
      </c>
    </row>
    <row r="1540" spans="1:11" x14ac:dyDescent="0.75">
      <c r="A1540" t="s">
        <v>69</v>
      </c>
      <c r="B1540" s="3">
        <v>44768</v>
      </c>
      <c r="C1540">
        <v>2</v>
      </c>
      <c r="D1540" t="s">
        <v>207</v>
      </c>
      <c r="E1540" s="22">
        <f>11-8</f>
        <v>3</v>
      </c>
      <c r="F1540" t="s">
        <v>363</v>
      </c>
      <c r="G1540" t="s">
        <v>367</v>
      </c>
    </row>
    <row r="1541" spans="1:11" x14ac:dyDescent="0.75">
      <c r="A1541" t="s">
        <v>69</v>
      </c>
      <c r="B1541" s="3">
        <v>44768</v>
      </c>
      <c r="C1541">
        <v>2</v>
      </c>
      <c r="D1541" t="s">
        <v>207</v>
      </c>
      <c r="E1541" s="22">
        <f>8-6</f>
        <v>2</v>
      </c>
      <c r="F1541" t="s">
        <v>363</v>
      </c>
      <c r="G1541" t="s">
        <v>367</v>
      </c>
    </row>
    <row r="1542" spans="1:11" x14ac:dyDescent="0.75">
      <c r="A1542" t="s">
        <v>69</v>
      </c>
      <c r="B1542" s="3">
        <v>44768</v>
      </c>
      <c r="C1542">
        <v>2</v>
      </c>
      <c r="D1542" t="s">
        <v>207</v>
      </c>
      <c r="E1542" s="22">
        <f>6-3</f>
        <v>3</v>
      </c>
      <c r="F1542" t="s">
        <v>363</v>
      </c>
      <c r="G1542" t="s">
        <v>367</v>
      </c>
    </row>
    <row r="1543" spans="1:11" x14ac:dyDescent="0.75">
      <c r="A1543" t="s">
        <v>69</v>
      </c>
      <c r="B1543" s="3">
        <v>44768</v>
      </c>
      <c r="C1543">
        <v>2</v>
      </c>
      <c r="D1543" t="s">
        <v>199</v>
      </c>
      <c r="E1543" s="22">
        <f>3</f>
        <v>3</v>
      </c>
      <c r="F1543" t="s">
        <v>363</v>
      </c>
      <c r="G1543" t="s">
        <v>367</v>
      </c>
    </row>
    <row r="1544" spans="1:11" s="23" customFormat="1" x14ac:dyDescent="0.75">
      <c r="A1544" s="23" t="s">
        <v>69</v>
      </c>
      <c r="B1544" s="24">
        <v>44768</v>
      </c>
      <c r="C1544" s="23">
        <v>3</v>
      </c>
      <c r="D1544" s="23" t="s">
        <v>191</v>
      </c>
      <c r="E1544" s="52">
        <f>44+52+55+16+42+61+13</f>
        <v>283</v>
      </c>
      <c r="F1544" s="23">
        <v>958</v>
      </c>
      <c r="G1544" s="23" t="s">
        <v>792</v>
      </c>
      <c r="K1544" s="23" t="s">
        <v>805</v>
      </c>
    </row>
    <row r="1545" spans="1:11" x14ac:dyDescent="0.75">
      <c r="A1545" t="s">
        <v>69</v>
      </c>
      <c r="B1545" s="3">
        <v>44769</v>
      </c>
      <c r="C1545">
        <v>1</v>
      </c>
      <c r="D1545" t="s">
        <v>197</v>
      </c>
      <c r="E1545" s="22">
        <f>41-38</f>
        <v>3</v>
      </c>
      <c r="F1545">
        <v>953</v>
      </c>
      <c r="G1545" t="s">
        <v>361</v>
      </c>
    </row>
    <row r="1546" spans="1:11" x14ac:dyDescent="0.75">
      <c r="A1546" t="s">
        <v>69</v>
      </c>
      <c r="B1546" s="3">
        <v>44769</v>
      </c>
      <c r="C1546">
        <v>1</v>
      </c>
      <c r="D1546" t="s">
        <v>191</v>
      </c>
      <c r="E1546" s="22">
        <f>38-35</f>
        <v>3</v>
      </c>
      <c r="F1546" t="s">
        <v>363</v>
      </c>
      <c r="G1546" t="s">
        <v>361</v>
      </c>
    </row>
    <row r="1547" spans="1:11" x14ac:dyDescent="0.75">
      <c r="A1547" t="s">
        <v>69</v>
      </c>
      <c r="B1547" s="3">
        <v>44769</v>
      </c>
      <c r="C1547">
        <v>1</v>
      </c>
      <c r="D1547" t="s">
        <v>199</v>
      </c>
      <c r="E1547" s="22">
        <f>35-12</f>
        <v>23</v>
      </c>
      <c r="F1547" t="s">
        <v>363</v>
      </c>
      <c r="G1547" t="s">
        <v>361</v>
      </c>
    </row>
    <row r="1548" spans="1:11" x14ac:dyDescent="0.75">
      <c r="A1548" t="s">
        <v>69</v>
      </c>
      <c r="B1548" s="3">
        <v>44769</v>
      </c>
      <c r="C1548">
        <v>1</v>
      </c>
      <c r="D1548" t="s">
        <v>191</v>
      </c>
      <c r="E1548" s="22">
        <f>12-4</f>
        <v>8</v>
      </c>
      <c r="F1548" t="s">
        <v>363</v>
      </c>
      <c r="G1548" t="s">
        <v>361</v>
      </c>
    </row>
    <row r="1549" spans="1:11" x14ac:dyDescent="0.75">
      <c r="A1549" t="s">
        <v>69</v>
      </c>
      <c r="B1549" s="3">
        <v>44769</v>
      </c>
      <c r="C1549">
        <v>1</v>
      </c>
      <c r="D1549" t="s">
        <v>197</v>
      </c>
      <c r="E1549" s="22">
        <f>4+45-32</f>
        <v>17</v>
      </c>
      <c r="F1549" t="s">
        <v>363</v>
      </c>
      <c r="G1549" t="s">
        <v>361</v>
      </c>
    </row>
    <row r="1550" spans="1:11" x14ac:dyDescent="0.75">
      <c r="A1550" t="s">
        <v>69</v>
      </c>
      <c r="B1550" s="3">
        <v>44769</v>
      </c>
      <c r="C1550">
        <v>1</v>
      </c>
      <c r="D1550" t="s">
        <v>197</v>
      </c>
      <c r="E1550" s="22">
        <f>32-26</f>
        <v>6</v>
      </c>
      <c r="F1550" t="s">
        <v>363</v>
      </c>
      <c r="G1550" t="s">
        <v>361</v>
      </c>
    </row>
    <row r="1551" spans="1:11" x14ac:dyDescent="0.75">
      <c r="A1551" t="s">
        <v>69</v>
      </c>
      <c r="B1551" s="3">
        <v>44769</v>
      </c>
      <c r="C1551">
        <v>1</v>
      </c>
      <c r="D1551" t="s">
        <v>194</v>
      </c>
      <c r="E1551" s="22">
        <f>26-21</f>
        <v>5</v>
      </c>
      <c r="F1551" t="s">
        <v>363</v>
      </c>
      <c r="G1551" t="s">
        <v>361</v>
      </c>
    </row>
    <row r="1552" spans="1:11" x14ac:dyDescent="0.75">
      <c r="A1552" t="s">
        <v>69</v>
      </c>
      <c r="B1552" s="3">
        <v>44769</v>
      </c>
      <c r="C1552">
        <v>1</v>
      </c>
      <c r="D1552" t="s">
        <v>197</v>
      </c>
      <c r="E1552" s="22">
        <f>21-12</f>
        <v>9</v>
      </c>
      <c r="F1552" t="s">
        <v>363</v>
      </c>
      <c r="G1552" t="s">
        <v>361</v>
      </c>
    </row>
    <row r="1553" spans="1:11" x14ac:dyDescent="0.75">
      <c r="A1553" t="s">
        <v>69</v>
      </c>
      <c r="B1553" s="3">
        <v>44769</v>
      </c>
      <c r="C1553">
        <v>1</v>
      </c>
      <c r="D1553" t="s">
        <v>191</v>
      </c>
      <c r="E1553" s="22">
        <f>12-8</f>
        <v>4</v>
      </c>
      <c r="F1553" t="s">
        <v>363</v>
      </c>
      <c r="G1553" t="s">
        <v>361</v>
      </c>
    </row>
    <row r="1554" spans="1:11" x14ac:dyDescent="0.75">
      <c r="A1554" t="s">
        <v>69</v>
      </c>
      <c r="B1554" s="3">
        <v>44769</v>
      </c>
      <c r="C1554">
        <v>1</v>
      </c>
      <c r="D1554" t="s">
        <v>194</v>
      </c>
      <c r="E1554" s="22">
        <f>8+44-41</f>
        <v>11</v>
      </c>
      <c r="F1554" t="s">
        <v>363</v>
      </c>
      <c r="G1554" t="s">
        <v>361</v>
      </c>
    </row>
    <row r="1555" spans="1:11" x14ac:dyDescent="0.75">
      <c r="A1555" t="s">
        <v>69</v>
      </c>
      <c r="B1555" s="3">
        <v>44769</v>
      </c>
      <c r="C1555">
        <v>1</v>
      </c>
      <c r="D1555" t="s">
        <v>191</v>
      </c>
      <c r="E1555" s="22">
        <f>41-32</f>
        <v>9</v>
      </c>
      <c r="F1555" t="s">
        <v>363</v>
      </c>
      <c r="G1555" t="s">
        <v>361</v>
      </c>
    </row>
    <row r="1556" spans="1:11" x14ac:dyDescent="0.75">
      <c r="A1556" t="s">
        <v>69</v>
      </c>
      <c r="B1556" s="3">
        <v>44769</v>
      </c>
      <c r="C1556">
        <v>1</v>
      </c>
      <c r="D1556" t="s">
        <v>199</v>
      </c>
      <c r="E1556" s="22">
        <f>32-30</f>
        <v>2</v>
      </c>
      <c r="F1556" t="s">
        <v>363</v>
      </c>
      <c r="G1556" t="s">
        <v>361</v>
      </c>
    </row>
    <row r="1557" spans="1:11" x14ac:dyDescent="0.75">
      <c r="A1557" t="s">
        <v>69</v>
      </c>
      <c r="B1557" s="3">
        <v>44769</v>
      </c>
      <c r="C1557">
        <v>1</v>
      </c>
      <c r="D1557" t="s">
        <v>197</v>
      </c>
      <c r="E1557" s="22">
        <f>49-41</f>
        <v>8</v>
      </c>
      <c r="F1557" t="s">
        <v>363</v>
      </c>
      <c r="G1557" t="s">
        <v>367</v>
      </c>
    </row>
    <row r="1558" spans="1:11" x14ac:dyDescent="0.75">
      <c r="A1558" t="s">
        <v>69</v>
      </c>
      <c r="B1558" s="3">
        <v>44769</v>
      </c>
      <c r="C1558">
        <v>1</v>
      </c>
      <c r="D1558" t="s">
        <v>191</v>
      </c>
      <c r="E1558" s="22">
        <f>41-37</f>
        <v>4</v>
      </c>
      <c r="F1558" t="s">
        <v>363</v>
      </c>
      <c r="G1558" t="s">
        <v>367</v>
      </c>
    </row>
    <row r="1559" spans="1:11" x14ac:dyDescent="0.75">
      <c r="A1559" t="s">
        <v>69</v>
      </c>
      <c r="B1559" s="3">
        <v>44769</v>
      </c>
      <c r="C1559">
        <v>1</v>
      </c>
      <c r="D1559" t="s">
        <v>201</v>
      </c>
      <c r="E1559" s="22">
        <f>38-32</f>
        <v>6</v>
      </c>
      <c r="F1559" t="s">
        <v>363</v>
      </c>
      <c r="G1559" t="s">
        <v>367</v>
      </c>
    </row>
    <row r="1560" spans="1:11" x14ac:dyDescent="0.75">
      <c r="A1560" t="s">
        <v>69</v>
      </c>
      <c r="B1560" s="3">
        <v>44769</v>
      </c>
      <c r="C1560">
        <v>1</v>
      </c>
      <c r="D1560" t="s">
        <v>191</v>
      </c>
      <c r="E1560" s="22">
        <f>32-24</f>
        <v>8</v>
      </c>
      <c r="F1560" t="s">
        <v>363</v>
      </c>
      <c r="G1560" t="s">
        <v>367</v>
      </c>
    </row>
    <row r="1561" spans="1:11" x14ac:dyDescent="0.75">
      <c r="A1561" t="s">
        <v>69</v>
      </c>
      <c r="B1561" s="3">
        <v>44769</v>
      </c>
      <c r="C1561">
        <v>1</v>
      </c>
      <c r="D1561" t="s">
        <v>191</v>
      </c>
      <c r="E1561" s="22">
        <f>24-19</f>
        <v>5</v>
      </c>
      <c r="F1561" t="s">
        <v>363</v>
      </c>
      <c r="G1561" t="s">
        <v>367</v>
      </c>
    </row>
    <row r="1562" spans="1:11" x14ac:dyDescent="0.75">
      <c r="A1562" t="s">
        <v>69</v>
      </c>
      <c r="B1562" s="3">
        <v>44769</v>
      </c>
      <c r="C1562">
        <v>1</v>
      </c>
      <c r="D1562" t="s">
        <v>194</v>
      </c>
      <c r="E1562" s="22">
        <f>19-13</f>
        <v>6</v>
      </c>
      <c r="F1562" t="s">
        <v>363</v>
      </c>
      <c r="G1562" t="s">
        <v>367</v>
      </c>
    </row>
    <row r="1563" spans="1:11" x14ac:dyDescent="0.75">
      <c r="A1563" t="s">
        <v>69</v>
      </c>
      <c r="B1563" s="3">
        <v>44769</v>
      </c>
      <c r="C1563">
        <v>1</v>
      </c>
      <c r="D1563" t="s">
        <v>164</v>
      </c>
      <c r="E1563" s="22">
        <f>13-10</f>
        <v>3</v>
      </c>
      <c r="F1563">
        <v>955</v>
      </c>
      <c r="G1563" t="s">
        <v>367</v>
      </c>
    </row>
    <row r="1564" spans="1:11" x14ac:dyDescent="0.75">
      <c r="A1564" t="s">
        <v>69</v>
      </c>
      <c r="B1564" s="3">
        <v>44769</v>
      </c>
      <c r="C1564">
        <v>1</v>
      </c>
      <c r="D1564" t="s">
        <v>191</v>
      </c>
      <c r="E1564" s="22">
        <f>10-2</f>
        <v>8</v>
      </c>
      <c r="F1564" t="s">
        <v>363</v>
      </c>
      <c r="G1564" t="s">
        <v>367</v>
      </c>
    </row>
    <row r="1565" spans="1:11" x14ac:dyDescent="0.75">
      <c r="A1565" t="s">
        <v>69</v>
      </c>
      <c r="B1565" s="3">
        <v>44769</v>
      </c>
      <c r="C1565">
        <v>1</v>
      </c>
      <c r="D1565" t="s">
        <v>194</v>
      </c>
      <c r="E1565" s="22">
        <f>2+36-26</f>
        <v>12</v>
      </c>
      <c r="F1565" t="s">
        <v>363</v>
      </c>
      <c r="G1565" t="s">
        <v>367</v>
      </c>
      <c r="K1565" t="s">
        <v>803</v>
      </c>
    </row>
    <row r="1566" spans="1:11" x14ac:dyDescent="0.75">
      <c r="A1566" t="s">
        <v>69</v>
      </c>
      <c r="B1566" s="3">
        <v>44769</v>
      </c>
      <c r="C1566">
        <v>1</v>
      </c>
      <c r="D1566" t="s">
        <v>199</v>
      </c>
      <c r="E1566" s="22">
        <f>26-22</f>
        <v>4</v>
      </c>
      <c r="F1566" t="s">
        <v>363</v>
      </c>
      <c r="G1566" t="s">
        <v>367</v>
      </c>
    </row>
    <row r="1567" spans="1:11" x14ac:dyDescent="0.75">
      <c r="A1567" t="s">
        <v>69</v>
      </c>
      <c r="B1567" s="3">
        <v>44769</v>
      </c>
      <c r="C1567">
        <v>1</v>
      </c>
      <c r="D1567" t="s">
        <v>194</v>
      </c>
      <c r="E1567" s="22">
        <f>22-12</f>
        <v>10</v>
      </c>
      <c r="F1567" t="s">
        <v>363</v>
      </c>
      <c r="G1567" t="s">
        <v>367</v>
      </c>
    </row>
    <row r="1568" spans="1:11" x14ac:dyDescent="0.75">
      <c r="A1568" t="s">
        <v>69</v>
      </c>
      <c r="B1568" s="3">
        <v>44769</v>
      </c>
      <c r="C1568">
        <v>1</v>
      </c>
      <c r="D1568" t="s">
        <v>191</v>
      </c>
      <c r="E1568" s="22">
        <f>12-5</f>
        <v>7</v>
      </c>
      <c r="F1568" t="s">
        <v>363</v>
      </c>
      <c r="G1568" t="s">
        <v>367</v>
      </c>
    </row>
    <row r="1569" spans="1:11" x14ac:dyDescent="0.75">
      <c r="A1569" t="s">
        <v>69</v>
      </c>
      <c r="B1569" s="3">
        <v>44769</v>
      </c>
      <c r="C1569">
        <v>1</v>
      </c>
      <c r="D1569" t="s">
        <v>194</v>
      </c>
      <c r="E1569" s="22">
        <f>48-3-38</f>
        <v>7</v>
      </c>
      <c r="F1569">
        <v>959</v>
      </c>
      <c r="G1569" t="s">
        <v>374</v>
      </c>
    </row>
    <row r="1570" spans="1:11" x14ac:dyDescent="0.75">
      <c r="A1570" t="s">
        <v>69</v>
      </c>
      <c r="B1570" s="3">
        <v>44769</v>
      </c>
      <c r="C1570">
        <v>1</v>
      </c>
      <c r="D1570" t="s">
        <v>164</v>
      </c>
      <c r="E1570" s="22">
        <f>38-35</f>
        <v>3</v>
      </c>
      <c r="F1570" t="s">
        <v>363</v>
      </c>
      <c r="G1570" t="s">
        <v>374</v>
      </c>
      <c r="K1570" t="s">
        <v>803</v>
      </c>
    </row>
    <row r="1571" spans="1:11" x14ac:dyDescent="0.75">
      <c r="A1571" t="s">
        <v>69</v>
      </c>
      <c r="B1571" s="3">
        <v>44769</v>
      </c>
      <c r="C1571">
        <v>1</v>
      </c>
      <c r="D1571" t="s">
        <v>194</v>
      </c>
      <c r="E1571" s="22">
        <f>35-34</f>
        <v>1</v>
      </c>
      <c r="F1571" t="s">
        <v>363</v>
      </c>
      <c r="G1571" t="s">
        <v>374</v>
      </c>
    </row>
    <row r="1572" spans="1:11" x14ac:dyDescent="0.75">
      <c r="A1572" t="s">
        <v>69</v>
      </c>
      <c r="B1572" s="3">
        <v>44769</v>
      </c>
      <c r="C1572">
        <v>1</v>
      </c>
      <c r="D1572" t="s">
        <v>194</v>
      </c>
      <c r="E1572" s="57"/>
      <c r="F1572">
        <v>960</v>
      </c>
      <c r="G1572" t="s">
        <v>374</v>
      </c>
    </row>
    <row r="1573" spans="1:11" x14ac:dyDescent="0.75">
      <c r="A1573" t="s">
        <v>69</v>
      </c>
      <c r="B1573" s="3">
        <v>44769</v>
      </c>
      <c r="C1573">
        <v>1</v>
      </c>
      <c r="D1573" t="s">
        <v>191</v>
      </c>
      <c r="E1573" s="22">
        <f>34-24</f>
        <v>10</v>
      </c>
      <c r="F1573" t="s">
        <v>363</v>
      </c>
      <c r="G1573" t="s">
        <v>374</v>
      </c>
    </row>
    <row r="1574" spans="1:11" x14ac:dyDescent="0.75">
      <c r="A1574" t="s">
        <v>69</v>
      </c>
      <c r="B1574" s="3">
        <v>44769</v>
      </c>
      <c r="C1574">
        <v>1</v>
      </c>
      <c r="D1574" t="s">
        <v>191</v>
      </c>
      <c r="E1574" s="22">
        <f>24-20</f>
        <v>4</v>
      </c>
      <c r="F1574" t="s">
        <v>363</v>
      </c>
      <c r="G1574" t="s">
        <v>374</v>
      </c>
    </row>
    <row r="1575" spans="1:11" x14ac:dyDescent="0.75">
      <c r="A1575" t="s">
        <v>69</v>
      </c>
      <c r="B1575" s="3">
        <v>44769</v>
      </c>
      <c r="C1575">
        <v>1</v>
      </c>
      <c r="D1575" t="s">
        <v>191</v>
      </c>
      <c r="E1575" s="22">
        <f>20-15</f>
        <v>5</v>
      </c>
      <c r="F1575" t="s">
        <v>363</v>
      </c>
      <c r="G1575" t="s">
        <v>374</v>
      </c>
    </row>
    <row r="1576" spans="1:11" x14ac:dyDescent="0.75">
      <c r="A1576" t="s">
        <v>69</v>
      </c>
      <c r="B1576" s="3">
        <v>44769</v>
      </c>
      <c r="C1576">
        <v>1</v>
      </c>
      <c r="D1576" t="s">
        <v>191</v>
      </c>
      <c r="E1576" s="22">
        <f>15-8</f>
        <v>7</v>
      </c>
      <c r="F1576" t="s">
        <v>363</v>
      </c>
      <c r="G1576" t="s">
        <v>374</v>
      </c>
    </row>
    <row r="1577" spans="1:11" x14ac:dyDescent="0.75">
      <c r="A1577" t="s">
        <v>69</v>
      </c>
      <c r="B1577" s="3">
        <v>44769</v>
      </c>
      <c r="C1577">
        <v>1</v>
      </c>
      <c r="D1577" t="s">
        <v>194</v>
      </c>
      <c r="E1577" s="22">
        <f>7-1</f>
        <v>6</v>
      </c>
      <c r="F1577" t="s">
        <v>363</v>
      </c>
      <c r="G1577" t="s">
        <v>374</v>
      </c>
    </row>
    <row r="1578" spans="1:11" x14ac:dyDescent="0.75">
      <c r="A1578" t="s">
        <v>69</v>
      </c>
      <c r="B1578" s="3">
        <v>44769</v>
      </c>
      <c r="C1578">
        <v>1</v>
      </c>
      <c r="D1578" t="s">
        <v>194</v>
      </c>
      <c r="E1578" s="22">
        <v>1</v>
      </c>
      <c r="F1578" t="s">
        <v>363</v>
      </c>
      <c r="G1578" t="s">
        <v>374</v>
      </c>
    </row>
    <row r="1579" spans="1:11" x14ac:dyDescent="0.75">
      <c r="A1579" t="s">
        <v>69</v>
      </c>
      <c r="B1579" s="3">
        <v>44769</v>
      </c>
      <c r="C1579">
        <v>1</v>
      </c>
      <c r="D1579" t="s">
        <v>191</v>
      </c>
      <c r="E1579" s="22">
        <f>45-34</f>
        <v>11</v>
      </c>
      <c r="F1579" t="s">
        <v>363</v>
      </c>
      <c r="G1579" t="s">
        <v>374</v>
      </c>
    </row>
    <row r="1580" spans="1:11" x14ac:dyDescent="0.75">
      <c r="A1580" t="s">
        <v>69</v>
      </c>
      <c r="B1580" s="3">
        <v>44769</v>
      </c>
      <c r="C1580">
        <v>1</v>
      </c>
      <c r="D1580" t="s">
        <v>194</v>
      </c>
      <c r="E1580" s="22">
        <f>34-25</f>
        <v>9</v>
      </c>
      <c r="F1580" t="s">
        <v>363</v>
      </c>
      <c r="G1580" t="s">
        <v>374</v>
      </c>
    </row>
    <row r="1581" spans="1:11" x14ac:dyDescent="0.75">
      <c r="A1581" t="s">
        <v>69</v>
      </c>
      <c r="B1581" s="3">
        <v>44769</v>
      </c>
      <c r="C1581">
        <v>1</v>
      </c>
      <c r="D1581" t="s">
        <v>191</v>
      </c>
      <c r="E1581" s="22">
        <f>25-24</f>
        <v>1</v>
      </c>
      <c r="F1581" t="s">
        <v>363</v>
      </c>
      <c r="G1581" t="s">
        <v>374</v>
      </c>
    </row>
    <row r="1582" spans="1:11" x14ac:dyDescent="0.75">
      <c r="A1582" t="s">
        <v>69</v>
      </c>
      <c r="B1582" s="3">
        <v>44769</v>
      </c>
      <c r="C1582">
        <v>1</v>
      </c>
      <c r="D1582" t="s">
        <v>194</v>
      </c>
      <c r="E1582" s="22">
        <f>24-19</f>
        <v>5</v>
      </c>
      <c r="F1582" t="s">
        <v>363</v>
      </c>
      <c r="G1582" t="s">
        <v>374</v>
      </c>
    </row>
    <row r="1583" spans="1:11" x14ac:dyDescent="0.75">
      <c r="A1583" t="s">
        <v>69</v>
      </c>
      <c r="B1583" s="3">
        <v>44769</v>
      </c>
      <c r="C1583">
        <v>1</v>
      </c>
      <c r="D1583" t="s">
        <v>197</v>
      </c>
      <c r="E1583" s="22">
        <f>19-17</f>
        <v>2</v>
      </c>
      <c r="F1583" t="s">
        <v>363</v>
      </c>
      <c r="G1583" t="s">
        <v>374</v>
      </c>
    </row>
    <row r="1584" spans="1:11" s="23" customFormat="1" x14ac:dyDescent="0.75">
      <c r="A1584" s="23" t="s">
        <v>69</v>
      </c>
      <c r="B1584" s="24">
        <v>44769</v>
      </c>
      <c r="C1584" s="23">
        <v>2</v>
      </c>
      <c r="D1584" s="23" t="s">
        <v>197</v>
      </c>
      <c r="E1584" s="52">
        <f>38-14</f>
        <v>24</v>
      </c>
      <c r="F1584" s="23" t="s">
        <v>363</v>
      </c>
      <c r="G1584" s="23" t="s">
        <v>361</v>
      </c>
    </row>
    <row r="1585" spans="1:11" s="23" customFormat="1" x14ac:dyDescent="0.75">
      <c r="A1585" s="23" t="s">
        <v>69</v>
      </c>
      <c r="B1585" s="24">
        <v>44769</v>
      </c>
      <c r="C1585" s="23">
        <v>2</v>
      </c>
      <c r="D1585" s="23" t="s">
        <v>194</v>
      </c>
      <c r="E1585" s="52">
        <f>14+30-29</f>
        <v>15</v>
      </c>
      <c r="F1585" s="23" t="s">
        <v>363</v>
      </c>
      <c r="G1585" s="23" t="s">
        <v>361</v>
      </c>
    </row>
    <row r="1586" spans="1:11" s="23" customFormat="1" x14ac:dyDescent="0.75">
      <c r="A1586" s="23" t="s">
        <v>69</v>
      </c>
      <c r="B1586" s="24">
        <v>44769</v>
      </c>
      <c r="C1586" s="23">
        <v>2</v>
      </c>
      <c r="D1586" s="23" t="s">
        <v>194</v>
      </c>
      <c r="E1586" s="52">
        <f>29-19</f>
        <v>10</v>
      </c>
      <c r="F1586" s="23" t="s">
        <v>363</v>
      </c>
      <c r="G1586" s="23" t="s">
        <v>361</v>
      </c>
    </row>
    <row r="1587" spans="1:11" s="23" customFormat="1" x14ac:dyDescent="0.75">
      <c r="A1587" s="23" t="s">
        <v>69</v>
      </c>
      <c r="B1587" s="24">
        <v>44769</v>
      </c>
      <c r="C1587" s="23">
        <v>2</v>
      </c>
      <c r="D1587" s="23" t="s">
        <v>194</v>
      </c>
      <c r="E1587" s="52">
        <f>19-16</f>
        <v>3</v>
      </c>
      <c r="F1587" s="23" t="s">
        <v>363</v>
      </c>
      <c r="G1587" s="23" t="s">
        <v>361</v>
      </c>
    </row>
    <row r="1588" spans="1:11" s="23" customFormat="1" x14ac:dyDescent="0.75">
      <c r="A1588" s="23" t="s">
        <v>69</v>
      </c>
      <c r="B1588" s="24">
        <v>44769</v>
      </c>
      <c r="C1588" s="23">
        <v>2</v>
      </c>
      <c r="D1588" s="23" t="s">
        <v>194</v>
      </c>
      <c r="E1588" s="52">
        <f>16-7</f>
        <v>9</v>
      </c>
      <c r="F1588" s="23" t="s">
        <v>363</v>
      </c>
      <c r="G1588" s="23" t="s">
        <v>361</v>
      </c>
    </row>
    <row r="1589" spans="1:11" s="23" customFormat="1" x14ac:dyDescent="0.75">
      <c r="A1589" s="23" t="s">
        <v>69</v>
      </c>
      <c r="B1589" s="24">
        <v>44769</v>
      </c>
      <c r="C1589" s="23">
        <v>2</v>
      </c>
      <c r="D1589" s="23" t="s">
        <v>201</v>
      </c>
      <c r="E1589" s="52">
        <f>7-1</f>
        <v>6</v>
      </c>
      <c r="F1589" s="23" t="s">
        <v>363</v>
      </c>
      <c r="G1589" s="23" t="s">
        <v>361</v>
      </c>
    </row>
    <row r="1590" spans="1:11" s="23" customFormat="1" x14ac:dyDescent="0.75">
      <c r="A1590" s="23" t="s">
        <v>69</v>
      </c>
      <c r="B1590" s="24">
        <v>44769</v>
      </c>
      <c r="C1590" s="23">
        <v>2</v>
      </c>
      <c r="D1590" s="23" t="s">
        <v>168</v>
      </c>
      <c r="E1590" s="52" t="s">
        <v>363</v>
      </c>
      <c r="F1590" s="23" t="s">
        <v>363</v>
      </c>
      <c r="G1590" s="23" t="s">
        <v>361</v>
      </c>
      <c r="K1590" s="23" t="s">
        <v>806</v>
      </c>
    </row>
    <row r="1591" spans="1:11" s="23" customFormat="1" x14ac:dyDescent="0.75">
      <c r="A1591" s="23" t="s">
        <v>69</v>
      </c>
      <c r="B1591" s="24">
        <v>44769</v>
      </c>
      <c r="C1591" s="23">
        <v>2</v>
      </c>
      <c r="D1591" s="23" t="s">
        <v>191</v>
      </c>
      <c r="E1591" s="52" t="s">
        <v>363</v>
      </c>
      <c r="F1591" s="23" t="s">
        <v>363</v>
      </c>
      <c r="G1591" s="23" t="s">
        <v>374</v>
      </c>
      <c r="K1591" s="23" t="s">
        <v>807</v>
      </c>
    </row>
    <row r="1592" spans="1:11" s="23" customFormat="1" x14ac:dyDescent="0.75">
      <c r="A1592" s="23" t="s">
        <v>69</v>
      </c>
      <c r="B1592" s="24">
        <v>44769</v>
      </c>
      <c r="C1592" s="23">
        <v>2</v>
      </c>
      <c r="D1592" s="23" t="s">
        <v>197</v>
      </c>
      <c r="E1592" s="52" t="s">
        <v>363</v>
      </c>
      <c r="F1592" s="23" t="s">
        <v>363</v>
      </c>
      <c r="G1592" s="23" t="s">
        <v>374</v>
      </c>
      <c r="K1592" s="23" t="s">
        <v>807</v>
      </c>
    </row>
    <row r="1593" spans="1:11" s="23" customFormat="1" x14ac:dyDescent="0.75">
      <c r="A1593" s="23" t="s">
        <v>69</v>
      </c>
      <c r="B1593" s="24">
        <v>44769</v>
      </c>
      <c r="C1593" s="23">
        <v>2</v>
      </c>
      <c r="D1593" s="23" t="s">
        <v>201</v>
      </c>
      <c r="E1593" s="52">
        <f>11+29-14</f>
        <v>26</v>
      </c>
      <c r="F1593" s="23" t="s">
        <v>363</v>
      </c>
      <c r="G1593" s="23" t="s">
        <v>374</v>
      </c>
    </row>
    <row r="1594" spans="1:11" s="23" customFormat="1" x14ac:dyDescent="0.75">
      <c r="A1594" s="23" t="s">
        <v>69</v>
      </c>
      <c r="B1594" s="24">
        <v>44769</v>
      </c>
      <c r="C1594" s="23">
        <v>2</v>
      </c>
      <c r="D1594" s="23" t="s">
        <v>194</v>
      </c>
      <c r="E1594" s="52">
        <f>14+48-39</f>
        <v>23</v>
      </c>
      <c r="F1594" s="23" t="s">
        <v>363</v>
      </c>
      <c r="G1594" s="23" t="s">
        <v>374</v>
      </c>
    </row>
    <row r="1595" spans="1:11" s="23" customFormat="1" x14ac:dyDescent="0.75">
      <c r="A1595" s="23" t="s">
        <v>69</v>
      </c>
      <c r="B1595" s="24">
        <v>44769</v>
      </c>
      <c r="C1595" s="23">
        <v>2</v>
      </c>
      <c r="D1595" s="23" t="s">
        <v>191</v>
      </c>
      <c r="E1595" s="52">
        <f>21-15</f>
        <v>6</v>
      </c>
      <c r="F1595" s="23" t="s">
        <v>363</v>
      </c>
      <c r="G1595" s="23" t="s">
        <v>367</v>
      </c>
    </row>
    <row r="1596" spans="1:11" s="23" customFormat="1" x14ac:dyDescent="0.75">
      <c r="A1596" s="23" t="s">
        <v>69</v>
      </c>
      <c r="B1596" s="24">
        <v>44769</v>
      </c>
      <c r="C1596" s="23">
        <v>2</v>
      </c>
      <c r="D1596" s="23" t="s">
        <v>194</v>
      </c>
      <c r="E1596" s="52">
        <f>36-20</f>
        <v>16</v>
      </c>
      <c r="F1596" s="23" t="s">
        <v>363</v>
      </c>
      <c r="G1596" s="23" t="s">
        <v>367</v>
      </c>
    </row>
    <row r="1597" spans="1:11" s="23" customFormat="1" x14ac:dyDescent="0.75">
      <c r="A1597" s="23" t="s">
        <v>69</v>
      </c>
      <c r="B1597" s="24">
        <v>44769</v>
      </c>
      <c r="C1597" s="23">
        <v>2</v>
      </c>
      <c r="D1597" s="23" t="s">
        <v>201</v>
      </c>
      <c r="E1597" s="52">
        <f>20-5</f>
        <v>15</v>
      </c>
      <c r="F1597" s="23" t="s">
        <v>363</v>
      </c>
      <c r="G1597" s="23" t="s">
        <v>367</v>
      </c>
    </row>
    <row r="1598" spans="1:11" s="23" customFormat="1" x14ac:dyDescent="0.75">
      <c r="A1598" s="23" t="s">
        <v>69</v>
      </c>
      <c r="B1598" s="24">
        <v>44769</v>
      </c>
      <c r="C1598" s="23">
        <v>2</v>
      </c>
      <c r="D1598" s="23" t="s">
        <v>197</v>
      </c>
      <c r="E1598" s="52">
        <f>5</f>
        <v>5</v>
      </c>
      <c r="F1598" s="23" t="s">
        <v>363</v>
      </c>
      <c r="G1598" s="23" t="s">
        <v>367</v>
      </c>
    </row>
    <row r="1599" spans="1:11" s="23" customFormat="1" x14ac:dyDescent="0.75">
      <c r="A1599" s="23" t="s">
        <v>69</v>
      </c>
      <c r="B1599" s="24">
        <v>44769</v>
      </c>
      <c r="C1599" s="23">
        <v>2</v>
      </c>
      <c r="D1599" s="23" t="s">
        <v>197</v>
      </c>
      <c r="E1599" s="52">
        <f>45-34</f>
        <v>11</v>
      </c>
      <c r="F1599" s="23" t="s">
        <v>363</v>
      </c>
      <c r="G1599" s="23" t="s">
        <v>367</v>
      </c>
    </row>
    <row r="1600" spans="1:11" s="23" customFormat="1" x14ac:dyDescent="0.75">
      <c r="A1600" s="23" t="s">
        <v>69</v>
      </c>
      <c r="B1600" s="24">
        <v>44769</v>
      </c>
      <c r="C1600" s="23">
        <v>2</v>
      </c>
      <c r="D1600" s="23" t="s">
        <v>197</v>
      </c>
      <c r="E1600" s="52">
        <f>34-18</f>
        <v>16</v>
      </c>
      <c r="F1600" s="23" t="s">
        <v>363</v>
      </c>
      <c r="G1600" s="23" t="s">
        <v>367</v>
      </c>
    </row>
    <row r="1601" spans="1:11" s="23" customFormat="1" x14ac:dyDescent="0.75">
      <c r="A1601" s="23" t="s">
        <v>69</v>
      </c>
      <c r="B1601" s="24">
        <v>44769</v>
      </c>
      <c r="C1601" s="23">
        <v>2</v>
      </c>
      <c r="D1601" s="23" t="s">
        <v>168</v>
      </c>
      <c r="E1601" s="52">
        <f>18+48-36</f>
        <v>30</v>
      </c>
      <c r="F1601" s="23" t="s">
        <v>363</v>
      </c>
      <c r="G1601" s="23" t="s">
        <v>367</v>
      </c>
      <c r="K1601" s="23" t="s">
        <v>798</v>
      </c>
    </row>
    <row r="1602" spans="1:11" s="23" customFormat="1" x14ac:dyDescent="0.75">
      <c r="A1602" s="23" t="s">
        <v>69</v>
      </c>
      <c r="B1602" s="24">
        <v>44769</v>
      </c>
      <c r="C1602" s="23">
        <v>2</v>
      </c>
      <c r="D1602" s="23" t="s">
        <v>191</v>
      </c>
      <c r="E1602" s="52">
        <f>36-32</f>
        <v>4</v>
      </c>
      <c r="F1602" s="23" t="s">
        <v>363</v>
      </c>
      <c r="G1602" s="23" t="s">
        <v>367</v>
      </c>
    </row>
    <row r="1603" spans="1:11" s="23" customFormat="1" x14ac:dyDescent="0.75">
      <c r="A1603" s="23" t="s">
        <v>69</v>
      </c>
      <c r="B1603" s="24">
        <v>44769</v>
      </c>
      <c r="C1603" s="23">
        <v>2</v>
      </c>
      <c r="D1603" s="23" t="s">
        <v>207</v>
      </c>
      <c r="E1603" s="52">
        <f>32-28</f>
        <v>4</v>
      </c>
      <c r="F1603" s="23" t="s">
        <v>363</v>
      </c>
      <c r="G1603" s="23" t="s">
        <v>367</v>
      </c>
    </row>
    <row r="1604" spans="1:11" s="23" customFormat="1" x14ac:dyDescent="0.75">
      <c r="A1604" s="23" t="s">
        <v>69</v>
      </c>
      <c r="B1604" s="24">
        <v>44769</v>
      </c>
      <c r="C1604" s="23">
        <v>2</v>
      </c>
      <c r="D1604" s="23" t="s">
        <v>194</v>
      </c>
      <c r="E1604" s="52">
        <f>49-2+51+39+36-8</f>
        <v>165</v>
      </c>
      <c r="F1604" s="23">
        <v>947</v>
      </c>
      <c r="G1604" s="23" t="s">
        <v>792</v>
      </c>
      <c r="K1604" s="23" t="s">
        <v>808</v>
      </c>
    </row>
    <row r="1605" spans="1:11" s="23" customFormat="1" x14ac:dyDescent="0.75">
      <c r="A1605" s="23" t="s">
        <v>69</v>
      </c>
      <c r="B1605" s="24">
        <v>44769</v>
      </c>
      <c r="C1605" s="23">
        <v>2</v>
      </c>
      <c r="D1605" s="23" t="s">
        <v>194</v>
      </c>
      <c r="E1605" s="52">
        <f>53+35+50-20+5+51-35+15+48-36</f>
        <v>166</v>
      </c>
      <c r="F1605" s="23">
        <v>946</v>
      </c>
      <c r="G1605" s="23" t="s">
        <v>792</v>
      </c>
      <c r="K1605" s="23" t="s">
        <v>809</v>
      </c>
    </row>
    <row r="1606" spans="1:11" x14ac:dyDescent="0.75">
      <c r="A1606" s="10"/>
      <c r="B1606" s="3">
        <v>44769</v>
      </c>
      <c r="C1606">
        <v>1</v>
      </c>
      <c r="D1606" t="s">
        <v>160</v>
      </c>
      <c r="E1606" s="22">
        <f>44-39+35-29</f>
        <v>11</v>
      </c>
      <c r="F1606" t="s">
        <v>363</v>
      </c>
      <c r="G1606" t="s">
        <v>792</v>
      </c>
      <c r="K1606" t="s">
        <v>810</v>
      </c>
    </row>
    <row r="1607" spans="1:11" x14ac:dyDescent="0.75">
      <c r="A1607" s="10"/>
      <c r="B1607" s="3">
        <v>44769</v>
      </c>
      <c r="C1607">
        <v>1</v>
      </c>
      <c r="D1607" t="s">
        <v>176</v>
      </c>
      <c r="E1607" s="22">
        <f>39-27</f>
        <v>12</v>
      </c>
      <c r="F1607" t="s">
        <v>363</v>
      </c>
      <c r="G1607" t="s">
        <v>361</v>
      </c>
      <c r="K1607" t="s">
        <v>811</v>
      </c>
    </row>
    <row r="1608" spans="1:11" x14ac:dyDescent="0.75">
      <c r="A1608" s="10"/>
      <c r="B1608" s="3">
        <v>44769</v>
      </c>
      <c r="C1608">
        <v>1</v>
      </c>
      <c r="D1608" t="s">
        <v>191</v>
      </c>
      <c r="E1608" s="22">
        <f>27-11</f>
        <v>16</v>
      </c>
      <c r="F1608" t="s">
        <v>363</v>
      </c>
      <c r="G1608" t="s">
        <v>361</v>
      </c>
      <c r="K1608" t="s">
        <v>811</v>
      </c>
    </row>
    <row r="1609" spans="1:11" x14ac:dyDescent="0.75">
      <c r="A1609" s="10"/>
      <c r="B1609" s="3">
        <v>44769</v>
      </c>
      <c r="C1609">
        <v>1</v>
      </c>
      <c r="D1609" t="s">
        <v>176</v>
      </c>
      <c r="E1609" s="22">
        <f>42-35</f>
        <v>7</v>
      </c>
      <c r="F1609" t="s">
        <v>363</v>
      </c>
      <c r="G1609" t="s">
        <v>374</v>
      </c>
      <c r="K1609" t="s">
        <v>811</v>
      </c>
    </row>
    <row r="1610" spans="1:11" x14ac:dyDescent="0.75">
      <c r="A1610" s="10"/>
      <c r="B1610" s="3">
        <v>44769</v>
      </c>
      <c r="C1610">
        <v>1</v>
      </c>
      <c r="D1610" t="s">
        <v>207</v>
      </c>
      <c r="E1610" s="22">
        <f>29-25</f>
        <v>4</v>
      </c>
      <c r="F1610" t="s">
        <v>363</v>
      </c>
      <c r="G1610" t="s">
        <v>374</v>
      </c>
      <c r="K1610" t="s">
        <v>811</v>
      </c>
    </row>
    <row r="1611" spans="1:11" x14ac:dyDescent="0.75">
      <c r="A1611" s="10"/>
      <c r="B1611" s="3">
        <v>44769</v>
      </c>
      <c r="C1611">
        <v>1</v>
      </c>
      <c r="D1611" t="s">
        <v>176</v>
      </c>
      <c r="E1611" s="22">
        <f>25-18</f>
        <v>7</v>
      </c>
      <c r="F1611" t="s">
        <v>363</v>
      </c>
      <c r="G1611" t="s">
        <v>374</v>
      </c>
      <c r="K1611" t="s">
        <v>811</v>
      </c>
    </row>
    <row r="1612" spans="1:11" x14ac:dyDescent="0.75">
      <c r="A1612" s="10"/>
      <c r="B1612" s="3">
        <v>44769</v>
      </c>
      <c r="C1612">
        <v>1</v>
      </c>
      <c r="D1612" t="s">
        <v>168</v>
      </c>
      <c r="E1612" s="22">
        <f>1</f>
        <v>1</v>
      </c>
      <c r="F1612" t="s">
        <v>363</v>
      </c>
      <c r="G1612" t="s">
        <v>374</v>
      </c>
      <c r="K1612" t="s">
        <v>811</v>
      </c>
    </row>
    <row r="1613" spans="1:11" x14ac:dyDescent="0.75">
      <c r="A1613" s="10"/>
      <c r="B1613" s="3">
        <v>44769</v>
      </c>
      <c r="C1613">
        <v>1</v>
      </c>
      <c r="D1613" t="s">
        <v>207</v>
      </c>
      <c r="E1613" s="22">
        <f>18-14</f>
        <v>4</v>
      </c>
      <c r="F1613" t="s">
        <v>363</v>
      </c>
      <c r="G1613" t="s">
        <v>374</v>
      </c>
      <c r="K1613" t="s">
        <v>811</v>
      </c>
    </row>
    <row r="1614" spans="1:11" x14ac:dyDescent="0.75">
      <c r="A1614" s="10"/>
      <c r="B1614" s="3">
        <v>44769</v>
      </c>
      <c r="C1614">
        <v>1</v>
      </c>
      <c r="D1614" t="s">
        <v>176</v>
      </c>
      <c r="E1614" s="22">
        <f>14</f>
        <v>14</v>
      </c>
      <c r="F1614" t="s">
        <v>363</v>
      </c>
      <c r="G1614" t="s">
        <v>374</v>
      </c>
      <c r="K1614" t="s">
        <v>811</v>
      </c>
    </row>
    <row r="1615" spans="1:11" x14ac:dyDescent="0.75">
      <c r="A1615" s="10"/>
      <c r="B1615" s="3">
        <v>44769</v>
      </c>
      <c r="C1615">
        <v>1</v>
      </c>
      <c r="D1615" t="s">
        <v>201</v>
      </c>
      <c r="E1615" s="22">
        <f>46-29</f>
        <v>17</v>
      </c>
      <c r="F1615" t="s">
        <v>363</v>
      </c>
      <c r="G1615" t="s">
        <v>374</v>
      </c>
      <c r="K1615" t="s">
        <v>811</v>
      </c>
    </row>
    <row r="1616" spans="1:11" x14ac:dyDescent="0.75">
      <c r="A1616" s="10"/>
      <c r="B1616" s="3">
        <v>44769</v>
      </c>
      <c r="C1616">
        <v>1</v>
      </c>
      <c r="D1616" t="s">
        <v>164</v>
      </c>
      <c r="E1616" s="22">
        <f>29-14</f>
        <v>15</v>
      </c>
      <c r="F1616" t="s">
        <v>363</v>
      </c>
      <c r="G1616" t="s">
        <v>374</v>
      </c>
      <c r="K1616" t="s">
        <v>811</v>
      </c>
    </row>
    <row r="1617" spans="1:11" x14ac:dyDescent="0.75">
      <c r="A1617" s="10"/>
      <c r="B1617" s="3">
        <v>44769</v>
      </c>
      <c r="C1617">
        <v>1</v>
      </c>
      <c r="D1617" t="s">
        <v>197</v>
      </c>
      <c r="E1617" s="22">
        <f>14-12</f>
        <v>2</v>
      </c>
      <c r="F1617" t="s">
        <v>363</v>
      </c>
      <c r="G1617" t="s">
        <v>374</v>
      </c>
      <c r="K1617" t="s">
        <v>811</v>
      </c>
    </row>
    <row r="1618" spans="1:11" x14ac:dyDescent="0.75">
      <c r="A1618" s="10"/>
      <c r="B1618" s="3">
        <v>44769</v>
      </c>
      <c r="C1618">
        <v>1</v>
      </c>
      <c r="D1618" t="s">
        <v>160</v>
      </c>
      <c r="E1618" s="22">
        <f>45-35</f>
        <v>10</v>
      </c>
      <c r="F1618" t="s">
        <v>363</v>
      </c>
      <c r="G1618" t="s">
        <v>367</v>
      </c>
      <c r="K1618" t="s">
        <v>811</v>
      </c>
    </row>
    <row r="1619" spans="1:11" x14ac:dyDescent="0.75">
      <c r="A1619" s="10"/>
      <c r="B1619" s="3">
        <v>44769</v>
      </c>
      <c r="C1619">
        <v>1</v>
      </c>
      <c r="D1619" t="s">
        <v>201</v>
      </c>
      <c r="E1619" s="22">
        <f>35-24</f>
        <v>11</v>
      </c>
      <c r="F1619" t="s">
        <v>363</v>
      </c>
      <c r="G1619" t="s">
        <v>367</v>
      </c>
      <c r="K1619" t="s">
        <v>811</v>
      </c>
    </row>
    <row r="1620" spans="1:11" x14ac:dyDescent="0.75">
      <c r="A1620" s="10"/>
      <c r="B1620" s="3">
        <v>44769</v>
      </c>
      <c r="C1620">
        <v>1</v>
      </c>
      <c r="D1620" t="s">
        <v>191</v>
      </c>
      <c r="E1620" s="22">
        <f>24+29-2</f>
        <v>51</v>
      </c>
      <c r="F1620" t="s">
        <v>363</v>
      </c>
      <c r="G1620" t="s">
        <v>367</v>
      </c>
      <c r="K1620" t="s">
        <v>811</v>
      </c>
    </row>
    <row r="1621" spans="1:11" s="43" customFormat="1" x14ac:dyDescent="0.75">
      <c r="A1621" s="43" t="s">
        <v>28</v>
      </c>
      <c r="B1621" s="44">
        <v>44770</v>
      </c>
      <c r="C1621" s="43">
        <v>1</v>
      </c>
      <c r="D1621" s="43" t="s">
        <v>194</v>
      </c>
      <c r="E1621" s="55">
        <f>35-2-32</f>
        <v>1</v>
      </c>
      <c r="F1621" s="43" t="s">
        <v>363</v>
      </c>
      <c r="G1621" s="43" t="s">
        <v>792</v>
      </c>
      <c r="K1621" s="43" t="s">
        <v>812</v>
      </c>
    </row>
    <row r="1622" spans="1:11" s="43" customFormat="1" x14ac:dyDescent="0.75">
      <c r="A1622" s="43" t="s">
        <v>28</v>
      </c>
      <c r="B1622" s="44">
        <v>44770</v>
      </c>
      <c r="C1622" s="43">
        <v>1</v>
      </c>
      <c r="D1622" s="43" t="s">
        <v>194</v>
      </c>
      <c r="E1622" s="55">
        <f>32-26</f>
        <v>6</v>
      </c>
      <c r="F1622" s="43" t="s">
        <v>363</v>
      </c>
      <c r="G1622" s="43" t="s">
        <v>792</v>
      </c>
      <c r="K1622" s="43" t="s">
        <v>812</v>
      </c>
    </row>
    <row r="1623" spans="1:11" s="43" customFormat="1" x14ac:dyDescent="0.75">
      <c r="A1623" s="43" t="s">
        <v>28</v>
      </c>
      <c r="B1623" s="44">
        <v>44770</v>
      </c>
      <c r="C1623" s="43">
        <v>1</v>
      </c>
      <c r="D1623" s="43" t="s">
        <v>194</v>
      </c>
      <c r="E1623" s="55">
        <f>40-29</f>
        <v>11</v>
      </c>
      <c r="F1623" s="43" t="s">
        <v>363</v>
      </c>
      <c r="G1623" s="43" t="s">
        <v>361</v>
      </c>
    </row>
    <row r="1624" spans="1:11" s="43" customFormat="1" x14ac:dyDescent="0.75">
      <c r="A1624" s="43" t="s">
        <v>28</v>
      </c>
      <c r="B1624" s="44">
        <v>44770</v>
      </c>
      <c r="C1624" s="43">
        <v>1</v>
      </c>
      <c r="D1624" s="43" t="s">
        <v>153</v>
      </c>
      <c r="E1624" s="55">
        <f>29-18</f>
        <v>11</v>
      </c>
      <c r="F1624" s="43" t="s">
        <v>363</v>
      </c>
      <c r="G1624" s="43" t="s">
        <v>361</v>
      </c>
    </row>
    <row r="1625" spans="1:11" s="43" customFormat="1" x14ac:dyDescent="0.75">
      <c r="A1625" s="43" t="s">
        <v>28</v>
      </c>
      <c r="B1625" s="44">
        <v>44770</v>
      </c>
      <c r="C1625" s="43">
        <v>1</v>
      </c>
      <c r="D1625" s="43" t="s">
        <v>194</v>
      </c>
      <c r="E1625" s="55">
        <f>18</f>
        <v>18</v>
      </c>
      <c r="F1625" s="43" t="s">
        <v>363</v>
      </c>
      <c r="G1625" s="43" t="s">
        <v>361</v>
      </c>
    </row>
    <row r="1626" spans="1:11" s="43" customFormat="1" x14ac:dyDescent="0.75">
      <c r="A1626" s="43" t="s">
        <v>28</v>
      </c>
      <c r="B1626" s="44">
        <v>44770</v>
      </c>
      <c r="C1626" s="43">
        <v>1</v>
      </c>
      <c r="D1626" s="43" t="s">
        <v>191</v>
      </c>
      <c r="E1626" s="55">
        <f>42-33</f>
        <v>9</v>
      </c>
      <c r="F1626" s="43" t="s">
        <v>363</v>
      </c>
      <c r="G1626" s="43" t="s">
        <v>361</v>
      </c>
    </row>
    <row r="1627" spans="1:11" s="43" customFormat="1" x14ac:dyDescent="0.75">
      <c r="A1627" s="43" t="s">
        <v>28</v>
      </c>
      <c r="B1627" s="44">
        <v>44770</v>
      </c>
      <c r="C1627" s="43">
        <v>1</v>
      </c>
      <c r="D1627" s="43" t="s">
        <v>194</v>
      </c>
      <c r="E1627" s="55">
        <f>42-37</f>
        <v>5</v>
      </c>
      <c r="F1627" s="43" t="s">
        <v>363</v>
      </c>
      <c r="G1627" s="43" t="s">
        <v>374</v>
      </c>
    </row>
    <row r="1628" spans="1:11" s="43" customFormat="1" x14ac:dyDescent="0.75">
      <c r="A1628" s="43" t="s">
        <v>28</v>
      </c>
      <c r="B1628" s="44">
        <v>44770</v>
      </c>
      <c r="C1628" s="43">
        <v>1</v>
      </c>
      <c r="D1628" s="43" t="s">
        <v>197</v>
      </c>
      <c r="E1628" s="55">
        <f>37-35</f>
        <v>2</v>
      </c>
      <c r="F1628" s="43" t="s">
        <v>363</v>
      </c>
      <c r="G1628" s="43" t="s">
        <v>374</v>
      </c>
    </row>
    <row r="1629" spans="1:11" s="43" customFormat="1" x14ac:dyDescent="0.75">
      <c r="A1629" s="43" t="s">
        <v>28</v>
      </c>
      <c r="B1629" s="44">
        <v>44770</v>
      </c>
      <c r="C1629" s="43">
        <v>1</v>
      </c>
      <c r="D1629" s="43" t="s">
        <v>207</v>
      </c>
      <c r="E1629" s="55">
        <f>35-28</f>
        <v>7</v>
      </c>
      <c r="F1629" s="43" t="s">
        <v>363</v>
      </c>
      <c r="G1629" s="43" t="s">
        <v>374</v>
      </c>
    </row>
    <row r="1630" spans="1:11" s="43" customFormat="1" x14ac:dyDescent="0.75">
      <c r="A1630" s="43" t="s">
        <v>28</v>
      </c>
      <c r="B1630" s="44">
        <v>44770</v>
      </c>
      <c r="C1630" s="43">
        <v>1</v>
      </c>
      <c r="D1630" s="43" t="s">
        <v>207</v>
      </c>
      <c r="E1630" s="55">
        <f>28-17</f>
        <v>11</v>
      </c>
      <c r="F1630" s="43" t="s">
        <v>363</v>
      </c>
      <c r="G1630" s="43" t="s">
        <v>374</v>
      </c>
    </row>
    <row r="1631" spans="1:11" s="43" customFormat="1" x14ac:dyDescent="0.75">
      <c r="A1631" s="43" t="s">
        <v>28</v>
      </c>
      <c r="B1631" s="44">
        <v>44770</v>
      </c>
      <c r="C1631" s="43">
        <v>1</v>
      </c>
      <c r="D1631" s="43" t="s">
        <v>215</v>
      </c>
      <c r="E1631" s="55">
        <f>17-9</f>
        <v>8</v>
      </c>
      <c r="F1631" s="43" t="s">
        <v>363</v>
      </c>
      <c r="G1631" s="43" t="s">
        <v>374</v>
      </c>
    </row>
    <row r="1632" spans="1:11" s="43" customFormat="1" x14ac:dyDescent="0.75">
      <c r="A1632" s="43" t="s">
        <v>28</v>
      </c>
      <c r="B1632" s="44">
        <v>44770</v>
      </c>
      <c r="C1632" s="43">
        <v>1</v>
      </c>
      <c r="D1632" s="43" t="s">
        <v>215</v>
      </c>
      <c r="E1632" s="55">
        <v>1</v>
      </c>
      <c r="F1632" s="43" t="s">
        <v>363</v>
      </c>
      <c r="G1632" s="43" t="s">
        <v>374</v>
      </c>
    </row>
    <row r="1633" spans="1:11" s="43" customFormat="1" x14ac:dyDescent="0.75">
      <c r="A1633" s="43" t="s">
        <v>28</v>
      </c>
      <c r="B1633" s="44">
        <v>44770</v>
      </c>
      <c r="C1633" s="43">
        <v>1</v>
      </c>
      <c r="D1633" s="43" t="s">
        <v>194</v>
      </c>
      <c r="E1633" s="55">
        <f>9-7</f>
        <v>2</v>
      </c>
      <c r="F1633" s="43" t="s">
        <v>363</v>
      </c>
      <c r="G1633" s="43" t="s">
        <v>374</v>
      </c>
    </row>
    <row r="1634" spans="1:11" s="43" customFormat="1" x14ac:dyDescent="0.75">
      <c r="A1634" s="43" t="s">
        <v>28</v>
      </c>
      <c r="B1634" s="44">
        <v>44770</v>
      </c>
      <c r="C1634" s="43">
        <v>1</v>
      </c>
      <c r="D1634" s="43" t="s">
        <v>191</v>
      </c>
      <c r="E1634" s="55">
        <f>7-3</f>
        <v>4</v>
      </c>
      <c r="F1634" s="43" t="s">
        <v>363</v>
      </c>
      <c r="G1634" s="43" t="s">
        <v>374</v>
      </c>
    </row>
    <row r="1635" spans="1:11" s="43" customFormat="1" x14ac:dyDescent="0.75">
      <c r="A1635" s="43" t="s">
        <v>28</v>
      </c>
      <c r="B1635" s="44">
        <v>44770</v>
      </c>
      <c r="C1635" s="43">
        <v>1</v>
      </c>
      <c r="D1635" s="43" t="s">
        <v>207</v>
      </c>
      <c r="E1635" s="55">
        <f>3</f>
        <v>3</v>
      </c>
      <c r="F1635" s="43" t="s">
        <v>363</v>
      </c>
      <c r="G1635" s="43" t="s">
        <v>374</v>
      </c>
    </row>
    <row r="1636" spans="1:11" s="43" customFormat="1" x14ac:dyDescent="0.75">
      <c r="A1636" s="43" t="s">
        <v>28</v>
      </c>
      <c r="B1636" s="44">
        <v>44770</v>
      </c>
      <c r="C1636" s="43">
        <v>1</v>
      </c>
      <c r="D1636" s="43" t="s">
        <v>207</v>
      </c>
      <c r="E1636" s="55">
        <f>41-28</f>
        <v>13</v>
      </c>
      <c r="F1636" s="43" t="s">
        <v>363</v>
      </c>
      <c r="G1636" s="43" t="s">
        <v>374</v>
      </c>
    </row>
    <row r="1637" spans="1:11" s="43" customFormat="1" x14ac:dyDescent="0.75">
      <c r="A1637" s="43" t="s">
        <v>28</v>
      </c>
      <c r="B1637" s="44">
        <v>44770</v>
      </c>
      <c r="C1637" s="43">
        <v>1</v>
      </c>
      <c r="D1637" s="43" t="s">
        <v>191</v>
      </c>
      <c r="E1637" s="55">
        <f>28-19</f>
        <v>9</v>
      </c>
      <c r="F1637" s="43" t="s">
        <v>363</v>
      </c>
      <c r="G1637" s="43" t="s">
        <v>374</v>
      </c>
    </row>
    <row r="1638" spans="1:11" s="43" customFormat="1" x14ac:dyDescent="0.75">
      <c r="A1638" s="43" t="s">
        <v>28</v>
      </c>
      <c r="B1638" s="44">
        <v>44770</v>
      </c>
      <c r="C1638" s="43">
        <v>1</v>
      </c>
      <c r="D1638" s="43" t="s">
        <v>207</v>
      </c>
      <c r="E1638" s="55">
        <f>19-7</f>
        <v>12</v>
      </c>
      <c r="F1638" s="43" t="s">
        <v>363</v>
      </c>
      <c r="G1638" s="43" t="s">
        <v>374</v>
      </c>
    </row>
    <row r="1639" spans="1:11" s="43" customFormat="1" x14ac:dyDescent="0.75">
      <c r="A1639" s="43" t="s">
        <v>28</v>
      </c>
      <c r="B1639" s="44">
        <v>44770</v>
      </c>
      <c r="C1639" s="43">
        <v>1</v>
      </c>
      <c r="D1639" s="43" t="s">
        <v>191</v>
      </c>
      <c r="E1639" s="55">
        <f>7-6</f>
        <v>1</v>
      </c>
      <c r="F1639" s="43" t="s">
        <v>363</v>
      </c>
      <c r="G1639" s="43" t="s">
        <v>374</v>
      </c>
    </row>
    <row r="1640" spans="1:11" s="43" customFormat="1" x14ac:dyDescent="0.75">
      <c r="A1640" s="43" t="s">
        <v>28</v>
      </c>
      <c r="B1640" s="44">
        <v>44770</v>
      </c>
      <c r="C1640" s="43">
        <v>1</v>
      </c>
      <c r="D1640" s="43" t="s">
        <v>191</v>
      </c>
      <c r="E1640" s="55">
        <f>6-4</f>
        <v>2</v>
      </c>
      <c r="F1640" s="43" t="s">
        <v>363</v>
      </c>
      <c r="G1640" s="43" t="s">
        <v>374</v>
      </c>
    </row>
    <row r="1641" spans="1:11" s="43" customFormat="1" x14ac:dyDescent="0.75">
      <c r="A1641" s="43" t="s">
        <v>28</v>
      </c>
      <c r="B1641" s="44">
        <v>44770</v>
      </c>
      <c r="C1641" s="43">
        <v>1</v>
      </c>
      <c r="D1641" s="43" t="s">
        <v>191</v>
      </c>
      <c r="E1641" s="55">
        <f>4-2</f>
        <v>2</v>
      </c>
      <c r="F1641" s="43" t="s">
        <v>363</v>
      </c>
      <c r="G1641" s="43" t="s">
        <v>374</v>
      </c>
    </row>
    <row r="1642" spans="1:11" s="43" customFormat="1" x14ac:dyDescent="0.75">
      <c r="A1642" s="43" t="s">
        <v>28</v>
      </c>
      <c r="B1642" s="44">
        <v>44770</v>
      </c>
      <c r="C1642" s="43">
        <v>1</v>
      </c>
      <c r="D1642" s="43" t="s">
        <v>191</v>
      </c>
      <c r="E1642" s="55">
        <f>2</f>
        <v>2</v>
      </c>
      <c r="F1642" s="43" t="s">
        <v>363</v>
      </c>
      <c r="G1642" s="43" t="s">
        <v>374</v>
      </c>
    </row>
    <row r="1643" spans="1:11" x14ac:dyDescent="0.75">
      <c r="A1643" t="s">
        <v>28</v>
      </c>
      <c r="B1643" s="3">
        <v>44770</v>
      </c>
      <c r="C1643">
        <v>2</v>
      </c>
      <c r="D1643" t="s">
        <v>199</v>
      </c>
      <c r="E1643" s="22">
        <f>26-24</f>
        <v>2</v>
      </c>
      <c r="F1643" t="s">
        <v>363</v>
      </c>
      <c r="G1643" t="s">
        <v>792</v>
      </c>
      <c r="K1643" t="s">
        <v>813</v>
      </c>
    </row>
    <row r="1644" spans="1:11" x14ac:dyDescent="0.75">
      <c r="A1644" t="s">
        <v>28</v>
      </c>
      <c r="B1644" s="3">
        <v>44770</v>
      </c>
      <c r="C1644">
        <v>2</v>
      </c>
      <c r="D1644" t="s">
        <v>194</v>
      </c>
      <c r="E1644" s="22">
        <f>1</f>
        <v>1</v>
      </c>
      <c r="F1644" t="s">
        <v>363</v>
      </c>
      <c r="G1644" t="s">
        <v>792</v>
      </c>
      <c r="K1644" t="s">
        <v>813</v>
      </c>
    </row>
    <row r="1645" spans="1:11" x14ac:dyDescent="0.75">
      <c r="A1645" t="s">
        <v>28</v>
      </c>
      <c r="B1645" s="3">
        <v>44770</v>
      </c>
      <c r="C1645">
        <v>2</v>
      </c>
      <c r="D1645" t="s">
        <v>194</v>
      </c>
      <c r="E1645" s="22">
        <f>24-22</f>
        <v>2</v>
      </c>
      <c r="F1645" t="s">
        <v>363</v>
      </c>
      <c r="G1645" t="s">
        <v>792</v>
      </c>
      <c r="K1645" t="s">
        <v>813</v>
      </c>
    </row>
    <row r="1646" spans="1:11" x14ac:dyDescent="0.75">
      <c r="A1646" t="s">
        <v>28</v>
      </c>
      <c r="B1646" s="3">
        <v>44770</v>
      </c>
      <c r="C1646">
        <v>2</v>
      </c>
      <c r="D1646" t="s">
        <v>168</v>
      </c>
      <c r="E1646" s="22">
        <f>22-18</f>
        <v>4</v>
      </c>
      <c r="F1646" t="s">
        <v>363</v>
      </c>
      <c r="G1646" t="s">
        <v>792</v>
      </c>
      <c r="K1646" t="s">
        <v>813</v>
      </c>
    </row>
    <row r="1647" spans="1:11" x14ac:dyDescent="0.75">
      <c r="A1647" t="s">
        <v>28</v>
      </c>
      <c r="B1647" s="3">
        <v>44770</v>
      </c>
      <c r="C1647">
        <v>2</v>
      </c>
      <c r="D1647" t="s">
        <v>191</v>
      </c>
      <c r="E1647" s="22">
        <f>18-15</f>
        <v>3</v>
      </c>
      <c r="F1647" t="s">
        <v>363</v>
      </c>
      <c r="G1647" t="s">
        <v>792</v>
      </c>
      <c r="K1647" t="s">
        <v>813</v>
      </c>
    </row>
    <row r="1648" spans="1:11" x14ac:dyDescent="0.75">
      <c r="A1648" t="s">
        <v>28</v>
      </c>
      <c r="B1648" s="3">
        <v>44770</v>
      </c>
      <c r="C1648">
        <v>2</v>
      </c>
      <c r="D1648" t="s">
        <v>197</v>
      </c>
      <c r="E1648" s="22">
        <f>15-13</f>
        <v>2</v>
      </c>
      <c r="F1648" t="s">
        <v>363</v>
      </c>
      <c r="G1648" t="s">
        <v>792</v>
      </c>
      <c r="K1648" t="s">
        <v>813</v>
      </c>
    </row>
    <row r="1649" spans="1:7" x14ac:dyDescent="0.75">
      <c r="A1649" t="s">
        <v>28</v>
      </c>
      <c r="B1649" s="3">
        <v>44770</v>
      </c>
      <c r="C1649">
        <v>2</v>
      </c>
      <c r="D1649" t="s">
        <v>194</v>
      </c>
      <c r="E1649" s="22">
        <f>33-30</f>
        <v>3</v>
      </c>
      <c r="F1649" t="s">
        <v>363</v>
      </c>
      <c r="G1649" t="s">
        <v>361</v>
      </c>
    </row>
    <row r="1650" spans="1:7" x14ac:dyDescent="0.75">
      <c r="A1650" t="s">
        <v>28</v>
      </c>
      <c r="B1650" s="3">
        <v>44770</v>
      </c>
      <c r="C1650">
        <v>2</v>
      </c>
      <c r="D1650" t="s">
        <v>194</v>
      </c>
      <c r="E1650" s="22">
        <f>30-7</f>
        <v>23</v>
      </c>
      <c r="F1650" t="s">
        <v>363</v>
      </c>
      <c r="G1650" t="s">
        <v>361</v>
      </c>
    </row>
    <row r="1651" spans="1:7" x14ac:dyDescent="0.75">
      <c r="A1651" t="s">
        <v>28</v>
      </c>
      <c r="B1651" s="3">
        <v>44770</v>
      </c>
      <c r="C1651">
        <v>2</v>
      </c>
      <c r="D1651" t="s">
        <v>194</v>
      </c>
      <c r="E1651" s="22">
        <f>7-6</f>
        <v>1</v>
      </c>
      <c r="F1651" t="s">
        <v>363</v>
      </c>
      <c r="G1651" t="s">
        <v>361</v>
      </c>
    </row>
    <row r="1652" spans="1:7" x14ac:dyDescent="0.75">
      <c r="A1652" t="s">
        <v>28</v>
      </c>
      <c r="B1652" s="3">
        <v>44770</v>
      </c>
      <c r="C1652">
        <v>2</v>
      </c>
      <c r="D1652" t="s">
        <v>168</v>
      </c>
      <c r="E1652" s="22">
        <f>6+43-26</f>
        <v>23</v>
      </c>
      <c r="F1652" t="s">
        <v>363</v>
      </c>
      <c r="G1652" t="s">
        <v>361</v>
      </c>
    </row>
    <row r="1653" spans="1:7" x14ac:dyDescent="0.75">
      <c r="A1653" t="s">
        <v>28</v>
      </c>
      <c r="B1653" s="3">
        <v>44770</v>
      </c>
      <c r="C1653">
        <v>2</v>
      </c>
      <c r="D1653" t="s">
        <v>191</v>
      </c>
      <c r="E1653" s="22">
        <f>40-39</f>
        <v>1</v>
      </c>
      <c r="F1653" t="s">
        <v>363</v>
      </c>
      <c r="G1653" t="s">
        <v>374</v>
      </c>
    </row>
    <row r="1654" spans="1:7" x14ac:dyDescent="0.75">
      <c r="A1654" t="s">
        <v>28</v>
      </c>
      <c r="B1654" s="3">
        <v>44770</v>
      </c>
      <c r="C1654">
        <v>2</v>
      </c>
      <c r="D1654" t="s">
        <v>194</v>
      </c>
      <c r="E1654" s="22">
        <f>39-34</f>
        <v>5</v>
      </c>
      <c r="F1654" t="s">
        <v>363</v>
      </c>
      <c r="G1654" t="s">
        <v>374</v>
      </c>
    </row>
    <row r="1655" spans="1:7" x14ac:dyDescent="0.75">
      <c r="A1655" t="s">
        <v>28</v>
      </c>
      <c r="B1655" s="3">
        <v>44770</v>
      </c>
      <c r="C1655">
        <v>2</v>
      </c>
      <c r="D1655" t="s">
        <v>191</v>
      </c>
      <c r="E1655" s="22">
        <f>34-29</f>
        <v>5</v>
      </c>
      <c r="F1655" t="s">
        <v>363</v>
      </c>
      <c r="G1655" t="s">
        <v>374</v>
      </c>
    </row>
    <row r="1656" spans="1:7" x14ac:dyDescent="0.75">
      <c r="A1656" t="s">
        <v>28</v>
      </c>
      <c r="B1656" s="3">
        <v>44770</v>
      </c>
      <c r="C1656">
        <v>2</v>
      </c>
      <c r="D1656" t="s">
        <v>191</v>
      </c>
      <c r="E1656" s="22">
        <f>29-28</f>
        <v>1</v>
      </c>
      <c r="F1656" t="s">
        <v>363</v>
      </c>
      <c r="G1656" t="s">
        <v>374</v>
      </c>
    </row>
    <row r="1657" spans="1:7" x14ac:dyDescent="0.75">
      <c r="A1657" t="s">
        <v>28</v>
      </c>
      <c r="B1657" s="3">
        <v>44770</v>
      </c>
      <c r="C1657">
        <v>2</v>
      </c>
      <c r="D1657" t="s">
        <v>191</v>
      </c>
      <c r="E1657" s="22">
        <f>27-25</f>
        <v>2</v>
      </c>
      <c r="F1657" t="s">
        <v>363</v>
      </c>
      <c r="G1657" t="s">
        <v>374</v>
      </c>
    </row>
    <row r="1658" spans="1:7" x14ac:dyDescent="0.75">
      <c r="A1658" t="s">
        <v>28</v>
      </c>
      <c r="B1658" s="3">
        <v>44770</v>
      </c>
      <c r="C1658">
        <v>2</v>
      </c>
      <c r="D1658" t="s">
        <v>153</v>
      </c>
      <c r="E1658" s="22">
        <f>25-24</f>
        <v>1</v>
      </c>
      <c r="F1658" t="s">
        <v>363</v>
      </c>
      <c r="G1658" t="s">
        <v>374</v>
      </c>
    </row>
    <row r="1659" spans="1:7" x14ac:dyDescent="0.75">
      <c r="A1659" t="s">
        <v>28</v>
      </c>
      <c r="B1659" s="3">
        <v>44770</v>
      </c>
      <c r="C1659">
        <v>2</v>
      </c>
      <c r="D1659" t="s">
        <v>191</v>
      </c>
      <c r="E1659" s="22">
        <f>24-20</f>
        <v>4</v>
      </c>
      <c r="F1659" t="s">
        <v>363</v>
      </c>
      <c r="G1659" t="s">
        <v>374</v>
      </c>
    </row>
    <row r="1660" spans="1:7" x14ac:dyDescent="0.75">
      <c r="A1660" t="s">
        <v>28</v>
      </c>
      <c r="B1660" s="3">
        <v>44770</v>
      </c>
      <c r="C1660">
        <v>2</v>
      </c>
      <c r="D1660" t="s">
        <v>191</v>
      </c>
      <c r="E1660" s="22">
        <f>20-19</f>
        <v>1</v>
      </c>
      <c r="F1660" t="s">
        <v>363</v>
      </c>
      <c r="G1660" t="s">
        <v>374</v>
      </c>
    </row>
    <row r="1661" spans="1:7" x14ac:dyDescent="0.75">
      <c r="A1661" t="s">
        <v>28</v>
      </c>
      <c r="B1661" s="3">
        <v>44770</v>
      </c>
      <c r="C1661">
        <v>2</v>
      </c>
      <c r="D1661" t="s">
        <v>191</v>
      </c>
      <c r="E1661" s="22">
        <f>19-18</f>
        <v>1</v>
      </c>
      <c r="F1661" t="s">
        <v>363</v>
      </c>
      <c r="G1661" t="s">
        <v>374</v>
      </c>
    </row>
    <row r="1662" spans="1:7" x14ac:dyDescent="0.75">
      <c r="A1662" t="s">
        <v>28</v>
      </c>
      <c r="B1662" s="3">
        <v>44770</v>
      </c>
      <c r="C1662">
        <v>2</v>
      </c>
      <c r="D1662" t="s">
        <v>191</v>
      </c>
      <c r="E1662" s="22">
        <f>18-16</f>
        <v>2</v>
      </c>
      <c r="F1662" t="s">
        <v>363</v>
      </c>
      <c r="G1662" t="s">
        <v>374</v>
      </c>
    </row>
    <row r="1663" spans="1:7" x14ac:dyDescent="0.75">
      <c r="A1663" t="s">
        <v>28</v>
      </c>
      <c r="B1663" s="3">
        <v>44770</v>
      </c>
      <c r="C1663">
        <v>2</v>
      </c>
      <c r="D1663" t="s">
        <v>191</v>
      </c>
      <c r="E1663" s="22">
        <f>16-15</f>
        <v>1</v>
      </c>
      <c r="F1663" t="s">
        <v>363</v>
      </c>
      <c r="G1663" t="s">
        <v>374</v>
      </c>
    </row>
    <row r="1664" spans="1:7" x14ac:dyDescent="0.75">
      <c r="A1664" t="s">
        <v>28</v>
      </c>
      <c r="B1664" s="3">
        <v>44770</v>
      </c>
      <c r="C1664">
        <v>2</v>
      </c>
      <c r="D1664" t="s">
        <v>191</v>
      </c>
      <c r="E1664" s="22">
        <f>15-14</f>
        <v>1</v>
      </c>
      <c r="F1664" t="s">
        <v>363</v>
      </c>
      <c r="G1664" t="s">
        <v>374</v>
      </c>
    </row>
    <row r="1665" spans="1:11" x14ac:dyDescent="0.75">
      <c r="A1665" t="s">
        <v>28</v>
      </c>
      <c r="B1665" s="3">
        <v>44770</v>
      </c>
      <c r="C1665">
        <v>2</v>
      </c>
      <c r="D1665" t="s">
        <v>191</v>
      </c>
      <c r="E1665" s="22">
        <f>13-11</f>
        <v>2</v>
      </c>
      <c r="F1665" t="s">
        <v>363</v>
      </c>
      <c r="G1665" t="s">
        <v>374</v>
      </c>
    </row>
    <row r="1666" spans="1:11" x14ac:dyDescent="0.75">
      <c r="A1666" t="s">
        <v>28</v>
      </c>
      <c r="B1666" s="3">
        <v>44770</v>
      </c>
      <c r="C1666">
        <v>2</v>
      </c>
      <c r="D1666" t="s">
        <v>191</v>
      </c>
      <c r="E1666" s="22">
        <f>1</f>
        <v>1</v>
      </c>
      <c r="F1666" t="s">
        <v>363</v>
      </c>
      <c r="G1666" t="s">
        <v>374</v>
      </c>
    </row>
    <row r="1667" spans="1:11" x14ac:dyDescent="0.75">
      <c r="A1667" t="s">
        <v>28</v>
      </c>
      <c r="B1667" s="3">
        <v>44770</v>
      </c>
      <c r="C1667">
        <v>2</v>
      </c>
      <c r="D1667" t="s">
        <v>191</v>
      </c>
      <c r="E1667" s="22">
        <f>1</f>
        <v>1</v>
      </c>
      <c r="F1667" t="s">
        <v>363</v>
      </c>
      <c r="G1667" t="s">
        <v>374</v>
      </c>
    </row>
    <row r="1668" spans="1:11" x14ac:dyDescent="0.75">
      <c r="A1668" t="s">
        <v>28</v>
      </c>
      <c r="B1668" s="3">
        <v>44770</v>
      </c>
      <c r="C1668">
        <v>2</v>
      </c>
      <c r="D1668" t="s">
        <v>176</v>
      </c>
      <c r="E1668" s="22">
        <f>10-3</f>
        <v>7</v>
      </c>
      <c r="F1668" t="s">
        <v>363</v>
      </c>
      <c r="G1668" t="s">
        <v>374</v>
      </c>
    </row>
    <row r="1669" spans="1:11" x14ac:dyDescent="0.75">
      <c r="A1669" t="s">
        <v>28</v>
      </c>
      <c r="B1669" s="3">
        <v>44770</v>
      </c>
      <c r="C1669">
        <v>2</v>
      </c>
      <c r="D1669" t="s">
        <v>191</v>
      </c>
      <c r="E1669" s="22">
        <f>44-27</f>
        <v>17</v>
      </c>
      <c r="F1669" t="s">
        <v>363</v>
      </c>
      <c r="G1669" t="s">
        <v>374</v>
      </c>
    </row>
    <row r="1670" spans="1:11" x14ac:dyDescent="0.75">
      <c r="A1670" t="s">
        <v>28</v>
      </c>
      <c r="B1670" s="3">
        <v>44770</v>
      </c>
      <c r="C1670">
        <v>2</v>
      </c>
      <c r="D1670" t="s">
        <v>191</v>
      </c>
      <c r="E1670" s="22">
        <f>27-24</f>
        <v>3</v>
      </c>
      <c r="F1670" t="s">
        <v>363</v>
      </c>
      <c r="G1670" t="s">
        <v>374</v>
      </c>
    </row>
    <row r="1671" spans="1:11" x14ac:dyDescent="0.75">
      <c r="A1671" t="s">
        <v>28</v>
      </c>
      <c r="B1671" s="3">
        <v>44770</v>
      </c>
      <c r="C1671">
        <v>2</v>
      </c>
      <c r="D1671" t="s">
        <v>168</v>
      </c>
      <c r="E1671" s="22">
        <f>20-11</f>
        <v>9</v>
      </c>
      <c r="F1671" t="s">
        <v>363</v>
      </c>
      <c r="G1671" t="s">
        <v>374</v>
      </c>
    </row>
    <row r="1672" spans="1:11" x14ac:dyDescent="0.75">
      <c r="A1672" t="s">
        <v>28</v>
      </c>
      <c r="B1672" s="3">
        <v>44770</v>
      </c>
      <c r="C1672">
        <v>2</v>
      </c>
      <c r="D1672" t="s">
        <v>168</v>
      </c>
      <c r="E1672" s="22">
        <f>11-8</f>
        <v>3</v>
      </c>
      <c r="F1672" t="s">
        <v>363</v>
      </c>
      <c r="G1672" t="s">
        <v>374</v>
      </c>
    </row>
    <row r="1673" spans="1:11" x14ac:dyDescent="0.75">
      <c r="A1673" t="s">
        <v>28</v>
      </c>
      <c r="B1673" s="3">
        <v>44770</v>
      </c>
      <c r="C1673">
        <v>2</v>
      </c>
      <c r="D1673" t="s">
        <v>207</v>
      </c>
      <c r="E1673" s="22">
        <f>8-6</f>
        <v>2</v>
      </c>
      <c r="F1673" t="s">
        <v>363</v>
      </c>
      <c r="G1673" t="s">
        <v>374</v>
      </c>
    </row>
    <row r="1674" spans="1:11" x14ac:dyDescent="0.75">
      <c r="A1674" t="s">
        <v>28</v>
      </c>
      <c r="B1674" s="3">
        <v>44770</v>
      </c>
      <c r="C1674">
        <v>2</v>
      </c>
      <c r="D1674" t="s">
        <v>207</v>
      </c>
      <c r="E1674" s="22">
        <f>6-4</f>
        <v>2</v>
      </c>
      <c r="F1674" t="s">
        <v>363</v>
      </c>
      <c r="G1674" t="s">
        <v>374</v>
      </c>
      <c r="K1674" t="s">
        <v>798</v>
      </c>
    </row>
    <row r="1675" spans="1:11" x14ac:dyDescent="0.75">
      <c r="A1675" t="s">
        <v>28</v>
      </c>
      <c r="B1675" s="3">
        <v>44770</v>
      </c>
      <c r="C1675">
        <v>2</v>
      </c>
      <c r="D1675" t="s">
        <v>168</v>
      </c>
      <c r="E1675" s="22">
        <f>45-14</f>
        <v>31</v>
      </c>
      <c r="F1675" t="s">
        <v>363</v>
      </c>
      <c r="G1675" t="s">
        <v>374</v>
      </c>
    </row>
    <row r="1676" spans="1:11" s="43" customFormat="1" x14ac:dyDescent="0.75">
      <c r="A1676" s="43" t="s">
        <v>28</v>
      </c>
      <c r="B1676" s="44">
        <v>44770</v>
      </c>
      <c r="C1676" s="43">
        <v>3</v>
      </c>
      <c r="D1676" s="43" t="s">
        <v>172</v>
      </c>
      <c r="E1676" s="55">
        <f>41-30</f>
        <v>11</v>
      </c>
      <c r="F1676" s="23" t="s">
        <v>363</v>
      </c>
      <c r="G1676" s="43" t="s">
        <v>374</v>
      </c>
    </row>
    <row r="1677" spans="1:11" s="43" customFormat="1" x14ac:dyDescent="0.75">
      <c r="A1677" s="43" t="s">
        <v>28</v>
      </c>
      <c r="B1677" s="44">
        <v>44770</v>
      </c>
      <c r="C1677" s="43">
        <v>3</v>
      </c>
      <c r="D1677" s="43" t="s">
        <v>172</v>
      </c>
      <c r="E1677" s="55">
        <f>30-23</f>
        <v>7</v>
      </c>
      <c r="F1677" s="23" t="s">
        <v>363</v>
      </c>
      <c r="G1677" s="43" t="s">
        <v>374</v>
      </c>
    </row>
    <row r="1678" spans="1:11" s="43" customFormat="1" x14ac:dyDescent="0.75">
      <c r="A1678" s="43" t="s">
        <v>28</v>
      </c>
      <c r="B1678" s="44">
        <v>44770</v>
      </c>
      <c r="C1678" s="43">
        <v>3</v>
      </c>
      <c r="D1678" s="43" t="s">
        <v>172</v>
      </c>
      <c r="E1678" s="55">
        <f>23-21</f>
        <v>2</v>
      </c>
      <c r="F1678" s="23" t="s">
        <v>363</v>
      </c>
      <c r="G1678" s="43" t="s">
        <v>374</v>
      </c>
    </row>
    <row r="1679" spans="1:11" s="43" customFormat="1" x14ac:dyDescent="0.75">
      <c r="A1679" s="43" t="s">
        <v>28</v>
      </c>
      <c r="B1679" s="44">
        <v>44770</v>
      </c>
      <c r="C1679" s="43">
        <v>3</v>
      </c>
      <c r="D1679" s="43" t="s">
        <v>168</v>
      </c>
      <c r="E1679" s="55">
        <f>20-3</f>
        <v>17</v>
      </c>
      <c r="F1679" s="23" t="s">
        <v>363</v>
      </c>
      <c r="G1679" s="43" t="s">
        <v>374</v>
      </c>
    </row>
    <row r="1680" spans="1:11" x14ac:dyDescent="0.75">
      <c r="A1680" t="s">
        <v>48</v>
      </c>
      <c r="B1680" s="3">
        <v>44778</v>
      </c>
      <c r="C1680">
        <v>1</v>
      </c>
      <c r="D1680" t="s">
        <v>191</v>
      </c>
      <c r="E1680" s="22">
        <f>48-41</f>
        <v>7</v>
      </c>
      <c r="F1680" t="s">
        <v>363</v>
      </c>
      <c r="G1680" t="s">
        <v>361</v>
      </c>
    </row>
    <row r="1681" spans="1:7" x14ac:dyDescent="0.75">
      <c r="A1681" t="s">
        <v>48</v>
      </c>
      <c r="B1681" s="3">
        <v>44778</v>
      </c>
      <c r="C1681">
        <v>1</v>
      </c>
      <c r="D1681" t="s">
        <v>191</v>
      </c>
      <c r="E1681" s="22">
        <f>41-36</f>
        <v>5</v>
      </c>
      <c r="F1681" t="s">
        <v>363</v>
      </c>
      <c r="G1681" t="s">
        <v>361</v>
      </c>
    </row>
    <row r="1682" spans="1:7" x14ac:dyDescent="0.75">
      <c r="A1682" t="s">
        <v>48</v>
      </c>
      <c r="B1682" s="3">
        <v>44778</v>
      </c>
      <c r="C1682">
        <v>1</v>
      </c>
      <c r="D1682" t="s">
        <v>197</v>
      </c>
      <c r="E1682" s="22">
        <f>36-19</f>
        <v>17</v>
      </c>
      <c r="F1682" t="s">
        <v>363</v>
      </c>
      <c r="G1682" t="s">
        <v>361</v>
      </c>
    </row>
    <row r="1683" spans="1:7" x14ac:dyDescent="0.75">
      <c r="A1683" t="s">
        <v>48</v>
      </c>
      <c r="B1683" s="3">
        <v>44778</v>
      </c>
      <c r="C1683">
        <v>1</v>
      </c>
      <c r="D1683" t="s">
        <v>191</v>
      </c>
      <c r="E1683" s="22">
        <f>19-15</f>
        <v>4</v>
      </c>
      <c r="F1683" t="s">
        <v>363</v>
      </c>
      <c r="G1683" t="s">
        <v>361</v>
      </c>
    </row>
    <row r="1684" spans="1:7" x14ac:dyDescent="0.75">
      <c r="A1684" t="s">
        <v>48</v>
      </c>
      <c r="B1684" s="3">
        <v>44778</v>
      </c>
      <c r="C1684">
        <v>1</v>
      </c>
      <c r="D1684" t="s">
        <v>199</v>
      </c>
      <c r="E1684" s="22">
        <f>15-13</f>
        <v>2</v>
      </c>
      <c r="F1684" t="s">
        <v>363</v>
      </c>
      <c r="G1684" t="s">
        <v>361</v>
      </c>
    </row>
    <row r="1685" spans="1:7" x14ac:dyDescent="0.75">
      <c r="A1685" t="s">
        <v>48</v>
      </c>
      <c r="B1685" s="3">
        <v>44778</v>
      </c>
      <c r="C1685">
        <v>1</v>
      </c>
      <c r="D1685" t="s">
        <v>215</v>
      </c>
      <c r="E1685" s="22">
        <f>13-10</f>
        <v>3</v>
      </c>
      <c r="F1685" t="s">
        <v>363</v>
      </c>
      <c r="G1685" t="s">
        <v>361</v>
      </c>
    </row>
    <row r="1686" spans="1:7" x14ac:dyDescent="0.75">
      <c r="A1686" t="s">
        <v>48</v>
      </c>
      <c r="B1686" s="3">
        <v>44778</v>
      </c>
      <c r="C1686">
        <v>1</v>
      </c>
      <c r="D1686" t="s">
        <v>191</v>
      </c>
      <c r="E1686" s="22">
        <f>10-9</f>
        <v>1</v>
      </c>
      <c r="F1686" t="s">
        <v>363</v>
      </c>
      <c r="G1686" t="s">
        <v>361</v>
      </c>
    </row>
    <row r="1687" spans="1:7" x14ac:dyDescent="0.75">
      <c r="A1687" t="s">
        <v>48</v>
      </c>
      <c r="B1687" s="3">
        <v>44778</v>
      </c>
      <c r="C1687">
        <v>1</v>
      </c>
      <c r="D1687" t="s">
        <v>191</v>
      </c>
      <c r="E1687" s="22">
        <f>9+35-3-19</f>
        <v>22</v>
      </c>
      <c r="F1687" t="s">
        <v>363</v>
      </c>
      <c r="G1687" t="s">
        <v>361</v>
      </c>
    </row>
    <row r="1688" spans="1:7" x14ac:dyDescent="0.75">
      <c r="A1688" t="s">
        <v>48</v>
      </c>
      <c r="B1688" s="3">
        <v>44778</v>
      </c>
      <c r="C1688">
        <v>1</v>
      </c>
      <c r="D1688" t="s">
        <v>197</v>
      </c>
      <c r="E1688" s="22">
        <f>41-35</f>
        <v>6</v>
      </c>
      <c r="F1688" t="s">
        <v>363</v>
      </c>
      <c r="G1688" t="s">
        <v>374</v>
      </c>
    </row>
    <row r="1689" spans="1:7" x14ac:dyDescent="0.75">
      <c r="A1689" t="s">
        <v>48</v>
      </c>
      <c r="B1689" s="3">
        <v>44778</v>
      </c>
      <c r="C1689">
        <v>1</v>
      </c>
      <c r="D1689" t="s">
        <v>199</v>
      </c>
      <c r="E1689" s="22">
        <f>1</f>
        <v>1</v>
      </c>
      <c r="F1689" t="s">
        <v>363</v>
      </c>
      <c r="G1689" t="s">
        <v>374</v>
      </c>
    </row>
    <row r="1690" spans="1:7" x14ac:dyDescent="0.75">
      <c r="A1690" t="s">
        <v>48</v>
      </c>
      <c r="B1690" s="3">
        <v>44778</v>
      </c>
      <c r="C1690">
        <v>1</v>
      </c>
      <c r="D1690" t="s">
        <v>215</v>
      </c>
      <c r="E1690" s="22">
        <f>35-28</f>
        <v>7</v>
      </c>
      <c r="F1690" t="s">
        <v>363</v>
      </c>
      <c r="G1690" t="s">
        <v>374</v>
      </c>
    </row>
    <row r="1691" spans="1:7" x14ac:dyDescent="0.75">
      <c r="A1691" t="s">
        <v>48</v>
      </c>
      <c r="B1691" s="3">
        <v>44778</v>
      </c>
      <c r="C1691">
        <v>1</v>
      </c>
      <c r="D1691" t="s">
        <v>197</v>
      </c>
      <c r="E1691" s="22">
        <f>28+50-43</f>
        <v>35</v>
      </c>
      <c r="F1691" t="s">
        <v>363</v>
      </c>
      <c r="G1691" t="s">
        <v>374</v>
      </c>
    </row>
    <row r="1692" spans="1:7" x14ac:dyDescent="0.75">
      <c r="A1692" t="s">
        <v>48</v>
      </c>
      <c r="B1692" s="3">
        <v>44778</v>
      </c>
      <c r="C1692">
        <v>1</v>
      </c>
      <c r="D1692" t="s">
        <v>191</v>
      </c>
      <c r="E1692" s="22">
        <f>43-37</f>
        <v>6</v>
      </c>
      <c r="F1692" t="s">
        <v>363</v>
      </c>
      <c r="G1692" t="s">
        <v>374</v>
      </c>
    </row>
    <row r="1693" spans="1:7" x14ac:dyDescent="0.75">
      <c r="A1693" t="s">
        <v>48</v>
      </c>
      <c r="B1693" s="3">
        <v>44778</v>
      </c>
      <c r="C1693">
        <v>1</v>
      </c>
      <c r="D1693" t="s">
        <v>207</v>
      </c>
      <c r="E1693" s="22">
        <f>37-30</f>
        <v>7</v>
      </c>
      <c r="F1693" t="s">
        <v>363</v>
      </c>
      <c r="G1693" t="s">
        <v>374</v>
      </c>
    </row>
    <row r="1694" spans="1:7" x14ac:dyDescent="0.75">
      <c r="A1694" t="s">
        <v>48</v>
      </c>
      <c r="B1694" s="3">
        <v>44778</v>
      </c>
      <c r="C1694">
        <v>1</v>
      </c>
      <c r="D1694" t="s">
        <v>191</v>
      </c>
      <c r="E1694" s="22">
        <f>30-27</f>
        <v>3</v>
      </c>
      <c r="F1694" t="s">
        <v>363</v>
      </c>
      <c r="G1694" t="s">
        <v>374</v>
      </c>
    </row>
    <row r="1695" spans="1:7" x14ac:dyDescent="0.75">
      <c r="A1695" t="s">
        <v>48</v>
      </c>
      <c r="B1695" s="3">
        <v>44778</v>
      </c>
      <c r="C1695">
        <v>1</v>
      </c>
      <c r="D1695" t="s">
        <v>191</v>
      </c>
      <c r="E1695" s="22">
        <f>1</f>
        <v>1</v>
      </c>
      <c r="F1695" t="s">
        <v>363</v>
      </c>
      <c r="G1695" t="s">
        <v>374</v>
      </c>
    </row>
    <row r="1696" spans="1:7" x14ac:dyDescent="0.75">
      <c r="A1696" t="s">
        <v>48</v>
      </c>
      <c r="B1696" s="3">
        <v>44778</v>
      </c>
      <c r="C1696">
        <v>1</v>
      </c>
      <c r="D1696" t="s">
        <v>197</v>
      </c>
      <c r="E1696" s="22">
        <f>27-20</f>
        <v>7</v>
      </c>
      <c r="F1696" t="s">
        <v>363</v>
      </c>
      <c r="G1696" t="s">
        <v>374</v>
      </c>
    </row>
    <row r="1697" spans="1:11" x14ac:dyDescent="0.75">
      <c r="A1697" t="s">
        <v>48</v>
      </c>
      <c r="B1697" s="3">
        <v>44778</v>
      </c>
      <c r="C1697">
        <v>1</v>
      </c>
      <c r="D1697" t="s">
        <v>197</v>
      </c>
      <c r="E1697" s="22">
        <f>42-26</f>
        <v>16</v>
      </c>
      <c r="F1697" t="s">
        <v>363</v>
      </c>
      <c r="G1697" t="s">
        <v>374</v>
      </c>
    </row>
    <row r="1698" spans="1:11" x14ac:dyDescent="0.75">
      <c r="A1698" t="s">
        <v>48</v>
      </c>
      <c r="B1698" s="3">
        <v>44778</v>
      </c>
      <c r="C1698">
        <v>1</v>
      </c>
      <c r="D1698" t="s">
        <v>191</v>
      </c>
      <c r="E1698" s="22">
        <f>26-20</f>
        <v>6</v>
      </c>
      <c r="F1698" t="s">
        <v>363</v>
      </c>
      <c r="G1698" t="s">
        <v>374</v>
      </c>
    </row>
    <row r="1699" spans="1:11" x14ac:dyDescent="0.75">
      <c r="A1699" t="s">
        <v>48</v>
      </c>
      <c r="B1699" s="3">
        <v>44778</v>
      </c>
      <c r="C1699">
        <v>1</v>
      </c>
      <c r="D1699" t="s">
        <v>194</v>
      </c>
      <c r="E1699" s="22">
        <f>20+20-1</f>
        <v>39</v>
      </c>
      <c r="F1699" t="s">
        <v>363</v>
      </c>
      <c r="G1699" t="s">
        <v>374</v>
      </c>
    </row>
    <row r="1700" spans="1:11" x14ac:dyDescent="0.75">
      <c r="A1700" t="s">
        <v>48</v>
      </c>
      <c r="B1700" s="3">
        <v>44778</v>
      </c>
      <c r="C1700">
        <v>1</v>
      </c>
      <c r="D1700" t="s">
        <v>197</v>
      </c>
      <c r="E1700" s="22">
        <f>42-35</f>
        <v>7</v>
      </c>
      <c r="F1700" t="s">
        <v>363</v>
      </c>
      <c r="G1700" t="s">
        <v>374</v>
      </c>
    </row>
    <row r="1701" spans="1:11" x14ac:dyDescent="0.75">
      <c r="A1701" t="s">
        <v>48</v>
      </c>
      <c r="B1701" s="3">
        <v>44778</v>
      </c>
      <c r="C1701">
        <v>1</v>
      </c>
      <c r="D1701" t="s">
        <v>191</v>
      </c>
      <c r="E1701" s="22">
        <f>35-24</f>
        <v>11</v>
      </c>
      <c r="F1701" t="s">
        <v>363</v>
      </c>
      <c r="G1701" t="s">
        <v>374</v>
      </c>
    </row>
    <row r="1702" spans="1:11" s="23" customFormat="1" x14ac:dyDescent="0.75">
      <c r="A1702" s="23" t="s">
        <v>44</v>
      </c>
      <c r="B1702" s="24">
        <v>44778</v>
      </c>
      <c r="C1702" s="23">
        <v>1</v>
      </c>
      <c r="D1702" s="23" t="s">
        <v>215</v>
      </c>
      <c r="E1702" s="52">
        <f>41-37</f>
        <v>4</v>
      </c>
      <c r="F1702" s="23" t="s">
        <v>363</v>
      </c>
      <c r="G1702" s="23" t="s">
        <v>361</v>
      </c>
    </row>
    <row r="1703" spans="1:11" s="23" customFormat="1" x14ac:dyDescent="0.75">
      <c r="A1703" s="23" t="s">
        <v>44</v>
      </c>
      <c r="B1703" s="24">
        <v>44778</v>
      </c>
      <c r="C1703" s="23">
        <v>1</v>
      </c>
      <c r="D1703" s="23" t="s">
        <v>194</v>
      </c>
      <c r="E1703" s="52">
        <f>37-33</f>
        <v>4</v>
      </c>
      <c r="F1703" s="23" t="s">
        <v>363</v>
      </c>
      <c r="G1703" s="23" t="s">
        <v>361</v>
      </c>
    </row>
    <row r="1704" spans="1:11" s="23" customFormat="1" x14ac:dyDescent="0.75">
      <c r="A1704" s="23" t="s">
        <v>44</v>
      </c>
      <c r="B1704" s="24">
        <v>44778</v>
      </c>
      <c r="C1704" s="23">
        <v>1</v>
      </c>
      <c r="D1704" s="23" t="s">
        <v>176</v>
      </c>
      <c r="E1704" s="52">
        <f>25-22</f>
        <v>3</v>
      </c>
      <c r="F1704" s="23" t="s">
        <v>363</v>
      </c>
      <c r="G1704" s="23" t="s">
        <v>374</v>
      </c>
    </row>
    <row r="1705" spans="1:11" s="23" customFormat="1" x14ac:dyDescent="0.75">
      <c r="A1705" s="23" t="s">
        <v>44</v>
      </c>
      <c r="B1705" s="24">
        <v>44778</v>
      </c>
      <c r="C1705" s="23">
        <v>1</v>
      </c>
      <c r="D1705" s="23" t="s">
        <v>201</v>
      </c>
      <c r="E1705" s="52">
        <f>22-18</f>
        <v>4</v>
      </c>
      <c r="F1705" s="23" t="s">
        <v>363</v>
      </c>
      <c r="G1705" s="23" t="s">
        <v>374</v>
      </c>
    </row>
    <row r="1706" spans="1:11" s="23" customFormat="1" x14ac:dyDescent="0.75">
      <c r="A1706" s="23" t="s">
        <v>44</v>
      </c>
      <c r="B1706" s="24">
        <v>44778</v>
      </c>
      <c r="C1706" s="23">
        <v>1</v>
      </c>
      <c r="D1706" s="23" t="s">
        <v>201</v>
      </c>
      <c r="E1706" s="52">
        <f>18-17</f>
        <v>1</v>
      </c>
      <c r="F1706" s="23" t="s">
        <v>363</v>
      </c>
      <c r="G1706" s="23" t="s">
        <v>374</v>
      </c>
    </row>
    <row r="1707" spans="1:11" s="23" customFormat="1" x14ac:dyDescent="0.75">
      <c r="A1707" s="23" t="s">
        <v>44</v>
      </c>
      <c r="B1707" s="24">
        <v>44778</v>
      </c>
      <c r="C1707" s="23">
        <v>1</v>
      </c>
      <c r="D1707" s="23" t="s">
        <v>194</v>
      </c>
      <c r="E1707" s="52">
        <f>16-11</f>
        <v>5</v>
      </c>
      <c r="F1707" s="23" t="s">
        <v>363</v>
      </c>
      <c r="G1707" s="23" t="s">
        <v>374</v>
      </c>
      <c r="K1707" s="23" t="s">
        <v>814</v>
      </c>
    </row>
    <row r="1708" spans="1:11" s="23" customFormat="1" x14ac:dyDescent="0.75">
      <c r="A1708" s="23" t="s">
        <v>44</v>
      </c>
      <c r="B1708" s="24">
        <v>44778</v>
      </c>
      <c r="C1708" s="23">
        <v>1</v>
      </c>
      <c r="D1708" s="23" t="s">
        <v>194</v>
      </c>
      <c r="E1708" s="52">
        <f>11-10</f>
        <v>1</v>
      </c>
      <c r="F1708" s="23" t="s">
        <v>363</v>
      </c>
      <c r="G1708" s="23" t="s">
        <v>374</v>
      </c>
      <c r="K1708" s="23" t="s">
        <v>815</v>
      </c>
    </row>
    <row r="1709" spans="1:11" s="23" customFormat="1" x14ac:dyDescent="0.75">
      <c r="A1709" s="23" t="s">
        <v>44</v>
      </c>
      <c r="B1709" s="24">
        <v>44778</v>
      </c>
      <c r="C1709" s="23">
        <v>1</v>
      </c>
      <c r="D1709" s="23" t="s">
        <v>194</v>
      </c>
      <c r="E1709" s="52">
        <f>9-7</f>
        <v>2</v>
      </c>
      <c r="F1709" s="23" t="s">
        <v>363</v>
      </c>
      <c r="G1709" s="23" t="s">
        <v>374</v>
      </c>
    </row>
    <row r="1710" spans="1:11" s="23" customFormat="1" x14ac:dyDescent="0.75">
      <c r="A1710" s="23" t="s">
        <v>44</v>
      </c>
      <c r="B1710" s="24">
        <v>44778</v>
      </c>
      <c r="C1710" s="23">
        <v>1</v>
      </c>
      <c r="D1710" s="23" t="s">
        <v>201</v>
      </c>
      <c r="E1710" s="52">
        <f>7-1</f>
        <v>6</v>
      </c>
      <c r="F1710" s="23" t="s">
        <v>363</v>
      </c>
      <c r="G1710" s="23" t="s">
        <v>374</v>
      </c>
    </row>
    <row r="1711" spans="1:11" s="23" customFormat="1" x14ac:dyDescent="0.75">
      <c r="A1711" s="23" t="s">
        <v>44</v>
      </c>
      <c r="B1711" s="24">
        <v>44778</v>
      </c>
      <c r="C1711" s="23">
        <v>1</v>
      </c>
      <c r="D1711" s="23" t="s">
        <v>203</v>
      </c>
      <c r="E1711" s="52">
        <f>33-27</f>
        <v>6</v>
      </c>
      <c r="F1711" s="23" t="s">
        <v>363</v>
      </c>
      <c r="G1711" s="23" t="s">
        <v>374</v>
      </c>
      <c r="K1711" s="23" t="s">
        <v>816</v>
      </c>
    </row>
    <row r="1712" spans="1:11" s="23" customFormat="1" x14ac:dyDescent="0.75">
      <c r="A1712" s="23" t="s">
        <v>44</v>
      </c>
      <c r="B1712" s="24">
        <v>44778</v>
      </c>
      <c r="C1712" s="23">
        <v>1</v>
      </c>
      <c r="D1712" s="23" t="s">
        <v>201</v>
      </c>
      <c r="E1712" s="52">
        <f>27-22</f>
        <v>5</v>
      </c>
      <c r="F1712" s="23" t="s">
        <v>363</v>
      </c>
      <c r="G1712" s="23" t="s">
        <v>374</v>
      </c>
    </row>
    <row r="1713" spans="1:7" s="23" customFormat="1" x14ac:dyDescent="0.75">
      <c r="A1713" s="23" t="s">
        <v>44</v>
      </c>
      <c r="B1713" s="24">
        <v>44778</v>
      </c>
      <c r="C1713" s="23">
        <v>1</v>
      </c>
      <c r="D1713" s="23" t="s">
        <v>203</v>
      </c>
      <c r="E1713" s="52">
        <f>22-20</f>
        <v>2</v>
      </c>
      <c r="F1713" s="23" t="s">
        <v>363</v>
      </c>
      <c r="G1713" s="23" t="s">
        <v>374</v>
      </c>
    </row>
    <row r="1714" spans="1:7" s="23" customFormat="1" x14ac:dyDescent="0.75">
      <c r="A1714" s="23" t="s">
        <v>44</v>
      </c>
      <c r="B1714" s="24">
        <v>44778</v>
      </c>
      <c r="C1714" s="23">
        <v>1</v>
      </c>
      <c r="D1714" s="23" t="s">
        <v>207</v>
      </c>
      <c r="E1714" s="52">
        <f>20-19</f>
        <v>1</v>
      </c>
      <c r="F1714" s="23" t="s">
        <v>363</v>
      </c>
      <c r="G1714" s="23" t="s">
        <v>374</v>
      </c>
    </row>
    <row r="1715" spans="1:7" s="23" customFormat="1" x14ac:dyDescent="0.75">
      <c r="A1715" s="23" t="s">
        <v>44</v>
      </c>
      <c r="B1715" s="24">
        <v>44778</v>
      </c>
      <c r="C1715" s="23">
        <v>1</v>
      </c>
      <c r="D1715" s="23" t="s">
        <v>191</v>
      </c>
      <c r="E1715" s="52">
        <f>19-16</f>
        <v>3</v>
      </c>
      <c r="F1715" s="23" t="s">
        <v>363</v>
      </c>
      <c r="G1715" s="23" t="s">
        <v>374</v>
      </c>
    </row>
    <row r="1716" spans="1:7" s="23" customFormat="1" x14ac:dyDescent="0.75">
      <c r="A1716" s="23" t="s">
        <v>44</v>
      </c>
      <c r="B1716" s="24">
        <v>44778</v>
      </c>
      <c r="C1716" s="23">
        <v>1</v>
      </c>
      <c r="D1716" s="23" t="s">
        <v>201</v>
      </c>
      <c r="E1716" s="52">
        <f>16-13</f>
        <v>3</v>
      </c>
      <c r="F1716" s="23" t="s">
        <v>363</v>
      </c>
      <c r="G1716" s="23" t="s">
        <v>374</v>
      </c>
    </row>
    <row r="1717" spans="1:7" s="23" customFormat="1" x14ac:dyDescent="0.75">
      <c r="A1717" s="23" t="s">
        <v>44</v>
      </c>
      <c r="B1717" s="24">
        <v>44778</v>
      </c>
      <c r="C1717" s="23">
        <v>1</v>
      </c>
      <c r="D1717" s="23" t="s">
        <v>201</v>
      </c>
      <c r="E1717" s="52">
        <f>13-10</f>
        <v>3</v>
      </c>
      <c r="F1717" s="23" t="s">
        <v>363</v>
      </c>
      <c r="G1717" s="23" t="s">
        <v>374</v>
      </c>
    </row>
    <row r="1718" spans="1:7" x14ac:dyDescent="0.75">
      <c r="A1718" t="s">
        <v>60</v>
      </c>
      <c r="B1718" s="3">
        <v>44778</v>
      </c>
      <c r="C1718">
        <v>1</v>
      </c>
      <c r="D1718" t="s">
        <v>191</v>
      </c>
      <c r="E1718" s="22">
        <f>20-12</f>
        <v>8</v>
      </c>
      <c r="F1718" t="s">
        <v>363</v>
      </c>
      <c r="G1718" t="s">
        <v>361</v>
      </c>
    </row>
    <row r="1719" spans="1:7" x14ac:dyDescent="0.75">
      <c r="A1719" t="s">
        <v>60</v>
      </c>
      <c r="B1719" s="3">
        <v>44778</v>
      </c>
      <c r="C1719">
        <v>1</v>
      </c>
      <c r="D1719" t="s">
        <v>191</v>
      </c>
      <c r="E1719" s="22">
        <f>12-4</f>
        <v>8</v>
      </c>
      <c r="F1719" t="s">
        <v>363</v>
      </c>
      <c r="G1719" t="s">
        <v>361</v>
      </c>
    </row>
    <row r="1720" spans="1:7" x14ac:dyDescent="0.75">
      <c r="A1720" t="s">
        <v>60</v>
      </c>
      <c r="B1720" s="3">
        <v>44778</v>
      </c>
      <c r="C1720">
        <v>1</v>
      </c>
      <c r="D1720" t="s">
        <v>191</v>
      </c>
      <c r="E1720" s="22">
        <f>4+34-25</f>
        <v>13</v>
      </c>
      <c r="F1720" t="s">
        <v>363</v>
      </c>
      <c r="G1720" t="s">
        <v>361</v>
      </c>
    </row>
    <row r="1721" spans="1:7" x14ac:dyDescent="0.75">
      <c r="A1721" t="s">
        <v>60</v>
      </c>
      <c r="B1721" s="3">
        <v>44778</v>
      </c>
      <c r="C1721">
        <v>1</v>
      </c>
      <c r="D1721" t="s">
        <v>191</v>
      </c>
      <c r="E1721" s="22">
        <f>25-19</f>
        <v>6</v>
      </c>
      <c r="F1721" t="s">
        <v>363</v>
      </c>
      <c r="G1721" t="s">
        <v>361</v>
      </c>
    </row>
    <row r="1722" spans="1:7" x14ac:dyDescent="0.75">
      <c r="A1722" t="s">
        <v>60</v>
      </c>
      <c r="B1722" s="3">
        <v>44778</v>
      </c>
      <c r="C1722">
        <v>1</v>
      </c>
      <c r="D1722" t="s">
        <v>194</v>
      </c>
      <c r="E1722" s="22">
        <f>19-10</f>
        <v>9</v>
      </c>
      <c r="F1722" t="s">
        <v>363</v>
      </c>
      <c r="G1722" t="s">
        <v>361</v>
      </c>
    </row>
    <row r="1723" spans="1:7" x14ac:dyDescent="0.75">
      <c r="A1723" t="s">
        <v>60</v>
      </c>
      <c r="B1723" s="3">
        <v>44778</v>
      </c>
      <c r="C1723">
        <v>1</v>
      </c>
      <c r="D1723" t="s">
        <v>194</v>
      </c>
      <c r="E1723" s="22">
        <f>10-4</f>
        <v>6</v>
      </c>
      <c r="F1723" t="s">
        <v>363</v>
      </c>
      <c r="G1723" t="s">
        <v>361</v>
      </c>
    </row>
    <row r="1724" spans="1:7" x14ac:dyDescent="0.75">
      <c r="A1724" t="s">
        <v>60</v>
      </c>
      <c r="B1724" s="3">
        <v>44778</v>
      </c>
      <c r="C1724">
        <v>1</v>
      </c>
      <c r="D1724" t="s">
        <v>191</v>
      </c>
      <c r="E1724" s="22">
        <f>10-2</f>
        <v>8</v>
      </c>
      <c r="F1724" t="s">
        <v>363</v>
      </c>
      <c r="G1724" t="s">
        <v>374</v>
      </c>
    </row>
    <row r="1725" spans="1:7" x14ac:dyDescent="0.75">
      <c r="A1725" t="s">
        <v>60</v>
      </c>
      <c r="B1725" s="3">
        <v>44778</v>
      </c>
      <c r="C1725">
        <v>1</v>
      </c>
      <c r="D1725" t="s">
        <v>207</v>
      </c>
      <c r="E1725" s="22">
        <f>2</f>
        <v>2</v>
      </c>
      <c r="F1725" t="s">
        <v>363</v>
      </c>
      <c r="G1725" t="s">
        <v>374</v>
      </c>
    </row>
    <row r="1726" spans="1:7" x14ac:dyDescent="0.75">
      <c r="A1726" t="s">
        <v>60</v>
      </c>
      <c r="B1726" s="3">
        <v>44778</v>
      </c>
      <c r="C1726">
        <v>1</v>
      </c>
      <c r="D1726" t="s">
        <v>191</v>
      </c>
      <c r="E1726" s="22">
        <f>30-22</f>
        <v>8</v>
      </c>
      <c r="F1726" t="s">
        <v>363</v>
      </c>
      <c r="G1726" t="s">
        <v>374</v>
      </c>
    </row>
    <row r="1727" spans="1:7" x14ac:dyDescent="0.75">
      <c r="A1727" t="s">
        <v>60</v>
      </c>
      <c r="B1727" s="3">
        <v>44778</v>
      </c>
      <c r="C1727">
        <v>1</v>
      </c>
      <c r="D1727" t="s">
        <v>191</v>
      </c>
      <c r="E1727" s="22">
        <f>22-9</f>
        <v>13</v>
      </c>
      <c r="F1727" t="s">
        <v>363</v>
      </c>
      <c r="G1727" t="s">
        <v>374</v>
      </c>
    </row>
    <row r="1728" spans="1:7" x14ac:dyDescent="0.75">
      <c r="A1728" t="s">
        <v>60</v>
      </c>
      <c r="B1728" s="3">
        <v>44778</v>
      </c>
      <c r="C1728">
        <v>1</v>
      </c>
      <c r="D1728" t="s">
        <v>191</v>
      </c>
      <c r="E1728" s="22">
        <f>9-3</f>
        <v>6</v>
      </c>
      <c r="F1728" t="s">
        <v>363</v>
      </c>
      <c r="G1728" t="s">
        <v>374</v>
      </c>
    </row>
    <row r="1729" spans="1:7" x14ac:dyDescent="0.75">
      <c r="A1729" t="s">
        <v>60</v>
      </c>
      <c r="B1729" s="3">
        <v>44778</v>
      </c>
      <c r="C1729">
        <v>1</v>
      </c>
      <c r="D1729" t="s">
        <v>191</v>
      </c>
      <c r="E1729" s="22">
        <f>3</f>
        <v>3</v>
      </c>
      <c r="F1729" t="s">
        <v>363</v>
      </c>
      <c r="G1729" t="s">
        <v>374</v>
      </c>
    </row>
    <row r="1730" spans="1:7" x14ac:dyDescent="0.75">
      <c r="A1730" t="s">
        <v>60</v>
      </c>
      <c r="B1730" s="3">
        <v>44778</v>
      </c>
      <c r="C1730">
        <v>1</v>
      </c>
      <c r="D1730" t="s">
        <v>191</v>
      </c>
      <c r="E1730" s="22">
        <f>48-36</f>
        <v>12</v>
      </c>
      <c r="F1730" t="s">
        <v>363</v>
      </c>
      <c r="G1730" t="s">
        <v>374</v>
      </c>
    </row>
    <row r="1731" spans="1:7" x14ac:dyDescent="0.75">
      <c r="A1731" t="s">
        <v>60</v>
      </c>
      <c r="B1731" s="3">
        <v>44778</v>
      </c>
      <c r="C1731">
        <v>1</v>
      </c>
      <c r="D1731" t="s">
        <v>197</v>
      </c>
      <c r="E1731" s="22">
        <f>36-32</f>
        <v>4</v>
      </c>
      <c r="F1731" t="s">
        <v>363</v>
      </c>
      <c r="G1731" t="s">
        <v>374</v>
      </c>
    </row>
    <row r="1732" spans="1:7" x14ac:dyDescent="0.75">
      <c r="A1732" t="s">
        <v>60</v>
      </c>
      <c r="B1732" s="3">
        <v>44778</v>
      </c>
      <c r="C1732">
        <v>1</v>
      </c>
      <c r="D1732" t="s">
        <v>191</v>
      </c>
      <c r="E1732" s="22">
        <f>30-27</f>
        <v>3</v>
      </c>
      <c r="F1732" t="s">
        <v>363</v>
      </c>
      <c r="G1732" t="s">
        <v>374</v>
      </c>
    </row>
    <row r="1733" spans="1:7" x14ac:dyDescent="0.75">
      <c r="A1733" t="s">
        <v>60</v>
      </c>
      <c r="B1733" s="3">
        <v>44778</v>
      </c>
      <c r="C1733">
        <v>1</v>
      </c>
      <c r="D1733" t="s">
        <v>191</v>
      </c>
      <c r="E1733" s="22">
        <f>27-25</f>
        <v>2</v>
      </c>
      <c r="F1733" t="s">
        <v>363</v>
      </c>
      <c r="G1733" t="s">
        <v>374</v>
      </c>
    </row>
    <row r="1734" spans="1:7" x14ac:dyDescent="0.75">
      <c r="A1734" t="s">
        <v>60</v>
      </c>
      <c r="B1734" s="3">
        <v>44778</v>
      </c>
      <c r="C1734">
        <v>1</v>
      </c>
      <c r="D1734" t="s">
        <v>207</v>
      </c>
      <c r="E1734" s="22">
        <f>25-23</f>
        <v>2</v>
      </c>
      <c r="F1734" t="s">
        <v>363</v>
      </c>
      <c r="G1734" t="s">
        <v>374</v>
      </c>
    </row>
    <row r="1735" spans="1:7" x14ac:dyDescent="0.75">
      <c r="A1735" t="s">
        <v>60</v>
      </c>
      <c r="B1735" s="3">
        <v>44778</v>
      </c>
      <c r="C1735">
        <v>1</v>
      </c>
      <c r="D1735" t="s">
        <v>194</v>
      </c>
      <c r="E1735" s="22">
        <f>23-11</f>
        <v>12</v>
      </c>
      <c r="F1735" t="s">
        <v>363</v>
      </c>
      <c r="G1735" t="s">
        <v>374</v>
      </c>
    </row>
    <row r="1736" spans="1:7" s="23" customFormat="1" x14ac:dyDescent="0.75">
      <c r="A1736" s="23" t="s">
        <v>23</v>
      </c>
      <c r="B1736" s="24">
        <v>44782</v>
      </c>
      <c r="C1736" s="23">
        <v>1</v>
      </c>
      <c r="D1736" s="23" t="s">
        <v>194</v>
      </c>
      <c r="E1736" s="52">
        <f>51-34</f>
        <v>17</v>
      </c>
      <c r="F1736" s="23" t="s">
        <v>363</v>
      </c>
      <c r="G1736" s="23" t="s">
        <v>361</v>
      </c>
    </row>
    <row r="1737" spans="1:7" s="23" customFormat="1" x14ac:dyDescent="0.75">
      <c r="A1737" s="23" t="s">
        <v>23</v>
      </c>
      <c r="B1737" s="24">
        <v>44782</v>
      </c>
      <c r="C1737" s="23">
        <v>1</v>
      </c>
      <c r="D1737" s="23" t="s">
        <v>197</v>
      </c>
      <c r="E1737" s="52">
        <f>34-28</f>
        <v>6</v>
      </c>
      <c r="F1737" s="23" t="s">
        <v>363</v>
      </c>
      <c r="G1737" s="23" t="s">
        <v>361</v>
      </c>
    </row>
    <row r="1738" spans="1:7" s="23" customFormat="1" x14ac:dyDescent="0.75">
      <c r="A1738" s="23" t="s">
        <v>23</v>
      </c>
      <c r="B1738" s="24">
        <v>44782</v>
      </c>
      <c r="C1738" s="23">
        <v>1</v>
      </c>
      <c r="D1738" s="23" t="s">
        <v>176</v>
      </c>
      <c r="E1738" s="52">
        <f>28-24</f>
        <v>4</v>
      </c>
      <c r="F1738" s="23" t="s">
        <v>363</v>
      </c>
      <c r="G1738" s="23" t="s">
        <v>361</v>
      </c>
    </row>
    <row r="1739" spans="1:7" s="23" customFormat="1" x14ac:dyDescent="0.75">
      <c r="A1739" s="23" t="s">
        <v>23</v>
      </c>
      <c r="B1739" s="24">
        <v>44782</v>
      </c>
      <c r="C1739" s="23">
        <v>1</v>
      </c>
      <c r="D1739" s="23" t="s">
        <v>194</v>
      </c>
      <c r="E1739" s="52">
        <f>24-19</f>
        <v>5</v>
      </c>
      <c r="F1739" s="23" t="s">
        <v>363</v>
      </c>
      <c r="G1739" s="23" t="s">
        <v>361</v>
      </c>
    </row>
    <row r="1740" spans="1:7" s="23" customFormat="1" x14ac:dyDescent="0.75">
      <c r="A1740" s="23" t="s">
        <v>23</v>
      </c>
      <c r="B1740" s="24">
        <v>44782</v>
      </c>
      <c r="C1740" s="23">
        <v>1</v>
      </c>
      <c r="D1740" s="23" t="s">
        <v>194</v>
      </c>
      <c r="E1740" s="52">
        <f>19-15</f>
        <v>4</v>
      </c>
      <c r="F1740" s="23" t="s">
        <v>363</v>
      </c>
      <c r="G1740" s="23" t="s">
        <v>361</v>
      </c>
    </row>
    <row r="1741" spans="1:7" s="23" customFormat="1" x14ac:dyDescent="0.75">
      <c r="A1741" s="23" t="s">
        <v>23</v>
      </c>
      <c r="B1741" s="24">
        <v>44782</v>
      </c>
      <c r="C1741" s="23">
        <v>1</v>
      </c>
      <c r="D1741" s="23" t="s">
        <v>194</v>
      </c>
      <c r="E1741" s="52">
        <f>15-2</f>
        <v>13</v>
      </c>
      <c r="F1741" s="23" t="s">
        <v>363</v>
      </c>
      <c r="G1741" s="23" t="s">
        <v>361</v>
      </c>
    </row>
    <row r="1742" spans="1:7" s="23" customFormat="1" x14ac:dyDescent="0.75">
      <c r="A1742" s="23" t="s">
        <v>23</v>
      </c>
      <c r="B1742" s="24">
        <v>44782</v>
      </c>
      <c r="C1742" s="23">
        <v>1</v>
      </c>
      <c r="D1742" s="23" t="s">
        <v>194</v>
      </c>
      <c r="E1742" s="52">
        <f>2+61-46</f>
        <v>17</v>
      </c>
      <c r="F1742" s="23" t="s">
        <v>363</v>
      </c>
      <c r="G1742" s="23" t="s">
        <v>361</v>
      </c>
    </row>
    <row r="1743" spans="1:7" s="23" customFormat="1" x14ac:dyDescent="0.75">
      <c r="A1743" s="23" t="s">
        <v>23</v>
      </c>
      <c r="B1743" s="24">
        <v>44782</v>
      </c>
      <c r="C1743" s="23">
        <v>1</v>
      </c>
      <c r="D1743" s="23" t="s">
        <v>194</v>
      </c>
      <c r="E1743" s="52">
        <f>46-39</f>
        <v>7</v>
      </c>
      <c r="F1743" s="23" t="s">
        <v>363</v>
      </c>
      <c r="G1743" s="23" t="s">
        <v>361</v>
      </c>
    </row>
    <row r="1744" spans="1:7" s="23" customFormat="1" x14ac:dyDescent="0.75">
      <c r="A1744" s="23" t="s">
        <v>23</v>
      </c>
      <c r="B1744" s="24">
        <v>44782</v>
      </c>
      <c r="C1744" s="23">
        <v>1</v>
      </c>
      <c r="D1744" s="23" t="s">
        <v>194</v>
      </c>
      <c r="E1744" s="52">
        <f>39-33</f>
        <v>6</v>
      </c>
      <c r="F1744" s="23" t="s">
        <v>363</v>
      </c>
      <c r="G1744" s="23" t="s">
        <v>361</v>
      </c>
    </row>
    <row r="1745" spans="1:7" s="23" customFormat="1" x14ac:dyDescent="0.75">
      <c r="A1745" s="23" t="s">
        <v>23</v>
      </c>
      <c r="B1745" s="24">
        <v>44782</v>
      </c>
      <c r="C1745" s="23">
        <v>1</v>
      </c>
      <c r="D1745" s="23" t="s">
        <v>194</v>
      </c>
      <c r="E1745" s="52">
        <f>58-28</f>
        <v>30</v>
      </c>
      <c r="F1745" s="23" t="s">
        <v>363</v>
      </c>
      <c r="G1745" s="23" t="s">
        <v>374</v>
      </c>
    </row>
    <row r="1746" spans="1:7" s="23" customFormat="1" x14ac:dyDescent="0.75">
      <c r="A1746" s="23" t="s">
        <v>23</v>
      </c>
      <c r="B1746" s="24">
        <v>44782</v>
      </c>
      <c r="C1746" s="23">
        <v>1</v>
      </c>
      <c r="D1746" s="23" t="s">
        <v>197</v>
      </c>
      <c r="E1746" s="52">
        <f>28-17</f>
        <v>11</v>
      </c>
      <c r="F1746" s="23" t="s">
        <v>363</v>
      </c>
      <c r="G1746" s="23" t="s">
        <v>374</v>
      </c>
    </row>
    <row r="1747" spans="1:7" s="23" customFormat="1" x14ac:dyDescent="0.75">
      <c r="A1747" s="23" t="s">
        <v>23</v>
      </c>
      <c r="B1747" s="24">
        <v>44782</v>
      </c>
      <c r="C1747" s="23">
        <v>1</v>
      </c>
      <c r="D1747" s="23" t="s">
        <v>194</v>
      </c>
      <c r="E1747" s="52">
        <f>17-10</f>
        <v>7</v>
      </c>
      <c r="F1747" s="23" t="s">
        <v>363</v>
      </c>
      <c r="G1747" s="23" t="s">
        <v>374</v>
      </c>
    </row>
    <row r="1748" spans="1:7" s="23" customFormat="1" x14ac:dyDescent="0.75">
      <c r="A1748" s="23" t="s">
        <v>23</v>
      </c>
      <c r="B1748" s="24">
        <v>44782</v>
      </c>
      <c r="C1748" s="23">
        <v>1</v>
      </c>
      <c r="D1748" s="23" t="s">
        <v>197</v>
      </c>
      <c r="E1748" s="52">
        <f>10-9</f>
        <v>1</v>
      </c>
      <c r="F1748" s="23" t="s">
        <v>363</v>
      </c>
      <c r="G1748" s="23" t="s">
        <v>374</v>
      </c>
    </row>
    <row r="1749" spans="1:7" s="23" customFormat="1" x14ac:dyDescent="0.75">
      <c r="A1749" s="23" t="s">
        <v>23</v>
      </c>
      <c r="B1749" s="24">
        <v>44782</v>
      </c>
      <c r="C1749" s="23">
        <v>1</v>
      </c>
      <c r="D1749" s="23" t="s">
        <v>194</v>
      </c>
      <c r="E1749" s="52">
        <f>9-6</f>
        <v>3</v>
      </c>
      <c r="F1749" s="23" t="s">
        <v>363</v>
      </c>
      <c r="G1749" s="23" t="s">
        <v>374</v>
      </c>
    </row>
    <row r="1750" spans="1:7" s="23" customFormat="1" x14ac:dyDescent="0.75">
      <c r="A1750" s="23" t="s">
        <v>23</v>
      </c>
      <c r="B1750" s="24">
        <v>44782</v>
      </c>
      <c r="C1750" s="23">
        <v>1</v>
      </c>
      <c r="D1750" s="23" t="s">
        <v>153</v>
      </c>
      <c r="E1750" s="52">
        <f>6-2</f>
        <v>4</v>
      </c>
      <c r="F1750" s="23" t="s">
        <v>363</v>
      </c>
      <c r="G1750" s="23" t="s">
        <v>374</v>
      </c>
    </row>
    <row r="1751" spans="1:7" s="23" customFormat="1" x14ac:dyDescent="0.75">
      <c r="A1751" s="23" t="s">
        <v>23</v>
      </c>
      <c r="B1751" s="24">
        <v>44782</v>
      </c>
      <c r="C1751" s="23">
        <v>1</v>
      </c>
      <c r="D1751" s="23" t="s">
        <v>194</v>
      </c>
      <c r="E1751" s="52">
        <f>2</f>
        <v>2</v>
      </c>
      <c r="F1751" s="23" t="s">
        <v>363</v>
      </c>
      <c r="G1751" s="23" t="s">
        <v>374</v>
      </c>
    </row>
    <row r="1752" spans="1:7" s="23" customFormat="1" x14ac:dyDescent="0.75">
      <c r="A1752" s="23" t="s">
        <v>23</v>
      </c>
      <c r="B1752" s="24">
        <v>44782</v>
      </c>
      <c r="C1752" s="23">
        <v>1</v>
      </c>
      <c r="D1752" s="23" t="s">
        <v>199</v>
      </c>
      <c r="E1752" s="52">
        <f>44-41</f>
        <v>3</v>
      </c>
      <c r="F1752" s="23" t="s">
        <v>363</v>
      </c>
      <c r="G1752" s="23" t="s">
        <v>374</v>
      </c>
    </row>
    <row r="1753" spans="1:7" s="23" customFormat="1" x14ac:dyDescent="0.75">
      <c r="A1753" s="23" t="s">
        <v>23</v>
      </c>
      <c r="B1753" s="24">
        <v>44782</v>
      </c>
      <c r="C1753" s="23">
        <v>1</v>
      </c>
      <c r="D1753" s="23" t="s">
        <v>194</v>
      </c>
      <c r="E1753" s="52">
        <f>41-40</f>
        <v>1</v>
      </c>
      <c r="F1753" s="23" t="s">
        <v>363</v>
      </c>
      <c r="G1753" s="23" t="s">
        <v>374</v>
      </c>
    </row>
    <row r="1754" spans="1:7" s="23" customFormat="1" x14ac:dyDescent="0.75">
      <c r="A1754" s="23" t="s">
        <v>23</v>
      </c>
      <c r="B1754" s="24">
        <v>44782</v>
      </c>
      <c r="C1754" s="23">
        <v>1</v>
      </c>
      <c r="D1754" s="23" t="s">
        <v>197</v>
      </c>
      <c r="E1754" s="52">
        <f>40-12</f>
        <v>28</v>
      </c>
      <c r="F1754" s="23" t="s">
        <v>363</v>
      </c>
      <c r="G1754" s="23" t="s">
        <v>374</v>
      </c>
    </row>
    <row r="1755" spans="1:7" s="23" customFormat="1" x14ac:dyDescent="0.75">
      <c r="A1755" s="23" t="s">
        <v>23</v>
      </c>
      <c r="B1755" s="24">
        <v>44782</v>
      </c>
      <c r="C1755" s="23">
        <v>1</v>
      </c>
      <c r="D1755" s="23" t="s">
        <v>194</v>
      </c>
      <c r="E1755" s="52">
        <f>12-3</f>
        <v>9</v>
      </c>
      <c r="F1755" s="23" t="s">
        <v>363</v>
      </c>
      <c r="G1755" s="23" t="s">
        <v>374</v>
      </c>
    </row>
    <row r="1756" spans="1:7" s="23" customFormat="1" x14ac:dyDescent="0.75">
      <c r="A1756" s="23" t="s">
        <v>23</v>
      </c>
      <c r="B1756" s="24">
        <v>44782</v>
      </c>
      <c r="C1756" s="23">
        <v>1</v>
      </c>
      <c r="E1756" s="52">
        <f>3-1</f>
        <v>2</v>
      </c>
      <c r="F1756" s="23" t="s">
        <v>363</v>
      </c>
      <c r="G1756" s="23" t="s">
        <v>374</v>
      </c>
    </row>
    <row r="1757" spans="1:7" s="23" customFormat="1" x14ac:dyDescent="0.75">
      <c r="A1757" s="23" t="s">
        <v>23</v>
      </c>
      <c r="B1757" s="24">
        <v>44782</v>
      </c>
      <c r="C1757" s="23">
        <v>1</v>
      </c>
      <c r="D1757" s="23" t="s">
        <v>194</v>
      </c>
      <c r="E1757" s="52">
        <f>1</f>
        <v>1</v>
      </c>
      <c r="F1757" s="23" t="s">
        <v>363</v>
      </c>
      <c r="G1757" s="23" t="s">
        <v>374</v>
      </c>
    </row>
    <row r="1758" spans="1:7" s="23" customFormat="1" x14ac:dyDescent="0.75">
      <c r="A1758" s="23" t="s">
        <v>23</v>
      </c>
      <c r="B1758" s="24">
        <v>44782</v>
      </c>
      <c r="C1758" s="23">
        <v>1</v>
      </c>
      <c r="D1758" s="23" t="s">
        <v>194</v>
      </c>
      <c r="E1758" s="52">
        <f>41-27</f>
        <v>14</v>
      </c>
      <c r="F1758" s="23" t="s">
        <v>363</v>
      </c>
      <c r="G1758" s="23" t="s">
        <v>374</v>
      </c>
    </row>
    <row r="1759" spans="1:7" s="23" customFormat="1" x14ac:dyDescent="0.75">
      <c r="A1759" s="23" t="s">
        <v>23</v>
      </c>
      <c r="B1759" s="24">
        <v>44782</v>
      </c>
      <c r="C1759" s="23">
        <v>1</v>
      </c>
      <c r="D1759" s="23" t="s">
        <v>194</v>
      </c>
      <c r="E1759" s="52">
        <f>27-7</f>
        <v>20</v>
      </c>
      <c r="F1759" s="23" t="s">
        <v>363</v>
      </c>
      <c r="G1759" s="23" t="s">
        <v>374</v>
      </c>
    </row>
    <row r="1760" spans="1:7" s="23" customFormat="1" x14ac:dyDescent="0.75">
      <c r="A1760" s="23" t="s">
        <v>23</v>
      </c>
      <c r="B1760" s="24">
        <v>44782</v>
      </c>
      <c r="C1760" s="23">
        <v>1</v>
      </c>
      <c r="D1760" s="23" t="s">
        <v>194</v>
      </c>
      <c r="E1760" s="52">
        <f>6-4</f>
        <v>2</v>
      </c>
      <c r="F1760" s="23" t="s">
        <v>363</v>
      </c>
      <c r="G1760" s="23" t="s">
        <v>374</v>
      </c>
    </row>
    <row r="1761" spans="1:11" s="23" customFormat="1" x14ac:dyDescent="0.75">
      <c r="A1761" s="23" t="s">
        <v>23</v>
      </c>
      <c r="B1761" s="24">
        <v>44782</v>
      </c>
      <c r="C1761" s="23">
        <v>1</v>
      </c>
      <c r="D1761" s="23" t="s">
        <v>194</v>
      </c>
      <c r="E1761" s="52">
        <f>4</f>
        <v>4</v>
      </c>
      <c r="F1761" s="23" t="s">
        <v>363</v>
      </c>
      <c r="G1761" s="23" t="s">
        <v>374</v>
      </c>
    </row>
    <row r="1762" spans="1:11" s="23" customFormat="1" x14ac:dyDescent="0.75">
      <c r="A1762" s="23" t="s">
        <v>23</v>
      </c>
      <c r="B1762" s="24">
        <v>44782</v>
      </c>
      <c r="C1762" s="23">
        <v>1</v>
      </c>
      <c r="D1762" s="23" t="s">
        <v>164</v>
      </c>
      <c r="E1762" s="52">
        <f>53-43</f>
        <v>10</v>
      </c>
      <c r="F1762" s="23" t="s">
        <v>363</v>
      </c>
      <c r="G1762" s="23" t="s">
        <v>374</v>
      </c>
      <c r="K1762" s="23" t="s">
        <v>817</v>
      </c>
    </row>
    <row r="1763" spans="1:11" s="23" customFormat="1" x14ac:dyDescent="0.75">
      <c r="A1763" s="23" t="s">
        <v>23</v>
      </c>
      <c r="B1763" s="24">
        <v>44782</v>
      </c>
      <c r="C1763" s="23">
        <v>1</v>
      </c>
      <c r="D1763" s="23" t="s">
        <v>191</v>
      </c>
      <c r="E1763" s="52">
        <f>44-38</f>
        <v>6</v>
      </c>
      <c r="F1763" s="23" t="s">
        <v>363</v>
      </c>
      <c r="G1763" s="23" t="s">
        <v>367</v>
      </c>
    </row>
    <row r="1764" spans="1:11" s="23" customFormat="1" x14ac:dyDescent="0.75">
      <c r="A1764" s="23" t="s">
        <v>23</v>
      </c>
      <c r="B1764" s="24">
        <v>44782</v>
      </c>
      <c r="C1764" s="23">
        <v>1</v>
      </c>
      <c r="D1764" s="23" t="s">
        <v>194</v>
      </c>
      <c r="E1764" s="52">
        <f>38-35</f>
        <v>3</v>
      </c>
      <c r="F1764" s="23" t="s">
        <v>363</v>
      </c>
      <c r="G1764" s="23" t="s">
        <v>367</v>
      </c>
    </row>
    <row r="1765" spans="1:11" s="23" customFormat="1" x14ac:dyDescent="0.75">
      <c r="A1765" s="23" t="s">
        <v>23</v>
      </c>
      <c r="B1765" s="24">
        <v>44782</v>
      </c>
      <c r="C1765" s="23">
        <v>1</v>
      </c>
      <c r="D1765" s="23" t="s">
        <v>194</v>
      </c>
      <c r="E1765" s="52">
        <f>35-29</f>
        <v>6</v>
      </c>
      <c r="F1765" s="23" t="s">
        <v>363</v>
      </c>
      <c r="G1765" s="23" t="s">
        <v>367</v>
      </c>
    </row>
    <row r="1766" spans="1:11" s="23" customFormat="1" x14ac:dyDescent="0.75">
      <c r="A1766" s="23" t="s">
        <v>23</v>
      </c>
      <c r="B1766" s="24">
        <v>44782</v>
      </c>
      <c r="C1766" s="23">
        <v>1</v>
      </c>
      <c r="D1766" s="23" t="s">
        <v>194</v>
      </c>
      <c r="E1766" s="52">
        <f>29-26</f>
        <v>3</v>
      </c>
      <c r="F1766" s="23" t="s">
        <v>363</v>
      </c>
      <c r="G1766" s="23" t="s">
        <v>367</v>
      </c>
    </row>
    <row r="1767" spans="1:11" s="23" customFormat="1" x14ac:dyDescent="0.75">
      <c r="A1767" s="23" t="s">
        <v>23</v>
      </c>
      <c r="B1767" s="24">
        <v>44782</v>
      </c>
      <c r="C1767" s="23">
        <v>1</v>
      </c>
      <c r="D1767" s="23" t="s">
        <v>194</v>
      </c>
      <c r="E1767" s="52">
        <f>26-20</f>
        <v>6</v>
      </c>
      <c r="F1767" s="23" t="s">
        <v>363</v>
      </c>
      <c r="G1767" s="23" t="s">
        <v>367</v>
      </c>
    </row>
    <row r="1768" spans="1:11" s="23" customFormat="1" x14ac:dyDescent="0.75">
      <c r="A1768" s="23" t="s">
        <v>23</v>
      </c>
      <c r="B1768" s="24">
        <v>44782</v>
      </c>
      <c r="C1768" s="23">
        <v>1</v>
      </c>
      <c r="D1768" s="23" t="s">
        <v>197</v>
      </c>
      <c r="E1768" s="52">
        <f>20-15</f>
        <v>5</v>
      </c>
      <c r="F1768" s="23" t="s">
        <v>363</v>
      </c>
      <c r="G1768" s="23" t="s">
        <v>367</v>
      </c>
    </row>
    <row r="1769" spans="1:11" x14ac:dyDescent="0.75">
      <c r="A1769" t="s">
        <v>23</v>
      </c>
      <c r="B1769" s="3">
        <v>44782</v>
      </c>
      <c r="C1769">
        <v>2</v>
      </c>
      <c r="D1769" t="s">
        <v>194</v>
      </c>
      <c r="E1769" s="22">
        <f>46-31</f>
        <v>15</v>
      </c>
      <c r="F1769" t="s">
        <v>363</v>
      </c>
      <c r="G1769" t="s">
        <v>361</v>
      </c>
    </row>
    <row r="1770" spans="1:11" x14ac:dyDescent="0.75">
      <c r="A1770" t="s">
        <v>23</v>
      </c>
      <c r="B1770" s="3">
        <v>44782</v>
      </c>
      <c r="C1770">
        <v>2</v>
      </c>
      <c r="D1770" t="s">
        <v>191</v>
      </c>
      <c r="E1770" s="22">
        <f>31-28</f>
        <v>3</v>
      </c>
      <c r="F1770" t="s">
        <v>363</v>
      </c>
      <c r="G1770" t="s">
        <v>361</v>
      </c>
    </row>
    <row r="1771" spans="1:11" x14ac:dyDescent="0.75">
      <c r="A1771" t="s">
        <v>23</v>
      </c>
      <c r="B1771" s="3">
        <v>44782</v>
      </c>
      <c r="C1771">
        <v>2</v>
      </c>
      <c r="D1771" t="s">
        <v>176</v>
      </c>
      <c r="E1771" s="22">
        <f>28-27</f>
        <v>1</v>
      </c>
      <c r="F1771" t="s">
        <v>363</v>
      </c>
      <c r="G1771" t="s">
        <v>361</v>
      </c>
    </row>
    <row r="1772" spans="1:11" x14ac:dyDescent="0.75">
      <c r="A1772" t="s">
        <v>23</v>
      </c>
      <c r="B1772" s="3">
        <v>44782</v>
      </c>
      <c r="C1772">
        <v>2</v>
      </c>
      <c r="D1772" t="s">
        <v>207</v>
      </c>
      <c r="E1772" s="22">
        <f>27-24</f>
        <v>3</v>
      </c>
      <c r="F1772" t="s">
        <v>363</v>
      </c>
      <c r="G1772" t="s">
        <v>361</v>
      </c>
    </row>
    <row r="1773" spans="1:11" x14ac:dyDescent="0.75">
      <c r="A1773" t="s">
        <v>23</v>
      </c>
      <c r="B1773" s="3">
        <v>44782</v>
      </c>
      <c r="C1773">
        <v>2</v>
      </c>
      <c r="D1773" t="s">
        <v>153</v>
      </c>
      <c r="E1773" s="22">
        <f>24-17</f>
        <v>7</v>
      </c>
      <c r="F1773" t="s">
        <v>363</v>
      </c>
      <c r="G1773" t="s">
        <v>361</v>
      </c>
    </row>
    <row r="1774" spans="1:11" x14ac:dyDescent="0.75">
      <c r="A1774" t="s">
        <v>23</v>
      </c>
      <c r="B1774" s="3">
        <v>44782</v>
      </c>
      <c r="C1774">
        <v>2</v>
      </c>
      <c r="D1774" t="s">
        <v>194</v>
      </c>
      <c r="E1774" s="22">
        <f>17-12</f>
        <v>5</v>
      </c>
      <c r="F1774" t="s">
        <v>363</v>
      </c>
      <c r="G1774" t="s">
        <v>361</v>
      </c>
    </row>
    <row r="1775" spans="1:11" x14ac:dyDescent="0.75">
      <c r="A1775" t="s">
        <v>23</v>
      </c>
      <c r="B1775" s="3">
        <v>44782</v>
      </c>
      <c r="C1775">
        <v>2</v>
      </c>
      <c r="D1775" t="s">
        <v>194</v>
      </c>
      <c r="E1775" s="22">
        <f>12+34-31</f>
        <v>15</v>
      </c>
      <c r="F1775" t="s">
        <v>363</v>
      </c>
      <c r="G1775" t="s">
        <v>361</v>
      </c>
    </row>
    <row r="1776" spans="1:11" x14ac:dyDescent="0.75">
      <c r="A1776" t="s">
        <v>23</v>
      </c>
      <c r="B1776" s="3">
        <v>44782</v>
      </c>
      <c r="C1776">
        <v>2</v>
      </c>
      <c r="D1776" t="s">
        <v>191</v>
      </c>
      <c r="E1776" s="22">
        <f>31-24</f>
        <v>7</v>
      </c>
      <c r="F1776" t="s">
        <v>363</v>
      </c>
      <c r="G1776" t="s">
        <v>361</v>
      </c>
    </row>
    <row r="1777" spans="1:7" x14ac:dyDescent="0.75">
      <c r="A1777" t="s">
        <v>23</v>
      </c>
      <c r="B1777" s="3">
        <v>44782</v>
      </c>
      <c r="C1777">
        <v>2</v>
      </c>
      <c r="D1777" t="s">
        <v>194</v>
      </c>
      <c r="E1777" s="22">
        <f>24-10</f>
        <v>14</v>
      </c>
      <c r="F1777" t="s">
        <v>363</v>
      </c>
      <c r="G1777" t="s">
        <v>361</v>
      </c>
    </row>
    <row r="1778" spans="1:7" x14ac:dyDescent="0.75">
      <c r="A1778" t="s">
        <v>23</v>
      </c>
      <c r="B1778" s="3">
        <v>44782</v>
      </c>
      <c r="C1778">
        <v>2</v>
      </c>
      <c r="D1778" t="s">
        <v>194</v>
      </c>
      <c r="E1778" s="22">
        <f>10-6</f>
        <v>4</v>
      </c>
      <c r="F1778" t="s">
        <v>363</v>
      </c>
      <c r="G1778" t="s">
        <v>361</v>
      </c>
    </row>
    <row r="1779" spans="1:7" x14ac:dyDescent="0.75">
      <c r="A1779" t="s">
        <v>23</v>
      </c>
      <c r="B1779" s="3">
        <v>44782</v>
      </c>
      <c r="C1779">
        <v>2</v>
      </c>
      <c r="D1779" t="s">
        <v>194</v>
      </c>
      <c r="E1779" s="22">
        <f>6</f>
        <v>6</v>
      </c>
      <c r="F1779" t="s">
        <v>363</v>
      </c>
      <c r="G1779" t="s">
        <v>361</v>
      </c>
    </row>
    <row r="1780" spans="1:7" x14ac:dyDescent="0.75">
      <c r="A1780" t="s">
        <v>23</v>
      </c>
      <c r="B1780" s="3">
        <v>44782</v>
      </c>
      <c r="C1780">
        <v>2</v>
      </c>
      <c r="D1780" t="s">
        <v>207</v>
      </c>
      <c r="E1780" s="22">
        <f>15-14</f>
        <v>1</v>
      </c>
      <c r="F1780" t="s">
        <v>363</v>
      </c>
      <c r="G1780" t="s">
        <v>367</v>
      </c>
    </row>
    <row r="1781" spans="1:7" x14ac:dyDescent="0.75">
      <c r="A1781" t="s">
        <v>23</v>
      </c>
      <c r="B1781" s="3">
        <v>44782</v>
      </c>
      <c r="C1781">
        <v>2</v>
      </c>
      <c r="D1781" t="s">
        <v>194</v>
      </c>
      <c r="E1781" s="22">
        <f>14-11</f>
        <v>3</v>
      </c>
      <c r="F1781" t="s">
        <v>363</v>
      </c>
      <c r="G1781" t="s">
        <v>367</v>
      </c>
    </row>
    <row r="1782" spans="1:7" x14ac:dyDescent="0.75">
      <c r="A1782" t="s">
        <v>23</v>
      </c>
      <c r="B1782" s="3">
        <v>44782</v>
      </c>
      <c r="C1782">
        <v>2</v>
      </c>
      <c r="D1782" t="s">
        <v>194</v>
      </c>
      <c r="E1782" s="22">
        <f>11-8</f>
        <v>3</v>
      </c>
      <c r="F1782" t="s">
        <v>363</v>
      </c>
      <c r="G1782" t="s">
        <v>367</v>
      </c>
    </row>
    <row r="1783" spans="1:7" x14ac:dyDescent="0.75">
      <c r="A1783" t="s">
        <v>23</v>
      </c>
      <c r="B1783" s="3">
        <v>44782</v>
      </c>
      <c r="C1783">
        <v>2</v>
      </c>
      <c r="D1783" t="s">
        <v>194</v>
      </c>
      <c r="E1783" s="22">
        <f>8</f>
        <v>8</v>
      </c>
      <c r="F1783" t="s">
        <v>363</v>
      </c>
      <c r="G1783" t="s">
        <v>367</v>
      </c>
    </row>
    <row r="1784" spans="1:7" x14ac:dyDescent="0.75">
      <c r="A1784" t="s">
        <v>23</v>
      </c>
      <c r="B1784" s="3">
        <v>44782</v>
      </c>
      <c r="C1784">
        <v>2</v>
      </c>
      <c r="D1784" t="s">
        <v>207</v>
      </c>
      <c r="E1784" s="22">
        <f>43-41</f>
        <v>2</v>
      </c>
      <c r="F1784" t="s">
        <v>363</v>
      </c>
      <c r="G1784" t="s">
        <v>374</v>
      </c>
    </row>
    <row r="1785" spans="1:7" x14ac:dyDescent="0.75">
      <c r="A1785" t="s">
        <v>23</v>
      </c>
      <c r="B1785" s="3">
        <v>44782</v>
      </c>
      <c r="C1785">
        <v>2</v>
      </c>
      <c r="D1785" t="s">
        <v>194</v>
      </c>
      <c r="E1785" s="22">
        <f>41-35</f>
        <v>6</v>
      </c>
      <c r="F1785" t="s">
        <v>363</v>
      </c>
      <c r="G1785" t="s">
        <v>374</v>
      </c>
    </row>
    <row r="1786" spans="1:7" x14ac:dyDescent="0.75">
      <c r="A1786" t="s">
        <v>23</v>
      </c>
      <c r="B1786" s="3">
        <v>44782</v>
      </c>
      <c r="C1786">
        <v>2</v>
      </c>
      <c r="D1786" t="s">
        <v>194</v>
      </c>
      <c r="E1786" s="22">
        <f>35-28</f>
        <v>7</v>
      </c>
      <c r="F1786" t="s">
        <v>363</v>
      </c>
      <c r="G1786" t="s">
        <v>374</v>
      </c>
    </row>
    <row r="1787" spans="1:7" x14ac:dyDescent="0.75">
      <c r="A1787" t="s">
        <v>23</v>
      </c>
      <c r="B1787" s="3">
        <v>44782</v>
      </c>
      <c r="C1787">
        <v>2</v>
      </c>
      <c r="D1787" t="s">
        <v>153</v>
      </c>
      <c r="E1787" s="22">
        <f>28-18</f>
        <v>10</v>
      </c>
      <c r="F1787" t="s">
        <v>363</v>
      </c>
      <c r="G1787" t="s">
        <v>374</v>
      </c>
    </row>
    <row r="1788" spans="1:7" x14ac:dyDescent="0.75">
      <c r="A1788" t="s">
        <v>23</v>
      </c>
      <c r="B1788" s="3">
        <v>44782</v>
      </c>
      <c r="C1788">
        <v>2</v>
      </c>
      <c r="D1788" t="s">
        <v>197</v>
      </c>
      <c r="E1788" s="22">
        <f>18-17</f>
        <v>1</v>
      </c>
      <c r="F1788" t="s">
        <v>363</v>
      </c>
      <c r="G1788" t="s">
        <v>374</v>
      </c>
    </row>
    <row r="1789" spans="1:7" x14ac:dyDescent="0.75">
      <c r="A1789" t="s">
        <v>23</v>
      </c>
      <c r="B1789" s="3">
        <v>44782</v>
      </c>
      <c r="C1789">
        <v>2</v>
      </c>
      <c r="D1789" t="s">
        <v>197</v>
      </c>
      <c r="E1789" s="22">
        <f>17-15</f>
        <v>2</v>
      </c>
      <c r="F1789" t="s">
        <v>363</v>
      </c>
      <c r="G1789" t="s">
        <v>374</v>
      </c>
    </row>
    <row r="1790" spans="1:7" x14ac:dyDescent="0.75">
      <c r="A1790" t="s">
        <v>23</v>
      </c>
      <c r="B1790" s="3">
        <v>44782</v>
      </c>
      <c r="C1790">
        <v>2</v>
      </c>
      <c r="D1790" t="s">
        <v>191</v>
      </c>
      <c r="E1790" s="22">
        <f>15</f>
        <v>15</v>
      </c>
      <c r="F1790" t="s">
        <v>363</v>
      </c>
      <c r="G1790" t="s">
        <v>374</v>
      </c>
    </row>
    <row r="1791" spans="1:7" x14ac:dyDescent="0.75">
      <c r="A1791" t="s">
        <v>23</v>
      </c>
      <c r="B1791" s="3">
        <v>44782</v>
      </c>
      <c r="C1791">
        <v>2</v>
      </c>
      <c r="D1791" t="s">
        <v>194</v>
      </c>
      <c r="E1791" s="22">
        <f>25-17</f>
        <v>8</v>
      </c>
      <c r="F1791" t="s">
        <v>363</v>
      </c>
      <c r="G1791" t="s">
        <v>374</v>
      </c>
    </row>
    <row r="1792" spans="1:7" x14ac:dyDescent="0.75">
      <c r="A1792" t="s">
        <v>23</v>
      </c>
      <c r="B1792" s="3">
        <v>44782</v>
      </c>
      <c r="C1792">
        <v>2</v>
      </c>
      <c r="D1792" t="s">
        <v>199</v>
      </c>
      <c r="E1792" s="22">
        <f>17-15</f>
        <v>2</v>
      </c>
      <c r="F1792" t="s">
        <v>363</v>
      </c>
      <c r="G1792" t="s">
        <v>374</v>
      </c>
    </row>
    <row r="1793" spans="1:7" x14ac:dyDescent="0.75">
      <c r="A1793" t="s">
        <v>23</v>
      </c>
      <c r="B1793" s="3">
        <v>44782</v>
      </c>
      <c r="C1793">
        <v>2</v>
      </c>
      <c r="D1793" t="s">
        <v>194</v>
      </c>
      <c r="E1793" s="22">
        <f>15-7</f>
        <v>8</v>
      </c>
      <c r="F1793" t="s">
        <v>363</v>
      </c>
      <c r="G1793" t="s">
        <v>374</v>
      </c>
    </row>
    <row r="1794" spans="1:7" x14ac:dyDescent="0.75">
      <c r="A1794" t="s">
        <v>23</v>
      </c>
      <c r="B1794" s="3">
        <v>44782</v>
      </c>
      <c r="C1794">
        <v>2</v>
      </c>
      <c r="D1794" t="s">
        <v>197</v>
      </c>
      <c r="E1794" s="22">
        <f>7</f>
        <v>7</v>
      </c>
      <c r="F1794" t="s">
        <v>363</v>
      </c>
      <c r="G1794" t="s">
        <v>374</v>
      </c>
    </row>
    <row r="1795" spans="1:7" s="23" customFormat="1" x14ac:dyDescent="0.75">
      <c r="A1795" s="23" t="s">
        <v>23</v>
      </c>
      <c r="B1795" s="24">
        <v>44783</v>
      </c>
      <c r="C1795" s="23">
        <v>1</v>
      </c>
      <c r="D1795" s="23" t="s">
        <v>197</v>
      </c>
      <c r="E1795" s="52">
        <f>47-37</f>
        <v>10</v>
      </c>
      <c r="F1795" s="23" t="s">
        <v>363</v>
      </c>
      <c r="G1795" s="23" t="s">
        <v>361</v>
      </c>
    </row>
    <row r="1796" spans="1:7" s="23" customFormat="1" x14ac:dyDescent="0.75">
      <c r="A1796" s="23" t="s">
        <v>23</v>
      </c>
      <c r="B1796" s="24">
        <v>44783</v>
      </c>
      <c r="C1796" s="23">
        <v>1</v>
      </c>
      <c r="D1796" s="23" t="s">
        <v>194</v>
      </c>
      <c r="E1796" s="52">
        <f>37-34</f>
        <v>3</v>
      </c>
      <c r="F1796" s="23" t="s">
        <v>363</v>
      </c>
      <c r="G1796" s="23" t="s">
        <v>361</v>
      </c>
    </row>
    <row r="1797" spans="1:7" s="23" customFormat="1" x14ac:dyDescent="0.75">
      <c r="A1797" s="23" t="s">
        <v>23</v>
      </c>
      <c r="B1797" s="24">
        <v>44783</v>
      </c>
      <c r="C1797" s="23">
        <v>1</v>
      </c>
      <c r="D1797" s="23" t="s">
        <v>197</v>
      </c>
      <c r="E1797" s="52">
        <f>34-20</f>
        <v>14</v>
      </c>
      <c r="F1797" s="23" t="s">
        <v>363</v>
      </c>
      <c r="G1797" s="23" t="s">
        <v>361</v>
      </c>
    </row>
    <row r="1798" spans="1:7" s="23" customFormat="1" x14ac:dyDescent="0.75">
      <c r="A1798" s="23" t="s">
        <v>23</v>
      </c>
      <c r="B1798" s="24">
        <v>44783</v>
      </c>
      <c r="C1798" s="23">
        <v>1</v>
      </c>
      <c r="D1798" s="23" t="s">
        <v>194</v>
      </c>
      <c r="E1798" s="52">
        <f>51-43</f>
        <v>8</v>
      </c>
      <c r="F1798" s="23" t="s">
        <v>363</v>
      </c>
      <c r="G1798" s="23" t="s">
        <v>367</v>
      </c>
    </row>
    <row r="1799" spans="1:7" x14ac:dyDescent="0.75">
      <c r="A1799" t="s">
        <v>23</v>
      </c>
      <c r="B1799" s="3">
        <v>44783</v>
      </c>
      <c r="C1799">
        <v>2</v>
      </c>
      <c r="D1799" t="s">
        <v>194</v>
      </c>
      <c r="E1799" s="22">
        <f>40-26</f>
        <v>14</v>
      </c>
      <c r="F1799" t="s">
        <v>363</v>
      </c>
      <c r="G1799" t="s">
        <v>361</v>
      </c>
    </row>
    <row r="1800" spans="1:7" x14ac:dyDescent="0.75">
      <c r="A1800" t="s">
        <v>23</v>
      </c>
      <c r="B1800" s="3">
        <v>44783</v>
      </c>
      <c r="C1800">
        <v>2</v>
      </c>
      <c r="D1800" t="s">
        <v>194</v>
      </c>
      <c r="E1800" s="22">
        <f>25-15</f>
        <v>10</v>
      </c>
      <c r="F1800" t="s">
        <v>363</v>
      </c>
      <c r="G1800" t="s">
        <v>361</v>
      </c>
    </row>
    <row r="1801" spans="1:7" x14ac:dyDescent="0.75">
      <c r="A1801" t="s">
        <v>23</v>
      </c>
      <c r="B1801" s="3">
        <v>44783</v>
      </c>
      <c r="C1801">
        <v>2</v>
      </c>
      <c r="D1801" t="s">
        <v>194</v>
      </c>
      <c r="E1801" s="22">
        <f>15-6</f>
        <v>9</v>
      </c>
      <c r="F1801" t="s">
        <v>363</v>
      </c>
      <c r="G1801" t="s">
        <v>361</v>
      </c>
    </row>
    <row r="1802" spans="1:7" x14ac:dyDescent="0.75">
      <c r="A1802" t="s">
        <v>23</v>
      </c>
      <c r="B1802" s="3">
        <v>44783</v>
      </c>
      <c r="C1802">
        <v>2</v>
      </c>
      <c r="D1802" t="s">
        <v>197</v>
      </c>
      <c r="E1802" s="22">
        <f>6+47-42</f>
        <v>11</v>
      </c>
      <c r="F1802" t="s">
        <v>363</v>
      </c>
      <c r="G1802" t="s">
        <v>361</v>
      </c>
    </row>
    <row r="1803" spans="1:7" x14ac:dyDescent="0.75">
      <c r="A1803" t="s">
        <v>23</v>
      </c>
      <c r="B1803" s="3">
        <v>44783</v>
      </c>
      <c r="C1803">
        <v>2</v>
      </c>
      <c r="D1803" t="s">
        <v>194</v>
      </c>
      <c r="E1803" s="22">
        <f>42-40</f>
        <v>2</v>
      </c>
      <c r="F1803" t="s">
        <v>363</v>
      </c>
      <c r="G1803" t="s">
        <v>361</v>
      </c>
    </row>
    <row r="1804" spans="1:7" x14ac:dyDescent="0.75">
      <c r="A1804" t="s">
        <v>23</v>
      </c>
      <c r="B1804" s="3">
        <v>44783</v>
      </c>
      <c r="C1804">
        <v>2</v>
      </c>
      <c r="D1804" t="s">
        <v>194</v>
      </c>
      <c r="E1804" s="22">
        <f>40-27</f>
        <v>13</v>
      </c>
      <c r="F1804" t="s">
        <v>363</v>
      </c>
      <c r="G1804" t="s">
        <v>361</v>
      </c>
    </row>
    <row r="1805" spans="1:7" x14ac:dyDescent="0.75">
      <c r="A1805" t="s">
        <v>23</v>
      </c>
      <c r="B1805" s="3">
        <v>44783</v>
      </c>
      <c r="C1805">
        <v>2</v>
      </c>
      <c r="D1805" t="s">
        <v>194</v>
      </c>
      <c r="E1805" s="22">
        <f>27-17</f>
        <v>10</v>
      </c>
      <c r="F1805" t="s">
        <v>363</v>
      </c>
      <c r="G1805" t="s">
        <v>361</v>
      </c>
    </row>
    <row r="1806" spans="1:7" x14ac:dyDescent="0.75">
      <c r="A1806" t="s">
        <v>23</v>
      </c>
      <c r="B1806" s="3">
        <v>44783</v>
      </c>
      <c r="C1806">
        <v>2</v>
      </c>
      <c r="D1806" t="s">
        <v>197</v>
      </c>
      <c r="E1806" s="22">
        <f>17-6</f>
        <v>11</v>
      </c>
      <c r="F1806" t="s">
        <v>363</v>
      </c>
      <c r="G1806" t="s">
        <v>361</v>
      </c>
    </row>
    <row r="1807" spans="1:7" x14ac:dyDescent="0.75">
      <c r="A1807" t="s">
        <v>23</v>
      </c>
      <c r="B1807" s="3">
        <v>44783</v>
      </c>
      <c r="C1807">
        <v>2</v>
      </c>
      <c r="D1807" t="s">
        <v>194</v>
      </c>
      <c r="E1807" s="22">
        <f>6</f>
        <v>6</v>
      </c>
      <c r="F1807" t="s">
        <v>363</v>
      </c>
      <c r="G1807" t="s">
        <v>361</v>
      </c>
    </row>
    <row r="1808" spans="1:7" x14ac:dyDescent="0.75">
      <c r="A1808" t="s">
        <v>23</v>
      </c>
      <c r="B1808" s="3">
        <v>44783</v>
      </c>
      <c r="C1808">
        <v>2</v>
      </c>
      <c r="D1808" t="s">
        <v>194</v>
      </c>
      <c r="E1808" s="22">
        <f>20-1</f>
        <v>19</v>
      </c>
      <c r="F1808" t="s">
        <v>363</v>
      </c>
      <c r="G1808" t="s">
        <v>361</v>
      </c>
    </row>
    <row r="1809" spans="1:7" x14ac:dyDescent="0.75">
      <c r="A1809" t="s">
        <v>23</v>
      </c>
      <c r="B1809" s="3">
        <v>44783</v>
      </c>
      <c r="C1809">
        <v>2</v>
      </c>
      <c r="D1809" t="s">
        <v>194</v>
      </c>
      <c r="E1809" s="22">
        <f>46-37</f>
        <v>9</v>
      </c>
      <c r="F1809" t="s">
        <v>363</v>
      </c>
      <c r="G1809" t="s">
        <v>367</v>
      </c>
    </row>
    <row r="1810" spans="1:7" x14ac:dyDescent="0.75">
      <c r="A1810" t="s">
        <v>23</v>
      </c>
      <c r="B1810" s="3">
        <v>44783</v>
      </c>
      <c r="C1810">
        <v>2</v>
      </c>
      <c r="D1810" t="s">
        <v>199</v>
      </c>
      <c r="E1810" s="22">
        <f>37-34</f>
        <v>3</v>
      </c>
      <c r="F1810" t="s">
        <v>363</v>
      </c>
      <c r="G1810" t="s">
        <v>367</v>
      </c>
    </row>
    <row r="1811" spans="1:7" x14ac:dyDescent="0.75">
      <c r="A1811" t="s">
        <v>23</v>
      </c>
      <c r="B1811" s="3">
        <v>44783</v>
      </c>
      <c r="C1811">
        <v>2</v>
      </c>
      <c r="D1811" t="s">
        <v>194</v>
      </c>
      <c r="E1811" s="22">
        <f>34-26</f>
        <v>8</v>
      </c>
      <c r="F1811" t="s">
        <v>363</v>
      </c>
      <c r="G1811" t="s">
        <v>367</v>
      </c>
    </row>
    <row r="1812" spans="1:7" x14ac:dyDescent="0.75">
      <c r="A1812" t="s">
        <v>23</v>
      </c>
      <c r="B1812" s="3">
        <v>44783</v>
      </c>
      <c r="C1812">
        <v>2</v>
      </c>
      <c r="D1812" t="s">
        <v>194</v>
      </c>
      <c r="E1812" s="22">
        <f>26-20</f>
        <v>6</v>
      </c>
      <c r="F1812" t="s">
        <v>363</v>
      </c>
      <c r="G1812" t="s">
        <v>367</v>
      </c>
    </row>
    <row r="1813" spans="1:7" x14ac:dyDescent="0.75">
      <c r="A1813" t="s">
        <v>23</v>
      </c>
      <c r="B1813" s="3">
        <v>44783</v>
      </c>
      <c r="C1813">
        <v>2</v>
      </c>
      <c r="D1813" t="s">
        <v>194</v>
      </c>
      <c r="E1813" s="22">
        <f>20-15</f>
        <v>5</v>
      </c>
      <c r="F1813" t="s">
        <v>363</v>
      </c>
      <c r="G1813" t="s">
        <v>367</v>
      </c>
    </row>
    <row r="1814" spans="1:7" s="23" customFormat="1" x14ac:dyDescent="0.75">
      <c r="A1814" s="23" t="s">
        <v>64</v>
      </c>
      <c r="B1814" s="24">
        <v>44783</v>
      </c>
      <c r="C1814" s="23">
        <v>1</v>
      </c>
      <c r="D1814" s="23" t="s">
        <v>201</v>
      </c>
      <c r="E1814" s="52">
        <f>42-41</f>
        <v>1</v>
      </c>
      <c r="F1814" s="23" t="s">
        <v>363</v>
      </c>
      <c r="G1814" s="23" t="s">
        <v>361</v>
      </c>
    </row>
    <row r="1815" spans="1:7" s="23" customFormat="1" x14ac:dyDescent="0.75">
      <c r="A1815" s="23" t="s">
        <v>64</v>
      </c>
      <c r="B1815" s="24">
        <v>44783</v>
      </c>
      <c r="C1815" s="23">
        <v>1</v>
      </c>
      <c r="D1815" s="23" t="s">
        <v>201</v>
      </c>
      <c r="E1815" s="52">
        <f>41-38</f>
        <v>3</v>
      </c>
      <c r="F1815" s="23" t="s">
        <v>363</v>
      </c>
      <c r="G1815" s="23" t="s">
        <v>361</v>
      </c>
    </row>
    <row r="1816" spans="1:7" s="23" customFormat="1" x14ac:dyDescent="0.75">
      <c r="A1816" s="23" t="s">
        <v>64</v>
      </c>
      <c r="B1816" s="24">
        <v>44783</v>
      </c>
      <c r="C1816" s="23">
        <v>1</v>
      </c>
      <c r="D1816" s="23" t="s">
        <v>201</v>
      </c>
      <c r="E1816" s="52">
        <f>38-33</f>
        <v>5</v>
      </c>
      <c r="F1816" s="23" t="s">
        <v>363</v>
      </c>
      <c r="G1816" s="23" t="s">
        <v>361</v>
      </c>
    </row>
    <row r="1817" spans="1:7" s="23" customFormat="1" x14ac:dyDescent="0.75">
      <c r="A1817" s="23" t="s">
        <v>64</v>
      </c>
      <c r="B1817" s="24">
        <v>44783</v>
      </c>
      <c r="C1817" s="23">
        <v>1</v>
      </c>
      <c r="D1817" s="23" t="s">
        <v>201</v>
      </c>
      <c r="E1817" s="52">
        <f>48-5-38</f>
        <v>5</v>
      </c>
      <c r="F1817" s="23" t="s">
        <v>363</v>
      </c>
      <c r="G1817" s="23" t="s">
        <v>367</v>
      </c>
    </row>
    <row r="1818" spans="1:7" s="23" customFormat="1" x14ac:dyDescent="0.75">
      <c r="A1818" s="23" t="s">
        <v>64</v>
      </c>
      <c r="B1818" s="24">
        <v>44783</v>
      </c>
      <c r="C1818" s="23">
        <v>1</v>
      </c>
      <c r="D1818" s="23" t="s">
        <v>207</v>
      </c>
      <c r="E1818" s="52">
        <f>38-30</f>
        <v>8</v>
      </c>
      <c r="F1818" s="23" t="s">
        <v>363</v>
      </c>
      <c r="G1818" s="23" t="s">
        <v>367</v>
      </c>
    </row>
    <row r="1819" spans="1:7" s="23" customFormat="1" x14ac:dyDescent="0.75">
      <c r="A1819" s="23" t="s">
        <v>64</v>
      </c>
      <c r="B1819" s="24">
        <v>44783</v>
      </c>
      <c r="C1819" s="23">
        <v>1</v>
      </c>
      <c r="D1819" s="23" t="s">
        <v>201</v>
      </c>
      <c r="E1819" s="52">
        <f>30-29</f>
        <v>1</v>
      </c>
      <c r="F1819" s="23">
        <v>3338</v>
      </c>
      <c r="G1819" s="23" t="s">
        <v>367</v>
      </c>
    </row>
    <row r="1820" spans="1:7" x14ac:dyDescent="0.75">
      <c r="A1820" t="s">
        <v>39</v>
      </c>
      <c r="B1820" s="3">
        <v>44784</v>
      </c>
      <c r="C1820">
        <v>1</v>
      </c>
      <c r="D1820" t="s">
        <v>207</v>
      </c>
      <c r="E1820" s="22">
        <f>32-24</f>
        <v>8</v>
      </c>
      <c r="F1820" t="s">
        <v>363</v>
      </c>
      <c r="G1820" t="s">
        <v>733</v>
      </c>
    </row>
    <row r="1821" spans="1:7" x14ac:dyDescent="0.75">
      <c r="A1821" t="s">
        <v>39</v>
      </c>
      <c r="B1821" s="3">
        <v>44784</v>
      </c>
      <c r="C1821">
        <v>1</v>
      </c>
      <c r="D1821" t="s">
        <v>194</v>
      </c>
      <c r="E1821" s="22">
        <f>24-19</f>
        <v>5</v>
      </c>
      <c r="F1821" t="s">
        <v>363</v>
      </c>
      <c r="G1821" t="s">
        <v>733</v>
      </c>
    </row>
    <row r="1822" spans="1:7" x14ac:dyDescent="0.75">
      <c r="A1822" t="s">
        <v>39</v>
      </c>
      <c r="B1822" s="3">
        <v>44784</v>
      </c>
      <c r="C1822">
        <v>1</v>
      </c>
      <c r="D1822" t="s">
        <v>197</v>
      </c>
      <c r="E1822" s="22">
        <f>19-2</f>
        <v>17</v>
      </c>
      <c r="F1822" t="s">
        <v>363</v>
      </c>
      <c r="G1822" t="s">
        <v>733</v>
      </c>
    </row>
    <row r="1823" spans="1:7" x14ac:dyDescent="0.75">
      <c r="A1823" t="s">
        <v>39</v>
      </c>
      <c r="B1823" s="3">
        <v>44784</v>
      </c>
      <c r="C1823">
        <v>1</v>
      </c>
      <c r="D1823" t="s">
        <v>194</v>
      </c>
      <c r="E1823" s="22">
        <f>2+45-32</f>
        <v>15</v>
      </c>
      <c r="F1823" t="s">
        <v>363</v>
      </c>
      <c r="G1823" t="s">
        <v>733</v>
      </c>
    </row>
    <row r="1824" spans="1:7" x14ac:dyDescent="0.75">
      <c r="A1824" t="s">
        <v>39</v>
      </c>
      <c r="B1824" s="3">
        <v>44784</v>
      </c>
      <c r="C1824">
        <v>1</v>
      </c>
      <c r="D1824" t="s">
        <v>164</v>
      </c>
      <c r="E1824" s="22">
        <f>37-17</f>
        <v>20</v>
      </c>
      <c r="F1824">
        <v>3535</v>
      </c>
      <c r="G1824" t="s">
        <v>361</v>
      </c>
    </row>
    <row r="1825" spans="1:7" x14ac:dyDescent="0.75">
      <c r="A1825" t="s">
        <v>39</v>
      </c>
      <c r="B1825" s="3">
        <v>44784</v>
      </c>
      <c r="C1825">
        <v>1</v>
      </c>
      <c r="D1825" t="s">
        <v>164</v>
      </c>
      <c r="E1825" s="22">
        <f>17-13</f>
        <v>4</v>
      </c>
      <c r="F1825" t="s">
        <v>777</v>
      </c>
      <c r="G1825" t="s">
        <v>361</v>
      </c>
    </row>
    <row r="1826" spans="1:7" x14ac:dyDescent="0.75">
      <c r="A1826" t="s">
        <v>39</v>
      </c>
      <c r="B1826" s="3">
        <v>44784</v>
      </c>
      <c r="C1826">
        <v>1</v>
      </c>
      <c r="D1826" t="s">
        <v>176</v>
      </c>
      <c r="E1826" s="22">
        <f>13-10</f>
        <v>3</v>
      </c>
      <c r="F1826" t="s">
        <v>363</v>
      </c>
      <c r="G1826" t="s">
        <v>361</v>
      </c>
    </row>
    <row r="1827" spans="1:7" x14ac:dyDescent="0.75">
      <c r="A1827" t="s">
        <v>39</v>
      </c>
      <c r="B1827" s="3">
        <v>44784</v>
      </c>
      <c r="C1827">
        <v>1</v>
      </c>
      <c r="D1827" t="s">
        <v>194</v>
      </c>
      <c r="E1827" s="22">
        <f>10-2</f>
        <v>8</v>
      </c>
      <c r="F1827" t="s">
        <v>363</v>
      </c>
      <c r="G1827" t="s">
        <v>361</v>
      </c>
    </row>
    <row r="1828" spans="1:7" x14ac:dyDescent="0.75">
      <c r="A1828" t="s">
        <v>39</v>
      </c>
      <c r="B1828" s="3">
        <v>44784</v>
      </c>
      <c r="C1828">
        <v>1</v>
      </c>
      <c r="D1828" t="s">
        <v>197</v>
      </c>
      <c r="E1828" s="22">
        <f>24-21</f>
        <v>3</v>
      </c>
      <c r="F1828" t="s">
        <v>363</v>
      </c>
      <c r="G1828" t="s">
        <v>374</v>
      </c>
    </row>
    <row r="1829" spans="1:7" x14ac:dyDescent="0.75">
      <c r="A1829" t="s">
        <v>39</v>
      </c>
      <c r="B1829" s="3">
        <v>44784</v>
      </c>
      <c r="C1829">
        <v>1</v>
      </c>
      <c r="D1829" t="s">
        <v>194</v>
      </c>
      <c r="E1829" s="22">
        <f>21-17</f>
        <v>4</v>
      </c>
      <c r="F1829" t="s">
        <v>363</v>
      </c>
      <c r="G1829" t="s">
        <v>374</v>
      </c>
    </row>
    <row r="1830" spans="1:7" x14ac:dyDescent="0.75">
      <c r="A1830" t="s">
        <v>39</v>
      </c>
      <c r="B1830" s="3">
        <v>44784</v>
      </c>
      <c r="C1830">
        <v>1</v>
      </c>
      <c r="D1830" t="s">
        <v>191</v>
      </c>
      <c r="E1830" s="22">
        <f>17-6</f>
        <v>11</v>
      </c>
      <c r="F1830" t="s">
        <v>363</v>
      </c>
      <c r="G1830" t="s">
        <v>374</v>
      </c>
    </row>
    <row r="1831" spans="1:7" x14ac:dyDescent="0.75">
      <c r="A1831" t="s">
        <v>39</v>
      </c>
      <c r="B1831" s="3">
        <v>44784</v>
      </c>
      <c r="C1831">
        <v>1</v>
      </c>
      <c r="D1831" t="s">
        <v>191</v>
      </c>
      <c r="E1831" s="22">
        <f>6-1</f>
        <v>5</v>
      </c>
      <c r="F1831" t="s">
        <v>363</v>
      </c>
      <c r="G1831" t="s">
        <v>374</v>
      </c>
    </row>
    <row r="1832" spans="1:7" x14ac:dyDescent="0.75">
      <c r="A1832" t="s">
        <v>39</v>
      </c>
      <c r="B1832" s="3">
        <v>44784</v>
      </c>
      <c r="C1832">
        <v>1</v>
      </c>
      <c r="D1832" t="s">
        <v>191</v>
      </c>
      <c r="E1832" s="22">
        <f>1</f>
        <v>1</v>
      </c>
      <c r="F1832" t="s">
        <v>363</v>
      </c>
      <c r="G1832" t="s">
        <v>374</v>
      </c>
    </row>
    <row r="1833" spans="1:7" x14ac:dyDescent="0.75">
      <c r="A1833" t="s">
        <v>39</v>
      </c>
      <c r="B1833" s="3">
        <v>44784</v>
      </c>
      <c r="C1833">
        <v>1</v>
      </c>
      <c r="D1833" t="s">
        <v>205</v>
      </c>
      <c r="E1833" s="22">
        <f>40-37</f>
        <v>3</v>
      </c>
      <c r="F1833" t="s">
        <v>363</v>
      </c>
      <c r="G1833" t="s">
        <v>374</v>
      </c>
    </row>
    <row r="1834" spans="1:7" x14ac:dyDescent="0.75">
      <c r="A1834" t="s">
        <v>39</v>
      </c>
      <c r="B1834" s="3">
        <v>44784</v>
      </c>
      <c r="C1834">
        <v>1</v>
      </c>
      <c r="D1834" t="s">
        <v>194</v>
      </c>
      <c r="E1834" s="22">
        <f>37-34</f>
        <v>3</v>
      </c>
      <c r="F1834" t="s">
        <v>363</v>
      </c>
      <c r="G1834" t="s">
        <v>374</v>
      </c>
    </row>
    <row r="1835" spans="1:7" x14ac:dyDescent="0.75">
      <c r="A1835" t="s">
        <v>39</v>
      </c>
      <c r="B1835" s="3">
        <v>44784</v>
      </c>
      <c r="C1835">
        <v>1</v>
      </c>
      <c r="D1835" t="s">
        <v>207</v>
      </c>
      <c r="E1835" s="22">
        <f>34-26</f>
        <v>8</v>
      </c>
      <c r="F1835" t="s">
        <v>363</v>
      </c>
      <c r="G1835" t="s">
        <v>374</v>
      </c>
    </row>
    <row r="1836" spans="1:7" x14ac:dyDescent="0.75">
      <c r="A1836" t="s">
        <v>39</v>
      </c>
      <c r="B1836" s="3">
        <v>44784</v>
      </c>
      <c r="C1836">
        <v>1</v>
      </c>
      <c r="D1836" t="s">
        <v>194</v>
      </c>
      <c r="E1836" s="22">
        <f>26-24</f>
        <v>2</v>
      </c>
      <c r="F1836" t="s">
        <v>363</v>
      </c>
      <c r="G1836" t="s">
        <v>374</v>
      </c>
    </row>
    <row r="1837" spans="1:7" x14ac:dyDescent="0.75">
      <c r="A1837" t="s">
        <v>39</v>
      </c>
      <c r="B1837" s="3">
        <v>44784</v>
      </c>
      <c r="C1837">
        <v>1</v>
      </c>
      <c r="D1837" t="s">
        <v>199</v>
      </c>
      <c r="E1837" s="22">
        <f>24-23</f>
        <v>1</v>
      </c>
      <c r="F1837" t="s">
        <v>363</v>
      </c>
      <c r="G1837" t="s">
        <v>374</v>
      </c>
    </row>
    <row r="1838" spans="1:7" x14ac:dyDescent="0.75">
      <c r="A1838" t="s">
        <v>39</v>
      </c>
      <c r="B1838" s="3">
        <v>44784</v>
      </c>
      <c r="C1838">
        <v>1</v>
      </c>
      <c r="D1838" t="s">
        <v>207</v>
      </c>
      <c r="E1838" s="22">
        <f>23-17</f>
        <v>6</v>
      </c>
      <c r="F1838" t="s">
        <v>363</v>
      </c>
      <c r="G1838" t="s">
        <v>374</v>
      </c>
    </row>
    <row r="1839" spans="1:7" x14ac:dyDescent="0.75">
      <c r="A1839" t="s">
        <v>39</v>
      </c>
      <c r="B1839" s="3">
        <v>44784</v>
      </c>
      <c r="C1839">
        <v>1</v>
      </c>
      <c r="D1839" t="s">
        <v>197</v>
      </c>
      <c r="E1839" s="22">
        <f>17-13</f>
        <v>4</v>
      </c>
      <c r="F1839" t="s">
        <v>363</v>
      </c>
      <c r="G1839" t="s">
        <v>374</v>
      </c>
    </row>
    <row r="1840" spans="1:7" x14ac:dyDescent="0.75">
      <c r="A1840" t="s">
        <v>39</v>
      </c>
      <c r="B1840" s="3">
        <v>44784</v>
      </c>
      <c r="C1840">
        <v>1</v>
      </c>
      <c r="D1840" t="s">
        <v>160</v>
      </c>
      <c r="E1840" s="22">
        <f>4</f>
        <v>4</v>
      </c>
      <c r="F1840">
        <v>948</v>
      </c>
      <c r="G1840" t="s">
        <v>374</v>
      </c>
    </row>
    <row r="1841" spans="1:11" s="23" customFormat="1" x14ac:dyDescent="0.75">
      <c r="A1841" s="23" t="s">
        <v>39</v>
      </c>
      <c r="B1841" s="24">
        <v>44784</v>
      </c>
      <c r="C1841" s="23">
        <v>2</v>
      </c>
      <c r="D1841" s="23" t="s">
        <v>197</v>
      </c>
      <c r="E1841" s="52">
        <f>32-3</f>
        <v>29</v>
      </c>
      <c r="F1841" s="23" t="s">
        <v>363</v>
      </c>
      <c r="G1841" s="23" t="s">
        <v>733</v>
      </c>
      <c r="K1841" s="23" t="s">
        <v>818</v>
      </c>
    </row>
    <row r="1842" spans="1:11" s="23" customFormat="1" x14ac:dyDescent="0.75">
      <c r="A1842" s="23" t="s">
        <v>39</v>
      </c>
      <c r="B1842" s="24">
        <v>44784</v>
      </c>
      <c r="C1842" s="23">
        <v>2</v>
      </c>
      <c r="D1842" s="23" t="s">
        <v>168</v>
      </c>
      <c r="E1842" s="52">
        <f>3+43-34</f>
        <v>12</v>
      </c>
      <c r="F1842" s="23" t="s">
        <v>363</v>
      </c>
      <c r="G1842" s="23" t="s">
        <v>733</v>
      </c>
      <c r="K1842" s="23" t="s">
        <v>819</v>
      </c>
    </row>
    <row r="1843" spans="1:11" s="23" customFormat="1" x14ac:dyDescent="0.75">
      <c r="A1843" s="23" t="s">
        <v>39</v>
      </c>
      <c r="B1843" s="24">
        <v>44784</v>
      </c>
      <c r="C1843" s="23">
        <v>2</v>
      </c>
      <c r="D1843" s="23" t="s">
        <v>201</v>
      </c>
      <c r="E1843" s="52">
        <f>34-24</f>
        <v>10</v>
      </c>
      <c r="F1843" s="23" t="s">
        <v>363</v>
      </c>
      <c r="G1843" s="23" t="s">
        <v>733</v>
      </c>
    </row>
    <row r="1844" spans="1:11" s="23" customFormat="1" x14ac:dyDescent="0.75">
      <c r="A1844" s="23" t="s">
        <v>39</v>
      </c>
      <c r="B1844" s="24">
        <v>44784</v>
      </c>
      <c r="C1844" s="23">
        <v>2</v>
      </c>
      <c r="D1844" s="23" t="s">
        <v>215</v>
      </c>
      <c r="E1844" s="52">
        <f>24-20</f>
        <v>4</v>
      </c>
      <c r="F1844" s="23" t="s">
        <v>363</v>
      </c>
      <c r="G1844" s="23" t="s">
        <v>733</v>
      </c>
    </row>
    <row r="1845" spans="1:11" s="23" customFormat="1" x14ac:dyDescent="0.75">
      <c r="A1845" s="23" t="s">
        <v>39</v>
      </c>
      <c r="B1845" s="24">
        <v>44784</v>
      </c>
      <c r="C1845" s="23">
        <v>2</v>
      </c>
      <c r="D1845" s="23" t="s">
        <v>194</v>
      </c>
      <c r="E1845" s="52">
        <f>50-46</f>
        <v>4</v>
      </c>
      <c r="F1845" s="23" t="s">
        <v>363</v>
      </c>
      <c r="G1845" s="23" t="s">
        <v>361</v>
      </c>
    </row>
    <row r="1846" spans="1:11" s="23" customFormat="1" x14ac:dyDescent="0.75">
      <c r="A1846" s="23" t="s">
        <v>39</v>
      </c>
      <c r="B1846" s="24">
        <v>44784</v>
      </c>
      <c r="C1846" s="23">
        <v>2</v>
      </c>
      <c r="D1846" s="23" t="s">
        <v>194</v>
      </c>
      <c r="E1846" s="52">
        <f>46-39</f>
        <v>7</v>
      </c>
      <c r="F1846" s="23" t="s">
        <v>363</v>
      </c>
      <c r="G1846" s="23" t="s">
        <v>361</v>
      </c>
    </row>
    <row r="1847" spans="1:11" s="23" customFormat="1" x14ac:dyDescent="0.75">
      <c r="A1847" s="23" t="s">
        <v>39</v>
      </c>
      <c r="B1847" s="24">
        <v>44784</v>
      </c>
      <c r="C1847" s="23">
        <v>2</v>
      </c>
      <c r="D1847" s="23" t="s">
        <v>176</v>
      </c>
      <c r="E1847" s="52">
        <f>39-36</f>
        <v>3</v>
      </c>
      <c r="F1847" s="23" t="s">
        <v>363</v>
      </c>
      <c r="G1847" s="23" t="s">
        <v>361</v>
      </c>
    </row>
    <row r="1848" spans="1:11" s="23" customFormat="1" x14ac:dyDescent="0.75">
      <c r="A1848" s="23" t="s">
        <v>39</v>
      </c>
      <c r="B1848" s="24">
        <v>44784</v>
      </c>
      <c r="C1848" s="23">
        <v>2</v>
      </c>
      <c r="D1848" s="23" t="s">
        <v>194</v>
      </c>
      <c r="E1848" s="52">
        <f>36-27</f>
        <v>9</v>
      </c>
      <c r="F1848" s="23" t="s">
        <v>363</v>
      </c>
      <c r="G1848" s="23" t="s">
        <v>361</v>
      </c>
    </row>
    <row r="1849" spans="1:11" s="23" customFormat="1" x14ac:dyDescent="0.75">
      <c r="A1849" s="23" t="s">
        <v>39</v>
      </c>
      <c r="B1849" s="24">
        <v>44784</v>
      </c>
      <c r="C1849" s="23">
        <v>2</v>
      </c>
      <c r="D1849" s="23" t="s">
        <v>164</v>
      </c>
      <c r="E1849" s="52">
        <f>27-3</f>
        <v>24</v>
      </c>
      <c r="F1849" s="23" t="s">
        <v>363</v>
      </c>
      <c r="G1849" s="23" t="s">
        <v>361</v>
      </c>
    </row>
    <row r="1850" spans="1:11" s="23" customFormat="1" x14ac:dyDescent="0.75">
      <c r="A1850" s="23" t="s">
        <v>39</v>
      </c>
      <c r="B1850" s="24">
        <v>44784</v>
      </c>
      <c r="C1850" s="23">
        <v>2</v>
      </c>
      <c r="D1850" s="23" t="s">
        <v>201</v>
      </c>
      <c r="E1850" s="52">
        <f>3-2</f>
        <v>1</v>
      </c>
      <c r="F1850" s="23" t="s">
        <v>363</v>
      </c>
      <c r="G1850" s="23" t="s">
        <v>361</v>
      </c>
    </row>
    <row r="1851" spans="1:11" s="23" customFormat="1" x14ac:dyDescent="0.75">
      <c r="A1851" s="23" t="s">
        <v>39</v>
      </c>
      <c r="B1851" s="24">
        <v>44784</v>
      </c>
      <c r="C1851" s="23">
        <v>2</v>
      </c>
      <c r="D1851" s="23" t="s">
        <v>153</v>
      </c>
      <c r="E1851" s="52">
        <f>2</f>
        <v>2</v>
      </c>
      <c r="F1851" s="23" t="s">
        <v>363</v>
      </c>
      <c r="G1851" s="23" t="s">
        <v>361</v>
      </c>
    </row>
    <row r="1852" spans="1:11" s="23" customFormat="1" x14ac:dyDescent="0.75">
      <c r="A1852" s="23" t="s">
        <v>39</v>
      </c>
      <c r="B1852" s="24">
        <v>44784</v>
      </c>
      <c r="C1852" s="23">
        <v>2</v>
      </c>
      <c r="D1852" s="23" t="s">
        <v>194</v>
      </c>
      <c r="E1852" s="52">
        <f>2+38-35</f>
        <v>5</v>
      </c>
      <c r="F1852" s="23" t="s">
        <v>363</v>
      </c>
      <c r="G1852" s="23" t="s">
        <v>361</v>
      </c>
    </row>
    <row r="1853" spans="1:11" s="23" customFormat="1" x14ac:dyDescent="0.75">
      <c r="A1853" s="23" t="s">
        <v>39</v>
      </c>
      <c r="B1853" s="24">
        <v>44784</v>
      </c>
      <c r="C1853" s="23">
        <v>2</v>
      </c>
      <c r="D1853" s="23" t="s">
        <v>194</v>
      </c>
      <c r="E1853" s="52">
        <f>14-10</f>
        <v>4</v>
      </c>
      <c r="F1853" s="23" t="s">
        <v>363</v>
      </c>
      <c r="G1853" s="23" t="s">
        <v>374</v>
      </c>
    </row>
    <row r="1854" spans="1:11" s="23" customFormat="1" x14ac:dyDescent="0.75">
      <c r="A1854" s="23" t="s">
        <v>39</v>
      </c>
      <c r="B1854" s="24">
        <v>44784</v>
      </c>
      <c r="C1854" s="23">
        <v>2</v>
      </c>
      <c r="D1854" s="23" t="s">
        <v>194</v>
      </c>
      <c r="E1854" s="52">
        <f>10-3</f>
        <v>7</v>
      </c>
      <c r="F1854" s="23" t="s">
        <v>363</v>
      </c>
      <c r="G1854" s="23" t="s">
        <v>374</v>
      </c>
    </row>
    <row r="1855" spans="1:11" s="23" customFormat="1" x14ac:dyDescent="0.75">
      <c r="A1855" s="23" t="s">
        <v>39</v>
      </c>
      <c r="B1855" s="24">
        <v>44784</v>
      </c>
      <c r="C1855" s="23">
        <v>2</v>
      </c>
      <c r="D1855" s="23" t="s">
        <v>203</v>
      </c>
      <c r="E1855" s="52">
        <f>39-34</f>
        <v>5</v>
      </c>
      <c r="F1855" s="23" t="s">
        <v>363</v>
      </c>
      <c r="G1855" s="23" t="s">
        <v>374</v>
      </c>
    </row>
    <row r="1856" spans="1:11" s="23" customFormat="1" x14ac:dyDescent="0.75">
      <c r="A1856" s="23" t="s">
        <v>39</v>
      </c>
      <c r="B1856" s="24">
        <v>44784</v>
      </c>
      <c r="C1856" s="23">
        <v>2</v>
      </c>
      <c r="D1856" s="23" t="s">
        <v>207</v>
      </c>
      <c r="E1856" s="52">
        <f>34-30</f>
        <v>4</v>
      </c>
      <c r="F1856" s="23" t="s">
        <v>363</v>
      </c>
      <c r="G1856" s="23" t="s">
        <v>374</v>
      </c>
    </row>
    <row r="1857" spans="1:11" s="23" customFormat="1" x14ac:dyDescent="0.75">
      <c r="A1857" s="23" t="s">
        <v>39</v>
      </c>
      <c r="B1857" s="24">
        <v>44784</v>
      </c>
      <c r="C1857" s="23">
        <v>2</v>
      </c>
      <c r="D1857" s="23" t="s">
        <v>199</v>
      </c>
      <c r="E1857" s="52">
        <f>30-27</f>
        <v>3</v>
      </c>
      <c r="F1857" s="23" t="s">
        <v>363</v>
      </c>
      <c r="G1857" s="23" t="s">
        <v>374</v>
      </c>
    </row>
    <row r="1858" spans="1:11" s="23" customFormat="1" x14ac:dyDescent="0.75">
      <c r="A1858" s="23" t="s">
        <v>39</v>
      </c>
      <c r="B1858" s="24">
        <v>44784</v>
      </c>
      <c r="C1858" s="23">
        <v>2</v>
      </c>
      <c r="D1858" s="23" t="s">
        <v>201</v>
      </c>
      <c r="E1858" s="52">
        <f>27-19</f>
        <v>8</v>
      </c>
      <c r="F1858" s="23" t="s">
        <v>363</v>
      </c>
      <c r="G1858" s="23" t="s">
        <v>374</v>
      </c>
    </row>
    <row r="1859" spans="1:11" s="23" customFormat="1" x14ac:dyDescent="0.75">
      <c r="A1859" s="23" t="s">
        <v>39</v>
      </c>
      <c r="B1859" s="24">
        <v>44784</v>
      </c>
      <c r="C1859" s="23">
        <v>2</v>
      </c>
      <c r="D1859" s="23" t="s">
        <v>201</v>
      </c>
      <c r="E1859" s="52">
        <f>19-12</f>
        <v>7</v>
      </c>
      <c r="F1859" s="23" t="s">
        <v>363</v>
      </c>
      <c r="G1859" s="23" t="s">
        <v>374</v>
      </c>
    </row>
    <row r="1860" spans="1:11" s="23" customFormat="1" x14ac:dyDescent="0.75">
      <c r="A1860" s="23" t="s">
        <v>39</v>
      </c>
      <c r="B1860" s="24">
        <v>44784</v>
      </c>
      <c r="C1860" s="23">
        <v>2</v>
      </c>
      <c r="D1860" s="23" t="s">
        <v>215</v>
      </c>
      <c r="E1860" s="52">
        <f>12-10</f>
        <v>2</v>
      </c>
      <c r="F1860" s="23" t="s">
        <v>363</v>
      </c>
      <c r="G1860" s="23" t="s">
        <v>374</v>
      </c>
    </row>
    <row r="1861" spans="1:11" s="23" customFormat="1" x14ac:dyDescent="0.75">
      <c r="A1861" s="23" t="s">
        <v>39</v>
      </c>
      <c r="B1861" s="24">
        <v>44784</v>
      </c>
      <c r="C1861" s="23">
        <v>2</v>
      </c>
      <c r="D1861" s="23" t="s">
        <v>194</v>
      </c>
      <c r="E1861" s="52">
        <f>10-5</f>
        <v>5</v>
      </c>
      <c r="F1861" s="23" t="s">
        <v>363</v>
      </c>
      <c r="G1861" s="23" t="s">
        <v>374</v>
      </c>
    </row>
    <row r="1862" spans="1:11" s="23" customFormat="1" x14ac:dyDescent="0.75">
      <c r="A1862" s="23" t="s">
        <v>39</v>
      </c>
      <c r="B1862" s="24">
        <v>44784</v>
      </c>
      <c r="C1862" s="23">
        <v>2</v>
      </c>
      <c r="D1862" s="23" t="s">
        <v>201</v>
      </c>
      <c r="E1862" s="52">
        <f>49-45</f>
        <v>4</v>
      </c>
      <c r="F1862" s="23" t="s">
        <v>363</v>
      </c>
      <c r="G1862" s="23" t="s">
        <v>374</v>
      </c>
    </row>
    <row r="1863" spans="1:11" s="23" customFormat="1" x14ac:dyDescent="0.75">
      <c r="A1863" s="23" t="s">
        <v>39</v>
      </c>
      <c r="B1863" s="24">
        <v>44784</v>
      </c>
      <c r="C1863" s="23">
        <v>2</v>
      </c>
      <c r="D1863" s="23" t="s">
        <v>201</v>
      </c>
      <c r="E1863" s="52">
        <f>45-43</f>
        <v>2</v>
      </c>
      <c r="F1863" s="23" t="s">
        <v>363</v>
      </c>
      <c r="G1863" s="23" t="s">
        <v>374</v>
      </c>
    </row>
    <row r="1864" spans="1:11" s="23" customFormat="1" x14ac:dyDescent="0.75">
      <c r="A1864" s="23" t="s">
        <v>39</v>
      </c>
      <c r="B1864" s="24">
        <v>44784</v>
      </c>
      <c r="C1864" s="23">
        <v>2</v>
      </c>
      <c r="D1864" s="23" t="s">
        <v>194</v>
      </c>
      <c r="E1864" s="52">
        <f>43-40</f>
        <v>3</v>
      </c>
      <c r="F1864" s="23" t="s">
        <v>363</v>
      </c>
      <c r="G1864" s="23" t="s">
        <v>374</v>
      </c>
    </row>
    <row r="1865" spans="1:11" s="23" customFormat="1" x14ac:dyDescent="0.75">
      <c r="A1865" s="23" t="s">
        <v>39</v>
      </c>
      <c r="B1865" s="24">
        <v>44784</v>
      </c>
      <c r="C1865" s="23">
        <v>2</v>
      </c>
      <c r="D1865" s="23" t="s">
        <v>194</v>
      </c>
      <c r="E1865" s="52">
        <f>40-32</f>
        <v>8</v>
      </c>
      <c r="F1865" s="23" t="s">
        <v>363</v>
      </c>
      <c r="G1865" s="23" t="s">
        <v>374</v>
      </c>
    </row>
    <row r="1866" spans="1:11" x14ac:dyDescent="0.75">
      <c r="A1866" t="s">
        <v>39</v>
      </c>
      <c r="B1866" s="3">
        <v>44784</v>
      </c>
      <c r="C1866">
        <v>3</v>
      </c>
      <c r="D1866" t="s">
        <v>201</v>
      </c>
      <c r="E1866" s="22">
        <f>38-34</f>
        <v>4</v>
      </c>
      <c r="F1866" t="s">
        <v>363</v>
      </c>
      <c r="G1866" t="s">
        <v>361</v>
      </c>
    </row>
    <row r="1867" spans="1:11" x14ac:dyDescent="0.75">
      <c r="A1867" t="s">
        <v>39</v>
      </c>
      <c r="B1867" s="3">
        <v>44784</v>
      </c>
      <c r="C1867">
        <v>3</v>
      </c>
      <c r="D1867" t="s">
        <v>172</v>
      </c>
      <c r="E1867" s="22">
        <f>34-27</f>
        <v>7</v>
      </c>
      <c r="F1867" t="s">
        <v>363</v>
      </c>
      <c r="G1867" t="s">
        <v>361</v>
      </c>
      <c r="K1867" t="s">
        <v>820</v>
      </c>
    </row>
    <row r="1868" spans="1:11" x14ac:dyDescent="0.75">
      <c r="A1868" t="s">
        <v>39</v>
      </c>
      <c r="B1868" s="3">
        <v>44784</v>
      </c>
      <c r="C1868">
        <v>3</v>
      </c>
      <c r="D1868" t="s">
        <v>168</v>
      </c>
      <c r="E1868" s="22">
        <f>27-21</f>
        <v>6</v>
      </c>
      <c r="F1868">
        <v>957</v>
      </c>
      <c r="G1868" t="s">
        <v>361</v>
      </c>
    </row>
    <row r="1869" spans="1:11" x14ac:dyDescent="0.75">
      <c r="A1869" t="s">
        <v>39</v>
      </c>
      <c r="B1869" s="3">
        <v>44784</v>
      </c>
      <c r="C1869">
        <v>3</v>
      </c>
      <c r="D1869" t="s">
        <v>172</v>
      </c>
      <c r="E1869" s="22">
        <f>21-16</f>
        <v>5</v>
      </c>
      <c r="F1869">
        <v>3881</v>
      </c>
      <c r="G1869" t="s">
        <v>361</v>
      </c>
      <c r="K1869" t="s">
        <v>819</v>
      </c>
    </row>
    <row r="1870" spans="1:11" x14ac:dyDescent="0.75">
      <c r="A1870" t="s">
        <v>39</v>
      </c>
      <c r="B1870" s="3">
        <v>44784</v>
      </c>
      <c r="C1870">
        <v>3</v>
      </c>
      <c r="D1870" t="s">
        <v>168</v>
      </c>
      <c r="E1870" s="22">
        <f>44-35</f>
        <v>9</v>
      </c>
      <c r="F1870" t="s">
        <v>363</v>
      </c>
      <c r="G1870" t="s">
        <v>361</v>
      </c>
    </row>
    <row r="1871" spans="1:11" x14ac:dyDescent="0.75">
      <c r="A1871" t="s">
        <v>39</v>
      </c>
      <c r="B1871" s="3">
        <v>44784</v>
      </c>
      <c r="C1871">
        <v>3</v>
      </c>
      <c r="D1871" t="s">
        <v>194</v>
      </c>
      <c r="E1871" s="22">
        <f>20-17</f>
        <v>3</v>
      </c>
      <c r="F1871" t="s">
        <v>363</v>
      </c>
      <c r="G1871" t="s">
        <v>733</v>
      </c>
    </row>
    <row r="1872" spans="1:11" x14ac:dyDescent="0.75">
      <c r="A1872" t="s">
        <v>39</v>
      </c>
      <c r="B1872" s="3">
        <v>44784</v>
      </c>
      <c r="C1872">
        <v>3</v>
      </c>
      <c r="D1872" t="s">
        <v>201</v>
      </c>
      <c r="E1872" s="22">
        <f>17-15</f>
        <v>2</v>
      </c>
      <c r="F1872" t="s">
        <v>363</v>
      </c>
      <c r="G1872" t="s">
        <v>733</v>
      </c>
      <c r="K1872" t="s">
        <v>803</v>
      </c>
    </row>
    <row r="1873" spans="1:11" x14ac:dyDescent="0.75">
      <c r="A1873" t="s">
        <v>39</v>
      </c>
      <c r="B1873" s="3">
        <v>44784</v>
      </c>
      <c r="C1873">
        <v>3</v>
      </c>
      <c r="D1873" t="s">
        <v>168</v>
      </c>
      <c r="E1873" s="22">
        <f>15-13</f>
        <v>2</v>
      </c>
      <c r="F1873" t="s">
        <v>363</v>
      </c>
      <c r="G1873" t="s">
        <v>733</v>
      </c>
    </row>
    <row r="1874" spans="1:11" x14ac:dyDescent="0.75">
      <c r="A1874" t="s">
        <v>39</v>
      </c>
      <c r="B1874" s="3">
        <v>44784</v>
      </c>
      <c r="C1874">
        <v>3</v>
      </c>
      <c r="D1874" t="s">
        <v>207</v>
      </c>
      <c r="E1874" s="22">
        <f>8</f>
        <v>8</v>
      </c>
      <c r="F1874" t="s">
        <v>363</v>
      </c>
      <c r="G1874" t="s">
        <v>374</v>
      </c>
    </row>
    <row r="1875" spans="1:11" x14ac:dyDescent="0.75">
      <c r="A1875" t="s">
        <v>39</v>
      </c>
      <c r="B1875" s="3">
        <v>44784</v>
      </c>
      <c r="C1875">
        <v>3</v>
      </c>
      <c r="D1875" t="s">
        <v>201</v>
      </c>
      <c r="E1875" s="22">
        <f>1</f>
        <v>1</v>
      </c>
      <c r="F1875" t="s">
        <v>363</v>
      </c>
      <c r="G1875" t="s">
        <v>374</v>
      </c>
    </row>
    <row r="1876" spans="1:11" x14ac:dyDescent="0.75">
      <c r="A1876" t="s">
        <v>39</v>
      </c>
      <c r="B1876" s="3">
        <v>44784</v>
      </c>
      <c r="C1876">
        <v>3</v>
      </c>
      <c r="D1876" t="s">
        <v>194</v>
      </c>
      <c r="E1876" s="22">
        <f>2</f>
        <v>2</v>
      </c>
      <c r="F1876" t="s">
        <v>363</v>
      </c>
      <c r="G1876" t="s">
        <v>374</v>
      </c>
    </row>
    <row r="1877" spans="1:11" x14ac:dyDescent="0.75">
      <c r="A1877" t="s">
        <v>39</v>
      </c>
      <c r="B1877" s="3">
        <v>44784</v>
      </c>
      <c r="C1877">
        <v>3</v>
      </c>
      <c r="D1877" t="s">
        <v>172</v>
      </c>
      <c r="E1877" s="22">
        <f>4</f>
        <v>4</v>
      </c>
      <c r="F1877" t="s">
        <v>363</v>
      </c>
      <c r="G1877" t="s">
        <v>374</v>
      </c>
    </row>
    <row r="1878" spans="1:11" x14ac:dyDescent="0.75">
      <c r="A1878" t="s">
        <v>39</v>
      </c>
      <c r="B1878" s="3">
        <v>44784</v>
      </c>
      <c r="C1878">
        <v>3</v>
      </c>
      <c r="D1878" t="s">
        <v>168</v>
      </c>
      <c r="E1878" s="22">
        <f>3</f>
        <v>3</v>
      </c>
      <c r="F1878" t="s">
        <v>363</v>
      </c>
      <c r="G1878" t="s">
        <v>374</v>
      </c>
    </row>
    <row r="1879" spans="1:11" x14ac:dyDescent="0.75">
      <c r="A1879" t="s">
        <v>39</v>
      </c>
      <c r="B1879" s="3">
        <v>44784</v>
      </c>
      <c r="C1879">
        <v>3</v>
      </c>
      <c r="D1879" t="s">
        <v>207</v>
      </c>
      <c r="E1879" s="22">
        <f>42-40</f>
        <v>2</v>
      </c>
      <c r="F1879" t="s">
        <v>363</v>
      </c>
      <c r="G1879" t="s">
        <v>374</v>
      </c>
    </row>
    <row r="1880" spans="1:11" x14ac:dyDescent="0.75">
      <c r="A1880" t="s">
        <v>39</v>
      </c>
      <c r="B1880" s="3">
        <v>44784</v>
      </c>
      <c r="C1880">
        <v>3</v>
      </c>
      <c r="D1880" t="s">
        <v>207</v>
      </c>
      <c r="F1880" t="s">
        <v>363</v>
      </c>
      <c r="G1880" t="s">
        <v>374</v>
      </c>
      <c r="K1880" t="s">
        <v>821</v>
      </c>
    </row>
    <row r="1881" spans="1:11" s="58" customFormat="1" x14ac:dyDescent="0.75">
      <c r="A1881" s="58" t="s">
        <v>69</v>
      </c>
      <c r="B1881" s="59">
        <v>44789</v>
      </c>
      <c r="C1881" s="58">
        <v>1</v>
      </c>
      <c r="D1881" s="58" t="s">
        <v>191</v>
      </c>
      <c r="E1881" s="60">
        <f>41+42-8</f>
        <v>75</v>
      </c>
      <c r="F1881" s="58">
        <v>958</v>
      </c>
      <c r="G1881" s="58" t="s">
        <v>361</v>
      </c>
    </row>
    <row r="1882" spans="1:11" s="58" customFormat="1" x14ac:dyDescent="0.75">
      <c r="A1882" s="58" t="s">
        <v>69</v>
      </c>
      <c r="B1882" s="59">
        <v>44789</v>
      </c>
      <c r="C1882" s="58">
        <v>1</v>
      </c>
      <c r="D1882" s="58" t="s">
        <v>197</v>
      </c>
      <c r="E1882" s="60">
        <f>8-6</f>
        <v>2</v>
      </c>
      <c r="F1882" s="58" t="s">
        <v>363</v>
      </c>
      <c r="G1882" s="58" t="s">
        <v>361</v>
      </c>
    </row>
    <row r="1883" spans="1:11" s="58" customFormat="1" x14ac:dyDescent="0.75">
      <c r="A1883" s="58" t="s">
        <v>69</v>
      </c>
      <c r="B1883" s="59">
        <v>44789</v>
      </c>
      <c r="C1883" s="58">
        <v>1</v>
      </c>
      <c r="D1883" s="58" t="s">
        <v>197</v>
      </c>
      <c r="E1883" s="60">
        <f>6-4</f>
        <v>2</v>
      </c>
      <c r="F1883" s="58" t="s">
        <v>363</v>
      </c>
      <c r="G1883" s="58" t="s">
        <v>361</v>
      </c>
    </row>
    <row r="1884" spans="1:11" s="58" customFormat="1" x14ac:dyDescent="0.75">
      <c r="A1884" s="58" t="s">
        <v>69</v>
      </c>
      <c r="B1884" s="59">
        <v>44789</v>
      </c>
      <c r="C1884" s="58">
        <v>1</v>
      </c>
      <c r="D1884" s="58" t="s">
        <v>194</v>
      </c>
      <c r="E1884" s="60">
        <f>4+42-38</f>
        <v>8</v>
      </c>
      <c r="F1884" s="58" t="s">
        <v>363</v>
      </c>
      <c r="G1884" s="58" t="s">
        <v>361</v>
      </c>
    </row>
    <row r="1885" spans="1:11" s="58" customFormat="1" x14ac:dyDescent="0.75">
      <c r="A1885" s="58" t="s">
        <v>69</v>
      </c>
      <c r="B1885" s="59">
        <v>44789</v>
      </c>
      <c r="C1885" s="58">
        <v>1</v>
      </c>
      <c r="D1885" s="58" t="s">
        <v>194</v>
      </c>
      <c r="E1885" s="60">
        <f>38-29</f>
        <v>9</v>
      </c>
      <c r="F1885" s="58" t="s">
        <v>363</v>
      </c>
      <c r="G1885" s="58" t="s">
        <v>361</v>
      </c>
    </row>
    <row r="1886" spans="1:11" s="58" customFormat="1" x14ac:dyDescent="0.75">
      <c r="A1886" s="58" t="s">
        <v>69</v>
      </c>
      <c r="B1886" s="59">
        <v>44789</v>
      </c>
      <c r="C1886" s="58">
        <v>1</v>
      </c>
      <c r="D1886" s="58" t="s">
        <v>194</v>
      </c>
      <c r="E1886" s="60">
        <f>29-24</f>
        <v>5</v>
      </c>
      <c r="F1886" s="58" t="s">
        <v>363</v>
      </c>
      <c r="G1886" s="58" t="s">
        <v>361</v>
      </c>
    </row>
    <row r="1887" spans="1:11" s="58" customFormat="1" x14ac:dyDescent="0.75">
      <c r="A1887" s="58" t="s">
        <v>69</v>
      </c>
      <c r="B1887" s="59">
        <v>44789</v>
      </c>
      <c r="C1887" s="58">
        <v>1</v>
      </c>
      <c r="D1887" s="58" t="s">
        <v>194</v>
      </c>
      <c r="E1887" s="60">
        <f>24-18</f>
        <v>6</v>
      </c>
      <c r="F1887" s="58" t="s">
        <v>363</v>
      </c>
      <c r="G1887" s="58" t="s">
        <v>361</v>
      </c>
    </row>
    <row r="1888" spans="1:11" s="58" customFormat="1" x14ac:dyDescent="0.75">
      <c r="A1888" s="58" t="s">
        <v>69</v>
      </c>
      <c r="B1888" s="59">
        <v>44789</v>
      </c>
      <c r="C1888" s="58">
        <v>1</v>
      </c>
      <c r="D1888" s="58" t="s">
        <v>194</v>
      </c>
      <c r="E1888" s="60">
        <f>18-14</f>
        <v>4</v>
      </c>
      <c r="F1888" s="58" t="s">
        <v>363</v>
      </c>
      <c r="G1888" s="58" t="s">
        <v>361</v>
      </c>
    </row>
    <row r="1889" spans="1:11" s="58" customFormat="1" x14ac:dyDescent="0.75">
      <c r="A1889" s="58" t="s">
        <v>69</v>
      </c>
      <c r="B1889" s="59">
        <v>44789</v>
      </c>
      <c r="C1889" s="58">
        <v>1</v>
      </c>
      <c r="D1889" s="58" t="s">
        <v>194</v>
      </c>
      <c r="E1889" s="60">
        <f>46-44</f>
        <v>2</v>
      </c>
      <c r="F1889" s="58">
        <v>959</v>
      </c>
      <c r="G1889" s="58" t="s">
        <v>374</v>
      </c>
    </row>
    <row r="1890" spans="1:11" s="58" customFormat="1" x14ac:dyDescent="0.75">
      <c r="A1890" s="58" t="s">
        <v>69</v>
      </c>
      <c r="B1890" s="59">
        <v>44789</v>
      </c>
      <c r="C1890" s="58">
        <v>1</v>
      </c>
      <c r="D1890" s="58" t="s">
        <v>197</v>
      </c>
      <c r="E1890" s="60">
        <f>44-35</f>
        <v>9</v>
      </c>
      <c r="F1890" s="58">
        <v>953</v>
      </c>
      <c r="G1890" s="58" t="s">
        <v>374</v>
      </c>
    </row>
    <row r="1891" spans="1:11" s="58" customFormat="1" x14ac:dyDescent="0.75">
      <c r="A1891" s="58" t="s">
        <v>69</v>
      </c>
      <c r="B1891" s="59">
        <v>44789</v>
      </c>
      <c r="C1891" s="58">
        <v>1</v>
      </c>
      <c r="D1891" s="58" t="s">
        <v>201</v>
      </c>
      <c r="E1891" s="60">
        <f>35-30</f>
        <v>5</v>
      </c>
      <c r="F1891" s="58" t="s">
        <v>363</v>
      </c>
      <c r="G1891" s="58" t="s">
        <v>374</v>
      </c>
    </row>
    <row r="1892" spans="1:11" s="58" customFormat="1" x14ac:dyDescent="0.75">
      <c r="A1892" s="58" t="s">
        <v>69</v>
      </c>
      <c r="B1892" s="59">
        <v>44789</v>
      </c>
      <c r="C1892" s="58">
        <v>1</v>
      </c>
      <c r="D1892" s="58" t="s">
        <v>191</v>
      </c>
      <c r="E1892" s="60">
        <f>30-27</f>
        <v>3</v>
      </c>
      <c r="F1892" s="58" t="s">
        <v>363</v>
      </c>
      <c r="G1892" s="58" t="s">
        <v>374</v>
      </c>
    </row>
    <row r="1893" spans="1:11" s="58" customFormat="1" x14ac:dyDescent="0.75">
      <c r="A1893" s="58" t="s">
        <v>69</v>
      </c>
      <c r="B1893" s="59">
        <v>44789</v>
      </c>
      <c r="C1893" s="58">
        <v>1</v>
      </c>
      <c r="D1893" s="58" t="s">
        <v>197</v>
      </c>
      <c r="E1893" s="60">
        <f>27-25</f>
        <v>2</v>
      </c>
      <c r="F1893" s="58">
        <v>909</v>
      </c>
      <c r="G1893" s="58" t="s">
        <v>374</v>
      </c>
    </row>
    <row r="1894" spans="1:11" s="58" customFormat="1" x14ac:dyDescent="0.75">
      <c r="A1894" s="58" t="s">
        <v>69</v>
      </c>
      <c r="B1894" s="59">
        <v>44789</v>
      </c>
      <c r="C1894" s="58">
        <v>1</v>
      </c>
      <c r="D1894" s="58" t="s">
        <v>197</v>
      </c>
      <c r="E1894" s="61">
        <f>25-17</f>
        <v>8</v>
      </c>
      <c r="F1894" s="58">
        <v>960</v>
      </c>
      <c r="G1894" s="58" t="s">
        <v>374</v>
      </c>
      <c r="K1894" s="48" t="s">
        <v>822</v>
      </c>
    </row>
    <row r="1895" spans="1:11" s="58" customFormat="1" x14ac:dyDescent="0.75">
      <c r="A1895" s="58" t="s">
        <v>69</v>
      </c>
      <c r="B1895" s="59">
        <v>44789</v>
      </c>
      <c r="C1895" s="58">
        <v>1</v>
      </c>
      <c r="D1895" s="58" t="s">
        <v>153</v>
      </c>
      <c r="E1895" s="60">
        <f>17-14</f>
        <v>3</v>
      </c>
      <c r="F1895" s="58" t="s">
        <v>363</v>
      </c>
      <c r="G1895" s="58" t="s">
        <v>374</v>
      </c>
    </row>
    <row r="1896" spans="1:11" s="58" customFormat="1" x14ac:dyDescent="0.75">
      <c r="A1896" s="58" t="s">
        <v>69</v>
      </c>
      <c r="B1896" s="59">
        <v>44789</v>
      </c>
      <c r="C1896" s="58">
        <v>1</v>
      </c>
      <c r="D1896" s="58" t="s">
        <v>197</v>
      </c>
      <c r="E1896" s="60">
        <f>1</f>
        <v>1</v>
      </c>
      <c r="F1896" s="58">
        <v>954</v>
      </c>
      <c r="G1896" s="58" t="s">
        <v>374</v>
      </c>
    </row>
    <row r="1897" spans="1:11" s="58" customFormat="1" x14ac:dyDescent="0.75">
      <c r="A1897" s="58" t="s">
        <v>69</v>
      </c>
      <c r="B1897" s="59">
        <v>44789</v>
      </c>
      <c r="C1897" s="58">
        <v>1</v>
      </c>
      <c r="D1897" s="58" t="s">
        <v>197</v>
      </c>
      <c r="E1897" s="60">
        <f>45-19</f>
        <v>26</v>
      </c>
      <c r="F1897" s="58" t="s">
        <v>363</v>
      </c>
      <c r="G1897" s="58" t="s">
        <v>374</v>
      </c>
    </row>
    <row r="1898" spans="1:11" s="58" customFormat="1" x14ac:dyDescent="0.75">
      <c r="A1898" s="58" t="s">
        <v>69</v>
      </c>
      <c r="B1898" s="59">
        <v>44789</v>
      </c>
      <c r="C1898" s="58">
        <v>1</v>
      </c>
      <c r="D1898" s="58" t="s">
        <v>197</v>
      </c>
      <c r="E1898" s="60">
        <f>31-29</f>
        <v>2</v>
      </c>
      <c r="F1898" s="58" t="s">
        <v>363</v>
      </c>
      <c r="G1898" s="58" t="s">
        <v>374</v>
      </c>
    </row>
    <row r="1899" spans="1:11" s="58" customFormat="1" x14ac:dyDescent="0.75">
      <c r="A1899" s="58" t="s">
        <v>69</v>
      </c>
      <c r="B1899" s="59">
        <v>44789</v>
      </c>
      <c r="C1899" s="58">
        <v>1</v>
      </c>
      <c r="D1899" s="58" t="s">
        <v>191</v>
      </c>
      <c r="E1899" s="60">
        <f>38-31</f>
        <v>7</v>
      </c>
      <c r="F1899" s="58" t="s">
        <v>363</v>
      </c>
      <c r="G1899" s="58" t="s">
        <v>374</v>
      </c>
    </row>
    <row r="1900" spans="1:11" s="58" customFormat="1" x14ac:dyDescent="0.75">
      <c r="A1900" s="58" t="s">
        <v>69</v>
      </c>
      <c r="B1900" s="59">
        <v>44789</v>
      </c>
      <c r="C1900" s="58">
        <v>1</v>
      </c>
      <c r="D1900" s="58" t="s">
        <v>191</v>
      </c>
      <c r="E1900" s="60">
        <f>14-9</f>
        <v>5</v>
      </c>
      <c r="F1900" s="58" t="s">
        <v>363</v>
      </c>
      <c r="G1900" s="58" t="s">
        <v>374</v>
      </c>
    </row>
    <row r="1901" spans="1:11" s="58" customFormat="1" x14ac:dyDescent="0.75">
      <c r="A1901" s="58" t="s">
        <v>69</v>
      </c>
      <c r="B1901" s="59">
        <v>44789</v>
      </c>
      <c r="C1901" s="58">
        <v>1</v>
      </c>
      <c r="D1901" s="58" t="s">
        <v>191</v>
      </c>
      <c r="E1901" s="60" t="s">
        <v>363</v>
      </c>
      <c r="F1901" s="58" t="s">
        <v>363</v>
      </c>
      <c r="G1901" s="58" t="s">
        <v>374</v>
      </c>
      <c r="K1901" s="58" t="s">
        <v>821</v>
      </c>
    </row>
    <row r="1902" spans="1:11" s="58" customFormat="1" x14ac:dyDescent="0.75">
      <c r="A1902" s="58" t="s">
        <v>69</v>
      </c>
      <c r="B1902" s="59">
        <v>44789</v>
      </c>
      <c r="C1902" s="58">
        <v>1</v>
      </c>
      <c r="D1902" s="58" t="s">
        <v>194</v>
      </c>
      <c r="E1902" s="60">
        <f>45-41</f>
        <v>4</v>
      </c>
      <c r="F1902" s="58" t="s">
        <v>363</v>
      </c>
      <c r="G1902" s="58" t="s">
        <v>374</v>
      </c>
    </row>
    <row r="1903" spans="1:11" s="58" customFormat="1" x14ac:dyDescent="0.75">
      <c r="A1903" s="58" t="s">
        <v>69</v>
      </c>
      <c r="B1903" s="59">
        <v>44789</v>
      </c>
      <c r="C1903" s="58">
        <v>1</v>
      </c>
      <c r="D1903" s="58" t="s">
        <v>194</v>
      </c>
      <c r="E1903" s="60">
        <f>41-28</f>
        <v>13</v>
      </c>
      <c r="F1903" s="58" t="s">
        <v>363</v>
      </c>
      <c r="G1903" s="58" t="s">
        <v>374</v>
      </c>
    </row>
    <row r="1904" spans="1:11" s="58" customFormat="1" x14ac:dyDescent="0.75">
      <c r="A1904" s="58" t="s">
        <v>69</v>
      </c>
      <c r="B1904" s="59">
        <v>44789</v>
      </c>
      <c r="C1904" s="58">
        <v>1</v>
      </c>
      <c r="D1904" s="58" t="s">
        <v>191</v>
      </c>
      <c r="E1904" s="60">
        <f>28-16</f>
        <v>12</v>
      </c>
      <c r="F1904" s="58" t="s">
        <v>363</v>
      </c>
      <c r="G1904" s="58" t="s">
        <v>374</v>
      </c>
    </row>
    <row r="1905" spans="1:7" s="58" customFormat="1" x14ac:dyDescent="0.75">
      <c r="A1905" s="58" t="s">
        <v>69</v>
      </c>
      <c r="B1905" s="59">
        <v>44789</v>
      </c>
      <c r="C1905" s="58">
        <v>1</v>
      </c>
      <c r="D1905" s="58" t="s">
        <v>197</v>
      </c>
      <c r="E1905" s="60">
        <f>16-13</f>
        <v>3</v>
      </c>
      <c r="F1905" s="58" t="s">
        <v>363</v>
      </c>
      <c r="G1905" s="58" t="s">
        <v>374</v>
      </c>
    </row>
    <row r="1906" spans="1:7" s="58" customFormat="1" x14ac:dyDescent="0.75">
      <c r="A1906" s="58" t="s">
        <v>69</v>
      </c>
      <c r="B1906" s="59">
        <v>44789</v>
      </c>
      <c r="C1906" s="58">
        <v>1</v>
      </c>
      <c r="D1906" s="58" t="s">
        <v>197</v>
      </c>
      <c r="E1906" s="60">
        <f>13-6</f>
        <v>7</v>
      </c>
      <c r="F1906" s="58" t="s">
        <v>363</v>
      </c>
      <c r="G1906" s="58" t="s">
        <v>374</v>
      </c>
    </row>
    <row r="1907" spans="1:7" s="58" customFormat="1" x14ac:dyDescent="0.75">
      <c r="A1907" s="58" t="s">
        <v>69</v>
      </c>
      <c r="B1907" s="59">
        <v>44789</v>
      </c>
      <c r="C1907" s="58">
        <v>1</v>
      </c>
      <c r="D1907" s="58" t="s">
        <v>201</v>
      </c>
      <c r="E1907" s="60">
        <f>6-1</f>
        <v>5</v>
      </c>
      <c r="F1907" s="58" t="s">
        <v>363</v>
      </c>
      <c r="G1907" s="58" t="s">
        <v>374</v>
      </c>
    </row>
    <row r="1908" spans="1:7" s="58" customFormat="1" x14ac:dyDescent="0.75">
      <c r="A1908" s="58" t="s">
        <v>69</v>
      </c>
      <c r="B1908" s="59">
        <v>44789</v>
      </c>
      <c r="C1908" s="58">
        <v>1</v>
      </c>
      <c r="D1908" s="58" t="s">
        <v>194</v>
      </c>
      <c r="E1908" s="60">
        <f>45-38</f>
        <v>7</v>
      </c>
      <c r="F1908" s="58" t="s">
        <v>363</v>
      </c>
      <c r="G1908" s="58" t="s">
        <v>374</v>
      </c>
    </row>
    <row r="1909" spans="1:7" x14ac:dyDescent="0.75">
      <c r="A1909" t="s">
        <v>69</v>
      </c>
      <c r="B1909" s="3">
        <v>44789</v>
      </c>
      <c r="C1909">
        <v>2</v>
      </c>
      <c r="D1909" t="s">
        <v>191</v>
      </c>
      <c r="E1909" s="22">
        <f>38-6</f>
        <v>32</v>
      </c>
      <c r="F1909" t="s">
        <v>363</v>
      </c>
      <c r="G1909" t="s">
        <v>733</v>
      </c>
    </row>
    <row r="1910" spans="1:7" x14ac:dyDescent="0.75">
      <c r="A1910" t="s">
        <v>69</v>
      </c>
      <c r="B1910" s="3">
        <v>44789</v>
      </c>
      <c r="C1910">
        <v>2</v>
      </c>
      <c r="D1910" t="s">
        <v>191</v>
      </c>
      <c r="E1910" s="22">
        <f>6-2</f>
        <v>4</v>
      </c>
      <c r="F1910" t="s">
        <v>363</v>
      </c>
      <c r="G1910" t="s">
        <v>733</v>
      </c>
    </row>
    <row r="1911" spans="1:7" x14ac:dyDescent="0.75">
      <c r="A1911" t="s">
        <v>69</v>
      </c>
      <c r="B1911" s="3">
        <v>44789</v>
      </c>
      <c r="C1911">
        <v>2</v>
      </c>
      <c r="D1911" t="s">
        <v>194</v>
      </c>
      <c r="E1911" s="22">
        <f>2+41-23</f>
        <v>20</v>
      </c>
      <c r="F1911" t="s">
        <v>363</v>
      </c>
      <c r="G1911" t="s">
        <v>733</v>
      </c>
    </row>
    <row r="1912" spans="1:7" x14ac:dyDescent="0.75">
      <c r="A1912" t="s">
        <v>69</v>
      </c>
      <c r="B1912" s="3">
        <v>44789</v>
      </c>
      <c r="C1912">
        <v>2</v>
      </c>
      <c r="D1912" t="s">
        <v>191</v>
      </c>
      <c r="E1912" s="22">
        <f>23+40-37</f>
        <v>26</v>
      </c>
      <c r="F1912" t="s">
        <v>363</v>
      </c>
      <c r="G1912" t="s">
        <v>733</v>
      </c>
    </row>
    <row r="1913" spans="1:7" x14ac:dyDescent="0.75">
      <c r="A1913" t="s">
        <v>69</v>
      </c>
      <c r="B1913" s="3">
        <v>44789</v>
      </c>
      <c r="C1913">
        <v>2</v>
      </c>
      <c r="D1913" t="s">
        <v>201</v>
      </c>
      <c r="E1913" s="22">
        <f>37-33</f>
        <v>4</v>
      </c>
      <c r="F1913" t="s">
        <v>363</v>
      </c>
      <c r="G1913" t="s">
        <v>733</v>
      </c>
    </row>
    <row r="1914" spans="1:7" x14ac:dyDescent="0.75">
      <c r="A1914" t="s">
        <v>69</v>
      </c>
      <c r="B1914" s="3">
        <v>44789</v>
      </c>
      <c r="C1914">
        <v>2</v>
      </c>
      <c r="D1914" t="s">
        <v>194</v>
      </c>
      <c r="E1914" s="22">
        <f>33-25</f>
        <v>8</v>
      </c>
      <c r="F1914" t="s">
        <v>363</v>
      </c>
      <c r="G1914" t="s">
        <v>733</v>
      </c>
    </row>
    <row r="1915" spans="1:7" x14ac:dyDescent="0.75">
      <c r="A1915" t="s">
        <v>69</v>
      </c>
      <c r="B1915" s="3">
        <v>44789</v>
      </c>
      <c r="C1915">
        <v>2</v>
      </c>
      <c r="D1915" t="s">
        <v>207</v>
      </c>
      <c r="E1915" s="22">
        <f>25-22</f>
        <v>3</v>
      </c>
      <c r="F1915" t="s">
        <v>363</v>
      </c>
      <c r="G1915" t="s">
        <v>733</v>
      </c>
    </row>
    <row r="1916" spans="1:7" x14ac:dyDescent="0.75">
      <c r="A1916" t="s">
        <v>69</v>
      </c>
      <c r="B1916" s="3">
        <v>44789</v>
      </c>
      <c r="C1916">
        <v>2</v>
      </c>
      <c r="D1916" t="s">
        <v>207</v>
      </c>
      <c r="E1916" s="22">
        <f>22-7</f>
        <v>15</v>
      </c>
      <c r="F1916" t="s">
        <v>363</v>
      </c>
      <c r="G1916" t="s">
        <v>733</v>
      </c>
    </row>
    <row r="1917" spans="1:7" x14ac:dyDescent="0.75">
      <c r="A1917" t="s">
        <v>69</v>
      </c>
      <c r="B1917" s="3">
        <v>44789</v>
      </c>
      <c r="C1917">
        <v>2</v>
      </c>
      <c r="D1917" t="s">
        <v>180</v>
      </c>
      <c r="E1917" s="22">
        <f>7-2</f>
        <v>5</v>
      </c>
      <c r="F1917" t="s">
        <v>363</v>
      </c>
      <c r="G1917" t="s">
        <v>733</v>
      </c>
    </row>
    <row r="1918" spans="1:7" x14ac:dyDescent="0.75">
      <c r="A1918" t="s">
        <v>69</v>
      </c>
      <c r="B1918" s="3">
        <v>44789</v>
      </c>
      <c r="C1918">
        <v>2</v>
      </c>
      <c r="D1918" t="s">
        <v>191</v>
      </c>
      <c r="E1918" s="22">
        <f>43-36</f>
        <v>7</v>
      </c>
      <c r="F1918" t="s">
        <v>363</v>
      </c>
      <c r="G1918" t="s">
        <v>361</v>
      </c>
    </row>
    <row r="1919" spans="1:7" x14ac:dyDescent="0.75">
      <c r="A1919" t="s">
        <v>69</v>
      </c>
      <c r="B1919" s="3">
        <v>44789</v>
      </c>
      <c r="C1919">
        <v>2</v>
      </c>
      <c r="D1919" t="s">
        <v>191</v>
      </c>
      <c r="E1919" s="22">
        <f>36-32</f>
        <v>4</v>
      </c>
      <c r="F1919" t="s">
        <v>363</v>
      </c>
      <c r="G1919" t="s">
        <v>361</v>
      </c>
    </row>
    <row r="1920" spans="1:7" x14ac:dyDescent="0.75">
      <c r="A1920" t="s">
        <v>69</v>
      </c>
      <c r="B1920" s="3">
        <v>44789</v>
      </c>
      <c r="C1920">
        <v>2</v>
      </c>
      <c r="D1920" t="s">
        <v>199</v>
      </c>
      <c r="E1920" s="22">
        <f>32-30</f>
        <v>2</v>
      </c>
      <c r="F1920" t="s">
        <v>363</v>
      </c>
      <c r="G1920" t="s">
        <v>361</v>
      </c>
    </row>
    <row r="1921" spans="1:11" x14ac:dyDescent="0.75">
      <c r="A1921" t="s">
        <v>69</v>
      </c>
      <c r="B1921" s="3">
        <v>44789</v>
      </c>
      <c r="C1921">
        <v>2</v>
      </c>
      <c r="D1921" t="s">
        <v>191</v>
      </c>
      <c r="E1921" s="22">
        <f>30-14</f>
        <v>16</v>
      </c>
      <c r="F1921" t="s">
        <v>363</v>
      </c>
      <c r="G1921" t="s">
        <v>361</v>
      </c>
    </row>
    <row r="1922" spans="1:11" x14ac:dyDescent="0.75">
      <c r="A1922" t="s">
        <v>69</v>
      </c>
      <c r="B1922" s="3">
        <v>44789</v>
      </c>
      <c r="C1922">
        <v>2</v>
      </c>
      <c r="D1922" t="s">
        <v>191</v>
      </c>
      <c r="E1922" s="22">
        <f>14-12</f>
        <v>2</v>
      </c>
      <c r="F1922" t="s">
        <v>363</v>
      </c>
      <c r="G1922" t="s">
        <v>361</v>
      </c>
    </row>
    <row r="1923" spans="1:11" x14ac:dyDescent="0.75">
      <c r="A1923" t="s">
        <v>69</v>
      </c>
      <c r="B1923" s="3">
        <v>44789</v>
      </c>
      <c r="C1923">
        <v>2</v>
      </c>
      <c r="D1923" t="s">
        <v>191</v>
      </c>
      <c r="E1923" s="22">
        <f>12-5</f>
        <v>7</v>
      </c>
      <c r="F1923" t="s">
        <v>363</v>
      </c>
      <c r="G1923" t="s">
        <v>361</v>
      </c>
    </row>
    <row r="1924" spans="1:11" x14ac:dyDescent="0.75">
      <c r="A1924" t="s">
        <v>69</v>
      </c>
      <c r="B1924" s="3">
        <v>44789</v>
      </c>
      <c r="C1924">
        <v>2</v>
      </c>
      <c r="D1924" t="s">
        <v>191</v>
      </c>
      <c r="E1924" s="22" t="s">
        <v>363</v>
      </c>
      <c r="F1924" t="s">
        <v>363</v>
      </c>
      <c r="G1924" t="s">
        <v>374</v>
      </c>
      <c r="K1924" t="s">
        <v>823</v>
      </c>
    </row>
    <row r="1925" spans="1:11" x14ac:dyDescent="0.75">
      <c r="A1925" t="s">
        <v>69</v>
      </c>
      <c r="B1925" s="3">
        <v>44789</v>
      </c>
      <c r="C1925">
        <v>2</v>
      </c>
      <c r="D1925" t="s">
        <v>191</v>
      </c>
      <c r="E1925" s="22">
        <f>31-27</f>
        <v>4</v>
      </c>
      <c r="F1925" t="s">
        <v>363</v>
      </c>
      <c r="G1925" t="s">
        <v>374</v>
      </c>
    </row>
    <row r="1926" spans="1:11" x14ac:dyDescent="0.75">
      <c r="A1926" t="s">
        <v>69</v>
      </c>
      <c r="B1926" s="3">
        <v>44789</v>
      </c>
      <c r="C1926">
        <v>2</v>
      </c>
      <c r="D1926" t="s">
        <v>164</v>
      </c>
      <c r="E1926" s="22">
        <f>27-21</f>
        <v>6</v>
      </c>
      <c r="F1926" t="s">
        <v>363</v>
      </c>
      <c r="G1926" t="s">
        <v>374</v>
      </c>
      <c r="K1926" t="s">
        <v>803</v>
      </c>
    </row>
    <row r="1927" spans="1:11" x14ac:dyDescent="0.75">
      <c r="A1927" t="s">
        <v>69</v>
      </c>
      <c r="B1927" s="3">
        <v>44789</v>
      </c>
      <c r="C1927">
        <v>2</v>
      </c>
      <c r="D1927" t="s">
        <v>191</v>
      </c>
      <c r="E1927" s="22">
        <f>21-13</f>
        <v>8</v>
      </c>
      <c r="F1927" t="s">
        <v>363</v>
      </c>
      <c r="G1927" t="s">
        <v>374</v>
      </c>
    </row>
    <row r="1928" spans="1:11" x14ac:dyDescent="0.75">
      <c r="A1928" t="s">
        <v>69</v>
      </c>
      <c r="B1928" s="3">
        <v>44789</v>
      </c>
      <c r="C1928">
        <v>2</v>
      </c>
      <c r="D1928" t="s">
        <v>215</v>
      </c>
      <c r="E1928" s="22">
        <f>13-11</f>
        <v>2</v>
      </c>
      <c r="F1928" t="s">
        <v>363</v>
      </c>
      <c r="G1928" t="s">
        <v>374</v>
      </c>
    </row>
    <row r="1929" spans="1:11" x14ac:dyDescent="0.75">
      <c r="A1929" t="s">
        <v>69</v>
      </c>
      <c r="B1929" s="3">
        <v>44789</v>
      </c>
      <c r="C1929">
        <v>2</v>
      </c>
      <c r="D1929" t="s">
        <v>197</v>
      </c>
      <c r="E1929" s="22">
        <f>11-3</f>
        <v>8</v>
      </c>
      <c r="F1929" t="s">
        <v>363</v>
      </c>
      <c r="G1929" t="s">
        <v>374</v>
      </c>
      <c r="K1929" t="s">
        <v>803</v>
      </c>
    </row>
    <row r="1930" spans="1:11" x14ac:dyDescent="0.75">
      <c r="A1930" t="s">
        <v>69</v>
      </c>
      <c r="B1930" s="3">
        <v>44789</v>
      </c>
      <c r="C1930">
        <v>2</v>
      </c>
      <c r="D1930" t="s">
        <v>201</v>
      </c>
      <c r="E1930" s="22">
        <f>3</f>
        <v>3</v>
      </c>
      <c r="F1930" t="s">
        <v>363</v>
      </c>
      <c r="G1930" t="s">
        <v>374</v>
      </c>
    </row>
    <row r="1931" spans="1:11" x14ac:dyDescent="0.75">
      <c r="A1931" t="s">
        <v>69</v>
      </c>
      <c r="B1931" s="3">
        <v>44789</v>
      </c>
      <c r="C1931">
        <v>2</v>
      </c>
      <c r="D1931" t="s">
        <v>207</v>
      </c>
      <c r="E1931" s="22">
        <f>59-56</f>
        <v>3</v>
      </c>
      <c r="F1931" t="s">
        <v>363</v>
      </c>
      <c r="G1931" t="s">
        <v>374</v>
      </c>
    </row>
    <row r="1932" spans="1:11" x14ac:dyDescent="0.75">
      <c r="A1932" t="s">
        <v>69</v>
      </c>
      <c r="B1932" s="3">
        <v>44789</v>
      </c>
      <c r="C1932">
        <v>2</v>
      </c>
      <c r="D1932" t="s">
        <v>194</v>
      </c>
      <c r="E1932" s="22">
        <f>14-6</f>
        <v>8</v>
      </c>
      <c r="F1932" t="s">
        <v>363</v>
      </c>
      <c r="G1932" t="s">
        <v>374</v>
      </c>
    </row>
    <row r="1933" spans="1:11" x14ac:dyDescent="0.75">
      <c r="A1933" t="s">
        <v>69</v>
      </c>
      <c r="B1933" s="3">
        <v>44789</v>
      </c>
      <c r="C1933">
        <v>2</v>
      </c>
      <c r="D1933" t="s">
        <v>191</v>
      </c>
      <c r="E1933" s="22">
        <f>16-15</f>
        <v>1</v>
      </c>
      <c r="F1933" t="s">
        <v>363</v>
      </c>
      <c r="G1933" t="s">
        <v>374</v>
      </c>
    </row>
    <row r="1934" spans="1:11" x14ac:dyDescent="0.75">
      <c r="A1934" t="s">
        <v>69</v>
      </c>
      <c r="B1934" s="3">
        <v>44789</v>
      </c>
      <c r="C1934">
        <v>2</v>
      </c>
      <c r="D1934" t="s">
        <v>191</v>
      </c>
      <c r="E1934" s="22">
        <f>20-16</f>
        <v>4</v>
      </c>
      <c r="F1934" t="s">
        <v>363</v>
      </c>
      <c r="G1934" t="s">
        <v>374</v>
      </c>
    </row>
    <row r="1935" spans="1:11" x14ac:dyDescent="0.75">
      <c r="A1935" t="s">
        <v>69</v>
      </c>
      <c r="B1935" s="3">
        <v>44789</v>
      </c>
      <c r="C1935">
        <v>2</v>
      </c>
      <c r="D1935" t="s">
        <v>197</v>
      </c>
      <c r="E1935" s="22">
        <f>32-20</f>
        <v>12</v>
      </c>
      <c r="F1935" t="s">
        <v>363</v>
      </c>
      <c r="G1935" t="s">
        <v>374</v>
      </c>
    </row>
    <row r="1936" spans="1:11" x14ac:dyDescent="0.75">
      <c r="A1936" t="s">
        <v>69</v>
      </c>
      <c r="B1936" s="3">
        <v>44789</v>
      </c>
      <c r="C1936">
        <v>2</v>
      </c>
      <c r="D1936" t="s">
        <v>191</v>
      </c>
      <c r="E1936" s="22">
        <f>38-32</f>
        <v>6</v>
      </c>
      <c r="F1936" t="s">
        <v>363</v>
      </c>
      <c r="G1936" t="s">
        <v>374</v>
      </c>
    </row>
    <row r="1937" spans="1:11" x14ac:dyDescent="0.75">
      <c r="A1937" t="s">
        <v>69</v>
      </c>
      <c r="B1937" s="3">
        <v>44789</v>
      </c>
      <c r="C1937">
        <v>2</v>
      </c>
      <c r="D1937" t="s">
        <v>191</v>
      </c>
      <c r="E1937" s="22">
        <f>50-38</f>
        <v>12</v>
      </c>
      <c r="F1937" t="s">
        <v>363</v>
      </c>
      <c r="G1937" t="s">
        <v>374</v>
      </c>
    </row>
    <row r="1938" spans="1:11" x14ac:dyDescent="0.75">
      <c r="A1938" t="s">
        <v>69</v>
      </c>
      <c r="B1938" s="3">
        <v>44789</v>
      </c>
      <c r="C1938">
        <v>2</v>
      </c>
      <c r="D1938" t="s">
        <v>199</v>
      </c>
      <c r="E1938" s="22">
        <f>51-50</f>
        <v>1</v>
      </c>
      <c r="F1938" t="s">
        <v>363</v>
      </c>
      <c r="G1938" t="s">
        <v>374</v>
      </c>
    </row>
    <row r="1939" spans="1:11" x14ac:dyDescent="0.75">
      <c r="A1939" t="s">
        <v>69</v>
      </c>
      <c r="B1939" s="3">
        <v>44789</v>
      </c>
      <c r="C1939">
        <v>2</v>
      </c>
      <c r="D1939" t="s">
        <v>194</v>
      </c>
      <c r="E1939" s="22">
        <f>56-54</f>
        <v>2</v>
      </c>
      <c r="F1939" t="s">
        <v>363</v>
      </c>
      <c r="G1939" t="s">
        <v>374</v>
      </c>
    </row>
    <row r="1940" spans="1:11" x14ac:dyDescent="0.75">
      <c r="A1940" t="s">
        <v>69</v>
      </c>
      <c r="B1940" s="3">
        <v>44789</v>
      </c>
      <c r="C1940">
        <v>2</v>
      </c>
      <c r="D1940" t="s">
        <v>207</v>
      </c>
      <c r="E1940" s="22">
        <f>54-53</f>
        <v>1</v>
      </c>
      <c r="F1940" t="s">
        <v>363</v>
      </c>
      <c r="G1940" t="s">
        <v>374</v>
      </c>
    </row>
    <row r="1941" spans="1:11" x14ac:dyDescent="0.75">
      <c r="A1941" t="s">
        <v>69</v>
      </c>
      <c r="B1941" s="3">
        <v>44789</v>
      </c>
      <c r="C1941">
        <v>2</v>
      </c>
      <c r="D1941" t="s">
        <v>207</v>
      </c>
      <c r="E1941" s="22">
        <f>53-48</f>
        <v>5</v>
      </c>
      <c r="F1941" t="s">
        <v>363</v>
      </c>
      <c r="G1941" t="s">
        <v>374</v>
      </c>
    </row>
    <row r="1942" spans="1:11" x14ac:dyDescent="0.75">
      <c r="A1942" t="s">
        <v>69</v>
      </c>
      <c r="B1942" s="3">
        <v>44789</v>
      </c>
      <c r="C1942">
        <v>2</v>
      </c>
      <c r="D1942" t="s">
        <v>191</v>
      </c>
      <c r="E1942" s="22">
        <f>48-39</f>
        <v>9</v>
      </c>
      <c r="F1942" t="s">
        <v>363</v>
      </c>
      <c r="G1942" t="s">
        <v>374</v>
      </c>
    </row>
    <row r="1943" spans="1:11" x14ac:dyDescent="0.75">
      <c r="A1943" t="s">
        <v>69</v>
      </c>
      <c r="B1943" s="3">
        <v>44789</v>
      </c>
      <c r="C1943">
        <v>2</v>
      </c>
      <c r="D1943" t="s">
        <v>207</v>
      </c>
      <c r="E1943" s="22">
        <f>39-18</f>
        <v>21</v>
      </c>
      <c r="F1943" t="s">
        <v>363</v>
      </c>
      <c r="G1943" t="s">
        <v>374</v>
      </c>
    </row>
    <row r="1944" spans="1:11" x14ac:dyDescent="0.75">
      <c r="A1944" t="s">
        <v>69</v>
      </c>
      <c r="B1944" s="3">
        <v>44789</v>
      </c>
      <c r="C1944">
        <v>2</v>
      </c>
      <c r="D1944" t="s">
        <v>191</v>
      </c>
      <c r="E1944" s="22">
        <f>18-8</f>
        <v>10</v>
      </c>
      <c r="F1944" t="s">
        <v>363</v>
      </c>
      <c r="G1944" t="s">
        <v>374</v>
      </c>
    </row>
    <row r="1945" spans="1:11" x14ac:dyDescent="0.75">
      <c r="A1945" t="s">
        <v>69</v>
      </c>
      <c r="B1945" s="3">
        <v>44789</v>
      </c>
      <c r="C1945">
        <v>2</v>
      </c>
      <c r="D1945" t="s">
        <v>207</v>
      </c>
      <c r="E1945" s="22">
        <f>7-4</f>
        <v>3</v>
      </c>
      <c r="F1945" t="s">
        <v>363</v>
      </c>
      <c r="G1945" t="s">
        <v>374</v>
      </c>
    </row>
    <row r="1946" spans="1:11" x14ac:dyDescent="0.75">
      <c r="A1946" t="s">
        <v>69</v>
      </c>
      <c r="B1946" s="3">
        <v>44789</v>
      </c>
      <c r="C1946">
        <v>2</v>
      </c>
      <c r="D1946" t="s">
        <v>191</v>
      </c>
      <c r="E1946" s="22">
        <f>4+59-51</f>
        <v>12</v>
      </c>
      <c r="F1946" t="s">
        <v>363</v>
      </c>
      <c r="G1946" t="s">
        <v>374</v>
      </c>
      <c r="K1946" t="s">
        <v>798</v>
      </c>
    </row>
    <row r="1947" spans="1:11" s="23" customFormat="1" x14ac:dyDescent="0.75">
      <c r="A1947" s="23" t="s">
        <v>69</v>
      </c>
      <c r="B1947" s="24">
        <v>44789</v>
      </c>
      <c r="C1947" s="23">
        <v>3</v>
      </c>
      <c r="D1947" s="23" t="s">
        <v>207</v>
      </c>
      <c r="E1947" s="52">
        <f>41-35</f>
        <v>6</v>
      </c>
      <c r="F1947" s="23" t="s">
        <v>363</v>
      </c>
      <c r="G1947" s="23" t="s">
        <v>733</v>
      </c>
    </row>
    <row r="1948" spans="1:11" s="23" customFormat="1" x14ac:dyDescent="0.75">
      <c r="A1948" s="23" t="s">
        <v>69</v>
      </c>
      <c r="B1948" s="24">
        <v>44789</v>
      </c>
      <c r="C1948" s="23">
        <v>3</v>
      </c>
      <c r="D1948" s="23" t="s">
        <v>197</v>
      </c>
      <c r="E1948" s="52">
        <f>35-22</f>
        <v>13</v>
      </c>
      <c r="F1948" s="23" t="s">
        <v>363</v>
      </c>
      <c r="G1948" s="23" t="s">
        <v>733</v>
      </c>
    </row>
    <row r="1949" spans="1:11" s="23" customFormat="1" x14ac:dyDescent="0.75">
      <c r="A1949" s="23" t="s">
        <v>69</v>
      </c>
      <c r="B1949" s="24">
        <v>44789</v>
      </c>
      <c r="C1949" s="23">
        <v>3</v>
      </c>
      <c r="D1949" s="23" t="s">
        <v>207</v>
      </c>
      <c r="E1949" s="61">
        <f>22-15</f>
        <v>7</v>
      </c>
      <c r="F1949" s="23" t="s">
        <v>363</v>
      </c>
      <c r="G1949" s="23" t="s">
        <v>733</v>
      </c>
      <c r="K1949" s="48" t="s">
        <v>824</v>
      </c>
    </row>
    <row r="1950" spans="1:11" s="23" customFormat="1" x14ac:dyDescent="0.75">
      <c r="A1950" s="23" t="s">
        <v>69</v>
      </c>
      <c r="B1950" s="24">
        <v>44789</v>
      </c>
      <c r="C1950" s="23">
        <v>3</v>
      </c>
      <c r="D1950" s="23" t="s">
        <v>172</v>
      </c>
      <c r="E1950" s="52">
        <f>15-5</f>
        <v>10</v>
      </c>
      <c r="F1950" s="23" t="s">
        <v>363</v>
      </c>
      <c r="G1950" s="23" t="s">
        <v>733</v>
      </c>
    </row>
    <row r="1951" spans="1:11" s="23" customFormat="1" x14ac:dyDescent="0.75">
      <c r="A1951" s="23" t="s">
        <v>69</v>
      </c>
      <c r="B1951" s="24">
        <v>44789</v>
      </c>
      <c r="C1951" s="23">
        <v>3</v>
      </c>
      <c r="D1951" s="23" t="s">
        <v>201</v>
      </c>
      <c r="E1951" s="52">
        <f>5+41-24</f>
        <v>22</v>
      </c>
      <c r="F1951" s="23" t="s">
        <v>363</v>
      </c>
      <c r="G1951" s="23" t="s">
        <v>733</v>
      </c>
    </row>
    <row r="1952" spans="1:11" s="23" customFormat="1" x14ac:dyDescent="0.75">
      <c r="A1952" s="23" t="s">
        <v>69</v>
      </c>
      <c r="B1952" s="24">
        <v>44789</v>
      </c>
      <c r="C1952" s="23">
        <v>3</v>
      </c>
      <c r="D1952" s="23" t="s">
        <v>172</v>
      </c>
      <c r="E1952" s="52">
        <f>5</f>
        <v>5</v>
      </c>
      <c r="F1952" s="23" t="s">
        <v>363</v>
      </c>
      <c r="G1952" s="23" t="s">
        <v>361</v>
      </c>
    </row>
    <row r="1953" spans="1:11" s="23" customFormat="1" x14ac:dyDescent="0.75">
      <c r="A1953" s="23" t="s">
        <v>69</v>
      </c>
      <c r="B1953" s="24">
        <v>44789</v>
      </c>
      <c r="C1953" s="23">
        <v>3</v>
      </c>
      <c r="D1953" s="23" t="s">
        <v>172</v>
      </c>
      <c r="E1953" s="52">
        <f>1</f>
        <v>1</v>
      </c>
      <c r="F1953" s="23" t="s">
        <v>363</v>
      </c>
      <c r="G1953" s="23" t="s">
        <v>361</v>
      </c>
    </row>
    <row r="1954" spans="1:11" s="23" customFormat="1" x14ac:dyDescent="0.75">
      <c r="A1954" s="23" t="s">
        <v>69</v>
      </c>
      <c r="B1954" s="24">
        <v>44789</v>
      </c>
      <c r="C1954" s="23">
        <v>3</v>
      </c>
      <c r="D1954" s="23" t="s">
        <v>172</v>
      </c>
      <c r="E1954" s="52">
        <f>42-38</f>
        <v>4</v>
      </c>
      <c r="F1954" s="23" t="s">
        <v>363</v>
      </c>
      <c r="G1954" s="23" t="s">
        <v>361</v>
      </c>
    </row>
    <row r="1955" spans="1:11" s="23" customFormat="1" x14ac:dyDescent="0.75">
      <c r="A1955" s="23" t="s">
        <v>69</v>
      </c>
      <c r="B1955" s="24">
        <v>44789</v>
      </c>
      <c r="C1955" s="23">
        <v>3</v>
      </c>
      <c r="D1955" s="23" t="s">
        <v>197</v>
      </c>
      <c r="E1955" s="52">
        <f>38-35</f>
        <v>3</v>
      </c>
      <c r="F1955" s="23" t="s">
        <v>363</v>
      </c>
      <c r="G1955" s="23" t="s">
        <v>361</v>
      </c>
    </row>
    <row r="1956" spans="1:11" s="23" customFormat="1" x14ac:dyDescent="0.75">
      <c r="A1956" s="23" t="s">
        <v>69</v>
      </c>
      <c r="B1956" s="24">
        <v>44789</v>
      </c>
      <c r="C1956" s="23">
        <v>3</v>
      </c>
      <c r="D1956" s="23" t="s">
        <v>191</v>
      </c>
      <c r="E1956" s="52">
        <f>35-25</f>
        <v>10</v>
      </c>
      <c r="F1956" s="23" t="s">
        <v>363</v>
      </c>
      <c r="G1956" s="23" t="s">
        <v>361</v>
      </c>
      <c r="K1956" s="23" t="s">
        <v>825</v>
      </c>
    </row>
    <row r="1957" spans="1:11" s="23" customFormat="1" x14ac:dyDescent="0.75">
      <c r="A1957" s="23" t="s">
        <v>69</v>
      </c>
      <c r="B1957" s="24">
        <v>44789</v>
      </c>
      <c r="C1957" s="23">
        <v>3</v>
      </c>
      <c r="D1957" s="23" t="s">
        <v>168</v>
      </c>
      <c r="E1957" s="52">
        <f>25-23</f>
        <v>2</v>
      </c>
      <c r="F1957" s="23" t="s">
        <v>363</v>
      </c>
      <c r="G1957" s="23" t="s">
        <v>361</v>
      </c>
    </row>
    <row r="1958" spans="1:11" s="23" customFormat="1" x14ac:dyDescent="0.75">
      <c r="A1958" s="23" t="s">
        <v>69</v>
      </c>
      <c r="B1958" s="24">
        <v>44789</v>
      </c>
      <c r="C1958" s="23">
        <v>3</v>
      </c>
      <c r="D1958" s="23" t="s">
        <v>172</v>
      </c>
      <c r="E1958" s="52">
        <f>23-21</f>
        <v>2</v>
      </c>
      <c r="F1958" s="23" t="s">
        <v>363</v>
      </c>
      <c r="G1958" s="23" t="s">
        <v>361</v>
      </c>
    </row>
    <row r="1959" spans="1:11" s="23" customFormat="1" x14ac:dyDescent="0.75">
      <c r="A1959" s="23" t="s">
        <v>69</v>
      </c>
      <c r="B1959" s="24">
        <v>44789</v>
      </c>
      <c r="C1959" s="23">
        <v>3</v>
      </c>
      <c r="D1959" s="23" t="s">
        <v>172</v>
      </c>
      <c r="E1959" s="52">
        <f>21-20</f>
        <v>1</v>
      </c>
      <c r="F1959" s="23" t="s">
        <v>363</v>
      </c>
      <c r="G1959" s="23" t="s">
        <v>361</v>
      </c>
    </row>
    <row r="1960" spans="1:11" s="23" customFormat="1" x14ac:dyDescent="0.75">
      <c r="A1960" s="23" t="s">
        <v>69</v>
      </c>
      <c r="B1960" s="24">
        <v>44789</v>
      </c>
      <c r="C1960" s="23">
        <v>3</v>
      </c>
      <c r="D1960" s="23" t="s">
        <v>172</v>
      </c>
      <c r="E1960" s="52">
        <f>20-14</f>
        <v>6</v>
      </c>
      <c r="F1960" s="23" t="s">
        <v>363</v>
      </c>
      <c r="G1960" s="23" t="s">
        <v>361</v>
      </c>
    </row>
    <row r="1961" spans="1:11" s="23" customFormat="1" x14ac:dyDescent="0.75">
      <c r="A1961" s="23" t="s">
        <v>69</v>
      </c>
      <c r="B1961" s="24">
        <v>44789</v>
      </c>
      <c r="C1961" s="23">
        <v>3</v>
      </c>
      <c r="D1961" s="23" t="s">
        <v>207</v>
      </c>
      <c r="E1961" s="52">
        <f>65-53</f>
        <v>12</v>
      </c>
      <c r="F1961" s="23" t="s">
        <v>363</v>
      </c>
      <c r="G1961" s="23" t="s">
        <v>374</v>
      </c>
    </row>
    <row r="1962" spans="1:11" s="23" customFormat="1" x14ac:dyDescent="0.75">
      <c r="A1962" s="23" t="s">
        <v>69</v>
      </c>
      <c r="B1962" s="24">
        <v>44789</v>
      </c>
      <c r="C1962" s="23">
        <v>3</v>
      </c>
      <c r="D1962" s="23" t="s">
        <v>172</v>
      </c>
      <c r="E1962" s="52">
        <f>53-52</f>
        <v>1</v>
      </c>
      <c r="F1962" s="23" t="s">
        <v>363</v>
      </c>
      <c r="G1962" s="23" t="s">
        <v>374</v>
      </c>
    </row>
    <row r="1963" spans="1:11" s="23" customFormat="1" x14ac:dyDescent="0.75">
      <c r="A1963" s="23" t="s">
        <v>69</v>
      </c>
      <c r="B1963" s="24">
        <v>44789</v>
      </c>
      <c r="C1963" s="23">
        <v>3</v>
      </c>
      <c r="D1963" s="23" t="s">
        <v>168</v>
      </c>
      <c r="E1963" s="52">
        <f>52-50</f>
        <v>2</v>
      </c>
      <c r="F1963" s="23" t="s">
        <v>363</v>
      </c>
      <c r="G1963" s="23" t="s">
        <v>374</v>
      </c>
    </row>
    <row r="1964" spans="1:11" s="23" customFormat="1" x14ac:dyDescent="0.75">
      <c r="A1964" s="23" t="s">
        <v>69</v>
      </c>
      <c r="B1964" s="24">
        <v>44789</v>
      </c>
      <c r="C1964" s="23">
        <v>3</v>
      </c>
      <c r="D1964" s="23" t="s">
        <v>197</v>
      </c>
      <c r="E1964" s="52">
        <f>50-26</f>
        <v>24</v>
      </c>
      <c r="F1964" s="23" t="s">
        <v>363</v>
      </c>
      <c r="G1964" s="23" t="s">
        <v>374</v>
      </c>
    </row>
    <row r="1965" spans="1:11" s="23" customFormat="1" x14ac:dyDescent="0.75">
      <c r="A1965" s="23" t="s">
        <v>69</v>
      </c>
      <c r="B1965" s="24">
        <v>44789</v>
      </c>
      <c r="C1965" s="23">
        <v>3</v>
      </c>
      <c r="D1965" s="23" t="s">
        <v>168</v>
      </c>
      <c r="E1965" s="52">
        <f>26-22</f>
        <v>4</v>
      </c>
      <c r="F1965" s="23" t="s">
        <v>363</v>
      </c>
      <c r="G1965" s="23" t="s">
        <v>374</v>
      </c>
    </row>
    <row r="1966" spans="1:11" s="23" customFormat="1" x14ac:dyDescent="0.75">
      <c r="A1966" s="23" t="s">
        <v>69</v>
      </c>
      <c r="B1966" s="24">
        <v>44789</v>
      </c>
      <c r="C1966" s="23">
        <v>3</v>
      </c>
      <c r="D1966" s="23" t="s">
        <v>172</v>
      </c>
      <c r="E1966" s="52">
        <f>22-16</f>
        <v>6</v>
      </c>
      <c r="F1966" s="23" t="s">
        <v>363</v>
      </c>
      <c r="G1966" s="23" t="s">
        <v>374</v>
      </c>
    </row>
    <row r="1967" spans="1:11" s="23" customFormat="1" x14ac:dyDescent="0.75">
      <c r="A1967" s="23" t="s">
        <v>69</v>
      </c>
      <c r="B1967" s="24">
        <v>44789</v>
      </c>
      <c r="C1967" s="23">
        <v>3</v>
      </c>
      <c r="D1967" s="23" t="s">
        <v>172</v>
      </c>
      <c r="E1967" s="52">
        <f>16-12</f>
        <v>4</v>
      </c>
      <c r="F1967" s="23" t="s">
        <v>363</v>
      </c>
      <c r="G1967" s="23" t="s">
        <v>374</v>
      </c>
    </row>
    <row r="1968" spans="1:11" s="23" customFormat="1" x14ac:dyDescent="0.75">
      <c r="A1968" s="23" t="s">
        <v>69</v>
      </c>
      <c r="B1968" s="24">
        <v>44789</v>
      </c>
      <c r="C1968" s="23">
        <v>3</v>
      </c>
      <c r="D1968" s="23" t="s">
        <v>168</v>
      </c>
      <c r="E1968" s="52">
        <f>12-5</f>
        <v>7</v>
      </c>
      <c r="F1968" s="23" t="s">
        <v>363</v>
      </c>
      <c r="G1968" s="23" t="s">
        <v>374</v>
      </c>
    </row>
    <row r="1969" spans="1:11" s="23" customFormat="1" x14ac:dyDescent="0.75">
      <c r="A1969" s="23" t="s">
        <v>69</v>
      </c>
      <c r="B1969" s="24">
        <v>44789</v>
      </c>
      <c r="C1969" s="23">
        <v>3</v>
      </c>
      <c r="D1969" s="23" t="s">
        <v>172</v>
      </c>
      <c r="E1969" s="52">
        <f>5</f>
        <v>5</v>
      </c>
      <c r="F1969" s="23" t="s">
        <v>363</v>
      </c>
      <c r="G1969" s="23" t="s">
        <v>374</v>
      </c>
    </row>
    <row r="1970" spans="1:11" s="23" customFormat="1" x14ac:dyDescent="0.75">
      <c r="A1970" s="23" t="s">
        <v>69</v>
      </c>
      <c r="B1970" s="24">
        <v>44789</v>
      </c>
      <c r="C1970" s="23">
        <v>3</v>
      </c>
      <c r="D1970" s="23" t="s">
        <v>172</v>
      </c>
      <c r="E1970" s="52">
        <f>6</f>
        <v>6</v>
      </c>
      <c r="F1970" s="23" t="s">
        <v>363</v>
      </c>
      <c r="G1970" s="23" t="s">
        <v>374</v>
      </c>
    </row>
    <row r="1971" spans="1:11" s="23" customFormat="1" x14ac:dyDescent="0.75">
      <c r="A1971" s="23" t="s">
        <v>69</v>
      </c>
      <c r="B1971" s="24">
        <v>44789</v>
      </c>
      <c r="C1971" s="23">
        <v>3</v>
      </c>
      <c r="D1971" s="23" t="s">
        <v>172</v>
      </c>
      <c r="E1971" s="52">
        <f>59-52</f>
        <v>7</v>
      </c>
      <c r="F1971" s="23" t="s">
        <v>363</v>
      </c>
      <c r="G1971" s="23" t="s">
        <v>374</v>
      </c>
    </row>
    <row r="1972" spans="1:11" s="23" customFormat="1" x14ac:dyDescent="0.75">
      <c r="A1972" s="23" t="s">
        <v>69</v>
      </c>
      <c r="B1972" s="24">
        <v>44789</v>
      </c>
      <c r="C1972" s="23">
        <v>3</v>
      </c>
      <c r="D1972" s="23" t="s">
        <v>207</v>
      </c>
      <c r="E1972" s="52">
        <f>52-40</f>
        <v>12</v>
      </c>
      <c r="F1972" s="23" t="s">
        <v>363</v>
      </c>
      <c r="G1972" s="23" t="s">
        <v>374</v>
      </c>
    </row>
    <row r="1973" spans="1:11" s="23" customFormat="1" x14ac:dyDescent="0.75">
      <c r="A1973" s="23" t="s">
        <v>69</v>
      </c>
      <c r="B1973" s="24">
        <v>44789</v>
      </c>
      <c r="C1973" s="23">
        <v>3</v>
      </c>
      <c r="D1973" s="23" t="s">
        <v>207</v>
      </c>
      <c r="E1973" s="52">
        <f>40-27</f>
        <v>13</v>
      </c>
      <c r="F1973" s="23" t="s">
        <v>363</v>
      </c>
      <c r="G1973" s="23" t="s">
        <v>374</v>
      </c>
    </row>
    <row r="1974" spans="1:11" x14ac:dyDescent="0.75">
      <c r="A1974" t="s">
        <v>69</v>
      </c>
      <c r="B1974" s="3">
        <v>44790</v>
      </c>
      <c r="C1974">
        <v>1</v>
      </c>
      <c r="D1974" t="s">
        <v>168</v>
      </c>
      <c r="E1974" s="22">
        <f>44-40</f>
        <v>4</v>
      </c>
      <c r="F1974" t="s">
        <v>363</v>
      </c>
      <c r="G1974" t="s">
        <v>733</v>
      </c>
    </row>
    <row r="1975" spans="1:11" x14ac:dyDescent="0.75">
      <c r="A1975" t="s">
        <v>69</v>
      </c>
      <c r="B1975" s="3">
        <v>44790</v>
      </c>
      <c r="C1975">
        <v>1</v>
      </c>
      <c r="D1975" t="s">
        <v>194</v>
      </c>
      <c r="E1975" s="22">
        <f>40-32</f>
        <v>8</v>
      </c>
      <c r="F1975" t="s">
        <v>363</v>
      </c>
      <c r="G1975" t="s">
        <v>733</v>
      </c>
    </row>
    <row r="1976" spans="1:11" x14ac:dyDescent="0.75">
      <c r="A1976" t="s">
        <v>69</v>
      </c>
      <c r="B1976" s="3">
        <v>44790</v>
      </c>
      <c r="C1976">
        <v>1</v>
      </c>
      <c r="D1976" t="s">
        <v>215</v>
      </c>
      <c r="E1976" s="22">
        <f>32-24</f>
        <v>8</v>
      </c>
      <c r="F1976" t="s">
        <v>363</v>
      </c>
      <c r="G1976" t="s">
        <v>733</v>
      </c>
    </row>
    <row r="1977" spans="1:11" x14ac:dyDescent="0.75">
      <c r="A1977" t="s">
        <v>69</v>
      </c>
      <c r="B1977" s="3">
        <v>44790</v>
      </c>
      <c r="C1977">
        <v>1</v>
      </c>
      <c r="D1977" t="s">
        <v>164</v>
      </c>
      <c r="E1977" s="22">
        <f>24-14</f>
        <v>10</v>
      </c>
      <c r="F1977" t="s">
        <v>363</v>
      </c>
      <c r="G1977" t="s">
        <v>733</v>
      </c>
      <c r="K1977" t="s">
        <v>803</v>
      </c>
    </row>
    <row r="1978" spans="1:11" x14ac:dyDescent="0.75">
      <c r="A1978" t="s">
        <v>69</v>
      </c>
      <c r="B1978" s="3">
        <v>44790</v>
      </c>
      <c r="C1978">
        <v>1</v>
      </c>
      <c r="D1978" t="s">
        <v>201</v>
      </c>
      <c r="E1978" s="22">
        <f>14-3</f>
        <v>11</v>
      </c>
      <c r="F1978" t="s">
        <v>363</v>
      </c>
      <c r="G1978" t="s">
        <v>733</v>
      </c>
    </row>
    <row r="1979" spans="1:11" x14ac:dyDescent="0.75">
      <c r="A1979" t="s">
        <v>69</v>
      </c>
      <c r="B1979" s="3">
        <v>44790</v>
      </c>
      <c r="C1979">
        <v>1</v>
      </c>
      <c r="D1979" t="s">
        <v>197</v>
      </c>
      <c r="E1979" s="22">
        <f>3+40-24</f>
        <v>19</v>
      </c>
      <c r="F1979" t="s">
        <v>363</v>
      </c>
      <c r="G1979" t="s">
        <v>733</v>
      </c>
    </row>
    <row r="1980" spans="1:11" x14ac:dyDescent="0.75">
      <c r="A1980" t="s">
        <v>69</v>
      </c>
      <c r="B1980" s="3">
        <v>44790</v>
      </c>
      <c r="C1980">
        <v>1</v>
      </c>
      <c r="D1980" t="s">
        <v>153</v>
      </c>
      <c r="E1980" s="22">
        <f>24-20</f>
        <v>4</v>
      </c>
      <c r="F1980" t="s">
        <v>363</v>
      </c>
      <c r="G1980" t="s">
        <v>733</v>
      </c>
    </row>
    <row r="1981" spans="1:11" x14ac:dyDescent="0.75">
      <c r="A1981" t="s">
        <v>69</v>
      </c>
      <c r="B1981" s="3">
        <v>44790</v>
      </c>
      <c r="C1981">
        <v>1</v>
      </c>
      <c r="D1981" t="s">
        <v>201</v>
      </c>
      <c r="E1981" s="22">
        <f>20-15</f>
        <v>5</v>
      </c>
      <c r="F1981" t="s">
        <v>363</v>
      </c>
      <c r="G1981" t="s">
        <v>733</v>
      </c>
    </row>
    <row r="1982" spans="1:11" x14ac:dyDescent="0.75">
      <c r="A1982" t="s">
        <v>69</v>
      </c>
      <c r="B1982" s="3">
        <v>44790</v>
      </c>
      <c r="C1982">
        <v>1</v>
      </c>
      <c r="D1982" t="s">
        <v>201</v>
      </c>
      <c r="E1982" s="22">
        <f>15-12</f>
        <v>3</v>
      </c>
      <c r="F1982" t="s">
        <v>363</v>
      </c>
      <c r="G1982" t="s">
        <v>733</v>
      </c>
    </row>
    <row r="1983" spans="1:11" x14ac:dyDescent="0.75">
      <c r="A1983" t="s">
        <v>69</v>
      </c>
      <c r="B1983" s="3">
        <v>44790</v>
      </c>
      <c r="C1983">
        <v>1</v>
      </c>
      <c r="D1983" t="s">
        <v>201</v>
      </c>
      <c r="E1983" s="22">
        <f>12-10</f>
        <v>2</v>
      </c>
      <c r="F1983" t="s">
        <v>363</v>
      </c>
      <c r="G1983" t="s">
        <v>733</v>
      </c>
    </row>
    <row r="1984" spans="1:11" x14ac:dyDescent="0.75">
      <c r="A1984" t="s">
        <v>69</v>
      </c>
      <c r="B1984" s="3">
        <v>44790</v>
      </c>
      <c r="C1984">
        <v>1</v>
      </c>
      <c r="D1984" t="s">
        <v>201</v>
      </c>
      <c r="E1984" s="22">
        <f>10</f>
        <v>10</v>
      </c>
      <c r="F1984" t="s">
        <v>363</v>
      </c>
      <c r="G1984" t="s">
        <v>733</v>
      </c>
    </row>
    <row r="1985" spans="1:11" x14ac:dyDescent="0.75">
      <c r="A1985" t="s">
        <v>69</v>
      </c>
      <c r="B1985" s="3">
        <v>44790</v>
      </c>
      <c r="C1985">
        <v>1</v>
      </c>
      <c r="D1985" t="s">
        <v>197</v>
      </c>
      <c r="E1985" s="22">
        <f>33-24</f>
        <v>9</v>
      </c>
      <c r="F1985" t="s">
        <v>363</v>
      </c>
      <c r="G1985" t="s">
        <v>733</v>
      </c>
    </row>
    <row r="1986" spans="1:11" x14ac:dyDescent="0.75">
      <c r="A1986" t="s">
        <v>69</v>
      </c>
      <c r="B1986" s="3">
        <v>44790</v>
      </c>
      <c r="C1986">
        <v>1</v>
      </c>
      <c r="D1986" t="s">
        <v>168</v>
      </c>
      <c r="E1986" s="22">
        <f>50-38</f>
        <v>12</v>
      </c>
      <c r="F1986" t="s">
        <v>363</v>
      </c>
      <c r="G1986" t="s">
        <v>361</v>
      </c>
    </row>
    <row r="1987" spans="1:11" x14ac:dyDescent="0.75">
      <c r="A1987" t="s">
        <v>69</v>
      </c>
      <c r="B1987" s="3">
        <v>44790</v>
      </c>
      <c r="C1987">
        <v>1</v>
      </c>
      <c r="D1987" t="s">
        <v>168</v>
      </c>
      <c r="E1987" s="22">
        <f>38-30</f>
        <v>8</v>
      </c>
      <c r="F1987" t="s">
        <v>363</v>
      </c>
      <c r="G1987" t="s">
        <v>361</v>
      </c>
    </row>
    <row r="1988" spans="1:11" x14ac:dyDescent="0.75">
      <c r="A1988" t="s">
        <v>69</v>
      </c>
      <c r="B1988" s="3">
        <v>44790</v>
      </c>
      <c r="C1988">
        <v>1</v>
      </c>
      <c r="D1988" t="s">
        <v>168</v>
      </c>
      <c r="E1988" s="22">
        <f>30-13</f>
        <v>17</v>
      </c>
      <c r="F1988" t="s">
        <v>363</v>
      </c>
      <c r="G1988" t="s">
        <v>361</v>
      </c>
    </row>
    <row r="1989" spans="1:11" x14ac:dyDescent="0.75">
      <c r="A1989" t="s">
        <v>69</v>
      </c>
      <c r="B1989" s="3">
        <v>44790</v>
      </c>
      <c r="C1989">
        <v>1</v>
      </c>
      <c r="D1989" t="s">
        <v>168</v>
      </c>
      <c r="E1989" s="22">
        <f>13-8</f>
        <v>5</v>
      </c>
      <c r="F1989" t="s">
        <v>363</v>
      </c>
      <c r="G1989" t="s">
        <v>361</v>
      </c>
    </row>
    <row r="1990" spans="1:11" x14ac:dyDescent="0.75">
      <c r="A1990" t="s">
        <v>69</v>
      </c>
      <c r="B1990" s="3">
        <v>44790</v>
      </c>
      <c r="C1990">
        <v>1</v>
      </c>
      <c r="D1990" t="s">
        <v>168</v>
      </c>
      <c r="E1990" s="22">
        <f>8-2</f>
        <v>6</v>
      </c>
      <c r="F1990" t="s">
        <v>363</v>
      </c>
      <c r="G1990" t="s">
        <v>361</v>
      </c>
    </row>
    <row r="1991" spans="1:11" x14ac:dyDescent="0.75">
      <c r="A1991" t="s">
        <v>69</v>
      </c>
      <c r="B1991" s="3">
        <v>44790</v>
      </c>
      <c r="C1991">
        <v>1</v>
      </c>
      <c r="D1991" t="s">
        <v>172</v>
      </c>
      <c r="E1991" s="22">
        <f>2+45-41</f>
        <v>6</v>
      </c>
      <c r="F1991" t="s">
        <v>363</v>
      </c>
      <c r="G1991" t="s">
        <v>361</v>
      </c>
    </row>
    <row r="1992" spans="1:11" x14ac:dyDescent="0.75">
      <c r="A1992" t="s">
        <v>69</v>
      </c>
      <c r="B1992" s="3">
        <v>44790</v>
      </c>
      <c r="C1992">
        <v>1</v>
      </c>
      <c r="D1992" t="s">
        <v>201</v>
      </c>
      <c r="E1992" s="22">
        <f>41-28</f>
        <v>13</v>
      </c>
      <c r="F1992" t="s">
        <v>363</v>
      </c>
      <c r="G1992" t="s">
        <v>361</v>
      </c>
    </row>
    <row r="1993" spans="1:11" x14ac:dyDescent="0.75">
      <c r="A1993" t="s">
        <v>69</v>
      </c>
      <c r="B1993" s="3">
        <v>44790</v>
      </c>
      <c r="C1993">
        <v>1</v>
      </c>
      <c r="D1993" t="s">
        <v>201</v>
      </c>
      <c r="E1993" s="22">
        <f>28-27</f>
        <v>1</v>
      </c>
      <c r="F1993" t="s">
        <v>363</v>
      </c>
      <c r="G1993" t="s">
        <v>361</v>
      </c>
    </row>
    <row r="1994" spans="1:11" x14ac:dyDescent="0.75">
      <c r="A1994" t="s">
        <v>69</v>
      </c>
      <c r="B1994" s="3">
        <v>44790</v>
      </c>
      <c r="C1994">
        <v>1</v>
      </c>
      <c r="D1994" t="s">
        <v>201</v>
      </c>
      <c r="E1994" s="22">
        <f>27-18</f>
        <v>9</v>
      </c>
      <c r="F1994" t="s">
        <v>363</v>
      </c>
      <c r="G1994" t="s">
        <v>361</v>
      </c>
      <c r="K1994" t="s">
        <v>803</v>
      </c>
    </row>
    <row r="1995" spans="1:11" x14ac:dyDescent="0.75">
      <c r="A1995" t="s">
        <v>69</v>
      </c>
      <c r="B1995" s="3">
        <v>44790</v>
      </c>
      <c r="C1995">
        <v>1</v>
      </c>
      <c r="D1995" t="s">
        <v>201</v>
      </c>
      <c r="E1995" s="22">
        <f>18-16</f>
        <v>2</v>
      </c>
      <c r="F1995" t="s">
        <v>363</v>
      </c>
      <c r="G1995" t="s">
        <v>361</v>
      </c>
    </row>
    <row r="1996" spans="1:11" x14ac:dyDescent="0.75">
      <c r="A1996" t="s">
        <v>69</v>
      </c>
      <c r="B1996" s="3">
        <v>44790</v>
      </c>
      <c r="C1996">
        <v>1</v>
      </c>
      <c r="D1996" t="s">
        <v>201</v>
      </c>
      <c r="E1996" s="22">
        <f>16-4</f>
        <v>12</v>
      </c>
      <c r="F1996" t="s">
        <v>363</v>
      </c>
      <c r="G1996" t="s">
        <v>361</v>
      </c>
    </row>
    <row r="1997" spans="1:11" x14ac:dyDescent="0.75">
      <c r="A1997" t="s">
        <v>69</v>
      </c>
      <c r="B1997" s="3">
        <v>44790</v>
      </c>
      <c r="C1997">
        <v>1</v>
      </c>
      <c r="D1997" t="s">
        <v>201</v>
      </c>
      <c r="E1997" s="22">
        <f>1</f>
        <v>1</v>
      </c>
      <c r="F1997" t="s">
        <v>363</v>
      </c>
      <c r="G1997" t="s">
        <v>361</v>
      </c>
    </row>
    <row r="1998" spans="1:11" x14ac:dyDescent="0.75">
      <c r="A1998" t="s">
        <v>69</v>
      </c>
      <c r="B1998" s="3">
        <v>44790</v>
      </c>
      <c r="C1998">
        <v>1</v>
      </c>
      <c r="D1998" t="s">
        <v>194</v>
      </c>
      <c r="E1998" s="22" t="s">
        <v>363</v>
      </c>
      <c r="F1998" t="s">
        <v>363</v>
      </c>
      <c r="G1998" t="s">
        <v>361</v>
      </c>
    </row>
    <row r="1999" spans="1:11" x14ac:dyDescent="0.75">
      <c r="A1999" t="s">
        <v>69</v>
      </c>
      <c r="B1999" s="3">
        <v>44790</v>
      </c>
      <c r="C1999">
        <v>1</v>
      </c>
      <c r="D1999" t="s">
        <v>207</v>
      </c>
      <c r="E1999" s="22">
        <f>42-35</f>
        <v>7</v>
      </c>
      <c r="F1999" t="s">
        <v>363</v>
      </c>
      <c r="G1999" t="s">
        <v>361</v>
      </c>
      <c r="K1999" t="s">
        <v>826</v>
      </c>
    </row>
    <row r="2000" spans="1:11" x14ac:dyDescent="0.75">
      <c r="A2000" t="s">
        <v>69</v>
      </c>
      <c r="B2000" s="3">
        <v>44790</v>
      </c>
      <c r="C2000">
        <v>1</v>
      </c>
      <c r="D2000" t="s">
        <v>201</v>
      </c>
      <c r="E2000" s="22">
        <f>47-37</f>
        <v>10</v>
      </c>
      <c r="F2000" t="s">
        <v>363</v>
      </c>
      <c r="G2000" t="s">
        <v>374</v>
      </c>
    </row>
    <row r="2001" spans="1:11" x14ac:dyDescent="0.75">
      <c r="A2001" t="s">
        <v>69</v>
      </c>
      <c r="B2001" s="3">
        <v>44790</v>
      </c>
      <c r="C2001">
        <v>1</v>
      </c>
      <c r="D2001" s="10" t="s">
        <v>207</v>
      </c>
      <c r="E2001" s="57">
        <f>37</f>
        <v>37</v>
      </c>
      <c r="F2001" t="s">
        <v>363</v>
      </c>
      <c r="G2001" t="s">
        <v>374</v>
      </c>
    </row>
    <row r="2002" spans="1:11" x14ac:dyDescent="0.75">
      <c r="A2002" t="s">
        <v>69</v>
      </c>
      <c r="B2002" s="3">
        <v>44790</v>
      </c>
      <c r="C2002">
        <v>1</v>
      </c>
      <c r="D2002" t="s">
        <v>168</v>
      </c>
      <c r="E2002" s="22">
        <f>45-36</f>
        <v>9</v>
      </c>
      <c r="F2002" t="s">
        <v>363</v>
      </c>
      <c r="G2002" t="s">
        <v>374</v>
      </c>
    </row>
    <row r="2003" spans="1:11" x14ac:dyDescent="0.75">
      <c r="A2003" t="s">
        <v>69</v>
      </c>
      <c r="B2003" s="3">
        <v>44790</v>
      </c>
      <c r="C2003">
        <v>1</v>
      </c>
      <c r="D2003" t="s">
        <v>168</v>
      </c>
      <c r="E2003" s="22">
        <f>36-30</f>
        <v>6</v>
      </c>
      <c r="F2003" t="s">
        <v>363</v>
      </c>
      <c r="G2003" t="s">
        <v>374</v>
      </c>
    </row>
    <row r="2004" spans="1:11" x14ac:dyDescent="0.75">
      <c r="A2004" t="s">
        <v>69</v>
      </c>
      <c r="B2004" s="3">
        <v>44790</v>
      </c>
      <c r="C2004">
        <v>1</v>
      </c>
      <c r="D2004" t="s">
        <v>168</v>
      </c>
      <c r="E2004" s="22">
        <f>30-22</f>
        <v>8</v>
      </c>
      <c r="F2004" t="s">
        <v>363</v>
      </c>
      <c r="G2004" t="s">
        <v>374</v>
      </c>
    </row>
    <row r="2005" spans="1:11" x14ac:dyDescent="0.75">
      <c r="A2005" t="s">
        <v>69</v>
      </c>
      <c r="B2005" s="3">
        <v>44790</v>
      </c>
      <c r="C2005">
        <v>1</v>
      </c>
      <c r="D2005" t="s">
        <v>168</v>
      </c>
      <c r="E2005" s="22">
        <f>22-1</f>
        <v>21</v>
      </c>
      <c r="F2005" t="s">
        <v>363</v>
      </c>
      <c r="G2005" t="s">
        <v>374</v>
      </c>
    </row>
    <row r="2006" spans="1:11" x14ac:dyDescent="0.75">
      <c r="A2006" t="s">
        <v>69</v>
      </c>
      <c r="B2006" s="3">
        <v>44790</v>
      </c>
      <c r="C2006">
        <v>1</v>
      </c>
      <c r="D2006" t="s">
        <v>172</v>
      </c>
      <c r="E2006" s="22">
        <f>48-41</f>
        <v>7</v>
      </c>
      <c r="F2006" t="s">
        <v>363</v>
      </c>
      <c r="G2006" t="s">
        <v>374</v>
      </c>
    </row>
    <row r="2007" spans="1:11" x14ac:dyDescent="0.75">
      <c r="A2007" t="s">
        <v>69</v>
      </c>
      <c r="B2007" s="3">
        <v>44790</v>
      </c>
      <c r="C2007">
        <v>1</v>
      </c>
      <c r="D2007" t="s">
        <v>168</v>
      </c>
      <c r="E2007" s="22">
        <f>41-32</f>
        <v>9</v>
      </c>
      <c r="F2007" t="s">
        <v>363</v>
      </c>
      <c r="G2007" t="s">
        <v>374</v>
      </c>
    </row>
    <row r="2008" spans="1:11" x14ac:dyDescent="0.75">
      <c r="A2008" t="s">
        <v>69</v>
      </c>
      <c r="B2008" s="3">
        <v>44790</v>
      </c>
      <c r="C2008">
        <v>1</v>
      </c>
      <c r="D2008" t="s">
        <v>168</v>
      </c>
      <c r="E2008" s="22">
        <f>32-27</f>
        <v>5</v>
      </c>
      <c r="F2008" t="s">
        <v>363</v>
      </c>
      <c r="G2008" t="s">
        <v>374</v>
      </c>
    </row>
    <row r="2009" spans="1:11" x14ac:dyDescent="0.75">
      <c r="A2009" t="s">
        <v>69</v>
      </c>
      <c r="B2009" s="3">
        <v>44790</v>
      </c>
      <c r="C2009">
        <v>1</v>
      </c>
      <c r="D2009" t="s">
        <v>168</v>
      </c>
      <c r="E2009" s="22" t="s">
        <v>363</v>
      </c>
      <c r="F2009" t="s">
        <v>363</v>
      </c>
      <c r="G2009" t="s">
        <v>374</v>
      </c>
      <c r="K2009" t="s">
        <v>827</v>
      </c>
    </row>
    <row r="2010" spans="1:11" x14ac:dyDescent="0.75">
      <c r="A2010" t="s">
        <v>69</v>
      </c>
      <c r="B2010" s="3">
        <v>44790</v>
      </c>
      <c r="C2010">
        <v>1</v>
      </c>
      <c r="D2010" t="s">
        <v>168</v>
      </c>
      <c r="E2010" s="22" t="s">
        <v>363</v>
      </c>
      <c r="F2010" t="s">
        <v>363</v>
      </c>
      <c r="G2010" t="s">
        <v>374</v>
      </c>
      <c r="K2010" t="s">
        <v>828</v>
      </c>
    </row>
    <row r="2011" spans="1:11" x14ac:dyDescent="0.75">
      <c r="A2011" t="s">
        <v>69</v>
      </c>
      <c r="B2011" s="3">
        <v>44790</v>
      </c>
      <c r="C2011">
        <v>1</v>
      </c>
      <c r="D2011" t="s">
        <v>168</v>
      </c>
      <c r="E2011" s="22">
        <f>11-7</f>
        <v>4</v>
      </c>
      <c r="F2011" t="s">
        <v>363</v>
      </c>
      <c r="G2011" t="s">
        <v>374</v>
      </c>
    </row>
    <row r="2012" spans="1:11" x14ac:dyDescent="0.75">
      <c r="A2012" t="s">
        <v>69</v>
      </c>
      <c r="B2012" s="3">
        <v>44790</v>
      </c>
      <c r="C2012">
        <v>1</v>
      </c>
      <c r="D2012" t="s">
        <v>191</v>
      </c>
      <c r="E2012" s="22">
        <f>7-5</f>
        <v>2</v>
      </c>
      <c r="F2012" t="s">
        <v>363</v>
      </c>
      <c r="G2012" t="s">
        <v>374</v>
      </c>
    </row>
    <row r="2013" spans="1:11" x14ac:dyDescent="0.75">
      <c r="A2013" t="s">
        <v>69</v>
      </c>
      <c r="B2013" s="3">
        <v>44790</v>
      </c>
      <c r="C2013">
        <v>1</v>
      </c>
      <c r="D2013" t="s">
        <v>168</v>
      </c>
      <c r="E2013" s="22">
        <f>49-28</f>
        <v>21</v>
      </c>
      <c r="F2013" t="s">
        <v>363</v>
      </c>
      <c r="G2013" t="s">
        <v>374</v>
      </c>
    </row>
    <row r="2014" spans="1:11" x14ac:dyDescent="0.75">
      <c r="A2014" t="s">
        <v>69</v>
      </c>
      <c r="B2014" s="3">
        <v>44790</v>
      </c>
      <c r="C2014">
        <v>1</v>
      </c>
      <c r="D2014" t="s">
        <v>172</v>
      </c>
      <c r="E2014" s="22">
        <f>28-26</f>
        <v>2</v>
      </c>
      <c r="F2014" t="s">
        <v>363</v>
      </c>
      <c r="G2014" t="s">
        <v>374</v>
      </c>
    </row>
    <row r="2015" spans="1:11" x14ac:dyDescent="0.75">
      <c r="A2015" t="s">
        <v>69</v>
      </c>
      <c r="B2015" s="3">
        <v>44790</v>
      </c>
      <c r="C2015">
        <v>1</v>
      </c>
      <c r="D2015" t="s">
        <v>197</v>
      </c>
      <c r="E2015" s="22">
        <f>26-24</f>
        <v>2</v>
      </c>
      <c r="F2015" t="s">
        <v>363</v>
      </c>
      <c r="G2015" t="s">
        <v>374</v>
      </c>
    </row>
    <row r="2016" spans="1:11" x14ac:dyDescent="0.75">
      <c r="A2016" t="s">
        <v>69</v>
      </c>
      <c r="B2016" s="3">
        <v>44790</v>
      </c>
      <c r="C2016">
        <v>1</v>
      </c>
      <c r="D2016" t="s">
        <v>191</v>
      </c>
      <c r="E2016" s="22">
        <f>24-19</f>
        <v>5</v>
      </c>
      <c r="F2016" t="s">
        <v>363</v>
      </c>
      <c r="G2016" t="s">
        <v>374</v>
      </c>
    </row>
    <row r="2017" spans="1:7" x14ac:dyDescent="0.75">
      <c r="A2017" t="s">
        <v>69</v>
      </c>
      <c r="B2017" s="3">
        <v>44790</v>
      </c>
      <c r="C2017">
        <v>1</v>
      </c>
      <c r="D2017" t="s">
        <v>191</v>
      </c>
      <c r="E2017" s="22">
        <f>19-14</f>
        <v>5</v>
      </c>
      <c r="F2017" t="s">
        <v>363</v>
      </c>
      <c r="G2017" t="s">
        <v>374</v>
      </c>
    </row>
    <row r="2018" spans="1:7" x14ac:dyDescent="0.75">
      <c r="A2018" t="s">
        <v>69</v>
      </c>
      <c r="B2018" s="3">
        <v>44790</v>
      </c>
      <c r="C2018">
        <v>1</v>
      </c>
      <c r="D2018" t="s">
        <v>194</v>
      </c>
      <c r="E2018" s="22">
        <f>14-12</f>
        <v>2</v>
      </c>
      <c r="F2018" t="s">
        <v>363</v>
      </c>
      <c r="G2018" t="s">
        <v>374</v>
      </c>
    </row>
    <row r="2019" spans="1:7" x14ac:dyDescent="0.75">
      <c r="A2019" t="s">
        <v>69</v>
      </c>
      <c r="B2019" s="3">
        <v>44790</v>
      </c>
      <c r="C2019">
        <v>1</v>
      </c>
      <c r="D2019" t="s">
        <v>207</v>
      </c>
      <c r="E2019" s="22">
        <f>12-10</f>
        <v>2</v>
      </c>
      <c r="F2019" t="s">
        <v>363</v>
      </c>
      <c r="G2019" t="s">
        <v>374</v>
      </c>
    </row>
    <row r="2020" spans="1:7" x14ac:dyDescent="0.75">
      <c r="A2020" t="s">
        <v>69</v>
      </c>
      <c r="B2020" s="3">
        <v>44790</v>
      </c>
      <c r="C2020">
        <v>1</v>
      </c>
      <c r="D2020" t="s">
        <v>197</v>
      </c>
      <c r="E2020" s="22">
        <f>10-8</f>
        <v>2</v>
      </c>
      <c r="F2020" t="s">
        <v>363</v>
      </c>
      <c r="G2020" t="s">
        <v>374</v>
      </c>
    </row>
    <row r="2021" spans="1:7" x14ac:dyDescent="0.75">
      <c r="A2021" t="s">
        <v>69</v>
      </c>
      <c r="B2021" s="3">
        <v>44790</v>
      </c>
      <c r="C2021">
        <v>1</v>
      </c>
      <c r="D2021" t="s">
        <v>207</v>
      </c>
      <c r="E2021" s="22">
        <f>8-5</f>
        <v>3</v>
      </c>
      <c r="F2021" t="s">
        <v>363</v>
      </c>
      <c r="G2021" t="s">
        <v>374</v>
      </c>
    </row>
    <row r="2022" spans="1:7" x14ac:dyDescent="0.75">
      <c r="A2022" t="s">
        <v>69</v>
      </c>
      <c r="B2022" s="3">
        <v>44790</v>
      </c>
      <c r="C2022">
        <v>1</v>
      </c>
      <c r="D2022" t="s">
        <v>172</v>
      </c>
      <c r="E2022" s="22">
        <f>5-2</f>
        <v>3</v>
      </c>
      <c r="F2022" t="s">
        <v>363</v>
      </c>
      <c r="G2022" t="s">
        <v>374</v>
      </c>
    </row>
    <row r="2023" spans="1:7" x14ac:dyDescent="0.75">
      <c r="A2023" t="s">
        <v>69</v>
      </c>
      <c r="B2023" s="3">
        <v>44790</v>
      </c>
      <c r="C2023">
        <v>1</v>
      </c>
      <c r="D2023" t="s">
        <v>207</v>
      </c>
      <c r="E2023" s="22">
        <f>2-1</f>
        <v>1</v>
      </c>
      <c r="F2023" t="s">
        <v>363</v>
      </c>
      <c r="G2023" t="s">
        <v>374</v>
      </c>
    </row>
    <row r="2024" spans="1:7" x14ac:dyDescent="0.75">
      <c r="A2024" t="s">
        <v>69</v>
      </c>
      <c r="B2024" s="3">
        <v>44790</v>
      </c>
      <c r="C2024">
        <v>1</v>
      </c>
      <c r="D2024" t="s">
        <v>197</v>
      </c>
      <c r="E2024" s="22">
        <f>5</f>
        <v>5</v>
      </c>
      <c r="F2024" t="s">
        <v>363</v>
      </c>
      <c r="G2024" t="s">
        <v>374</v>
      </c>
    </row>
    <row r="2025" spans="1:7" x14ac:dyDescent="0.75">
      <c r="A2025" t="s">
        <v>69</v>
      </c>
      <c r="B2025" s="3">
        <v>44790</v>
      </c>
      <c r="C2025">
        <v>1</v>
      </c>
      <c r="D2025" t="s">
        <v>197</v>
      </c>
      <c r="E2025" s="22">
        <f>44-35</f>
        <v>9</v>
      </c>
      <c r="F2025" t="s">
        <v>363</v>
      </c>
      <c r="G2025" t="s">
        <v>374</v>
      </c>
    </row>
    <row r="2026" spans="1:7" x14ac:dyDescent="0.75">
      <c r="A2026" t="s">
        <v>69</v>
      </c>
      <c r="B2026" s="3">
        <v>44790</v>
      </c>
      <c r="C2026">
        <v>1</v>
      </c>
      <c r="D2026" t="s">
        <v>191</v>
      </c>
      <c r="E2026" s="22">
        <f>35-18</f>
        <v>17</v>
      </c>
      <c r="F2026">
        <v>952</v>
      </c>
      <c r="G2026" t="s">
        <v>374</v>
      </c>
    </row>
    <row r="2027" spans="1:7" s="23" customFormat="1" x14ac:dyDescent="0.75">
      <c r="A2027" s="23" t="s">
        <v>69</v>
      </c>
      <c r="B2027" s="24">
        <v>44790</v>
      </c>
      <c r="C2027" s="23">
        <v>2</v>
      </c>
      <c r="D2027" s="23" t="s">
        <v>201</v>
      </c>
      <c r="E2027" s="52">
        <f>24-17</f>
        <v>7</v>
      </c>
      <c r="F2027" s="23" t="s">
        <v>363</v>
      </c>
      <c r="G2027" s="23" t="s">
        <v>733</v>
      </c>
    </row>
    <row r="2028" spans="1:7" s="23" customFormat="1" x14ac:dyDescent="0.75">
      <c r="A2028" s="23" t="s">
        <v>69</v>
      </c>
      <c r="B2028" s="24">
        <v>44790</v>
      </c>
      <c r="C2028" s="23">
        <v>2</v>
      </c>
      <c r="D2028" s="23" t="s">
        <v>172</v>
      </c>
      <c r="E2028" s="52">
        <f>17-10</f>
        <v>7</v>
      </c>
      <c r="F2028" s="23" t="s">
        <v>363</v>
      </c>
      <c r="G2028" s="23" t="s">
        <v>733</v>
      </c>
    </row>
    <row r="2029" spans="1:7" s="23" customFormat="1" x14ac:dyDescent="0.75">
      <c r="A2029" s="23" t="s">
        <v>69</v>
      </c>
      <c r="B2029" s="24">
        <v>44790</v>
      </c>
      <c r="C2029" s="23">
        <v>2</v>
      </c>
      <c r="D2029" s="23" t="s">
        <v>207</v>
      </c>
      <c r="E2029" s="52">
        <f>10-2</f>
        <v>8</v>
      </c>
      <c r="F2029" s="23">
        <v>908</v>
      </c>
      <c r="G2029" s="23" t="s">
        <v>733</v>
      </c>
    </row>
    <row r="2030" spans="1:7" s="23" customFormat="1" x14ac:dyDescent="0.75">
      <c r="A2030" s="23" t="s">
        <v>69</v>
      </c>
      <c r="B2030" s="24">
        <v>44790</v>
      </c>
      <c r="C2030" s="23">
        <v>2</v>
      </c>
      <c r="D2030" s="23" t="s">
        <v>207</v>
      </c>
      <c r="E2030" s="52">
        <f>2+30-28</f>
        <v>4</v>
      </c>
      <c r="F2030" s="23">
        <v>906</v>
      </c>
      <c r="G2030" s="23" t="s">
        <v>733</v>
      </c>
    </row>
    <row r="2031" spans="1:7" s="23" customFormat="1" x14ac:dyDescent="0.75">
      <c r="A2031" s="23" t="s">
        <v>69</v>
      </c>
      <c r="B2031" s="24">
        <v>44790</v>
      </c>
      <c r="C2031" s="23">
        <v>2</v>
      </c>
      <c r="D2031" s="23" t="s">
        <v>197</v>
      </c>
      <c r="E2031" s="52">
        <f>23</f>
        <v>23</v>
      </c>
      <c r="F2031" s="23" t="s">
        <v>363</v>
      </c>
      <c r="G2031" s="23" t="s">
        <v>733</v>
      </c>
    </row>
    <row r="2032" spans="1:7" s="23" customFormat="1" x14ac:dyDescent="0.75">
      <c r="A2032" s="23" t="s">
        <v>69</v>
      </c>
      <c r="B2032" s="24">
        <v>44790</v>
      </c>
      <c r="C2032" s="23">
        <v>2</v>
      </c>
      <c r="D2032" s="23" t="s">
        <v>197</v>
      </c>
      <c r="E2032" s="52">
        <f>48-34</f>
        <v>14</v>
      </c>
      <c r="F2032" s="23" t="s">
        <v>363</v>
      </c>
      <c r="G2032" s="23" t="s">
        <v>361</v>
      </c>
    </row>
    <row r="2033" spans="1:7" s="23" customFormat="1" x14ac:dyDescent="0.75">
      <c r="A2033" s="23" t="s">
        <v>69</v>
      </c>
      <c r="B2033" s="24">
        <v>44790</v>
      </c>
      <c r="C2033" s="23">
        <v>2</v>
      </c>
      <c r="D2033" s="23" t="s">
        <v>168</v>
      </c>
      <c r="E2033" s="52">
        <f>34-13</f>
        <v>21</v>
      </c>
      <c r="F2033" s="23" t="s">
        <v>363</v>
      </c>
      <c r="G2033" s="23" t="s">
        <v>361</v>
      </c>
    </row>
    <row r="2034" spans="1:7" s="23" customFormat="1" x14ac:dyDescent="0.75">
      <c r="A2034" s="23" t="s">
        <v>69</v>
      </c>
      <c r="B2034" s="24">
        <v>44790</v>
      </c>
      <c r="C2034" s="23">
        <v>2</v>
      </c>
      <c r="D2034" s="23" t="s">
        <v>168</v>
      </c>
      <c r="E2034" s="52">
        <f>13-4</f>
        <v>9</v>
      </c>
      <c r="F2034" s="23" t="s">
        <v>363</v>
      </c>
      <c r="G2034" s="23" t="s">
        <v>361</v>
      </c>
    </row>
    <row r="2035" spans="1:7" s="23" customFormat="1" x14ac:dyDescent="0.75">
      <c r="A2035" s="23" t="s">
        <v>69</v>
      </c>
      <c r="B2035" s="24">
        <v>44790</v>
      </c>
      <c r="C2035" s="23">
        <v>2</v>
      </c>
      <c r="D2035" s="23" t="s">
        <v>197</v>
      </c>
      <c r="E2035" s="52">
        <f>4</f>
        <v>4</v>
      </c>
      <c r="F2035" s="23" t="s">
        <v>363</v>
      </c>
      <c r="G2035" s="23" t="s">
        <v>361</v>
      </c>
    </row>
    <row r="2036" spans="1:7" s="23" customFormat="1" x14ac:dyDescent="0.75">
      <c r="A2036" s="23" t="s">
        <v>69</v>
      </c>
      <c r="B2036" s="24">
        <v>44790</v>
      </c>
      <c r="C2036" s="23">
        <v>2</v>
      </c>
      <c r="D2036" s="23" t="s">
        <v>191</v>
      </c>
      <c r="E2036" s="52">
        <f>34-30</f>
        <v>4</v>
      </c>
      <c r="F2036" s="23" t="s">
        <v>363</v>
      </c>
      <c r="G2036" s="23" t="s">
        <v>361</v>
      </c>
    </row>
    <row r="2037" spans="1:7" s="23" customFormat="1" x14ac:dyDescent="0.75">
      <c r="A2037" s="23" t="s">
        <v>69</v>
      </c>
      <c r="B2037" s="24">
        <v>44790</v>
      </c>
      <c r="C2037" s="23">
        <v>2</v>
      </c>
      <c r="D2037" s="23" t="s">
        <v>207</v>
      </c>
      <c r="E2037" s="52">
        <f>18-13</f>
        <v>5</v>
      </c>
      <c r="F2037" s="23" t="s">
        <v>363</v>
      </c>
      <c r="G2037" s="23" t="s">
        <v>374</v>
      </c>
    </row>
    <row r="2038" spans="1:7" s="23" customFormat="1" x14ac:dyDescent="0.75">
      <c r="A2038" s="23" t="s">
        <v>69</v>
      </c>
      <c r="B2038" s="24">
        <v>44790</v>
      </c>
      <c r="C2038" s="23">
        <v>2</v>
      </c>
      <c r="D2038" s="23" t="s">
        <v>197</v>
      </c>
      <c r="E2038" s="52">
        <f>13-4</f>
        <v>9</v>
      </c>
      <c r="F2038" s="23">
        <v>3988</v>
      </c>
      <c r="G2038" s="23" t="s">
        <v>374</v>
      </c>
    </row>
    <row r="2039" spans="1:7" s="23" customFormat="1" x14ac:dyDescent="0.75">
      <c r="A2039" s="23" t="s">
        <v>69</v>
      </c>
      <c r="B2039" s="24">
        <v>44790</v>
      </c>
      <c r="C2039" s="23">
        <v>2</v>
      </c>
      <c r="D2039" s="23" t="s">
        <v>207</v>
      </c>
      <c r="E2039" s="52">
        <f>4-1</f>
        <v>3</v>
      </c>
      <c r="F2039" s="23" t="s">
        <v>363</v>
      </c>
      <c r="G2039" s="23" t="s">
        <v>374</v>
      </c>
    </row>
    <row r="2040" spans="1:7" s="23" customFormat="1" x14ac:dyDescent="0.75">
      <c r="A2040" s="23" t="s">
        <v>69</v>
      </c>
      <c r="B2040" s="24">
        <v>44790</v>
      </c>
      <c r="C2040" s="23">
        <v>2</v>
      </c>
      <c r="D2040" s="23" t="s">
        <v>172</v>
      </c>
      <c r="E2040" s="52">
        <f>47-39</f>
        <v>8</v>
      </c>
      <c r="F2040" s="23" t="s">
        <v>363</v>
      </c>
      <c r="G2040" s="23" t="s">
        <v>374</v>
      </c>
    </row>
    <row r="2041" spans="1:7" s="23" customFormat="1" x14ac:dyDescent="0.75">
      <c r="A2041" s="23" t="s">
        <v>69</v>
      </c>
      <c r="B2041" s="24">
        <v>44790</v>
      </c>
      <c r="C2041" s="23">
        <v>2</v>
      </c>
      <c r="D2041" s="23" t="s">
        <v>172</v>
      </c>
      <c r="E2041" s="52">
        <f>39-37</f>
        <v>2</v>
      </c>
      <c r="F2041" s="23" t="s">
        <v>363</v>
      </c>
      <c r="G2041" s="23" t="s">
        <v>374</v>
      </c>
    </row>
    <row r="2042" spans="1:7" s="23" customFormat="1" x14ac:dyDescent="0.75">
      <c r="A2042" s="23" t="s">
        <v>69</v>
      </c>
      <c r="B2042" s="24">
        <v>44790</v>
      </c>
      <c r="C2042" s="23">
        <v>2</v>
      </c>
      <c r="D2042" s="23" t="s">
        <v>172</v>
      </c>
      <c r="E2042" s="52">
        <f>37-33</f>
        <v>4</v>
      </c>
      <c r="F2042" s="23" t="s">
        <v>363</v>
      </c>
      <c r="G2042" s="23" t="s">
        <v>374</v>
      </c>
    </row>
    <row r="2043" spans="1:7" s="23" customFormat="1" x14ac:dyDescent="0.75">
      <c r="A2043" s="23" t="s">
        <v>69</v>
      </c>
      <c r="B2043" s="24">
        <v>44790</v>
      </c>
      <c r="C2043" s="23">
        <v>2</v>
      </c>
      <c r="D2043" s="23" t="s">
        <v>172</v>
      </c>
      <c r="E2043" s="52">
        <f>33-27</f>
        <v>6</v>
      </c>
      <c r="F2043" s="23" t="s">
        <v>363</v>
      </c>
      <c r="G2043" s="23" t="s">
        <v>374</v>
      </c>
    </row>
    <row r="2044" spans="1:7" s="23" customFormat="1" x14ac:dyDescent="0.75">
      <c r="A2044" s="23" t="s">
        <v>69</v>
      </c>
      <c r="B2044" s="24">
        <v>44790</v>
      </c>
      <c r="C2044" s="23">
        <v>2</v>
      </c>
      <c r="D2044" s="23" t="s">
        <v>172</v>
      </c>
      <c r="E2044" s="52">
        <f>37-25</f>
        <v>12</v>
      </c>
      <c r="F2044" s="23" t="s">
        <v>363</v>
      </c>
      <c r="G2044" s="23" t="s">
        <v>374</v>
      </c>
    </row>
    <row r="2045" spans="1:7" s="23" customFormat="1" x14ac:dyDescent="0.75">
      <c r="A2045" s="23" t="s">
        <v>69</v>
      </c>
      <c r="B2045" s="24">
        <v>44790</v>
      </c>
      <c r="C2045" s="23">
        <v>2</v>
      </c>
      <c r="D2045" s="23" t="s">
        <v>172</v>
      </c>
      <c r="E2045" s="52">
        <f>25-24</f>
        <v>1</v>
      </c>
      <c r="F2045" s="23" t="s">
        <v>363</v>
      </c>
      <c r="G2045" s="23" t="s">
        <v>374</v>
      </c>
    </row>
    <row r="2046" spans="1:7" s="23" customFormat="1" x14ac:dyDescent="0.75">
      <c r="A2046" s="23" t="s">
        <v>69</v>
      </c>
      <c r="B2046" s="24">
        <v>44790</v>
      </c>
      <c r="C2046" s="23">
        <v>2</v>
      </c>
      <c r="D2046" s="23" t="s">
        <v>191</v>
      </c>
      <c r="E2046" s="52">
        <f>24-22</f>
        <v>2</v>
      </c>
      <c r="F2046" s="23" t="s">
        <v>363</v>
      </c>
      <c r="G2046" s="23" t="s">
        <v>374</v>
      </c>
    </row>
    <row r="2047" spans="1:7" s="23" customFormat="1" x14ac:dyDescent="0.75">
      <c r="A2047" s="23" t="s">
        <v>69</v>
      </c>
      <c r="B2047" s="24">
        <v>44790</v>
      </c>
      <c r="C2047" s="23">
        <v>2</v>
      </c>
      <c r="D2047" s="23" t="s">
        <v>172</v>
      </c>
      <c r="E2047" s="52">
        <f>22-13</f>
        <v>9</v>
      </c>
      <c r="F2047" s="23" t="s">
        <v>363</v>
      </c>
      <c r="G2047" s="23" t="s">
        <v>374</v>
      </c>
    </row>
    <row r="2048" spans="1:7" s="23" customFormat="1" x14ac:dyDescent="0.75">
      <c r="A2048" s="23" t="s">
        <v>69</v>
      </c>
      <c r="B2048" s="24">
        <v>44790</v>
      </c>
      <c r="C2048" s="23">
        <v>2</v>
      </c>
      <c r="D2048" s="23" t="s">
        <v>197</v>
      </c>
      <c r="E2048" s="52">
        <f>13-10</f>
        <v>3</v>
      </c>
      <c r="F2048" s="23" t="s">
        <v>363</v>
      </c>
      <c r="G2048" s="23" t="s">
        <v>374</v>
      </c>
    </row>
    <row r="2049" spans="1:7" s="23" customFormat="1" x14ac:dyDescent="0.75">
      <c r="A2049" s="23" t="s">
        <v>69</v>
      </c>
      <c r="B2049" s="24">
        <v>44790</v>
      </c>
      <c r="C2049" s="23">
        <v>2</v>
      </c>
      <c r="D2049" s="23" t="s">
        <v>194</v>
      </c>
      <c r="E2049" s="52">
        <f>10-9</f>
        <v>1</v>
      </c>
      <c r="F2049" s="23" t="s">
        <v>363</v>
      </c>
      <c r="G2049" s="23" t="s">
        <v>374</v>
      </c>
    </row>
    <row r="2050" spans="1:7" s="23" customFormat="1" x14ac:dyDescent="0.75">
      <c r="A2050" s="23" t="s">
        <v>69</v>
      </c>
      <c r="B2050" s="24">
        <v>44790</v>
      </c>
      <c r="C2050" s="23">
        <v>2</v>
      </c>
      <c r="D2050" s="23" t="s">
        <v>197</v>
      </c>
      <c r="E2050" s="52">
        <f>9-7</f>
        <v>2</v>
      </c>
      <c r="F2050" s="23" t="s">
        <v>363</v>
      </c>
      <c r="G2050" s="23" t="s">
        <v>374</v>
      </c>
    </row>
    <row r="2051" spans="1:7" s="23" customFormat="1" x14ac:dyDescent="0.75">
      <c r="A2051" s="23" t="s">
        <v>69</v>
      </c>
      <c r="B2051" s="24">
        <v>44790</v>
      </c>
      <c r="C2051" s="23">
        <v>2</v>
      </c>
      <c r="D2051" s="23" t="s">
        <v>191</v>
      </c>
      <c r="E2051" s="52">
        <f>7-6</f>
        <v>1</v>
      </c>
      <c r="F2051" s="23" t="s">
        <v>363</v>
      </c>
      <c r="G2051" s="23" t="s">
        <v>374</v>
      </c>
    </row>
    <row r="2052" spans="1:7" s="23" customFormat="1" x14ac:dyDescent="0.75">
      <c r="A2052" s="23" t="s">
        <v>69</v>
      </c>
      <c r="B2052" s="24">
        <v>44790</v>
      </c>
      <c r="C2052" s="23">
        <v>2</v>
      </c>
      <c r="D2052" s="23" t="s">
        <v>172</v>
      </c>
      <c r="E2052" s="52">
        <f>6-3</f>
        <v>3</v>
      </c>
      <c r="F2052" s="23" t="s">
        <v>363</v>
      </c>
      <c r="G2052" s="23" t="s">
        <v>374</v>
      </c>
    </row>
    <row r="2053" spans="1:7" s="23" customFormat="1" x14ac:dyDescent="0.75">
      <c r="A2053" s="23" t="s">
        <v>69</v>
      </c>
      <c r="B2053" s="24">
        <v>44790</v>
      </c>
      <c r="C2053" s="23">
        <v>2</v>
      </c>
      <c r="D2053" s="23" t="s">
        <v>197</v>
      </c>
      <c r="E2053" s="52">
        <f>50-32</f>
        <v>18</v>
      </c>
      <c r="F2053" s="23" t="s">
        <v>363</v>
      </c>
      <c r="G2053" s="23" t="s">
        <v>374</v>
      </c>
    </row>
    <row r="2054" spans="1:7" s="23" customFormat="1" x14ac:dyDescent="0.75">
      <c r="A2054" s="23" t="s">
        <v>69</v>
      </c>
      <c r="B2054" s="24">
        <v>44790</v>
      </c>
      <c r="C2054" s="23">
        <v>2</v>
      </c>
      <c r="D2054" s="23" t="s">
        <v>172</v>
      </c>
      <c r="E2054" s="52">
        <f>32-31</f>
        <v>1</v>
      </c>
      <c r="F2054" s="23" t="s">
        <v>363</v>
      </c>
      <c r="G2054" s="23" t="s">
        <v>374</v>
      </c>
    </row>
    <row r="2055" spans="1:7" s="23" customFormat="1" x14ac:dyDescent="0.75">
      <c r="A2055" s="23" t="s">
        <v>69</v>
      </c>
      <c r="B2055" s="24">
        <v>44790</v>
      </c>
      <c r="C2055" s="23">
        <v>2</v>
      </c>
      <c r="D2055" s="23" t="s">
        <v>172</v>
      </c>
      <c r="E2055" s="52">
        <f>31-25</f>
        <v>6</v>
      </c>
      <c r="F2055" s="23" t="s">
        <v>363</v>
      </c>
      <c r="G2055" s="23" t="s">
        <v>374</v>
      </c>
    </row>
    <row r="2056" spans="1:7" s="23" customFormat="1" x14ac:dyDescent="0.75">
      <c r="A2056" s="23" t="s">
        <v>69</v>
      </c>
      <c r="B2056" s="24">
        <v>44790</v>
      </c>
      <c r="C2056" s="23">
        <v>2</v>
      </c>
      <c r="D2056" s="23" t="s">
        <v>172</v>
      </c>
      <c r="E2056" s="52">
        <f>25-21</f>
        <v>4</v>
      </c>
      <c r="F2056" s="23" t="s">
        <v>363</v>
      </c>
      <c r="G2056" s="23" t="s">
        <v>374</v>
      </c>
    </row>
    <row r="2057" spans="1:7" s="23" customFormat="1" x14ac:dyDescent="0.75">
      <c r="A2057" s="23" t="s">
        <v>69</v>
      </c>
      <c r="B2057" s="24">
        <v>44790</v>
      </c>
      <c r="C2057" s="23">
        <v>2</v>
      </c>
      <c r="D2057" s="23" t="s">
        <v>168</v>
      </c>
      <c r="E2057" s="52">
        <f>21-18</f>
        <v>3</v>
      </c>
      <c r="F2057" s="23" t="s">
        <v>363</v>
      </c>
      <c r="G2057" s="23" t="s">
        <v>374</v>
      </c>
    </row>
    <row r="2058" spans="1:7" s="23" customFormat="1" x14ac:dyDescent="0.75">
      <c r="A2058" s="23" t="s">
        <v>69</v>
      </c>
      <c r="B2058" s="24">
        <v>44790</v>
      </c>
      <c r="C2058" s="23">
        <v>2</v>
      </c>
      <c r="D2058" s="23" t="s">
        <v>168</v>
      </c>
      <c r="E2058" s="52">
        <f>18-15</f>
        <v>3</v>
      </c>
      <c r="F2058" s="23" t="s">
        <v>363</v>
      </c>
      <c r="G2058" s="23" t="s">
        <v>374</v>
      </c>
    </row>
    <row r="2059" spans="1:7" s="23" customFormat="1" x14ac:dyDescent="0.75">
      <c r="A2059" s="23" t="s">
        <v>69</v>
      </c>
      <c r="B2059" s="24">
        <v>44790</v>
      </c>
      <c r="C2059" s="23">
        <v>2</v>
      </c>
      <c r="D2059" s="23" t="s">
        <v>168</v>
      </c>
      <c r="E2059" s="52">
        <f>15-13</f>
        <v>2</v>
      </c>
      <c r="F2059" s="23" t="s">
        <v>363</v>
      </c>
      <c r="G2059" s="23" t="s">
        <v>374</v>
      </c>
    </row>
    <row r="2060" spans="1:7" s="23" customFormat="1" x14ac:dyDescent="0.75">
      <c r="A2060" s="23" t="s">
        <v>69</v>
      </c>
      <c r="B2060" s="24">
        <v>44790</v>
      </c>
      <c r="C2060" s="23">
        <v>2</v>
      </c>
      <c r="D2060" s="23" t="s">
        <v>168</v>
      </c>
      <c r="E2060" s="52">
        <f>13-7</f>
        <v>6</v>
      </c>
      <c r="F2060" s="23" t="s">
        <v>363</v>
      </c>
      <c r="G2060" s="23" t="s">
        <v>374</v>
      </c>
    </row>
    <row r="2061" spans="1:7" s="23" customFormat="1" x14ac:dyDescent="0.75">
      <c r="A2061" s="23" t="s">
        <v>69</v>
      </c>
      <c r="B2061" s="24">
        <v>44790</v>
      </c>
      <c r="C2061" s="23">
        <v>2</v>
      </c>
      <c r="D2061" s="23" t="s">
        <v>168</v>
      </c>
      <c r="E2061" s="52">
        <f>7+3</f>
        <v>10</v>
      </c>
      <c r="F2061" s="23" t="s">
        <v>363</v>
      </c>
      <c r="G2061" s="23" t="s">
        <v>374</v>
      </c>
    </row>
    <row r="2062" spans="1:7" x14ac:dyDescent="0.75">
      <c r="A2062" t="s">
        <v>23</v>
      </c>
      <c r="B2062" s="3">
        <v>44791</v>
      </c>
      <c r="C2062">
        <v>1</v>
      </c>
      <c r="D2062" t="s">
        <v>160</v>
      </c>
      <c r="E2062" s="22">
        <f>47-41</f>
        <v>6</v>
      </c>
      <c r="F2062">
        <v>3884</v>
      </c>
      <c r="G2062" t="s">
        <v>733</v>
      </c>
    </row>
    <row r="2063" spans="1:7" x14ac:dyDescent="0.75">
      <c r="A2063" t="s">
        <v>23</v>
      </c>
      <c r="B2063" s="3">
        <v>44791</v>
      </c>
      <c r="C2063">
        <v>1</v>
      </c>
      <c r="D2063" t="s">
        <v>160</v>
      </c>
      <c r="E2063" s="22">
        <f>50-47</f>
        <v>3</v>
      </c>
      <c r="F2063">
        <v>904</v>
      </c>
      <c r="G2063" t="s">
        <v>374</v>
      </c>
    </row>
    <row r="2064" spans="1:7" x14ac:dyDescent="0.75">
      <c r="A2064" t="s">
        <v>23</v>
      </c>
      <c r="B2064" s="3">
        <v>44791</v>
      </c>
      <c r="C2064">
        <v>1</v>
      </c>
      <c r="D2064" t="s">
        <v>207</v>
      </c>
      <c r="E2064" s="22">
        <f>47-43</f>
        <v>4</v>
      </c>
      <c r="F2064" t="s">
        <v>363</v>
      </c>
      <c r="G2064" t="s">
        <v>374</v>
      </c>
    </row>
    <row r="2065" spans="1:11" s="23" customFormat="1" x14ac:dyDescent="0.75">
      <c r="A2065" s="23" t="s">
        <v>23</v>
      </c>
      <c r="B2065" s="24">
        <v>44791</v>
      </c>
      <c r="C2065" s="23">
        <v>2</v>
      </c>
      <c r="D2065" s="23" t="s">
        <v>168</v>
      </c>
      <c r="E2065" s="52">
        <f>44-20</f>
        <v>24</v>
      </c>
      <c r="F2065" s="23" t="s">
        <v>363</v>
      </c>
      <c r="G2065" s="23" t="s">
        <v>374</v>
      </c>
    </row>
    <row r="2066" spans="1:11" x14ac:dyDescent="0.75">
      <c r="A2066" t="s">
        <v>23</v>
      </c>
      <c r="B2066" s="3">
        <v>44796</v>
      </c>
      <c r="C2066">
        <v>1</v>
      </c>
      <c r="D2066" t="s">
        <v>168</v>
      </c>
      <c r="E2066" s="22">
        <f>41-29</f>
        <v>12</v>
      </c>
      <c r="F2066" t="s">
        <v>363</v>
      </c>
      <c r="G2066" t="s">
        <v>374</v>
      </c>
    </row>
    <row r="2067" spans="1:11" s="23" customFormat="1" x14ac:dyDescent="0.75">
      <c r="A2067" s="23" t="s">
        <v>78</v>
      </c>
      <c r="B2067" s="24">
        <v>44796</v>
      </c>
      <c r="C2067" s="23">
        <v>1</v>
      </c>
      <c r="D2067" s="23" t="s">
        <v>201</v>
      </c>
      <c r="E2067" s="52">
        <f>37-16</f>
        <v>21</v>
      </c>
      <c r="F2067" s="23" t="s">
        <v>363</v>
      </c>
      <c r="G2067" s="23" t="s">
        <v>374</v>
      </c>
      <c r="K2067" s="23" t="s">
        <v>829</v>
      </c>
    </row>
    <row r="2068" spans="1:11" x14ac:dyDescent="0.75">
      <c r="A2068" t="s">
        <v>83</v>
      </c>
      <c r="B2068" s="3">
        <v>44796</v>
      </c>
      <c r="C2068">
        <v>1</v>
      </c>
      <c r="D2068" t="s">
        <v>191</v>
      </c>
      <c r="E2068" s="22">
        <f>49-37</f>
        <v>12</v>
      </c>
      <c r="F2068" t="s">
        <v>363</v>
      </c>
      <c r="G2068" t="s">
        <v>361</v>
      </c>
      <c r="K2068" t="s">
        <v>830</v>
      </c>
    </row>
    <row r="2069" spans="1:11" s="23" customFormat="1" x14ac:dyDescent="0.75">
      <c r="A2069" s="23" t="s">
        <v>87</v>
      </c>
      <c r="B2069" s="24">
        <v>44797</v>
      </c>
      <c r="C2069" s="23">
        <v>1</v>
      </c>
      <c r="D2069" s="23" t="s">
        <v>191</v>
      </c>
      <c r="E2069" s="52">
        <f>45-20</f>
        <v>25</v>
      </c>
      <c r="F2069" s="23" t="s">
        <v>363</v>
      </c>
      <c r="G2069" s="23" t="s">
        <v>361</v>
      </c>
      <c r="K2069" s="23" t="s">
        <v>831</v>
      </c>
    </row>
    <row r="2070" spans="1:11" s="23" customFormat="1" x14ac:dyDescent="0.75">
      <c r="A2070" s="23" t="s">
        <v>87</v>
      </c>
      <c r="B2070" s="24">
        <v>44797</v>
      </c>
      <c r="C2070" s="23">
        <v>1</v>
      </c>
      <c r="D2070" s="23" t="s">
        <v>160</v>
      </c>
      <c r="E2070" s="52">
        <f>40-31</f>
        <v>9</v>
      </c>
      <c r="F2070" s="23" t="s">
        <v>363</v>
      </c>
      <c r="G2070" s="23" t="s">
        <v>374</v>
      </c>
      <c r="K2070" s="23" t="s">
        <v>831</v>
      </c>
    </row>
    <row r="2071" spans="1:11" s="23" customFormat="1" x14ac:dyDescent="0.75">
      <c r="A2071" s="23" t="s">
        <v>87</v>
      </c>
      <c r="B2071" s="24">
        <v>44797</v>
      </c>
      <c r="C2071" s="23">
        <v>1</v>
      </c>
      <c r="D2071" s="23" t="s">
        <v>207</v>
      </c>
      <c r="E2071" s="52">
        <f>31-23</f>
        <v>8</v>
      </c>
      <c r="F2071" s="23" t="s">
        <v>363</v>
      </c>
      <c r="G2071" s="23" t="s">
        <v>374</v>
      </c>
      <c r="K2071" s="23" t="s">
        <v>831</v>
      </c>
    </row>
    <row r="2072" spans="1:11" x14ac:dyDescent="0.75">
      <c r="A2072" t="s">
        <v>91</v>
      </c>
      <c r="B2072" s="3">
        <v>44797</v>
      </c>
      <c r="C2072">
        <v>1</v>
      </c>
      <c r="D2072" t="s">
        <v>197</v>
      </c>
      <c r="E2072" s="22">
        <f>20-17</f>
        <v>3</v>
      </c>
      <c r="F2072" t="s">
        <v>363</v>
      </c>
      <c r="G2072" t="s">
        <v>361</v>
      </c>
      <c r="K2072" t="s">
        <v>91</v>
      </c>
    </row>
    <row r="2073" spans="1:11" x14ac:dyDescent="0.75">
      <c r="A2073" t="s">
        <v>91</v>
      </c>
      <c r="B2073" s="3">
        <v>44797</v>
      </c>
      <c r="C2073">
        <v>1</v>
      </c>
      <c r="D2073" t="s">
        <v>160</v>
      </c>
      <c r="E2073" s="22">
        <f>17+28+41+43-26</f>
        <v>103</v>
      </c>
      <c r="F2073" t="s">
        <v>363</v>
      </c>
      <c r="G2073" t="s">
        <v>361</v>
      </c>
      <c r="K2073" t="s">
        <v>91</v>
      </c>
    </row>
    <row r="2074" spans="1:11" x14ac:dyDescent="0.75">
      <c r="A2074" t="s">
        <v>91</v>
      </c>
      <c r="B2074" s="3">
        <v>44797</v>
      </c>
      <c r="C2074">
        <v>1</v>
      </c>
      <c r="D2074" t="s">
        <v>207</v>
      </c>
      <c r="E2074" s="22">
        <f>23-20</f>
        <v>3</v>
      </c>
      <c r="F2074" t="s">
        <v>363</v>
      </c>
      <c r="G2074" t="s">
        <v>374</v>
      </c>
      <c r="K2074" t="s">
        <v>91</v>
      </c>
    </row>
    <row r="2075" spans="1:11" x14ac:dyDescent="0.75">
      <c r="A2075" t="s">
        <v>91</v>
      </c>
      <c r="B2075" s="3">
        <v>44797</v>
      </c>
      <c r="C2075">
        <v>1</v>
      </c>
      <c r="D2075" t="s">
        <v>197</v>
      </c>
      <c r="E2075" s="22">
        <f>42-33</f>
        <v>9</v>
      </c>
      <c r="F2075" t="s">
        <v>363</v>
      </c>
      <c r="G2075" t="s">
        <v>374</v>
      </c>
      <c r="K2075" t="s">
        <v>91</v>
      </c>
    </row>
    <row r="2076" spans="1:11" x14ac:dyDescent="0.75">
      <c r="A2076" t="s">
        <v>91</v>
      </c>
      <c r="B2076" s="3">
        <v>44797</v>
      </c>
      <c r="C2076">
        <v>1</v>
      </c>
      <c r="D2076" t="s">
        <v>207</v>
      </c>
      <c r="E2076" s="22">
        <f>36-31</f>
        <v>5</v>
      </c>
      <c r="F2076" t="s">
        <v>363</v>
      </c>
      <c r="G2076" t="s">
        <v>374</v>
      </c>
      <c r="K2076" t="s">
        <v>91</v>
      </c>
    </row>
    <row r="2077" spans="1:11" x14ac:dyDescent="0.75">
      <c r="A2077" t="s">
        <v>91</v>
      </c>
      <c r="B2077" s="3">
        <v>44797</v>
      </c>
      <c r="C2077">
        <v>1</v>
      </c>
      <c r="D2077" t="s">
        <v>194</v>
      </c>
      <c r="E2077" s="22">
        <f>31-28</f>
        <v>3</v>
      </c>
      <c r="F2077" t="s">
        <v>363</v>
      </c>
      <c r="G2077" t="s">
        <v>374</v>
      </c>
      <c r="K2077" t="s">
        <v>91</v>
      </c>
    </row>
    <row r="2078" spans="1:11" s="23" customFormat="1" x14ac:dyDescent="0.75">
      <c r="A2078" s="23" t="s">
        <v>91</v>
      </c>
      <c r="B2078" s="24">
        <v>44797</v>
      </c>
      <c r="C2078" s="23">
        <v>2</v>
      </c>
      <c r="D2078" s="23" t="s">
        <v>197</v>
      </c>
      <c r="E2078" s="52">
        <f>51-43</f>
        <v>8</v>
      </c>
      <c r="F2078" s="23" t="s">
        <v>363</v>
      </c>
      <c r="G2078" s="23" t="s">
        <v>374</v>
      </c>
      <c r="K2078" s="23" t="s">
        <v>91</v>
      </c>
    </row>
    <row r="2079" spans="1:11" x14ac:dyDescent="0.75">
      <c r="A2079" t="s">
        <v>48</v>
      </c>
      <c r="B2079" s="3">
        <v>44798</v>
      </c>
      <c r="C2079">
        <v>1</v>
      </c>
      <c r="D2079" t="s">
        <v>194</v>
      </c>
      <c r="E2079" s="22">
        <f>50-46</f>
        <v>4</v>
      </c>
      <c r="F2079" t="s">
        <v>363</v>
      </c>
      <c r="G2079" t="s">
        <v>361</v>
      </c>
      <c r="J2079" s="3"/>
    </row>
    <row r="2080" spans="1:11" x14ac:dyDescent="0.75">
      <c r="A2080" t="s">
        <v>48</v>
      </c>
      <c r="B2080" s="3">
        <v>44798</v>
      </c>
      <c r="C2080">
        <v>1</v>
      </c>
      <c r="D2080" t="s">
        <v>191</v>
      </c>
      <c r="E2080" s="22">
        <f>46-37</f>
        <v>9</v>
      </c>
      <c r="F2080" t="s">
        <v>363</v>
      </c>
      <c r="G2080" t="s">
        <v>361</v>
      </c>
      <c r="J2080" s="3"/>
    </row>
    <row r="2081" spans="1:10" x14ac:dyDescent="0.75">
      <c r="A2081" t="s">
        <v>48</v>
      </c>
      <c r="B2081" s="3">
        <v>44798</v>
      </c>
      <c r="C2081">
        <v>1</v>
      </c>
      <c r="D2081" t="s">
        <v>191</v>
      </c>
      <c r="E2081" s="22">
        <f>37-31</f>
        <v>6</v>
      </c>
      <c r="F2081" t="s">
        <v>363</v>
      </c>
      <c r="G2081" t="s">
        <v>361</v>
      </c>
      <c r="J2081" s="3"/>
    </row>
    <row r="2082" spans="1:10" x14ac:dyDescent="0.75">
      <c r="A2082" t="s">
        <v>48</v>
      </c>
      <c r="B2082" s="3">
        <v>44798</v>
      </c>
      <c r="C2082">
        <v>1</v>
      </c>
      <c r="D2082" t="s">
        <v>197</v>
      </c>
      <c r="E2082" s="22">
        <f>31-22</f>
        <v>9</v>
      </c>
      <c r="F2082" t="s">
        <v>363</v>
      </c>
      <c r="G2082" t="s">
        <v>361</v>
      </c>
      <c r="J2082" s="3"/>
    </row>
    <row r="2083" spans="1:10" x14ac:dyDescent="0.75">
      <c r="A2083" t="s">
        <v>48</v>
      </c>
      <c r="B2083" s="3">
        <v>44798</v>
      </c>
      <c r="C2083">
        <v>1</v>
      </c>
      <c r="D2083" t="s">
        <v>197</v>
      </c>
      <c r="E2083" s="22">
        <f>22-20</f>
        <v>2</v>
      </c>
      <c r="F2083" t="s">
        <v>363</v>
      </c>
      <c r="G2083" t="s">
        <v>361</v>
      </c>
      <c r="J2083" s="3"/>
    </row>
    <row r="2084" spans="1:10" x14ac:dyDescent="0.75">
      <c r="A2084" t="s">
        <v>48</v>
      </c>
      <c r="B2084" s="3">
        <v>44798</v>
      </c>
      <c r="C2084">
        <v>1</v>
      </c>
      <c r="D2084" t="s">
        <v>197</v>
      </c>
      <c r="E2084" s="22">
        <f>20-16</f>
        <v>4</v>
      </c>
      <c r="F2084" t="s">
        <v>363</v>
      </c>
      <c r="G2084" t="s">
        <v>361</v>
      </c>
      <c r="J2084" s="3"/>
    </row>
    <row r="2085" spans="1:10" x14ac:dyDescent="0.75">
      <c r="A2085" t="s">
        <v>48</v>
      </c>
      <c r="B2085" s="3">
        <v>44798</v>
      </c>
      <c r="C2085">
        <v>1</v>
      </c>
      <c r="D2085" t="s">
        <v>191</v>
      </c>
      <c r="E2085" s="22">
        <f>16-15</f>
        <v>1</v>
      </c>
      <c r="F2085" t="s">
        <v>363</v>
      </c>
      <c r="G2085" t="s">
        <v>361</v>
      </c>
      <c r="J2085" s="3"/>
    </row>
    <row r="2086" spans="1:10" x14ac:dyDescent="0.75">
      <c r="A2086" t="s">
        <v>48</v>
      </c>
      <c r="B2086" s="3">
        <v>44798</v>
      </c>
      <c r="C2086">
        <v>1</v>
      </c>
      <c r="D2086" t="s">
        <v>191</v>
      </c>
      <c r="E2086" s="22">
        <f>15-5</f>
        <v>10</v>
      </c>
      <c r="F2086" t="s">
        <v>363</v>
      </c>
      <c r="G2086" t="s">
        <v>361</v>
      </c>
      <c r="J2086" s="3"/>
    </row>
    <row r="2087" spans="1:10" x14ac:dyDescent="0.75">
      <c r="A2087" t="s">
        <v>48</v>
      </c>
      <c r="B2087" s="3">
        <v>44798</v>
      </c>
      <c r="C2087">
        <v>1</v>
      </c>
      <c r="D2087" t="s">
        <v>191</v>
      </c>
      <c r="E2087" s="22">
        <f>5+26-6</f>
        <v>25</v>
      </c>
      <c r="F2087" t="s">
        <v>363</v>
      </c>
      <c r="G2087" t="s">
        <v>361</v>
      </c>
      <c r="J2087" s="3"/>
    </row>
    <row r="2088" spans="1:10" x14ac:dyDescent="0.75">
      <c r="A2088" t="s">
        <v>48</v>
      </c>
      <c r="B2088" s="3">
        <v>44798</v>
      </c>
      <c r="C2088">
        <v>1</v>
      </c>
      <c r="D2088" t="s">
        <v>194</v>
      </c>
      <c r="E2088" s="22">
        <f>6+46-33</f>
        <v>19</v>
      </c>
      <c r="F2088" t="s">
        <v>363</v>
      </c>
      <c r="G2088" t="s">
        <v>361</v>
      </c>
      <c r="J2088" s="3"/>
    </row>
    <row r="2089" spans="1:10" x14ac:dyDescent="0.75">
      <c r="A2089" t="s">
        <v>48</v>
      </c>
      <c r="B2089" s="3">
        <v>44798</v>
      </c>
      <c r="C2089">
        <v>1</v>
      </c>
      <c r="D2089" t="s">
        <v>191</v>
      </c>
      <c r="E2089" s="22">
        <f>33-27</f>
        <v>6</v>
      </c>
      <c r="F2089" t="s">
        <v>363</v>
      </c>
      <c r="G2089" t="s">
        <v>361</v>
      </c>
      <c r="J2089" s="3"/>
    </row>
    <row r="2090" spans="1:10" x14ac:dyDescent="0.75">
      <c r="A2090" t="s">
        <v>48</v>
      </c>
      <c r="B2090" s="3">
        <v>44798</v>
      </c>
      <c r="C2090">
        <v>1</v>
      </c>
      <c r="D2090" t="s">
        <v>197</v>
      </c>
      <c r="E2090" s="22">
        <f>39-35</f>
        <v>4</v>
      </c>
      <c r="F2090" t="s">
        <v>363</v>
      </c>
      <c r="G2090" t="s">
        <v>374</v>
      </c>
      <c r="J2090" s="3"/>
    </row>
    <row r="2091" spans="1:10" x14ac:dyDescent="0.75">
      <c r="A2091" t="s">
        <v>48</v>
      </c>
      <c r="B2091" s="3">
        <v>44798</v>
      </c>
      <c r="C2091">
        <v>1</v>
      </c>
      <c r="D2091" t="s">
        <v>199</v>
      </c>
      <c r="E2091" s="22">
        <f>35-27</f>
        <v>8</v>
      </c>
      <c r="F2091" t="s">
        <v>363</v>
      </c>
      <c r="G2091" t="s">
        <v>374</v>
      </c>
      <c r="J2091" s="3"/>
    </row>
    <row r="2092" spans="1:10" x14ac:dyDescent="0.75">
      <c r="A2092" t="s">
        <v>48</v>
      </c>
      <c r="B2092" s="3">
        <v>44798</v>
      </c>
      <c r="C2092">
        <v>1</v>
      </c>
      <c r="D2092" t="s">
        <v>191</v>
      </c>
      <c r="E2092" s="22">
        <f>27-26</f>
        <v>1</v>
      </c>
      <c r="F2092" t="s">
        <v>363</v>
      </c>
      <c r="G2092" t="s">
        <v>374</v>
      </c>
      <c r="J2092" s="3"/>
    </row>
    <row r="2093" spans="1:10" x14ac:dyDescent="0.75">
      <c r="A2093" t="s">
        <v>48</v>
      </c>
      <c r="B2093" s="3">
        <v>44798</v>
      </c>
      <c r="C2093">
        <v>1</v>
      </c>
      <c r="D2093" t="s">
        <v>215</v>
      </c>
      <c r="E2093" s="22">
        <f>1</f>
        <v>1</v>
      </c>
      <c r="F2093" t="s">
        <v>363</v>
      </c>
      <c r="G2093" t="s">
        <v>374</v>
      </c>
      <c r="J2093" s="3"/>
    </row>
    <row r="2094" spans="1:10" x14ac:dyDescent="0.75">
      <c r="A2094" t="s">
        <v>48</v>
      </c>
      <c r="B2094" s="3">
        <v>44798</v>
      </c>
      <c r="C2094">
        <v>1</v>
      </c>
      <c r="D2094" t="s">
        <v>191</v>
      </c>
      <c r="E2094" s="22">
        <f>26-18</f>
        <v>8</v>
      </c>
      <c r="F2094" t="s">
        <v>363</v>
      </c>
      <c r="G2094" t="s">
        <v>374</v>
      </c>
      <c r="J2094" s="3"/>
    </row>
    <row r="2095" spans="1:10" x14ac:dyDescent="0.75">
      <c r="A2095" t="s">
        <v>48</v>
      </c>
      <c r="B2095" s="3">
        <v>44798</v>
      </c>
      <c r="C2095">
        <v>1</v>
      </c>
      <c r="D2095" t="s">
        <v>207</v>
      </c>
      <c r="E2095" s="22">
        <f>18-14</f>
        <v>4</v>
      </c>
      <c r="F2095" t="s">
        <v>363</v>
      </c>
      <c r="G2095" t="s">
        <v>374</v>
      </c>
      <c r="J2095" s="3"/>
    </row>
    <row r="2096" spans="1:10" x14ac:dyDescent="0.75">
      <c r="A2096" t="s">
        <v>48</v>
      </c>
      <c r="B2096" s="3">
        <v>44798</v>
      </c>
      <c r="C2096">
        <v>1</v>
      </c>
      <c r="D2096" t="s">
        <v>197</v>
      </c>
      <c r="E2096" s="22">
        <f>14-6</f>
        <v>8</v>
      </c>
      <c r="F2096" t="s">
        <v>363</v>
      </c>
      <c r="G2096" t="s">
        <v>374</v>
      </c>
      <c r="J2096" s="3"/>
    </row>
    <row r="2097" spans="1:11" x14ac:dyDescent="0.75">
      <c r="A2097" t="s">
        <v>48</v>
      </c>
      <c r="B2097" s="3">
        <v>44798</v>
      </c>
      <c r="C2097">
        <v>1</v>
      </c>
      <c r="D2097" t="s">
        <v>194</v>
      </c>
      <c r="E2097" s="22">
        <f>6-2</f>
        <v>4</v>
      </c>
      <c r="F2097" t="s">
        <v>363</v>
      </c>
      <c r="G2097" t="s">
        <v>374</v>
      </c>
      <c r="J2097" s="3"/>
      <c r="K2097" t="s">
        <v>486</v>
      </c>
    </row>
    <row r="2098" spans="1:11" x14ac:dyDescent="0.75">
      <c r="A2098" t="s">
        <v>48</v>
      </c>
      <c r="B2098" s="3">
        <v>44798</v>
      </c>
      <c r="C2098">
        <v>1</v>
      </c>
      <c r="D2098" t="s">
        <v>207</v>
      </c>
      <c r="E2098" s="22">
        <f>1</f>
        <v>1</v>
      </c>
      <c r="F2098" t="s">
        <v>363</v>
      </c>
      <c r="G2098" t="s">
        <v>374</v>
      </c>
      <c r="J2098" s="3"/>
    </row>
    <row r="2099" spans="1:11" x14ac:dyDescent="0.75">
      <c r="A2099" t="s">
        <v>48</v>
      </c>
      <c r="B2099" s="3">
        <v>44798</v>
      </c>
      <c r="C2099">
        <v>1</v>
      </c>
      <c r="D2099" t="s">
        <v>205</v>
      </c>
      <c r="E2099" s="22">
        <f>2-1</f>
        <v>1</v>
      </c>
      <c r="F2099" t="s">
        <v>363</v>
      </c>
      <c r="G2099" t="s">
        <v>374</v>
      </c>
      <c r="J2099" s="3"/>
    </row>
    <row r="2100" spans="1:11" x14ac:dyDescent="0.75">
      <c r="A2100" t="s">
        <v>48</v>
      </c>
      <c r="B2100" s="3">
        <v>44798</v>
      </c>
      <c r="C2100">
        <v>1</v>
      </c>
      <c r="D2100" t="s">
        <v>201</v>
      </c>
      <c r="E2100" s="22">
        <f>1</f>
        <v>1</v>
      </c>
      <c r="F2100" t="s">
        <v>363</v>
      </c>
      <c r="G2100" t="s">
        <v>374</v>
      </c>
      <c r="J2100" s="3"/>
    </row>
    <row r="2101" spans="1:11" x14ac:dyDescent="0.75">
      <c r="A2101" t="s">
        <v>48</v>
      </c>
      <c r="B2101" s="3">
        <v>44798</v>
      </c>
      <c r="C2101">
        <v>1</v>
      </c>
      <c r="D2101" t="s">
        <v>197</v>
      </c>
      <c r="E2101" s="22">
        <f>45-44</f>
        <v>1</v>
      </c>
      <c r="F2101" t="s">
        <v>363</v>
      </c>
      <c r="G2101" t="s">
        <v>374</v>
      </c>
      <c r="J2101" s="3"/>
    </row>
    <row r="2102" spans="1:11" x14ac:dyDescent="0.75">
      <c r="A2102" t="s">
        <v>48</v>
      </c>
      <c r="B2102" s="3">
        <v>44798</v>
      </c>
      <c r="C2102">
        <v>1</v>
      </c>
      <c r="D2102" t="s">
        <v>197</v>
      </c>
      <c r="E2102" s="22">
        <f>44-43</f>
        <v>1</v>
      </c>
      <c r="F2102" t="s">
        <v>363</v>
      </c>
      <c r="G2102" t="s">
        <v>374</v>
      </c>
      <c r="J2102" s="3"/>
    </row>
    <row r="2103" spans="1:11" x14ac:dyDescent="0.75">
      <c r="A2103" t="s">
        <v>48</v>
      </c>
      <c r="B2103" s="3">
        <v>44798</v>
      </c>
      <c r="C2103">
        <v>1</v>
      </c>
      <c r="D2103" t="s">
        <v>191</v>
      </c>
      <c r="E2103" s="22">
        <f>43-36</f>
        <v>7</v>
      </c>
      <c r="F2103" t="s">
        <v>363</v>
      </c>
      <c r="G2103" t="s">
        <v>374</v>
      </c>
      <c r="J2103" s="3"/>
    </row>
    <row r="2104" spans="1:11" x14ac:dyDescent="0.75">
      <c r="A2104" t="s">
        <v>48</v>
      </c>
      <c r="B2104" s="3">
        <v>44798</v>
      </c>
      <c r="C2104">
        <v>1</v>
      </c>
      <c r="D2104" t="s">
        <v>197</v>
      </c>
      <c r="E2104" s="22">
        <f>36-33</f>
        <v>3</v>
      </c>
      <c r="F2104" t="s">
        <v>363</v>
      </c>
      <c r="G2104" t="s">
        <v>374</v>
      </c>
      <c r="J2104" s="3"/>
    </row>
    <row r="2105" spans="1:11" s="23" customFormat="1" x14ac:dyDescent="0.75">
      <c r="A2105" s="23" t="s">
        <v>44</v>
      </c>
      <c r="B2105" s="24">
        <v>44798</v>
      </c>
      <c r="C2105" s="23">
        <v>1</v>
      </c>
      <c r="D2105" s="23" t="s">
        <v>191</v>
      </c>
      <c r="E2105" s="52">
        <f>42-37</f>
        <v>5</v>
      </c>
      <c r="F2105" s="23" t="s">
        <v>363</v>
      </c>
      <c r="G2105" s="23" t="s">
        <v>361</v>
      </c>
      <c r="J2105" s="24"/>
    </row>
    <row r="2106" spans="1:11" s="23" customFormat="1" x14ac:dyDescent="0.75">
      <c r="A2106" s="23" t="s">
        <v>44</v>
      </c>
      <c r="B2106" s="24">
        <v>44798</v>
      </c>
      <c r="C2106" s="23">
        <v>1</v>
      </c>
      <c r="D2106" s="23" t="s">
        <v>201</v>
      </c>
      <c r="E2106" s="52">
        <f>37-32</f>
        <v>5</v>
      </c>
      <c r="F2106" s="23" t="s">
        <v>363</v>
      </c>
      <c r="G2106" s="23" t="s">
        <v>361</v>
      </c>
      <c r="J2106" s="24"/>
    </row>
    <row r="2107" spans="1:11" s="23" customFormat="1" x14ac:dyDescent="0.75">
      <c r="A2107" s="23" t="s">
        <v>44</v>
      </c>
      <c r="B2107" s="24">
        <v>44798</v>
      </c>
      <c r="C2107" s="23">
        <v>1</v>
      </c>
      <c r="D2107" s="23" t="s">
        <v>194</v>
      </c>
      <c r="E2107" s="52">
        <f>32-27</f>
        <v>5</v>
      </c>
      <c r="F2107" s="23" t="s">
        <v>363</v>
      </c>
      <c r="G2107" s="23" t="s">
        <v>361</v>
      </c>
      <c r="J2107" s="24"/>
    </row>
    <row r="2108" spans="1:11" s="23" customFormat="1" x14ac:dyDescent="0.75">
      <c r="A2108" s="23" t="s">
        <v>44</v>
      </c>
      <c r="B2108" s="24">
        <v>44798</v>
      </c>
      <c r="C2108" s="23">
        <v>1</v>
      </c>
      <c r="D2108" s="23" t="s">
        <v>176</v>
      </c>
      <c r="E2108" s="52">
        <f>26-24</f>
        <v>2</v>
      </c>
      <c r="F2108" s="23" t="s">
        <v>363</v>
      </c>
      <c r="G2108" s="23" t="s">
        <v>361</v>
      </c>
      <c r="J2108" s="24"/>
    </row>
    <row r="2109" spans="1:11" s="23" customFormat="1" x14ac:dyDescent="0.75">
      <c r="A2109" s="23" t="s">
        <v>44</v>
      </c>
      <c r="B2109" s="24">
        <v>44798</v>
      </c>
      <c r="C2109" s="23">
        <v>1</v>
      </c>
      <c r="D2109" s="23" t="s">
        <v>207</v>
      </c>
      <c r="E2109" s="52">
        <f>34-31</f>
        <v>3</v>
      </c>
      <c r="F2109" s="23" t="s">
        <v>363</v>
      </c>
      <c r="G2109" s="23" t="s">
        <v>374</v>
      </c>
      <c r="J2109" s="24"/>
    </row>
    <row r="2110" spans="1:11" s="23" customFormat="1" x14ac:dyDescent="0.75">
      <c r="A2110" s="23" t="s">
        <v>44</v>
      </c>
      <c r="B2110" s="24">
        <v>44798</v>
      </c>
      <c r="C2110" s="23">
        <v>1</v>
      </c>
      <c r="D2110" s="23" t="s">
        <v>191</v>
      </c>
      <c r="E2110" s="52">
        <f>31-24</f>
        <v>7</v>
      </c>
      <c r="F2110" s="23" t="s">
        <v>363</v>
      </c>
      <c r="G2110" s="23" t="s">
        <v>374</v>
      </c>
      <c r="J2110" s="24"/>
    </row>
    <row r="2111" spans="1:11" s="23" customFormat="1" x14ac:dyDescent="0.75">
      <c r="A2111" s="23" t="s">
        <v>44</v>
      </c>
      <c r="B2111" s="24">
        <v>44798</v>
      </c>
      <c r="C2111" s="23">
        <v>1</v>
      </c>
      <c r="D2111" s="23" t="s">
        <v>199</v>
      </c>
      <c r="E2111" s="52">
        <f>1</f>
        <v>1</v>
      </c>
      <c r="F2111" s="23" t="s">
        <v>363</v>
      </c>
      <c r="G2111" s="23" t="s">
        <v>374</v>
      </c>
      <c r="J2111" s="24"/>
    </row>
    <row r="2112" spans="1:11" s="23" customFormat="1" x14ac:dyDescent="0.75">
      <c r="A2112" s="23" t="s">
        <v>44</v>
      </c>
      <c r="B2112" s="24">
        <v>44798</v>
      </c>
      <c r="C2112" s="23">
        <v>1</v>
      </c>
      <c r="D2112" s="23" t="s">
        <v>194</v>
      </c>
      <c r="E2112" s="52">
        <f>24-20</f>
        <v>4</v>
      </c>
      <c r="F2112" s="23" t="s">
        <v>363</v>
      </c>
      <c r="G2112" s="23" t="s">
        <v>374</v>
      </c>
      <c r="J2112" s="24"/>
      <c r="K2112" s="23" t="s">
        <v>483</v>
      </c>
    </row>
    <row r="2113" spans="1:10" s="23" customFormat="1" x14ac:dyDescent="0.75">
      <c r="A2113" s="23" t="s">
        <v>44</v>
      </c>
      <c r="B2113" s="24">
        <v>44798</v>
      </c>
      <c r="C2113" s="23">
        <v>1</v>
      </c>
      <c r="D2113" s="23" t="s">
        <v>199</v>
      </c>
      <c r="E2113" s="52">
        <f>20-19</f>
        <v>1</v>
      </c>
      <c r="F2113" s="23" t="s">
        <v>363</v>
      </c>
      <c r="G2113" s="23" t="s">
        <v>374</v>
      </c>
      <c r="J2113" s="24"/>
    </row>
    <row r="2114" spans="1:10" s="23" customFormat="1" x14ac:dyDescent="0.75">
      <c r="A2114" s="23" t="s">
        <v>44</v>
      </c>
      <c r="B2114" s="24">
        <v>44798</v>
      </c>
      <c r="C2114" s="23">
        <v>1</v>
      </c>
      <c r="D2114" s="23" t="s">
        <v>199</v>
      </c>
      <c r="E2114" s="52">
        <f>19-11</f>
        <v>8</v>
      </c>
      <c r="F2114" s="23" t="s">
        <v>363</v>
      </c>
      <c r="G2114" s="23" t="s">
        <v>374</v>
      </c>
      <c r="J2114" s="24"/>
    </row>
    <row r="2115" spans="1:10" s="23" customFormat="1" x14ac:dyDescent="0.75">
      <c r="A2115" s="23" t="s">
        <v>44</v>
      </c>
      <c r="B2115" s="24">
        <v>44798</v>
      </c>
      <c r="C2115" s="23">
        <v>1</v>
      </c>
      <c r="D2115" s="23" t="s">
        <v>207</v>
      </c>
      <c r="E2115" s="52">
        <f>11-8</f>
        <v>3</v>
      </c>
      <c r="F2115" s="23" t="s">
        <v>363</v>
      </c>
      <c r="G2115" s="23" t="s">
        <v>374</v>
      </c>
      <c r="J2115" s="24"/>
    </row>
    <row r="2116" spans="1:10" s="23" customFormat="1" x14ac:dyDescent="0.75">
      <c r="A2116" s="23" t="s">
        <v>44</v>
      </c>
      <c r="B2116" s="24">
        <v>44798</v>
      </c>
      <c r="C2116" s="23">
        <v>1</v>
      </c>
      <c r="D2116" s="23" t="s">
        <v>199</v>
      </c>
      <c r="E2116" s="52">
        <f>8-7</f>
        <v>1</v>
      </c>
      <c r="F2116" s="23" t="s">
        <v>363</v>
      </c>
      <c r="G2116" s="23" t="s">
        <v>374</v>
      </c>
      <c r="J2116" s="24"/>
    </row>
    <row r="2117" spans="1:10" s="23" customFormat="1" x14ac:dyDescent="0.75">
      <c r="A2117" s="23" t="s">
        <v>44</v>
      </c>
      <c r="B2117" s="24">
        <v>44798</v>
      </c>
      <c r="C2117" s="23">
        <v>1</v>
      </c>
      <c r="D2117" s="23" t="s">
        <v>201</v>
      </c>
      <c r="E2117" s="52">
        <f>40-34</f>
        <v>6</v>
      </c>
      <c r="F2117" s="23" t="s">
        <v>363</v>
      </c>
      <c r="G2117" s="23" t="s">
        <v>374</v>
      </c>
      <c r="J2117" s="24"/>
    </row>
    <row r="2118" spans="1:10" s="23" customFormat="1" x14ac:dyDescent="0.75">
      <c r="A2118" s="23" t="s">
        <v>44</v>
      </c>
      <c r="B2118" s="24">
        <v>44798</v>
      </c>
      <c r="C2118" s="23">
        <v>1</v>
      </c>
      <c r="D2118" s="23" t="s">
        <v>199</v>
      </c>
      <c r="E2118" s="52">
        <f>34-33</f>
        <v>1</v>
      </c>
      <c r="F2118" s="23" t="s">
        <v>363</v>
      </c>
      <c r="G2118" s="23" t="s">
        <v>374</v>
      </c>
      <c r="J2118" s="24"/>
    </row>
    <row r="2119" spans="1:10" x14ac:dyDescent="0.75">
      <c r="A2119" t="s">
        <v>60</v>
      </c>
      <c r="B2119" s="3">
        <v>44798</v>
      </c>
      <c r="C2119">
        <v>1</v>
      </c>
      <c r="D2119" t="s">
        <v>194</v>
      </c>
      <c r="E2119" s="22">
        <f>25-21</f>
        <v>4</v>
      </c>
      <c r="F2119" t="s">
        <v>363</v>
      </c>
      <c r="G2119" t="s">
        <v>361</v>
      </c>
      <c r="J2119" s="3"/>
    </row>
    <row r="2120" spans="1:10" x14ac:dyDescent="0.75">
      <c r="A2120" t="s">
        <v>60</v>
      </c>
      <c r="B2120" s="3">
        <v>44798</v>
      </c>
      <c r="C2120">
        <v>1</v>
      </c>
      <c r="D2120" t="s">
        <v>191</v>
      </c>
      <c r="E2120" s="22">
        <f>21-16</f>
        <v>5</v>
      </c>
      <c r="F2120" t="s">
        <v>363</v>
      </c>
      <c r="G2120" t="s">
        <v>361</v>
      </c>
      <c r="J2120" s="3"/>
    </row>
    <row r="2121" spans="1:10" x14ac:dyDescent="0.75">
      <c r="A2121" t="s">
        <v>60</v>
      </c>
      <c r="B2121" s="3">
        <v>44798</v>
      </c>
      <c r="C2121">
        <v>1</v>
      </c>
      <c r="D2121" t="s">
        <v>199</v>
      </c>
      <c r="E2121" s="22">
        <f>45-39</f>
        <v>6</v>
      </c>
      <c r="F2121" t="s">
        <v>363</v>
      </c>
      <c r="G2121" t="s">
        <v>361</v>
      </c>
      <c r="J2121" s="3"/>
    </row>
    <row r="2122" spans="1:10" x14ac:dyDescent="0.75">
      <c r="A2122" t="s">
        <v>60</v>
      </c>
      <c r="B2122" s="3">
        <v>44798</v>
      </c>
      <c r="C2122">
        <v>1</v>
      </c>
      <c r="D2122" t="s">
        <v>194</v>
      </c>
      <c r="E2122" s="22">
        <f>39-34</f>
        <v>5</v>
      </c>
      <c r="F2122" t="s">
        <v>363</v>
      </c>
      <c r="G2122" t="s">
        <v>361</v>
      </c>
      <c r="J2122" s="3"/>
    </row>
    <row r="2123" spans="1:10" x14ac:dyDescent="0.75">
      <c r="A2123" t="s">
        <v>60</v>
      </c>
      <c r="B2123" s="3">
        <v>44798</v>
      </c>
      <c r="C2123">
        <v>1</v>
      </c>
      <c r="D2123" t="s">
        <v>201</v>
      </c>
      <c r="E2123" s="22">
        <f>34-31</f>
        <v>3</v>
      </c>
      <c r="F2123" t="s">
        <v>363</v>
      </c>
      <c r="G2123" t="s">
        <v>361</v>
      </c>
      <c r="J2123" s="3"/>
    </row>
    <row r="2124" spans="1:10" x14ac:dyDescent="0.75">
      <c r="A2124" t="s">
        <v>60</v>
      </c>
      <c r="B2124" s="3">
        <v>44798</v>
      </c>
      <c r="C2124">
        <v>1</v>
      </c>
      <c r="D2124" t="s">
        <v>207</v>
      </c>
      <c r="E2124" s="22">
        <f>6-4</f>
        <v>2</v>
      </c>
      <c r="F2124" t="s">
        <v>363</v>
      </c>
      <c r="G2124" t="s">
        <v>374</v>
      </c>
      <c r="J2124" s="3"/>
    </row>
    <row r="2125" spans="1:10" x14ac:dyDescent="0.75">
      <c r="A2125" t="s">
        <v>60</v>
      </c>
      <c r="B2125" s="3">
        <v>44798</v>
      </c>
      <c r="C2125">
        <v>1</v>
      </c>
      <c r="D2125" t="s">
        <v>191</v>
      </c>
      <c r="E2125" s="22">
        <f>4</f>
        <v>4</v>
      </c>
      <c r="F2125" t="s">
        <v>363</v>
      </c>
      <c r="G2125" t="s">
        <v>374</v>
      </c>
      <c r="J2125" s="3"/>
    </row>
    <row r="2126" spans="1:10" x14ac:dyDescent="0.75">
      <c r="A2126" t="s">
        <v>60</v>
      </c>
      <c r="B2126" s="3">
        <v>44798</v>
      </c>
      <c r="C2126">
        <v>1</v>
      </c>
      <c r="D2126" t="s">
        <v>215</v>
      </c>
      <c r="E2126" s="22">
        <f>28-26</f>
        <v>2</v>
      </c>
      <c r="F2126" t="s">
        <v>363</v>
      </c>
      <c r="G2126" t="s">
        <v>374</v>
      </c>
      <c r="J2126" s="3"/>
    </row>
    <row r="2127" spans="1:10" x14ac:dyDescent="0.75">
      <c r="A2127" t="s">
        <v>60</v>
      </c>
      <c r="B2127" s="3">
        <v>44798</v>
      </c>
      <c r="C2127">
        <v>1</v>
      </c>
      <c r="D2127" t="s">
        <v>194</v>
      </c>
      <c r="E2127" s="22">
        <f>26-23</f>
        <v>3</v>
      </c>
      <c r="F2127" t="s">
        <v>363</v>
      </c>
      <c r="G2127" t="s">
        <v>374</v>
      </c>
      <c r="J2127" s="3"/>
    </row>
    <row r="2128" spans="1:10" x14ac:dyDescent="0.75">
      <c r="A2128" t="s">
        <v>60</v>
      </c>
      <c r="B2128" s="3">
        <v>44798</v>
      </c>
      <c r="C2128">
        <v>1</v>
      </c>
      <c r="D2128" t="s">
        <v>153</v>
      </c>
      <c r="E2128" s="22">
        <f>23-22</f>
        <v>1</v>
      </c>
      <c r="F2128" t="s">
        <v>363</v>
      </c>
      <c r="G2128" t="s">
        <v>374</v>
      </c>
      <c r="J2128" s="3"/>
    </row>
    <row r="2129" spans="1:10" x14ac:dyDescent="0.75">
      <c r="A2129" t="s">
        <v>60</v>
      </c>
      <c r="B2129" s="3">
        <v>44798</v>
      </c>
      <c r="C2129">
        <v>1</v>
      </c>
      <c r="D2129" t="s">
        <v>194</v>
      </c>
      <c r="E2129" s="22">
        <f>22-14</f>
        <v>8</v>
      </c>
      <c r="F2129" t="s">
        <v>363</v>
      </c>
      <c r="G2129" t="s">
        <v>374</v>
      </c>
      <c r="J2129" s="3"/>
    </row>
    <row r="2130" spans="1:10" x14ac:dyDescent="0.75">
      <c r="A2130" t="s">
        <v>60</v>
      </c>
      <c r="B2130" s="3">
        <v>44798</v>
      </c>
      <c r="C2130">
        <v>1</v>
      </c>
      <c r="D2130" t="s">
        <v>191</v>
      </c>
      <c r="E2130" s="22">
        <f>14-12</f>
        <v>2</v>
      </c>
      <c r="F2130" t="s">
        <v>363</v>
      </c>
      <c r="G2130" t="s">
        <v>374</v>
      </c>
      <c r="J2130" s="3"/>
    </row>
    <row r="2131" spans="1:10" x14ac:dyDescent="0.75">
      <c r="A2131" t="s">
        <v>60</v>
      </c>
      <c r="B2131" s="3">
        <v>44798</v>
      </c>
      <c r="C2131">
        <v>1</v>
      </c>
      <c r="D2131" t="s">
        <v>201</v>
      </c>
      <c r="E2131" s="22">
        <f>12-11</f>
        <v>1</v>
      </c>
      <c r="F2131" t="s">
        <v>363</v>
      </c>
      <c r="G2131" t="s">
        <v>374</v>
      </c>
      <c r="J2131" s="3"/>
    </row>
    <row r="2132" spans="1:10" s="58" customFormat="1" x14ac:dyDescent="0.75">
      <c r="A2132" s="58" t="s">
        <v>28</v>
      </c>
      <c r="B2132" s="59">
        <v>44819</v>
      </c>
      <c r="C2132" s="58">
        <v>1</v>
      </c>
      <c r="D2132" s="58" t="s">
        <v>197</v>
      </c>
      <c r="E2132" s="60">
        <f>44-36</f>
        <v>8</v>
      </c>
      <c r="F2132" s="58" t="s">
        <v>363</v>
      </c>
      <c r="G2132" s="58" t="s">
        <v>361</v>
      </c>
      <c r="J2132" s="59"/>
    </row>
    <row r="2133" spans="1:10" s="58" customFormat="1" x14ac:dyDescent="0.75">
      <c r="A2133" s="58" t="s">
        <v>28</v>
      </c>
      <c r="B2133" s="59">
        <v>44819</v>
      </c>
      <c r="C2133" s="58">
        <v>1</v>
      </c>
      <c r="D2133" s="58" t="s">
        <v>191</v>
      </c>
      <c r="E2133" s="60">
        <f>36-25</f>
        <v>11</v>
      </c>
      <c r="F2133" s="58" t="s">
        <v>363</v>
      </c>
      <c r="G2133" s="58" t="s">
        <v>361</v>
      </c>
    </row>
    <row r="2134" spans="1:10" s="58" customFormat="1" x14ac:dyDescent="0.75">
      <c r="A2134" s="58" t="s">
        <v>28</v>
      </c>
      <c r="B2134" s="59">
        <v>44819</v>
      </c>
      <c r="C2134" s="58">
        <v>1</v>
      </c>
      <c r="D2134" s="58" t="s">
        <v>201</v>
      </c>
      <c r="E2134" s="60">
        <f>25-21</f>
        <v>4</v>
      </c>
      <c r="F2134" s="58" t="s">
        <v>363</v>
      </c>
      <c r="G2134" s="58" t="s">
        <v>361</v>
      </c>
    </row>
    <row r="2135" spans="1:10" s="58" customFormat="1" x14ac:dyDescent="0.75">
      <c r="A2135" s="58" t="s">
        <v>28</v>
      </c>
      <c r="B2135" s="59">
        <v>44819</v>
      </c>
      <c r="C2135" s="58">
        <v>1</v>
      </c>
      <c r="D2135" s="58" t="s">
        <v>194</v>
      </c>
      <c r="E2135" s="60">
        <f>21-15</f>
        <v>6</v>
      </c>
      <c r="F2135" s="58" t="s">
        <v>363</v>
      </c>
      <c r="G2135" s="58" t="s">
        <v>361</v>
      </c>
    </row>
    <row r="2136" spans="1:10" s="58" customFormat="1" x14ac:dyDescent="0.75">
      <c r="A2136" s="58" t="s">
        <v>28</v>
      </c>
      <c r="B2136" s="59">
        <v>44819</v>
      </c>
      <c r="C2136" s="58">
        <v>1</v>
      </c>
      <c r="D2136" s="58" t="s">
        <v>197</v>
      </c>
      <c r="E2136" s="60">
        <f>15-13</f>
        <v>2</v>
      </c>
      <c r="F2136" s="58" t="s">
        <v>363</v>
      </c>
      <c r="G2136" s="58" t="s">
        <v>361</v>
      </c>
    </row>
    <row r="2137" spans="1:10" s="58" customFormat="1" x14ac:dyDescent="0.75">
      <c r="A2137" s="58" t="s">
        <v>28</v>
      </c>
      <c r="B2137" s="59">
        <v>44819</v>
      </c>
      <c r="C2137" s="58">
        <v>1</v>
      </c>
      <c r="D2137" s="58" t="s">
        <v>197</v>
      </c>
      <c r="E2137" s="60">
        <f>13-2</f>
        <v>11</v>
      </c>
      <c r="F2137" s="58" t="s">
        <v>363</v>
      </c>
      <c r="G2137" s="58" t="s">
        <v>361</v>
      </c>
    </row>
    <row r="2138" spans="1:10" s="58" customFormat="1" x14ac:dyDescent="0.75">
      <c r="A2138" s="58" t="s">
        <v>28</v>
      </c>
      <c r="B2138" s="59">
        <v>44819</v>
      </c>
      <c r="C2138" s="58">
        <v>1</v>
      </c>
      <c r="D2138" s="58" t="s">
        <v>207</v>
      </c>
      <c r="E2138" s="60">
        <f>49-46</f>
        <v>3</v>
      </c>
      <c r="F2138" s="58" t="s">
        <v>363</v>
      </c>
      <c r="G2138" s="58" t="s">
        <v>374</v>
      </c>
    </row>
    <row r="2139" spans="1:10" s="58" customFormat="1" x14ac:dyDescent="0.75">
      <c r="A2139" s="58" t="s">
        <v>28</v>
      </c>
      <c r="B2139" s="59">
        <v>44819</v>
      </c>
      <c r="C2139" s="58">
        <v>1</v>
      </c>
      <c r="D2139" s="58" t="s">
        <v>207</v>
      </c>
      <c r="E2139" s="60">
        <f>45-44</f>
        <v>1</v>
      </c>
      <c r="F2139" s="58" t="s">
        <v>363</v>
      </c>
      <c r="G2139" s="58" t="s">
        <v>374</v>
      </c>
    </row>
    <row r="2140" spans="1:10" s="58" customFormat="1" x14ac:dyDescent="0.75">
      <c r="A2140" s="58" t="s">
        <v>28</v>
      </c>
      <c r="B2140" s="59">
        <v>44819</v>
      </c>
      <c r="C2140" s="58">
        <v>1</v>
      </c>
      <c r="D2140" s="58" t="s">
        <v>207</v>
      </c>
      <c r="E2140" s="60">
        <f>44-39</f>
        <v>5</v>
      </c>
      <c r="F2140" s="58" t="s">
        <v>363</v>
      </c>
      <c r="G2140" s="58" t="s">
        <v>374</v>
      </c>
    </row>
    <row r="2141" spans="1:10" s="58" customFormat="1" x14ac:dyDescent="0.75">
      <c r="A2141" s="58" t="s">
        <v>28</v>
      </c>
      <c r="B2141" s="59">
        <v>44819</v>
      </c>
      <c r="C2141" s="58">
        <v>1</v>
      </c>
      <c r="D2141" s="58" t="s">
        <v>194</v>
      </c>
      <c r="E2141" s="60">
        <f>39-33</f>
        <v>6</v>
      </c>
      <c r="F2141" s="58" t="s">
        <v>363</v>
      </c>
      <c r="G2141" s="58" t="s">
        <v>374</v>
      </c>
    </row>
    <row r="2142" spans="1:10" s="58" customFormat="1" x14ac:dyDescent="0.75">
      <c r="A2142" s="58" t="s">
        <v>28</v>
      </c>
      <c r="B2142" s="59">
        <v>44819</v>
      </c>
      <c r="C2142" s="58">
        <v>1</v>
      </c>
      <c r="D2142" s="58" t="s">
        <v>215</v>
      </c>
      <c r="E2142" s="60">
        <f>33-30</f>
        <v>3</v>
      </c>
      <c r="F2142" s="58" t="s">
        <v>363</v>
      </c>
      <c r="G2142" s="58" t="s">
        <v>374</v>
      </c>
    </row>
    <row r="2143" spans="1:10" s="58" customFormat="1" x14ac:dyDescent="0.75">
      <c r="A2143" s="58" t="s">
        <v>28</v>
      </c>
      <c r="B2143" s="59">
        <v>44819</v>
      </c>
      <c r="C2143" s="58">
        <v>1</v>
      </c>
      <c r="D2143" s="58" t="s">
        <v>207</v>
      </c>
      <c r="E2143" s="60">
        <f>30-26</f>
        <v>4</v>
      </c>
      <c r="F2143" s="58" t="s">
        <v>363</v>
      </c>
      <c r="G2143" s="58" t="s">
        <v>374</v>
      </c>
    </row>
    <row r="2144" spans="1:10" s="58" customFormat="1" x14ac:dyDescent="0.75">
      <c r="A2144" s="58" t="s">
        <v>28</v>
      </c>
      <c r="B2144" s="59">
        <v>44819</v>
      </c>
      <c r="C2144" s="58">
        <v>1</v>
      </c>
      <c r="D2144" s="58" t="s">
        <v>194</v>
      </c>
      <c r="E2144" s="60">
        <f>26-24</f>
        <v>2</v>
      </c>
      <c r="F2144" s="58" t="s">
        <v>363</v>
      </c>
      <c r="G2144" s="58" t="s">
        <v>374</v>
      </c>
    </row>
    <row r="2145" spans="1:11" s="58" customFormat="1" x14ac:dyDescent="0.75">
      <c r="A2145" s="58" t="s">
        <v>28</v>
      </c>
      <c r="B2145" s="59">
        <v>44819</v>
      </c>
      <c r="C2145" s="58">
        <v>1</v>
      </c>
      <c r="D2145" s="58" t="s">
        <v>194</v>
      </c>
      <c r="E2145" s="60">
        <f>23-21</f>
        <v>2</v>
      </c>
      <c r="F2145" s="58" t="s">
        <v>363</v>
      </c>
      <c r="G2145" s="58" t="s">
        <v>374</v>
      </c>
    </row>
    <row r="2146" spans="1:11" s="58" customFormat="1" x14ac:dyDescent="0.75">
      <c r="A2146" s="58" t="s">
        <v>28</v>
      </c>
      <c r="B2146" s="59">
        <v>44819</v>
      </c>
      <c r="C2146" s="58">
        <v>1</v>
      </c>
      <c r="D2146" s="58" t="s">
        <v>191</v>
      </c>
      <c r="E2146" s="60">
        <f>21-20</f>
        <v>1</v>
      </c>
      <c r="F2146" s="58" t="s">
        <v>363</v>
      </c>
      <c r="G2146" s="58" t="s">
        <v>374</v>
      </c>
    </row>
    <row r="2147" spans="1:11" s="58" customFormat="1" x14ac:dyDescent="0.75">
      <c r="A2147" s="58" t="s">
        <v>28</v>
      </c>
      <c r="B2147" s="59">
        <v>44819</v>
      </c>
      <c r="C2147" s="58">
        <v>1</v>
      </c>
      <c r="D2147" s="58" t="s">
        <v>194</v>
      </c>
      <c r="E2147" s="60">
        <f>20-15</f>
        <v>5</v>
      </c>
      <c r="F2147" s="58" t="s">
        <v>363</v>
      </c>
      <c r="G2147" s="58" t="s">
        <v>374</v>
      </c>
    </row>
    <row r="2148" spans="1:11" s="58" customFormat="1" x14ac:dyDescent="0.75">
      <c r="A2148" s="58" t="s">
        <v>28</v>
      </c>
      <c r="B2148" s="59">
        <v>44819</v>
      </c>
      <c r="C2148" s="58">
        <v>1</v>
      </c>
      <c r="D2148" s="58" t="s">
        <v>191</v>
      </c>
      <c r="E2148" s="60">
        <f>15-11</f>
        <v>4</v>
      </c>
      <c r="F2148" s="58" t="s">
        <v>363</v>
      </c>
      <c r="G2148" s="58" t="s">
        <v>374</v>
      </c>
    </row>
    <row r="2149" spans="1:11" s="58" customFormat="1" x14ac:dyDescent="0.75">
      <c r="A2149" s="58" t="s">
        <v>28</v>
      </c>
      <c r="B2149" s="59">
        <v>44819</v>
      </c>
      <c r="C2149" s="58">
        <v>1</v>
      </c>
      <c r="D2149" s="58" t="s">
        <v>215</v>
      </c>
      <c r="E2149" s="60">
        <f>11-10</f>
        <v>1</v>
      </c>
      <c r="F2149" s="58" t="s">
        <v>363</v>
      </c>
      <c r="G2149" s="58" t="s">
        <v>374</v>
      </c>
    </row>
    <row r="2150" spans="1:11" s="58" customFormat="1" x14ac:dyDescent="0.75">
      <c r="A2150" s="58" t="s">
        <v>28</v>
      </c>
      <c r="B2150" s="59">
        <v>44819</v>
      </c>
      <c r="C2150" s="58">
        <v>1</v>
      </c>
      <c r="D2150" s="58" t="s">
        <v>207</v>
      </c>
      <c r="E2150" s="60">
        <f>4</f>
        <v>4</v>
      </c>
      <c r="F2150" s="58" t="s">
        <v>363</v>
      </c>
      <c r="G2150" s="58" t="s">
        <v>374</v>
      </c>
      <c r="K2150" s="58" t="s">
        <v>798</v>
      </c>
    </row>
    <row r="2151" spans="1:11" s="58" customFormat="1" x14ac:dyDescent="0.75">
      <c r="A2151" s="58" t="s">
        <v>28</v>
      </c>
      <c r="B2151" s="59">
        <v>44819</v>
      </c>
      <c r="C2151" s="58">
        <v>1</v>
      </c>
      <c r="D2151" s="58" t="s">
        <v>172</v>
      </c>
      <c r="E2151" s="60">
        <f>8</f>
        <v>8</v>
      </c>
      <c r="F2151" s="58" t="s">
        <v>363</v>
      </c>
      <c r="G2151" s="58" t="s">
        <v>374</v>
      </c>
    </row>
    <row r="2152" spans="1:11" s="58" customFormat="1" x14ac:dyDescent="0.75">
      <c r="A2152" s="58" t="s">
        <v>28</v>
      </c>
      <c r="B2152" s="59">
        <v>44819</v>
      </c>
      <c r="C2152" s="58">
        <v>1</v>
      </c>
      <c r="D2152" s="58" t="s">
        <v>207</v>
      </c>
      <c r="E2152" s="60">
        <f>3</f>
        <v>3</v>
      </c>
      <c r="F2152" s="58" t="s">
        <v>363</v>
      </c>
      <c r="G2152" s="58" t="s">
        <v>374</v>
      </c>
    </row>
    <row r="2153" spans="1:11" s="58" customFormat="1" x14ac:dyDescent="0.75">
      <c r="A2153" s="58" t="s">
        <v>28</v>
      </c>
      <c r="B2153" s="59">
        <v>44819</v>
      </c>
      <c r="C2153" s="58">
        <v>1</v>
      </c>
      <c r="D2153" s="58" t="s">
        <v>197</v>
      </c>
      <c r="E2153" s="60">
        <f>49-45</f>
        <v>4</v>
      </c>
      <c r="F2153" s="58" t="s">
        <v>363</v>
      </c>
      <c r="G2153" s="58" t="s">
        <v>367</v>
      </c>
    </row>
    <row r="2154" spans="1:11" s="58" customFormat="1" x14ac:dyDescent="0.75">
      <c r="A2154" s="58" t="s">
        <v>28</v>
      </c>
      <c r="B2154" s="59">
        <v>44819</v>
      </c>
      <c r="C2154" s="58">
        <v>1</v>
      </c>
      <c r="D2154" s="58" t="s">
        <v>225</v>
      </c>
      <c r="E2154" s="60">
        <f>45-42</f>
        <v>3</v>
      </c>
      <c r="F2154" s="58" t="s">
        <v>363</v>
      </c>
      <c r="G2154" s="58" t="s">
        <v>367</v>
      </c>
    </row>
    <row r="2155" spans="1:11" s="58" customFormat="1" x14ac:dyDescent="0.75">
      <c r="A2155" s="58" t="s">
        <v>28</v>
      </c>
      <c r="B2155" s="59">
        <v>44819</v>
      </c>
      <c r="C2155" s="58">
        <v>1</v>
      </c>
      <c r="D2155" s="58" t="s">
        <v>197</v>
      </c>
      <c r="E2155" s="60">
        <f>42-29</f>
        <v>13</v>
      </c>
      <c r="F2155" s="58" t="s">
        <v>363</v>
      </c>
      <c r="G2155" s="58" t="s">
        <v>367</v>
      </c>
    </row>
    <row r="2156" spans="1:11" s="58" customFormat="1" x14ac:dyDescent="0.75">
      <c r="A2156" s="58" t="s">
        <v>28</v>
      </c>
      <c r="B2156" s="59">
        <v>44819</v>
      </c>
      <c r="C2156" s="58">
        <v>1</v>
      </c>
      <c r="D2156" s="58" t="s">
        <v>215</v>
      </c>
      <c r="E2156" s="60">
        <f>29-28</f>
        <v>1</v>
      </c>
      <c r="F2156" s="58" t="s">
        <v>363</v>
      </c>
      <c r="G2156" s="58" t="s">
        <v>367</v>
      </c>
    </row>
    <row r="2157" spans="1:11" s="58" customFormat="1" x14ac:dyDescent="0.75">
      <c r="A2157" s="58" t="s">
        <v>28</v>
      </c>
      <c r="B2157" s="59">
        <v>44819</v>
      </c>
      <c r="C2157" s="58">
        <v>1</v>
      </c>
      <c r="D2157" s="58" t="s">
        <v>207</v>
      </c>
      <c r="E2157" s="60">
        <f>28-21</f>
        <v>7</v>
      </c>
      <c r="F2157" s="58" t="s">
        <v>363</v>
      </c>
      <c r="G2157" s="58" t="s">
        <v>367</v>
      </c>
    </row>
    <row r="2158" spans="1:11" s="58" customFormat="1" x14ac:dyDescent="0.75">
      <c r="A2158" s="58" t="s">
        <v>28</v>
      </c>
      <c r="B2158" s="59">
        <v>44819</v>
      </c>
      <c r="C2158" s="58">
        <v>1</v>
      </c>
      <c r="D2158" s="58" t="s">
        <v>191</v>
      </c>
      <c r="E2158" s="60">
        <f>21-20</f>
        <v>1</v>
      </c>
      <c r="F2158" s="58" t="s">
        <v>363</v>
      </c>
      <c r="G2158" s="58" t="s">
        <v>367</v>
      </c>
    </row>
    <row r="2159" spans="1:11" s="58" customFormat="1" x14ac:dyDescent="0.75">
      <c r="A2159" s="58" t="s">
        <v>28</v>
      </c>
      <c r="B2159" s="59">
        <v>44819</v>
      </c>
      <c r="C2159" s="58">
        <v>1</v>
      </c>
      <c r="D2159" s="58" t="s">
        <v>194</v>
      </c>
      <c r="E2159" s="60">
        <f>20-15</f>
        <v>5</v>
      </c>
      <c r="F2159" s="58" t="s">
        <v>363</v>
      </c>
      <c r="G2159" s="58" t="s">
        <v>367</v>
      </c>
    </row>
    <row r="2160" spans="1:11" x14ac:dyDescent="0.75">
      <c r="A2160" t="s">
        <v>28</v>
      </c>
      <c r="B2160" s="3">
        <v>44819</v>
      </c>
      <c r="C2160">
        <v>2</v>
      </c>
      <c r="D2160" t="s">
        <v>215</v>
      </c>
      <c r="E2160" s="22">
        <f>10-8</f>
        <v>2</v>
      </c>
      <c r="F2160" t="s">
        <v>363</v>
      </c>
      <c r="G2160" t="s">
        <v>374</v>
      </c>
    </row>
    <row r="2161" spans="1:7" x14ac:dyDescent="0.75">
      <c r="A2161" t="s">
        <v>28</v>
      </c>
      <c r="B2161" s="3">
        <v>44819</v>
      </c>
      <c r="C2161">
        <v>2</v>
      </c>
      <c r="D2161" t="s">
        <v>197</v>
      </c>
      <c r="E2161" s="22">
        <f>8</f>
        <v>8</v>
      </c>
      <c r="F2161" t="s">
        <v>363</v>
      </c>
      <c r="G2161" t="s">
        <v>374</v>
      </c>
    </row>
    <row r="2162" spans="1:7" x14ac:dyDescent="0.75">
      <c r="A2162" t="s">
        <v>28</v>
      </c>
      <c r="B2162" s="3">
        <v>44819</v>
      </c>
      <c r="C2162">
        <v>2</v>
      </c>
      <c r="D2162" t="s">
        <v>215</v>
      </c>
      <c r="E2162" s="22">
        <f>52-44</f>
        <v>8</v>
      </c>
      <c r="F2162" t="s">
        <v>363</v>
      </c>
      <c r="G2162" t="s">
        <v>374</v>
      </c>
    </row>
    <row r="2163" spans="1:7" x14ac:dyDescent="0.75">
      <c r="A2163" t="s">
        <v>28</v>
      </c>
      <c r="B2163" s="3">
        <v>44819</v>
      </c>
      <c r="C2163">
        <v>2</v>
      </c>
      <c r="D2163" t="s">
        <v>205</v>
      </c>
      <c r="E2163" s="22">
        <f>44-38</f>
        <v>6</v>
      </c>
      <c r="F2163" t="s">
        <v>363</v>
      </c>
      <c r="G2163" t="s">
        <v>374</v>
      </c>
    </row>
    <row r="2164" spans="1:7" x14ac:dyDescent="0.75">
      <c r="A2164" t="s">
        <v>28</v>
      </c>
      <c r="B2164" s="3">
        <v>44819</v>
      </c>
      <c r="C2164">
        <v>2</v>
      </c>
      <c r="D2164" t="s">
        <v>191</v>
      </c>
      <c r="E2164" s="22">
        <f>38-37</f>
        <v>1</v>
      </c>
      <c r="F2164" t="s">
        <v>363</v>
      </c>
      <c r="G2164" t="s">
        <v>374</v>
      </c>
    </row>
    <row r="2165" spans="1:7" x14ac:dyDescent="0.75">
      <c r="A2165" t="s">
        <v>28</v>
      </c>
      <c r="B2165" s="3">
        <v>44819</v>
      </c>
      <c r="C2165">
        <v>2</v>
      </c>
      <c r="D2165" t="s">
        <v>207</v>
      </c>
      <c r="E2165" s="22">
        <f>37-29</f>
        <v>8</v>
      </c>
      <c r="F2165" t="s">
        <v>363</v>
      </c>
      <c r="G2165" t="s">
        <v>374</v>
      </c>
    </row>
    <row r="2166" spans="1:7" x14ac:dyDescent="0.75">
      <c r="A2166" t="s">
        <v>28</v>
      </c>
      <c r="B2166" s="3">
        <v>44819</v>
      </c>
      <c r="C2166">
        <v>2</v>
      </c>
      <c r="D2166" t="s">
        <v>207</v>
      </c>
      <c r="E2166" s="22">
        <f>29-28</f>
        <v>1</v>
      </c>
      <c r="F2166" t="s">
        <v>363</v>
      </c>
      <c r="G2166" t="s">
        <v>374</v>
      </c>
    </row>
    <row r="2167" spans="1:7" x14ac:dyDescent="0.75">
      <c r="A2167" t="s">
        <v>28</v>
      </c>
      <c r="B2167" s="3">
        <v>44819</v>
      </c>
      <c r="C2167">
        <v>2</v>
      </c>
      <c r="D2167" t="s">
        <v>194</v>
      </c>
      <c r="E2167" s="22">
        <f>27-21</f>
        <v>6</v>
      </c>
      <c r="F2167" t="s">
        <v>363</v>
      </c>
      <c r="G2167" t="s">
        <v>374</v>
      </c>
    </row>
    <row r="2168" spans="1:7" x14ac:dyDescent="0.75">
      <c r="A2168" t="s">
        <v>28</v>
      </c>
      <c r="B2168" s="3">
        <v>44819</v>
      </c>
      <c r="C2168">
        <v>2</v>
      </c>
      <c r="D2168" t="s">
        <v>153</v>
      </c>
      <c r="E2168" s="22">
        <f>21-20</f>
        <v>1</v>
      </c>
      <c r="F2168" t="s">
        <v>363</v>
      </c>
      <c r="G2168" t="s">
        <v>374</v>
      </c>
    </row>
    <row r="2169" spans="1:7" x14ac:dyDescent="0.75">
      <c r="A2169" t="s">
        <v>28</v>
      </c>
      <c r="B2169" s="3">
        <v>44819</v>
      </c>
      <c r="C2169">
        <v>2</v>
      </c>
      <c r="D2169" t="s">
        <v>153</v>
      </c>
      <c r="E2169" s="22">
        <f>20-19</f>
        <v>1</v>
      </c>
      <c r="F2169" t="s">
        <v>363</v>
      </c>
      <c r="G2169" t="s">
        <v>374</v>
      </c>
    </row>
    <row r="2170" spans="1:7" x14ac:dyDescent="0.75">
      <c r="A2170" t="s">
        <v>28</v>
      </c>
      <c r="B2170" s="3">
        <v>44819</v>
      </c>
      <c r="C2170">
        <v>2</v>
      </c>
      <c r="D2170" t="s">
        <v>207</v>
      </c>
      <c r="E2170" s="22">
        <f>19-9</f>
        <v>10</v>
      </c>
      <c r="F2170" t="s">
        <v>363</v>
      </c>
      <c r="G2170" t="s">
        <v>374</v>
      </c>
    </row>
    <row r="2171" spans="1:7" x14ac:dyDescent="0.75">
      <c r="A2171" t="s">
        <v>28</v>
      </c>
      <c r="B2171" s="3">
        <v>44819</v>
      </c>
      <c r="C2171">
        <v>2</v>
      </c>
      <c r="D2171" t="s">
        <v>194</v>
      </c>
      <c r="E2171" s="22">
        <f>15-8</f>
        <v>7</v>
      </c>
      <c r="F2171" t="s">
        <v>363</v>
      </c>
      <c r="G2171" t="s">
        <v>367</v>
      </c>
    </row>
    <row r="2172" spans="1:7" x14ac:dyDescent="0.75">
      <c r="A2172" t="s">
        <v>28</v>
      </c>
      <c r="B2172" s="3">
        <v>44819</v>
      </c>
      <c r="C2172">
        <v>2</v>
      </c>
      <c r="D2172" t="s">
        <v>207</v>
      </c>
      <c r="E2172" s="22">
        <f>8</f>
        <v>8</v>
      </c>
      <c r="F2172" t="s">
        <v>363</v>
      </c>
      <c r="G2172" t="s">
        <v>367</v>
      </c>
    </row>
    <row r="2173" spans="1:7" x14ac:dyDescent="0.75">
      <c r="A2173" t="s">
        <v>28</v>
      </c>
      <c r="B2173" s="3">
        <v>44819</v>
      </c>
      <c r="C2173">
        <v>2</v>
      </c>
      <c r="D2173" t="s">
        <v>207</v>
      </c>
      <c r="E2173" s="22">
        <f>38-29</f>
        <v>9</v>
      </c>
      <c r="F2173" t="s">
        <v>363</v>
      </c>
      <c r="G2173" t="s">
        <v>367</v>
      </c>
    </row>
    <row r="2174" spans="1:7" x14ac:dyDescent="0.75">
      <c r="A2174" t="s">
        <v>28</v>
      </c>
      <c r="B2174" s="3">
        <v>44819</v>
      </c>
      <c r="C2174">
        <v>2</v>
      </c>
      <c r="D2174" t="s">
        <v>197</v>
      </c>
      <c r="E2174" s="22">
        <f>29-20</f>
        <v>9</v>
      </c>
      <c r="F2174" t="s">
        <v>363</v>
      </c>
      <c r="G2174" t="s">
        <v>367</v>
      </c>
    </row>
    <row r="2175" spans="1:7" x14ac:dyDescent="0.75">
      <c r="A2175" t="s">
        <v>28</v>
      </c>
      <c r="B2175" s="3">
        <v>44819</v>
      </c>
      <c r="C2175">
        <v>2</v>
      </c>
      <c r="D2175" t="s">
        <v>197</v>
      </c>
      <c r="E2175" s="22">
        <f>20-19</f>
        <v>1</v>
      </c>
      <c r="F2175" t="s">
        <v>363</v>
      </c>
      <c r="G2175" t="s">
        <v>367</v>
      </c>
    </row>
    <row r="2176" spans="1:7" x14ac:dyDescent="0.75">
      <c r="A2176" t="s">
        <v>28</v>
      </c>
      <c r="B2176" s="3">
        <v>44819</v>
      </c>
      <c r="C2176">
        <v>2</v>
      </c>
      <c r="D2176" t="s">
        <v>194</v>
      </c>
      <c r="E2176" s="22">
        <f>19-13</f>
        <v>6</v>
      </c>
      <c r="F2176" t="s">
        <v>363</v>
      </c>
      <c r="G2176" t="s">
        <v>367</v>
      </c>
    </row>
    <row r="2177" spans="1:11" x14ac:dyDescent="0.75">
      <c r="A2177" t="s">
        <v>28</v>
      </c>
      <c r="B2177" s="3">
        <v>44819</v>
      </c>
      <c r="C2177">
        <v>2</v>
      </c>
      <c r="D2177" t="s">
        <v>191</v>
      </c>
      <c r="E2177" s="22">
        <f>44-40</f>
        <v>4</v>
      </c>
      <c r="F2177" t="s">
        <v>363</v>
      </c>
      <c r="G2177" t="s">
        <v>361</v>
      </c>
    </row>
    <row r="2178" spans="1:11" x14ac:dyDescent="0.75">
      <c r="A2178" t="s">
        <v>28</v>
      </c>
      <c r="B2178" s="3">
        <v>44819</v>
      </c>
      <c r="C2178">
        <v>2</v>
      </c>
      <c r="D2178" t="s">
        <v>191</v>
      </c>
      <c r="E2178" s="22">
        <f>40-36</f>
        <v>4</v>
      </c>
      <c r="F2178" t="s">
        <v>363</v>
      </c>
      <c r="G2178" t="s">
        <v>361</v>
      </c>
    </row>
    <row r="2179" spans="1:11" x14ac:dyDescent="0.75">
      <c r="A2179" t="s">
        <v>28</v>
      </c>
      <c r="B2179" s="3">
        <v>44819</v>
      </c>
      <c r="C2179">
        <v>2</v>
      </c>
      <c r="D2179" t="s">
        <v>153</v>
      </c>
      <c r="E2179" s="22">
        <f>36-34</f>
        <v>2</v>
      </c>
      <c r="F2179" t="s">
        <v>363</v>
      </c>
      <c r="G2179" t="s">
        <v>361</v>
      </c>
    </row>
    <row r="2180" spans="1:11" x14ac:dyDescent="0.75">
      <c r="A2180" t="s">
        <v>28</v>
      </c>
      <c r="B2180" s="3">
        <v>44819</v>
      </c>
      <c r="C2180">
        <v>2</v>
      </c>
      <c r="D2180" t="s">
        <v>172</v>
      </c>
      <c r="E2180" s="22">
        <f>34-30</f>
        <v>4</v>
      </c>
      <c r="F2180" t="s">
        <v>363</v>
      </c>
      <c r="G2180" t="s">
        <v>361</v>
      </c>
    </row>
    <row r="2181" spans="1:11" x14ac:dyDescent="0.75">
      <c r="A2181" t="s">
        <v>28</v>
      </c>
      <c r="B2181" s="3">
        <v>44819</v>
      </c>
      <c r="C2181">
        <v>2</v>
      </c>
      <c r="D2181" t="s">
        <v>168</v>
      </c>
      <c r="E2181" s="22">
        <f>30-22</f>
        <v>8</v>
      </c>
      <c r="F2181" t="s">
        <v>363</v>
      </c>
      <c r="G2181" t="s">
        <v>361</v>
      </c>
    </row>
    <row r="2182" spans="1:11" x14ac:dyDescent="0.75">
      <c r="A2182" t="s">
        <v>28</v>
      </c>
      <c r="B2182" s="3">
        <v>44819</v>
      </c>
      <c r="C2182">
        <v>2</v>
      </c>
      <c r="D2182" t="s">
        <v>168</v>
      </c>
      <c r="E2182" s="22">
        <f>22-15</f>
        <v>7</v>
      </c>
      <c r="F2182" t="s">
        <v>363</v>
      </c>
      <c r="G2182" t="s">
        <v>361</v>
      </c>
      <c r="K2182" t="s">
        <v>832</v>
      </c>
    </row>
    <row r="2183" spans="1:11" x14ac:dyDescent="0.75">
      <c r="A2183" t="s">
        <v>28</v>
      </c>
      <c r="B2183" s="3">
        <v>44819</v>
      </c>
      <c r="C2183">
        <v>2</v>
      </c>
      <c r="D2183" t="s">
        <v>168</v>
      </c>
      <c r="E2183" s="22">
        <f>15-13</f>
        <v>2</v>
      </c>
      <c r="F2183" t="s">
        <v>363</v>
      </c>
      <c r="G2183" t="s">
        <v>361</v>
      </c>
    </row>
    <row r="2184" spans="1:11" x14ac:dyDescent="0.75">
      <c r="A2184" t="s">
        <v>28</v>
      </c>
      <c r="B2184" s="3">
        <v>44819</v>
      </c>
      <c r="C2184">
        <v>2</v>
      </c>
      <c r="D2184" t="s">
        <v>168</v>
      </c>
      <c r="E2184" s="22">
        <f>13-10</f>
        <v>3</v>
      </c>
      <c r="F2184" t="s">
        <v>363</v>
      </c>
      <c r="G2184" t="s">
        <v>361</v>
      </c>
    </row>
    <row r="2185" spans="1:11" x14ac:dyDescent="0.75">
      <c r="A2185" t="s">
        <v>28</v>
      </c>
      <c r="B2185" s="3">
        <v>44819</v>
      </c>
      <c r="C2185">
        <v>2</v>
      </c>
      <c r="D2185" t="s">
        <v>168</v>
      </c>
      <c r="E2185" s="22">
        <f>10-7</f>
        <v>3</v>
      </c>
      <c r="F2185" t="s">
        <v>363</v>
      </c>
      <c r="G2185" t="s">
        <v>361</v>
      </c>
    </row>
    <row r="2186" spans="1:11" x14ac:dyDescent="0.75">
      <c r="A2186" t="s">
        <v>28</v>
      </c>
      <c r="B2186" s="3">
        <v>44819</v>
      </c>
      <c r="C2186">
        <v>2</v>
      </c>
      <c r="D2186" t="s">
        <v>191</v>
      </c>
      <c r="E2186" s="22">
        <f>7-2</f>
        <v>5</v>
      </c>
      <c r="F2186">
        <v>4133</v>
      </c>
      <c r="G2186" t="s">
        <v>361</v>
      </c>
    </row>
    <row r="2187" spans="1:11" s="23" customFormat="1" x14ac:dyDescent="0.75">
      <c r="A2187" s="23" t="s">
        <v>91</v>
      </c>
      <c r="B2187" s="24">
        <v>44819</v>
      </c>
      <c r="C2187" s="23">
        <v>1</v>
      </c>
      <c r="D2187" s="23" t="s">
        <v>153</v>
      </c>
      <c r="E2187" s="52">
        <f>6-2</f>
        <v>4</v>
      </c>
      <c r="F2187" s="23" t="s">
        <v>363</v>
      </c>
      <c r="G2187" s="23" t="s">
        <v>361</v>
      </c>
      <c r="K2187" s="23" t="s">
        <v>833</v>
      </c>
    </row>
    <row r="2188" spans="1:11" s="23" customFormat="1" x14ac:dyDescent="0.75">
      <c r="A2188" s="23" t="s">
        <v>91</v>
      </c>
      <c r="B2188" s="24">
        <v>44819</v>
      </c>
      <c r="C2188" s="23">
        <v>1</v>
      </c>
      <c r="D2188" s="23" t="s">
        <v>197</v>
      </c>
      <c r="E2188" s="52">
        <f>2+45-39</f>
        <v>8</v>
      </c>
      <c r="F2188" s="23" t="s">
        <v>363</v>
      </c>
      <c r="G2188" s="23" t="s">
        <v>361</v>
      </c>
      <c r="K2188" s="23" t="s">
        <v>833</v>
      </c>
    </row>
    <row r="2189" spans="1:11" s="23" customFormat="1" x14ac:dyDescent="0.75">
      <c r="A2189" s="23" t="s">
        <v>91</v>
      </c>
      <c r="B2189" s="24">
        <v>44819</v>
      </c>
      <c r="C2189" s="23">
        <v>1</v>
      </c>
      <c r="D2189" s="23" t="s">
        <v>160</v>
      </c>
      <c r="E2189" s="52">
        <f>55-46</f>
        <v>9</v>
      </c>
      <c r="F2189" s="23" t="s">
        <v>363</v>
      </c>
      <c r="G2189" s="23" t="s">
        <v>374</v>
      </c>
      <c r="K2189" s="23" t="s">
        <v>834</v>
      </c>
    </row>
    <row r="2190" spans="1:11" s="23" customFormat="1" x14ac:dyDescent="0.75">
      <c r="A2190" s="23" t="s">
        <v>91</v>
      </c>
      <c r="B2190" s="24">
        <v>44819</v>
      </c>
      <c r="C2190" s="23">
        <v>1</v>
      </c>
      <c r="D2190" s="23" t="s">
        <v>168</v>
      </c>
      <c r="E2190" s="52">
        <f>50-31</f>
        <v>19</v>
      </c>
      <c r="F2190" s="23" t="s">
        <v>363</v>
      </c>
      <c r="G2190" s="23" t="s">
        <v>367</v>
      </c>
      <c r="K2190" s="23" t="s">
        <v>833</v>
      </c>
    </row>
    <row r="2191" spans="1:11" s="23" customFormat="1" x14ac:dyDescent="0.75">
      <c r="A2191" s="23" t="s">
        <v>91</v>
      </c>
      <c r="B2191" s="24">
        <v>44819</v>
      </c>
      <c r="C2191" s="23">
        <v>1</v>
      </c>
      <c r="D2191" s="23" t="s">
        <v>172</v>
      </c>
      <c r="E2191" s="52">
        <f>31-13</f>
        <v>18</v>
      </c>
      <c r="F2191" s="23" t="s">
        <v>363</v>
      </c>
      <c r="G2191" s="23" t="s">
        <v>367</v>
      </c>
      <c r="K2191" s="23" t="s">
        <v>833</v>
      </c>
    </row>
    <row r="2192" spans="1:11" s="23" customFormat="1" x14ac:dyDescent="0.75">
      <c r="A2192" s="23" t="s">
        <v>91</v>
      </c>
      <c r="B2192" s="24">
        <v>44819</v>
      </c>
      <c r="C2192" s="23">
        <v>1</v>
      </c>
      <c r="D2192" s="23" t="s">
        <v>172</v>
      </c>
      <c r="E2192" s="52">
        <f>13-1</f>
        <v>12</v>
      </c>
      <c r="F2192" s="23" t="s">
        <v>363</v>
      </c>
      <c r="G2192" s="23" t="s">
        <v>367</v>
      </c>
      <c r="K2192" s="23" t="s">
        <v>835</v>
      </c>
    </row>
    <row r="2193" spans="1:11" s="23" customFormat="1" x14ac:dyDescent="0.75">
      <c r="A2193" s="23" t="s">
        <v>91</v>
      </c>
      <c r="B2193" s="24">
        <v>44819</v>
      </c>
      <c r="C2193" s="23">
        <v>1</v>
      </c>
      <c r="D2193" s="23" t="s">
        <v>197</v>
      </c>
      <c r="E2193" s="52">
        <f>33-32</f>
        <v>1</v>
      </c>
      <c r="F2193" s="23" t="s">
        <v>363</v>
      </c>
      <c r="G2193" s="23" t="s">
        <v>367</v>
      </c>
      <c r="K2193" s="23" t="s">
        <v>833</v>
      </c>
    </row>
    <row r="2194" spans="1:11" x14ac:dyDescent="0.75">
      <c r="A2194" t="s">
        <v>23</v>
      </c>
      <c r="B2194" s="3">
        <v>44824</v>
      </c>
      <c r="C2194">
        <v>1</v>
      </c>
      <c r="D2194" t="s">
        <v>201</v>
      </c>
      <c r="E2194" s="22">
        <f>41-23</f>
        <v>18</v>
      </c>
      <c r="F2194" t="s">
        <v>363</v>
      </c>
      <c r="G2194" t="s">
        <v>361</v>
      </c>
    </row>
    <row r="2195" spans="1:11" x14ac:dyDescent="0.75">
      <c r="A2195" t="s">
        <v>23</v>
      </c>
      <c r="B2195" s="3">
        <v>44824</v>
      </c>
      <c r="C2195">
        <v>1</v>
      </c>
      <c r="D2195" t="s">
        <v>194</v>
      </c>
      <c r="E2195" s="22">
        <f>23-19</f>
        <v>4</v>
      </c>
      <c r="F2195" t="s">
        <v>363</v>
      </c>
      <c r="G2195" t="s">
        <v>361</v>
      </c>
    </row>
    <row r="2196" spans="1:11" x14ac:dyDescent="0.75">
      <c r="A2196" t="s">
        <v>23</v>
      </c>
      <c r="B2196" s="3">
        <v>44824</v>
      </c>
      <c r="C2196">
        <v>1</v>
      </c>
      <c r="D2196" t="s">
        <v>194</v>
      </c>
      <c r="E2196" s="22">
        <f>19-10</f>
        <v>9</v>
      </c>
      <c r="F2196" t="s">
        <v>363</v>
      </c>
      <c r="G2196" t="s">
        <v>361</v>
      </c>
    </row>
    <row r="2197" spans="1:11" x14ac:dyDescent="0.75">
      <c r="A2197" t="s">
        <v>23</v>
      </c>
      <c r="B2197" s="3">
        <v>44824</v>
      </c>
      <c r="C2197">
        <v>1</v>
      </c>
      <c r="D2197" t="s">
        <v>194</v>
      </c>
      <c r="E2197" s="22">
        <f>10</f>
        <v>10</v>
      </c>
      <c r="F2197" t="s">
        <v>363</v>
      </c>
      <c r="G2197" t="s">
        <v>361</v>
      </c>
    </row>
    <row r="2198" spans="1:11" x14ac:dyDescent="0.75">
      <c r="A2198" t="s">
        <v>23</v>
      </c>
      <c r="B2198" s="3">
        <v>44824</v>
      </c>
      <c r="C2198">
        <v>1</v>
      </c>
      <c r="D2198" t="s">
        <v>201</v>
      </c>
      <c r="E2198" s="22">
        <f>37-23</f>
        <v>14</v>
      </c>
      <c r="F2198" t="s">
        <v>363</v>
      </c>
      <c r="G2198" t="s">
        <v>361</v>
      </c>
    </row>
    <row r="2199" spans="1:11" x14ac:dyDescent="0.75">
      <c r="A2199" t="s">
        <v>23</v>
      </c>
      <c r="B2199" s="3">
        <v>44824</v>
      </c>
      <c r="C2199">
        <v>1</v>
      </c>
      <c r="D2199" t="s">
        <v>201</v>
      </c>
      <c r="E2199" s="22">
        <f>50-28</f>
        <v>22</v>
      </c>
      <c r="F2199" t="s">
        <v>363</v>
      </c>
      <c r="G2199" t="s">
        <v>374</v>
      </c>
    </row>
    <row r="2200" spans="1:11" x14ac:dyDescent="0.75">
      <c r="A2200" t="s">
        <v>23</v>
      </c>
      <c r="B2200" s="3">
        <v>44824</v>
      </c>
      <c r="C2200">
        <v>1</v>
      </c>
      <c r="D2200" t="s">
        <v>194</v>
      </c>
      <c r="E2200" s="22">
        <f>28-20</f>
        <v>8</v>
      </c>
      <c r="F2200" t="s">
        <v>363</v>
      </c>
      <c r="G2200" t="s">
        <v>374</v>
      </c>
    </row>
    <row r="2201" spans="1:11" x14ac:dyDescent="0.75">
      <c r="A2201" t="s">
        <v>23</v>
      </c>
      <c r="B2201" s="3">
        <v>44824</v>
      </c>
      <c r="C2201">
        <v>1</v>
      </c>
      <c r="D2201" t="s">
        <v>197</v>
      </c>
      <c r="E2201" s="22">
        <f>20-15</f>
        <v>5</v>
      </c>
      <c r="F2201" t="s">
        <v>363</v>
      </c>
      <c r="G2201" t="s">
        <v>374</v>
      </c>
    </row>
    <row r="2202" spans="1:11" x14ac:dyDescent="0.75">
      <c r="A2202" t="s">
        <v>23</v>
      </c>
      <c r="B2202" s="3">
        <v>44824</v>
      </c>
      <c r="C2202">
        <v>1</v>
      </c>
      <c r="D2202" t="s">
        <v>197</v>
      </c>
      <c r="E2202" s="22">
        <f>15-14</f>
        <v>1</v>
      </c>
      <c r="F2202" t="s">
        <v>363</v>
      </c>
      <c r="G2202" t="s">
        <v>374</v>
      </c>
    </row>
    <row r="2203" spans="1:11" x14ac:dyDescent="0.75">
      <c r="A2203" t="s">
        <v>23</v>
      </c>
      <c r="B2203" s="3">
        <v>44824</v>
      </c>
      <c r="C2203">
        <v>1</v>
      </c>
      <c r="D2203" t="s">
        <v>194</v>
      </c>
      <c r="E2203" s="22">
        <f>14-13</f>
        <v>1</v>
      </c>
      <c r="F2203" t="s">
        <v>363</v>
      </c>
      <c r="G2203" t="s">
        <v>374</v>
      </c>
    </row>
    <row r="2204" spans="1:11" x14ac:dyDescent="0.75">
      <c r="A2204" t="s">
        <v>23</v>
      </c>
      <c r="B2204" s="3">
        <v>44824</v>
      </c>
      <c r="C2204">
        <v>1</v>
      </c>
      <c r="D2204" t="s">
        <v>199</v>
      </c>
      <c r="E2204" s="22">
        <f>13-10</f>
        <v>3</v>
      </c>
      <c r="F2204" t="s">
        <v>363</v>
      </c>
      <c r="G2204" t="s">
        <v>374</v>
      </c>
    </row>
    <row r="2205" spans="1:11" x14ac:dyDescent="0.75">
      <c r="A2205" t="s">
        <v>23</v>
      </c>
      <c r="B2205" s="3">
        <v>44824</v>
      </c>
      <c r="C2205">
        <v>1</v>
      </c>
      <c r="D2205" t="s">
        <v>215</v>
      </c>
      <c r="E2205" s="22">
        <f>10-5</f>
        <v>5</v>
      </c>
      <c r="F2205" t="s">
        <v>363</v>
      </c>
      <c r="G2205" t="s">
        <v>374</v>
      </c>
    </row>
    <row r="2206" spans="1:11" x14ac:dyDescent="0.75">
      <c r="A2206" t="s">
        <v>23</v>
      </c>
      <c r="B2206" s="3">
        <v>44824</v>
      </c>
      <c r="C2206">
        <v>1</v>
      </c>
      <c r="D2206" t="s">
        <v>194</v>
      </c>
      <c r="E2206" s="22">
        <f>39-27</f>
        <v>12</v>
      </c>
      <c r="F2206" t="s">
        <v>363</v>
      </c>
      <c r="G2206" t="s">
        <v>374</v>
      </c>
    </row>
    <row r="2207" spans="1:11" x14ac:dyDescent="0.75">
      <c r="A2207" t="s">
        <v>23</v>
      </c>
      <c r="B2207" s="3">
        <v>44824</v>
      </c>
      <c r="C2207">
        <v>1</v>
      </c>
      <c r="D2207" t="s">
        <v>203</v>
      </c>
      <c r="E2207" s="22">
        <f>27-13</f>
        <v>14</v>
      </c>
      <c r="F2207" t="s">
        <v>363</v>
      </c>
      <c r="G2207" t="s">
        <v>374</v>
      </c>
    </row>
    <row r="2208" spans="1:11" x14ac:dyDescent="0.75">
      <c r="A2208" t="s">
        <v>23</v>
      </c>
      <c r="B2208" s="3">
        <v>44824</v>
      </c>
      <c r="C2208">
        <v>1</v>
      </c>
      <c r="D2208" t="s">
        <v>207</v>
      </c>
      <c r="E2208" s="22">
        <f>12+41-34</f>
        <v>19</v>
      </c>
      <c r="F2208" t="s">
        <v>363</v>
      </c>
      <c r="G2208" t="s">
        <v>374</v>
      </c>
    </row>
    <row r="2209" spans="1:7" x14ac:dyDescent="0.75">
      <c r="A2209" t="s">
        <v>23</v>
      </c>
      <c r="B2209" s="3">
        <v>44824</v>
      </c>
      <c r="C2209">
        <v>1</v>
      </c>
      <c r="D2209" t="s">
        <v>207</v>
      </c>
      <c r="E2209" s="22">
        <f>30-28</f>
        <v>2</v>
      </c>
      <c r="F2209" t="s">
        <v>363</v>
      </c>
      <c r="G2209" t="s">
        <v>367</v>
      </c>
    </row>
    <row r="2210" spans="1:7" x14ac:dyDescent="0.75">
      <c r="A2210" t="s">
        <v>23</v>
      </c>
      <c r="B2210" s="3">
        <v>44824</v>
      </c>
      <c r="C2210">
        <v>1</v>
      </c>
      <c r="D2210" t="s">
        <v>201</v>
      </c>
      <c r="E2210" s="22">
        <f>28-23</f>
        <v>5</v>
      </c>
      <c r="F2210" t="s">
        <v>363</v>
      </c>
      <c r="G2210" t="s">
        <v>367</v>
      </c>
    </row>
    <row r="2211" spans="1:7" x14ac:dyDescent="0.75">
      <c r="A2211" t="s">
        <v>23</v>
      </c>
      <c r="B2211" s="3">
        <v>44824</v>
      </c>
      <c r="C2211">
        <v>1</v>
      </c>
      <c r="D2211" t="s">
        <v>201</v>
      </c>
      <c r="E2211" s="22">
        <f>23-15</f>
        <v>8</v>
      </c>
      <c r="F2211" t="s">
        <v>363</v>
      </c>
      <c r="G2211" t="s">
        <v>367</v>
      </c>
    </row>
    <row r="2212" spans="1:7" x14ac:dyDescent="0.75">
      <c r="A2212" t="s">
        <v>23</v>
      </c>
      <c r="B2212" s="3">
        <v>44824</v>
      </c>
      <c r="C2212">
        <v>1</v>
      </c>
      <c r="D2212" t="s">
        <v>153</v>
      </c>
      <c r="E2212" s="22">
        <f>15-12</f>
        <v>3</v>
      </c>
      <c r="F2212" t="s">
        <v>363</v>
      </c>
      <c r="G2212" t="s">
        <v>367</v>
      </c>
    </row>
    <row r="2213" spans="1:7" x14ac:dyDescent="0.75">
      <c r="A2213" t="s">
        <v>23</v>
      </c>
      <c r="B2213" s="3">
        <v>44824</v>
      </c>
      <c r="C2213">
        <v>1</v>
      </c>
      <c r="D2213" t="s">
        <v>153</v>
      </c>
      <c r="E2213" s="22">
        <f>12-10</f>
        <v>2</v>
      </c>
      <c r="F2213" t="s">
        <v>363</v>
      </c>
      <c r="G2213" t="s">
        <v>367</v>
      </c>
    </row>
    <row r="2214" spans="1:7" x14ac:dyDescent="0.75">
      <c r="A2214" t="s">
        <v>23</v>
      </c>
      <c r="B2214" s="3">
        <v>44824</v>
      </c>
      <c r="C2214">
        <v>1</v>
      </c>
      <c r="D2214" t="s">
        <v>203</v>
      </c>
      <c r="E2214" s="22">
        <f>10-8</f>
        <v>2</v>
      </c>
      <c r="F2214" t="s">
        <v>363</v>
      </c>
      <c r="G2214" t="s">
        <v>367</v>
      </c>
    </row>
    <row r="2215" spans="1:7" x14ac:dyDescent="0.75">
      <c r="A2215" t="s">
        <v>23</v>
      </c>
      <c r="B2215" s="3">
        <v>44824</v>
      </c>
      <c r="C2215">
        <v>1</v>
      </c>
      <c r="D2215" t="s">
        <v>201</v>
      </c>
      <c r="E2215" s="22">
        <f>8-5</f>
        <v>3</v>
      </c>
      <c r="F2215" t="s">
        <v>363</v>
      </c>
      <c r="G2215" t="s">
        <v>367</v>
      </c>
    </row>
    <row r="2216" spans="1:7" x14ac:dyDescent="0.75">
      <c r="A2216" t="s">
        <v>23</v>
      </c>
      <c r="B2216" s="3">
        <v>44824</v>
      </c>
      <c r="C2216">
        <v>1</v>
      </c>
      <c r="D2216" t="s">
        <v>199</v>
      </c>
      <c r="E2216" s="22">
        <f>5</f>
        <v>5</v>
      </c>
      <c r="F2216" t="s">
        <v>363</v>
      </c>
      <c r="G2216" t="s">
        <v>367</v>
      </c>
    </row>
    <row r="2217" spans="1:7" s="23" customFormat="1" x14ac:dyDescent="0.75">
      <c r="A2217" s="23" t="s">
        <v>23</v>
      </c>
      <c r="B2217" s="24">
        <v>44824</v>
      </c>
      <c r="C2217" s="23">
        <v>2</v>
      </c>
      <c r="D2217" s="23" t="s">
        <v>194</v>
      </c>
      <c r="E2217" s="52">
        <f>38-25</f>
        <v>13</v>
      </c>
      <c r="F2217" s="23" t="s">
        <v>363</v>
      </c>
      <c r="G2217" s="23" t="s">
        <v>361</v>
      </c>
    </row>
    <row r="2218" spans="1:7" s="23" customFormat="1" x14ac:dyDescent="0.75">
      <c r="A2218" s="23" t="s">
        <v>23</v>
      </c>
      <c r="B2218" s="24">
        <v>44824</v>
      </c>
      <c r="C2218" s="23">
        <v>2</v>
      </c>
      <c r="D2218" s="23" t="s">
        <v>197</v>
      </c>
      <c r="E2218" s="52">
        <f>25-21</f>
        <v>4</v>
      </c>
      <c r="F2218" s="23" t="s">
        <v>363</v>
      </c>
      <c r="G2218" s="23" t="s">
        <v>361</v>
      </c>
    </row>
    <row r="2219" spans="1:7" s="23" customFormat="1" x14ac:dyDescent="0.75">
      <c r="A2219" s="23" t="s">
        <v>23</v>
      </c>
      <c r="B2219" s="24">
        <v>44824</v>
      </c>
      <c r="C2219" s="23">
        <v>2</v>
      </c>
      <c r="D2219" s="23" t="s">
        <v>201</v>
      </c>
      <c r="E2219" s="52">
        <f>34-32</f>
        <v>2</v>
      </c>
      <c r="F2219" s="23" t="s">
        <v>363</v>
      </c>
      <c r="G2219" s="23" t="s">
        <v>374</v>
      </c>
    </row>
    <row r="2220" spans="1:7" s="23" customFormat="1" x14ac:dyDescent="0.75">
      <c r="A2220" s="23" t="s">
        <v>23</v>
      </c>
      <c r="B2220" s="24">
        <v>44824</v>
      </c>
      <c r="C2220" s="23">
        <v>2</v>
      </c>
      <c r="D2220" s="23" t="s">
        <v>215</v>
      </c>
      <c r="E2220" s="52">
        <f>32-29</f>
        <v>3</v>
      </c>
      <c r="F2220" s="23" t="s">
        <v>363</v>
      </c>
      <c r="G2220" s="23" t="s">
        <v>374</v>
      </c>
    </row>
    <row r="2221" spans="1:7" s="23" customFormat="1" x14ac:dyDescent="0.75">
      <c r="A2221" s="23" t="s">
        <v>23</v>
      </c>
      <c r="B2221" s="24">
        <v>44824</v>
      </c>
      <c r="C2221" s="23">
        <v>2</v>
      </c>
      <c r="D2221" s="23" t="s">
        <v>194</v>
      </c>
      <c r="E2221" s="52">
        <f>29-21</f>
        <v>8</v>
      </c>
      <c r="F2221" s="23" t="s">
        <v>363</v>
      </c>
      <c r="G2221" s="23" t="s">
        <v>374</v>
      </c>
    </row>
    <row r="2222" spans="1:7" s="23" customFormat="1" x14ac:dyDescent="0.75">
      <c r="A2222" s="23" t="s">
        <v>23</v>
      </c>
      <c r="B2222" s="24">
        <v>44824</v>
      </c>
      <c r="C2222" s="23">
        <v>2</v>
      </c>
      <c r="D2222" s="23" t="s">
        <v>199</v>
      </c>
      <c r="E2222" s="52">
        <f>21-18</f>
        <v>3</v>
      </c>
      <c r="F2222" s="23" t="s">
        <v>363</v>
      </c>
      <c r="G2222" s="23" t="s">
        <v>374</v>
      </c>
    </row>
    <row r="2223" spans="1:7" s="23" customFormat="1" x14ac:dyDescent="0.75">
      <c r="A2223" s="23" t="s">
        <v>23</v>
      </c>
      <c r="B2223" s="24">
        <v>44824</v>
      </c>
      <c r="C2223" s="23">
        <v>2</v>
      </c>
      <c r="D2223" s="23" t="s">
        <v>153</v>
      </c>
      <c r="E2223" s="52">
        <f>18-16</f>
        <v>2</v>
      </c>
      <c r="F2223" s="23" t="s">
        <v>363</v>
      </c>
      <c r="G2223" s="23" t="s">
        <v>374</v>
      </c>
    </row>
    <row r="2224" spans="1:7" s="23" customFormat="1" x14ac:dyDescent="0.75">
      <c r="A2224" s="23" t="s">
        <v>23</v>
      </c>
      <c r="B2224" s="24">
        <v>44824</v>
      </c>
      <c r="C2224" s="23">
        <v>2</v>
      </c>
      <c r="D2224" s="23" t="s">
        <v>194</v>
      </c>
      <c r="E2224" s="52">
        <f>16-15</f>
        <v>1</v>
      </c>
      <c r="F2224" s="23" t="s">
        <v>363</v>
      </c>
      <c r="G2224" s="23" t="s">
        <v>374</v>
      </c>
    </row>
    <row r="2225" spans="1:7" s="23" customFormat="1" x14ac:dyDescent="0.75">
      <c r="A2225" s="23" t="s">
        <v>23</v>
      </c>
      <c r="B2225" s="24">
        <v>44824</v>
      </c>
      <c r="C2225" s="23">
        <v>2</v>
      </c>
      <c r="D2225" s="23" t="s">
        <v>207</v>
      </c>
      <c r="E2225" s="52">
        <f>15-13</f>
        <v>2</v>
      </c>
      <c r="F2225" s="23" t="s">
        <v>363</v>
      </c>
      <c r="G2225" s="23" t="s">
        <v>374</v>
      </c>
    </row>
    <row r="2226" spans="1:7" s="23" customFormat="1" x14ac:dyDescent="0.75">
      <c r="A2226" s="23" t="s">
        <v>23</v>
      </c>
      <c r="B2226" s="24">
        <v>44824</v>
      </c>
      <c r="C2226" s="23">
        <v>2</v>
      </c>
      <c r="D2226" s="23" t="s">
        <v>194</v>
      </c>
      <c r="E2226" s="52">
        <f>13-4</f>
        <v>9</v>
      </c>
      <c r="F2226" s="23" t="s">
        <v>363</v>
      </c>
      <c r="G2226" s="23" t="s">
        <v>374</v>
      </c>
    </row>
    <row r="2227" spans="1:7" s="23" customFormat="1" x14ac:dyDescent="0.75">
      <c r="A2227" s="23" t="s">
        <v>23</v>
      </c>
      <c r="B2227" s="24">
        <v>44824</v>
      </c>
      <c r="C2227" s="23">
        <v>2</v>
      </c>
      <c r="D2227" s="23" t="s">
        <v>199</v>
      </c>
      <c r="E2227" s="52">
        <f>4+46-32</f>
        <v>18</v>
      </c>
      <c r="F2227" s="23" t="s">
        <v>363</v>
      </c>
      <c r="G2227" s="23" t="s">
        <v>374</v>
      </c>
    </row>
    <row r="2228" spans="1:7" s="23" customFormat="1" x14ac:dyDescent="0.75">
      <c r="A2228" s="23" t="s">
        <v>23</v>
      </c>
      <c r="B2228" s="24">
        <v>44824</v>
      </c>
      <c r="C2228" s="23">
        <v>2</v>
      </c>
      <c r="D2228" s="23" t="s">
        <v>187</v>
      </c>
      <c r="E2228" s="52">
        <f>37-28</f>
        <v>9</v>
      </c>
      <c r="F2228" s="23" t="s">
        <v>363</v>
      </c>
      <c r="G2228" s="23" t="s">
        <v>367</v>
      </c>
    </row>
    <row r="2229" spans="1:7" s="23" customFormat="1" x14ac:dyDescent="0.75">
      <c r="A2229" s="23" t="s">
        <v>23</v>
      </c>
      <c r="B2229" s="24">
        <v>44824</v>
      </c>
      <c r="C2229" s="23">
        <v>2</v>
      </c>
      <c r="D2229" s="23" t="s">
        <v>153</v>
      </c>
      <c r="E2229" s="52">
        <f>28-24</f>
        <v>4</v>
      </c>
      <c r="F2229" s="23" t="s">
        <v>363</v>
      </c>
      <c r="G2229" s="23" t="s">
        <v>367</v>
      </c>
    </row>
    <row r="2230" spans="1:7" s="23" customFormat="1" x14ac:dyDescent="0.75">
      <c r="A2230" s="23" t="s">
        <v>23</v>
      </c>
      <c r="B2230" s="24">
        <v>44824</v>
      </c>
      <c r="C2230" s="23">
        <v>2</v>
      </c>
      <c r="D2230" s="23" t="s">
        <v>207</v>
      </c>
      <c r="E2230" s="52">
        <f>24-22</f>
        <v>2</v>
      </c>
      <c r="F2230" s="23" t="s">
        <v>363</v>
      </c>
      <c r="G2230" s="23" t="s">
        <v>367</v>
      </c>
    </row>
    <row r="2231" spans="1:7" s="23" customFormat="1" x14ac:dyDescent="0.75">
      <c r="A2231" s="23" t="s">
        <v>23</v>
      </c>
      <c r="B2231" s="24">
        <v>44824</v>
      </c>
      <c r="C2231" s="23">
        <v>2</v>
      </c>
      <c r="D2231" s="23" t="s">
        <v>197</v>
      </c>
      <c r="E2231" s="52">
        <f>22-21</f>
        <v>1</v>
      </c>
      <c r="F2231" s="23" t="s">
        <v>363</v>
      </c>
      <c r="G2231" s="23" t="s">
        <v>367</v>
      </c>
    </row>
    <row r="2232" spans="1:7" s="23" customFormat="1" x14ac:dyDescent="0.75">
      <c r="A2232" s="23" t="s">
        <v>23</v>
      </c>
      <c r="B2232" s="24">
        <v>44824</v>
      </c>
      <c r="C2232" s="23">
        <v>2</v>
      </c>
      <c r="D2232" s="23" t="s">
        <v>194</v>
      </c>
      <c r="E2232" s="52">
        <f>21-12</f>
        <v>9</v>
      </c>
      <c r="F2232" s="23" t="s">
        <v>363</v>
      </c>
      <c r="G2232" s="23" t="s">
        <v>367</v>
      </c>
    </row>
    <row r="2233" spans="1:7" s="23" customFormat="1" x14ac:dyDescent="0.75">
      <c r="A2233" s="23" t="s">
        <v>23</v>
      </c>
      <c r="B2233" s="24">
        <v>44824</v>
      </c>
      <c r="C2233" s="23">
        <v>2</v>
      </c>
      <c r="D2233" s="23" t="s">
        <v>207</v>
      </c>
      <c r="E2233" s="52">
        <f>12-11</f>
        <v>1</v>
      </c>
      <c r="F2233" s="23" t="s">
        <v>363</v>
      </c>
      <c r="G2233" s="23" t="s">
        <v>367</v>
      </c>
    </row>
    <row r="2234" spans="1:7" x14ac:dyDescent="0.75">
      <c r="A2234" t="s">
        <v>23</v>
      </c>
      <c r="B2234" s="3">
        <v>44824</v>
      </c>
      <c r="C2234">
        <v>3</v>
      </c>
      <c r="D2234" t="s">
        <v>160</v>
      </c>
      <c r="E2234" s="22">
        <f>42-38</f>
        <v>4</v>
      </c>
      <c r="F2234">
        <v>3884</v>
      </c>
      <c r="G2234" t="s">
        <v>374</v>
      </c>
    </row>
    <row r="2235" spans="1:7" s="23" customFormat="1" x14ac:dyDescent="0.75">
      <c r="A2235" s="23" t="s">
        <v>23</v>
      </c>
      <c r="B2235" s="24">
        <v>44825</v>
      </c>
      <c r="C2235" s="23">
        <v>1</v>
      </c>
      <c r="D2235" s="23" t="s">
        <v>153</v>
      </c>
      <c r="E2235" s="52">
        <f>38-33</f>
        <v>5</v>
      </c>
      <c r="G2235" s="23" t="s">
        <v>361</v>
      </c>
    </row>
    <row r="2236" spans="1:7" s="23" customFormat="1" x14ac:dyDescent="0.75">
      <c r="A2236" s="23" t="s">
        <v>23</v>
      </c>
      <c r="B2236" s="24">
        <v>44825</v>
      </c>
      <c r="C2236" s="23">
        <v>1</v>
      </c>
      <c r="D2236" s="23" t="s">
        <v>194</v>
      </c>
      <c r="E2236" s="52">
        <f>33-31</f>
        <v>2</v>
      </c>
      <c r="F2236" s="23">
        <v>944</v>
      </c>
      <c r="G2236" s="23" t="s">
        <v>361</v>
      </c>
    </row>
    <row r="2237" spans="1:7" s="23" customFormat="1" x14ac:dyDescent="0.75">
      <c r="A2237" s="23" t="s">
        <v>23</v>
      </c>
      <c r="B2237" s="24">
        <v>44825</v>
      </c>
      <c r="C2237" s="23">
        <v>1</v>
      </c>
      <c r="D2237" s="23" t="s">
        <v>194</v>
      </c>
      <c r="E2237" s="52">
        <f>31-25</f>
        <v>6</v>
      </c>
      <c r="F2237" s="23" t="s">
        <v>363</v>
      </c>
      <c r="G2237" s="23" t="s">
        <v>361</v>
      </c>
    </row>
    <row r="2238" spans="1:7" s="23" customFormat="1" x14ac:dyDescent="0.75">
      <c r="A2238" s="23" t="s">
        <v>23</v>
      </c>
      <c r="B2238" s="24">
        <v>44825</v>
      </c>
      <c r="C2238" s="23">
        <v>1</v>
      </c>
      <c r="D2238" s="23" t="s">
        <v>197</v>
      </c>
      <c r="E2238" s="52">
        <f>25-21</f>
        <v>4</v>
      </c>
      <c r="F2238" s="23" t="s">
        <v>363</v>
      </c>
      <c r="G2238" s="23" t="s">
        <v>361</v>
      </c>
    </row>
    <row r="2239" spans="1:7" s="23" customFormat="1" x14ac:dyDescent="0.75">
      <c r="A2239" s="23" t="s">
        <v>23</v>
      </c>
      <c r="B2239" s="24">
        <v>44825</v>
      </c>
      <c r="C2239" s="23">
        <v>1</v>
      </c>
      <c r="D2239" s="23" t="s">
        <v>194</v>
      </c>
      <c r="E2239" s="52">
        <f>21-19</f>
        <v>2</v>
      </c>
      <c r="F2239" s="23" t="s">
        <v>363</v>
      </c>
      <c r="G2239" s="23" t="s">
        <v>361</v>
      </c>
    </row>
    <row r="2240" spans="1:7" s="23" customFormat="1" x14ac:dyDescent="0.75">
      <c r="A2240" s="23" t="s">
        <v>23</v>
      </c>
      <c r="B2240" s="24">
        <v>44825</v>
      </c>
      <c r="C2240" s="23">
        <v>1</v>
      </c>
      <c r="D2240" s="23" t="s">
        <v>197</v>
      </c>
      <c r="E2240" s="52">
        <f>19-9</f>
        <v>10</v>
      </c>
      <c r="F2240" s="23" t="s">
        <v>363</v>
      </c>
      <c r="G2240" s="23" t="s">
        <v>361</v>
      </c>
    </row>
    <row r="2241" spans="1:11" s="23" customFormat="1" x14ac:dyDescent="0.75">
      <c r="A2241" s="23" t="s">
        <v>23</v>
      </c>
      <c r="B2241" s="24">
        <v>44825</v>
      </c>
      <c r="C2241" s="23">
        <v>1</v>
      </c>
      <c r="D2241" s="23" t="s">
        <v>194</v>
      </c>
      <c r="E2241" s="52" t="s">
        <v>363</v>
      </c>
      <c r="F2241" s="23" t="s">
        <v>363</v>
      </c>
      <c r="G2241" s="23" t="s">
        <v>795</v>
      </c>
      <c r="K2241" s="23" t="s">
        <v>836</v>
      </c>
    </row>
    <row r="2242" spans="1:11" s="23" customFormat="1" x14ac:dyDescent="0.75">
      <c r="A2242" s="23" t="s">
        <v>23</v>
      </c>
      <c r="B2242" s="24">
        <v>44825</v>
      </c>
      <c r="C2242" s="23">
        <v>1</v>
      </c>
      <c r="D2242" s="23" t="s">
        <v>197</v>
      </c>
      <c r="E2242" s="52">
        <f>24-4</f>
        <v>20</v>
      </c>
      <c r="F2242" s="23" t="s">
        <v>363</v>
      </c>
      <c r="G2242" s="23" t="s">
        <v>789</v>
      </c>
    </row>
    <row r="2243" spans="1:11" s="23" customFormat="1" x14ac:dyDescent="0.75">
      <c r="A2243" s="23" t="s">
        <v>23</v>
      </c>
      <c r="B2243" s="24">
        <v>44825</v>
      </c>
      <c r="C2243" s="23">
        <v>1</v>
      </c>
      <c r="D2243" s="23" t="s">
        <v>197</v>
      </c>
      <c r="E2243" s="52">
        <f>51-39</f>
        <v>12</v>
      </c>
      <c r="F2243" s="23" t="s">
        <v>363</v>
      </c>
      <c r="G2243" s="23" t="s">
        <v>374</v>
      </c>
    </row>
    <row r="2244" spans="1:11" s="23" customFormat="1" x14ac:dyDescent="0.75">
      <c r="A2244" s="23" t="s">
        <v>23</v>
      </c>
      <c r="B2244" s="24">
        <v>44825</v>
      </c>
      <c r="C2244" s="23">
        <v>1</v>
      </c>
      <c r="D2244" s="23" t="s">
        <v>197</v>
      </c>
      <c r="E2244" s="52">
        <f>1</f>
        <v>1</v>
      </c>
      <c r="F2244" s="23" t="s">
        <v>363</v>
      </c>
      <c r="G2244" s="23" t="s">
        <v>374</v>
      </c>
    </row>
    <row r="2245" spans="1:11" s="23" customFormat="1" x14ac:dyDescent="0.75">
      <c r="A2245" s="23" t="s">
        <v>23</v>
      </c>
      <c r="B2245" s="24">
        <v>44825</v>
      </c>
      <c r="C2245" s="23">
        <v>1</v>
      </c>
      <c r="D2245" s="23" t="s">
        <v>197</v>
      </c>
      <c r="E2245" s="52" t="s">
        <v>363</v>
      </c>
      <c r="F2245" s="23" t="s">
        <v>363</v>
      </c>
      <c r="G2245" s="23" t="s">
        <v>367</v>
      </c>
      <c r="K2245" s="23" t="s">
        <v>837</v>
      </c>
    </row>
    <row r="2246" spans="1:11" s="23" customFormat="1" x14ac:dyDescent="0.75">
      <c r="A2246" s="23" t="s">
        <v>23</v>
      </c>
      <c r="B2246" s="24">
        <v>44825</v>
      </c>
      <c r="C2246" s="23">
        <v>1</v>
      </c>
      <c r="D2246" s="23" t="s">
        <v>197</v>
      </c>
      <c r="E2246" s="52" t="s">
        <v>363</v>
      </c>
      <c r="F2246" s="23" t="s">
        <v>363</v>
      </c>
      <c r="G2246" s="23" t="s">
        <v>367</v>
      </c>
      <c r="K2246" s="23" t="s">
        <v>837</v>
      </c>
    </row>
    <row r="2247" spans="1:11" s="23" customFormat="1" x14ac:dyDescent="0.75">
      <c r="A2247" s="23" t="s">
        <v>23</v>
      </c>
      <c r="B2247" s="24">
        <v>44825</v>
      </c>
      <c r="C2247" s="23">
        <v>1</v>
      </c>
      <c r="D2247" s="23" t="s">
        <v>197</v>
      </c>
      <c r="E2247" s="52" t="s">
        <v>363</v>
      </c>
      <c r="F2247" s="23" t="s">
        <v>363</v>
      </c>
      <c r="G2247" s="23" t="s">
        <v>367</v>
      </c>
      <c r="K2247" s="23" t="s">
        <v>837</v>
      </c>
    </row>
    <row r="2248" spans="1:11" s="23" customFormat="1" x14ac:dyDescent="0.75">
      <c r="A2248" s="23" t="s">
        <v>23</v>
      </c>
      <c r="B2248" s="24">
        <v>44825</v>
      </c>
      <c r="C2248" s="23">
        <v>1</v>
      </c>
      <c r="D2248" s="23" t="s">
        <v>197</v>
      </c>
      <c r="E2248" s="52" t="s">
        <v>363</v>
      </c>
      <c r="F2248" s="23" t="s">
        <v>363</v>
      </c>
      <c r="G2248" s="23" t="s">
        <v>367</v>
      </c>
      <c r="K2248" s="23" t="s">
        <v>837</v>
      </c>
    </row>
    <row r="2249" spans="1:11" s="23" customFormat="1" x14ac:dyDescent="0.75">
      <c r="A2249" s="23" t="s">
        <v>23</v>
      </c>
      <c r="B2249" s="24">
        <v>44825</v>
      </c>
      <c r="C2249" s="23">
        <v>1</v>
      </c>
      <c r="D2249" s="23" t="s">
        <v>201</v>
      </c>
      <c r="E2249" s="52" t="s">
        <v>363</v>
      </c>
      <c r="F2249" s="23" t="s">
        <v>363</v>
      </c>
      <c r="G2249" s="23" t="s">
        <v>367</v>
      </c>
      <c r="K2249" s="23" t="s">
        <v>837</v>
      </c>
    </row>
    <row r="2250" spans="1:11" s="23" customFormat="1" x14ac:dyDescent="0.75">
      <c r="A2250" s="23" t="s">
        <v>23</v>
      </c>
      <c r="B2250" s="24">
        <v>44825</v>
      </c>
      <c r="C2250" s="23">
        <v>1</v>
      </c>
      <c r="D2250" s="23" t="s">
        <v>194</v>
      </c>
      <c r="E2250" s="52" t="s">
        <v>363</v>
      </c>
      <c r="F2250" s="23" t="s">
        <v>363</v>
      </c>
      <c r="G2250" s="23" t="s">
        <v>367</v>
      </c>
      <c r="K2250" s="23" t="s">
        <v>837</v>
      </c>
    </row>
    <row r="2251" spans="1:11" x14ac:dyDescent="0.75">
      <c r="A2251" t="s">
        <v>23</v>
      </c>
      <c r="B2251" s="3">
        <v>44825</v>
      </c>
      <c r="C2251">
        <v>2</v>
      </c>
      <c r="D2251" t="s">
        <v>194</v>
      </c>
      <c r="E2251" s="22">
        <f>9</f>
        <v>9</v>
      </c>
      <c r="F2251" t="s">
        <v>363</v>
      </c>
      <c r="G2251" t="s">
        <v>361</v>
      </c>
    </row>
    <row r="2252" spans="1:11" x14ac:dyDescent="0.75">
      <c r="A2252" t="s">
        <v>23</v>
      </c>
      <c r="B2252" s="3">
        <v>44825</v>
      </c>
      <c r="C2252">
        <v>2</v>
      </c>
      <c r="D2252" t="s">
        <v>194</v>
      </c>
      <c r="E2252" s="22">
        <f>40-14</f>
        <v>26</v>
      </c>
      <c r="F2252" t="s">
        <v>363</v>
      </c>
      <c r="G2252" t="s">
        <v>361</v>
      </c>
    </row>
    <row r="2253" spans="1:11" x14ac:dyDescent="0.75">
      <c r="A2253" t="s">
        <v>23</v>
      </c>
      <c r="B2253" s="3">
        <v>44825</v>
      </c>
      <c r="C2253">
        <v>2</v>
      </c>
      <c r="D2253" t="s">
        <v>194</v>
      </c>
      <c r="E2253" s="22">
        <f>14</f>
        <v>14</v>
      </c>
      <c r="F2253" t="s">
        <v>363</v>
      </c>
      <c r="G2253" t="s">
        <v>361</v>
      </c>
    </row>
    <row r="2254" spans="1:11" x14ac:dyDescent="0.75">
      <c r="A2254" t="s">
        <v>23</v>
      </c>
      <c r="B2254" s="3">
        <v>44825</v>
      </c>
      <c r="C2254">
        <v>2</v>
      </c>
      <c r="D2254" t="s">
        <v>197</v>
      </c>
      <c r="E2254" s="22">
        <f>41-37</f>
        <v>4</v>
      </c>
      <c r="F2254" t="s">
        <v>363</v>
      </c>
      <c r="G2254" t="s">
        <v>789</v>
      </c>
      <c r="K2254" t="s">
        <v>838</v>
      </c>
    </row>
    <row r="2255" spans="1:11" x14ac:dyDescent="0.75">
      <c r="A2255" t="s">
        <v>23</v>
      </c>
      <c r="B2255" s="3">
        <v>44825</v>
      </c>
      <c r="C2255">
        <v>2</v>
      </c>
      <c r="D2255" t="s">
        <v>197</v>
      </c>
      <c r="E2255" s="22">
        <f>22-15</f>
        <v>7</v>
      </c>
      <c r="F2255" t="s">
        <v>363</v>
      </c>
      <c r="G2255" t="s">
        <v>374</v>
      </c>
    </row>
    <row r="2256" spans="1:11" x14ac:dyDescent="0.75">
      <c r="A2256" t="s">
        <v>23</v>
      </c>
      <c r="B2256" s="3">
        <v>44825</v>
      </c>
      <c r="C2256">
        <v>2</v>
      </c>
      <c r="D2256" t="s">
        <v>194</v>
      </c>
      <c r="E2256" s="22">
        <f>44-43</f>
        <v>1</v>
      </c>
      <c r="F2256" t="s">
        <v>363</v>
      </c>
      <c r="G2256" t="s">
        <v>374</v>
      </c>
    </row>
    <row r="2257" spans="1:11" x14ac:dyDescent="0.75">
      <c r="A2257" t="s">
        <v>23</v>
      </c>
      <c r="B2257" s="3">
        <v>44825</v>
      </c>
      <c r="C2257">
        <v>2</v>
      </c>
      <c r="D2257" t="s">
        <v>194</v>
      </c>
      <c r="E2257" s="22">
        <f>36-34</f>
        <v>2</v>
      </c>
      <c r="F2257" t="s">
        <v>363</v>
      </c>
      <c r="G2257" t="s">
        <v>789</v>
      </c>
      <c r="K2257" t="s">
        <v>838</v>
      </c>
    </row>
    <row r="2258" spans="1:11" x14ac:dyDescent="0.75">
      <c r="A2258" t="s">
        <v>23</v>
      </c>
      <c r="B2258" s="3">
        <v>44825</v>
      </c>
      <c r="C2258">
        <v>2</v>
      </c>
      <c r="D2258" t="s">
        <v>194</v>
      </c>
      <c r="E2258" s="22">
        <f>43-42</f>
        <v>1</v>
      </c>
      <c r="F2258" t="s">
        <v>363</v>
      </c>
      <c r="G2258" t="s">
        <v>374</v>
      </c>
    </row>
    <row r="2259" spans="1:11" x14ac:dyDescent="0.75">
      <c r="A2259" t="s">
        <v>23</v>
      </c>
      <c r="B2259" s="3">
        <v>44825</v>
      </c>
      <c r="C2259">
        <v>2</v>
      </c>
      <c r="D2259" t="s">
        <v>194</v>
      </c>
      <c r="E2259" s="22">
        <f>42-40</f>
        <v>2</v>
      </c>
      <c r="F2259" t="s">
        <v>363</v>
      </c>
      <c r="G2259" t="s">
        <v>374</v>
      </c>
    </row>
    <row r="2260" spans="1:11" x14ac:dyDescent="0.75">
      <c r="A2260" t="s">
        <v>23</v>
      </c>
      <c r="B2260" s="3">
        <v>44825</v>
      </c>
      <c r="C2260">
        <v>2</v>
      </c>
      <c r="D2260" t="s">
        <v>207</v>
      </c>
      <c r="E2260" s="22">
        <f>40+51-45</f>
        <v>46</v>
      </c>
      <c r="F2260" t="s">
        <v>363</v>
      </c>
      <c r="G2260" t="s">
        <v>374</v>
      </c>
    </row>
    <row r="2261" spans="1:11" x14ac:dyDescent="0.75">
      <c r="A2261" t="s">
        <v>23</v>
      </c>
      <c r="B2261" s="3">
        <v>44825</v>
      </c>
      <c r="C2261">
        <v>2</v>
      </c>
      <c r="D2261" t="s">
        <v>207</v>
      </c>
      <c r="E2261" s="22">
        <f>44-34</f>
        <v>10</v>
      </c>
      <c r="F2261" t="s">
        <v>363</v>
      </c>
      <c r="G2261" t="s">
        <v>789</v>
      </c>
      <c r="K2261" t="s">
        <v>838</v>
      </c>
    </row>
    <row r="2262" spans="1:11" x14ac:dyDescent="0.75">
      <c r="A2262" t="s">
        <v>23</v>
      </c>
      <c r="B2262" s="3">
        <v>44825</v>
      </c>
      <c r="C2262">
        <v>2</v>
      </c>
      <c r="D2262" t="s">
        <v>194</v>
      </c>
      <c r="E2262" s="22">
        <f>15-9</f>
        <v>6</v>
      </c>
      <c r="F2262" t="s">
        <v>363</v>
      </c>
      <c r="G2262" t="s">
        <v>374</v>
      </c>
    </row>
    <row r="2263" spans="1:11" x14ac:dyDescent="0.75">
      <c r="A2263" t="s">
        <v>23</v>
      </c>
      <c r="B2263" s="3">
        <v>44825</v>
      </c>
      <c r="C2263">
        <v>2</v>
      </c>
      <c r="D2263" t="s">
        <v>199</v>
      </c>
      <c r="E2263" s="22">
        <f>9-8</f>
        <v>1</v>
      </c>
      <c r="F2263" t="s">
        <v>363</v>
      </c>
      <c r="G2263" t="s">
        <v>374</v>
      </c>
    </row>
    <row r="2264" spans="1:11" x14ac:dyDescent="0.75">
      <c r="A2264" t="s">
        <v>23</v>
      </c>
      <c r="B2264" s="3">
        <v>44825</v>
      </c>
      <c r="C2264">
        <v>2</v>
      </c>
      <c r="D2264" t="s">
        <v>205</v>
      </c>
      <c r="E2264" s="22">
        <f>34-28</f>
        <v>6</v>
      </c>
      <c r="F2264" t="s">
        <v>363</v>
      </c>
      <c r="G2264" t="s">
        <v>789</v>
      </c>
      <c r="K2264" t="s">
        <v>838</v>
      </c>
    </row>
    <row r="2265" spans="1:11" x14ac:dyDescent="0.75">
      <c r="A2265" t="s">
        <v>23</v>
      </c>
      <c r="B2265" s="3">
        <v>44825</v>
      </c>
      <c r="C2265">
        <v>2</v>
      </c>
      <c r="D2265" t="s">
        <v>194</v>
      </c>
      <c r="E2265" s="22">
        <f>35-32</f>
        <v>3</v>
      </c>
      <c r="F2265" t="s">
        <v>363</v>
      </c>
      <c r="G2265" t="s">
        <v>789</v>
      </c>
      <c r="K2265" t="s">
        <v>838</v>
      </c>
    </row>
    <row r="2266" spans="1:11" x14ac:dyDescent="0.75">
      <c r="A2266" t="s">
        <v>23</v>
      </c>
      <c r="B2266" s="3">
        <v>44825</v>
      </c>
      <c r="C2266">
        <v>2</v>
      </c>
      <c r="D2266" t="s">
        <v>197</v>
      </c>
      <c r="E2266" s="22" t="s">
        <v>363</v>
      </c>
      <c r="F2266" t="s">
        <v>363</v>
      </c>
      <c r="G2266" t="s">
        <v>367</v>
      </c>
      <c r="K2266" t="s">
        <v>839</v>
      </c>
    </row>
    <row r="2267" spans="1:11" x14ac:dyDescent="0.75">
      <c r="A2267" t="s">
        <v>23</v>
      </c>
      <c r="B2267" s="3">
        <v>44825</v>
      </c>
      <c r="C2267">
        <v>2</v>
      </c>
      <c r="D2267" t="s">
        <v>197</v>
      </c>
      <c r="E2267" s="22" t="s">
        <v>363</v>
      </c>
      <c r="F2267" t="s">
        <v>363</v>
      </c>
      <c r="G2267" t="s">
        <v>367</v>
      </c>
      <c r="K2267" t="s">
        <v>839</v>
      </c>
    </row>
    <row r="2268" spans="1:11" s="23" customFormat="1" x14ac:dyDescent="0.75">
      <c r="A2268" s="23" t="s">
        <v>64</v>
      </c>
      <c r="B2268" s="24">
        <v>44825</v>
      </c>
      <c r="C2268" s="23">
        <v>1</v>
      </c>
      <c r="D2268" s="23" t="s">
        <v>201</v>
      </c>
      <c r="E2268" s="52">
        <f>32-21</f>
        <v>11</v>
      </c>
      <c r="F2268" s="23">
        <v>3339</v>
      </c>
      <c r="G2268" s="23" t="s">
        <v>795</v>
      </c>
    </row>
    <row r="2269" spans="1:11" x14ac:dyDescent="0.75">
      <c r="A2269" t="s">
        <v>39</v>
      </c>
      <c r="B2269" s="3">
        <v>44826</v>
      </c>
      <c r="C2269">
        <v>1</v>
      </c>
      <c r="D2269" t="s">
        <v>191</v>
      </c>
      <c r="E2269" s="22">
        <f>51-42</f>
        <v>9</v>
      </c>
      <c r="F2269" t="s">
        <v>363</v>
      </c>
      <c r="G2269" t="s">
        <v>361</v>
      </c>
    </row>
    <row r="2270" spans="1:11" x14ac:dyDescent="0.75">
      <c r="A2270" t="s">
        <v>39</v>
      </c>
      <c r="B2270" s="3">
        <v>44826</v>
      </c>
      <c r="C2270">
        <v>1</v>
      </c>
      <c r="D2270" t="s">
        <v>191</v>
      </c>
      <c r="E2270" s="22">
        <f>42-30</f>
        <v>12</v>
      </c>
      <c r="F2270" t="s">
        <v>363</v>
      </c>
      <c r="G2270" t="s">
        <v>361</v>
      </c>
    </row>
    <row r="2271" spans="1:11" x14ac:dyDescent="0.75">
      <c r="A2271" t="s">
        <v>39</v>
      </c>
      <c r="B2271" s="3">
        <v>44826</v>
      </c>
      <c r="C2271">
        <v>1</v>
      </c>
      <c r="D2271" t="s">
        <v>194</v>
      </c>
      <c r="E2271" s="22">
        <f>30-22</f>
        <v>8</v>
      </c>
      <c r="F2271" t="s">
        <v>363</v>
      </c>
      <c r="G2271" t="s">
        <v>361</v>
      </c>
    </row>
    <row r="2272" spans="1:11" x14ac:dyDescent="0.75">
      <c r="A2272" t="s">
        <v>39</v>
      </c>
      <c r="B2272" s="3">
        <v>44826</v>
      </c>
      <c r="C2272">
        <v>1</v>
      </c>
      <c r="D2272" t="s">
        <v>194</v>
      </c>
      <c r="E2272" s="22">
        <f>22-14</f>
        <v>8</v>
      </c>
      <c r="F2272" t="s">
        <v>363</v>
      </c>
      <c r="G2272" t="s">
        <v>361</v>
      </c>
    </row>
    <row r="2273" spans="1:8" x14ac:dyDescent="0.75">
      <c r="A2273" t="s">
        <v>39</v>
      </c>
      <c r="B2273" s="3">
        <v>44826</v>
      </c>
      <c r="C2273">
        <v>1</v>
      </c>
      <c r="D2273" t="s">
        <v>164</v>
      </c>
      <c r="E2273" s="22">
        <f>45-10</f>
        <v>35</v>
      </c>
      <c r="F2273">
        <v>3535</v>
      </c>
      <c r="G2273" t="s">
        <v>374</v>
      </c>
    </row>
    <row r="2274" spans="1:8" x14ac:dyDescent="0.75">
      <c r="A2274" t="s">
        <v>39</v>
      </c>
      <c r="B2274" s="3">
        <v>44826</v>
      </c>
      <c r="C2274">
        <v>1</v>
      </c>
      <c r="D2274" t="s">
        <v>207</v>
      </c>
      <c r="E2274" s="22">
        <f>47-25</f>
        <v>22</v>
      </c>
      <c r="F2274" t="s">
        <v>363</v>
      </c>
      <c r="G2274" t="s">
        <v>374</v>
      </c>
    </row>
    <row r="2275" spans="1:8" x14ac:dyDescent="0.75">
      <c r="A2275" t="s">
        <v>39</v>
      </c>
      <c r="B2275" s="3">
        <v>44826</v>
      </c>
      <c r="C2275">
        <v>1</v>
      </c>
      <c r="D2275" t="s">
        <v>194</v>
      </c>
      <c r="E2275" s="22">
        <f>25-22</f>
        <v>3</v>
      </c>
      <c r="F2275" t="s">
        <v>363</v>
      </c>
      <c r="G2275" t="s">
        <v>789</v>
      </c>
    </row>
    <row r="2276" spans="1:8" x14ac:dyDescent="0.75">
      <c r="A2276" t="s">
        <v>39</v>
      </c>
      <c r="B2276" s="3">
        <v>44826</v>
      </c>
      <c r="C2276">
        <v>1</v>
      </c>
      <c r="D2276" t="s">
        <v>194</v>
      </c>
      <c r="E2276" s="22">
        <f>22-20</f>
        <v>2</v>
      </c>
      <c r="F2276" t="s">
        <v>363</v>
      </c>
      <c r="G2276" t="s">
        <v>789</v>
      </c>
    </row>
    <row r="2277" spans="1:8" x14ac:dyDescent="0.75">
      <c r="A2277" t="s">
        <v>39</v>
      </c>
      <c r="B2277" s="3">
        <v>44826</v>
      </c>
      <c r="C2277">
        <v>1</v>
      </c>
      <c r="D2277" t="s">
        <v>194</v>
      </c>
      <c r="E2277" s="22">
        <f>20-18</f>
        <v>2</v>
      </c>
      <c r="F2277" t="s">
        <v>363</v>
      </c>
      <c r="G2277" t="s">
        <v>789</v>
      </c>
    </row>
    <row r="2278" spans="1:8" x14ac:dyDescent="0.75">
      <c r="A2278" t="s">
        <v>39</v>
      </c>
      <c r="B2278" s="3">
        <v>44826</v>
      </c>
      <c r="C2278">
        <v>1</v>
      </c>
      <c r="D2278" t="s">
        <v>153</v>
      </c>
      <c r="E2278" s="22">
        <f>18-14</f>
        <v>4</v>
      </c>
      <c r="F2278" t="s">
        <v>363</v>
      </c>
      <c r="G2278" t="s">
        <v>789</v>
      </c>
    </row>
    <row r="2279" spans="1:8" x14ac:dyDescent="0.75">
      <c r="A2279" t="s">
        <v>39</v>
      </c>
      <c r="B2279" s="3">
        <v>44826</v>
      </c>
      <c r="C2279">
        <v>1</v>
      </c>
      <c r="D2279" t="s">
        <v>194</v>
      </c>
      <c r="E2279" s="22">
        <f>14-9</f>
        <v>5</v>
      </c>
      <c r="F2279" t="s">
        <v>363</v>
      </c>
      <c r="G2279" t="s">
        <v>789</v>
      </c>
    </row>
    <row r="2280" spans="1:8" x14ac:dyDescent="0.75">
      <c r="A2280" t="s">
        <v>39</v>
      </c>
      <c r="B2280" s="3">
        <v>44826</v>
      </c>
      <c r="C2280">
        <v>1</v>
      </c>
      <c r="D2280" t="s">
        <v>207</v>
      </c>
      <c r="E2280" s="22">
        <f>9-5</f>
        <v>4</v>
      </c>
      <c r="F2280" t="s">
        <v>363</v>
      </c>
      <c r="G2280" t="s">
        <v>789</v>
      </c>
    </row>
    <row r="2281" spans="1:8" x14ac:dyDescent="0.75">
      <c r="A2281" t="s">
        <v>39</v>
      </c>
      <c r="B2281" s="3">
        <v>44826</v>
      </c>
      <c r="C2281">
        <v>1</v>
      </c>
      <c r="D2281" t="s">
        <v>207</v>
      </c>
      <c r="E2281" s="22">
        <f>1</f>
        <v>1</v>
      </c>
      <c r="F2281" t="s">
        <v>363</v>
      </c>
      <c r="G2281" t="s">
        <v>789</v>
      </c>
    </row>
    <row r="2282" spans="1:8" x14ac:dyDescent="0.75">
      <c r="A2282" t="s">
        <v>39</v>
      </c>
      <c r="B2282" s="3">
        <v>44826</v>
      </c>
      <c r="C2282">
        <v>1</v>
      </c>
      <c r="D2282" t="s">
        <v>215</v>
      </c>
      <c r="E2282" s="22">
        <f>5+11-7</f>
        <v>9</v>
      </c>
      <c r="F2282" t="s">
        <v>363</v>
      </c>
      <c r="G2282" t="s">
        <v>789</v>
      </c>
    </row>
    <row r="2283" spans="1:8" x14ac:dyDescent="0.75">
      <c r="A2283" t="s">
        <v>39</v>
      </c>
      <c r="B2283" s="3">
        <v>44826</v>
      </c>
      <c r="C2283">
        <v>1</v>
      </c>
      <c r="D2283" t="s">
        <v>194</v>
      </c>
      <c r="E2283" s="22">
        <f>7-3</f>
        <v>4</v>
      </c>
      <c r="F2283" t="s">
        <v>363</v>
      </c>
      <c r="G2283" s="10"/>
      <c r="H2283" s="10"/>
    </row>
    <row r="2284" spans="1:8" x14ac:dyDescent="0.75">
      <c r="A2284" t="s">
        <v>39</v>
      </c>
      <c r="B2284" s="3">
        <v>44826</v>
      </c>
      <c r="C2284">
        <v>1</v>
      </c>
      <c r="D2284" t="s">
        <v>197</v>
      </c>
      <c r="E2284" s="22">
        <f>3</f>
        <v>3</v>
      </c>
      <c r="F2284" t="s">
        <v>363</v>
      </c>
      <c r="G2284" t="s">
        <v>789</v>
      </c>
    </row>
    <row r="2285" spans="1:8" x14ac:dyDescent="0.75">
      <c r="A2285" t="s">
        <v>39</v>
      </c>
      <c r="B2285" s="3">
        <v>44826</v>
      </c>
      <c r="C2285">
        <v>1</v>
      </c>
      <c r="D2285" t="s">
        <v>194</v>
      </c>
      <c r="E2285" s="22">
        <f>28-25</f>
        <v>3</v>
      </c>
      <c r="F2285" t="s">
        <v>363</v>
      </c>
      <c r="G2285" t="s">
        <v>789</v>
      </c>
    </row>
    <row r="2286" spans="1:8" x14ac:dyDescent="0.75">
      <c r="A2286" t="s">
        <v>39</v>
      </c>
      <c r="B2286" s="3">
        <v>44826</v>
      </c>
      <c r="C2286">
        <v>1</v>
      </c>
      <c r="D2286" t="s">
        <v>201</v>
      </c>
      <c r="E2286" s="22">
        <f>25-17</f>
        <v>8</v>
      </c>
      <c r="F2286" t="s">
        <v>363</v>
      </c>
      <c r="G2286" t="s">
        <v>789</v>
      </c>
    </row>
    <row r="2287" spans="1:8" x14ac:dyDescent="0.75">
      <c r="A2287" t="s">
        <v>39</v>
      </c>
      <c r="B2287" s="3">
        <v>44826</v>
      </c>
      <c r="C2287">
        <v>1</v>
      </c>
      <c r="D2287" t="s">
        <v>201</v>
      </c>
      <c r="E2287" s="22">
        <f>52-30</f>
        <v>22</v>
      </c>
      <c r="F2287" t="s">
        <v>363</v>
      </c>
      <c r="G2287" t="s">
        <v>367</v>
      </c>
    </row>
    <row r="2288" spans="1:8" x14ac:dyDescent="0.75">
      <c r="A2288" t="s">
        <v>39</v>
      </c>
      <c r="B2288" s="3">
        <v>44826</v>
      </c>
      <c r="C2288">
        <v>1</v>
      </c>
      <c r="D2288" t="s">
        <v>201</v>
      </c>
      <c r="E2288" s="22">
        <f>50-46</f>
        <v>4</v>
      </c>
      <c r="F2288" t="s">
        <v>363</v>
      </c>
      <c r="G2288" t="s">
        <v>367</v>
      </c>
    </row>
    <row r="2289" spans="1:11" x14ac:dyDescent="0.75">
      <c r="A2289" t="s">
        <v>39</v>
      </c>
      <c r="B2289" s="3">
        <v>44826</v>
      </c>
      <c r="C2289">
        <v>1</v>
      </c>
      <c r="D2289" t="s">
        <v>194</v>
      </c>
      <c r="E2289" s="22">
        <f>46-35</f>
        <v>11</v>
      </c>
      <c r="F2289" t="s">
        <v>363</v>
      </c>
      <c r="G2289" t="s">
        <v>367</v>
      </c>
    </row>
    <row r="2290" spans="1:11" x14ac:dyDescent="0.75">
      <c r="A2290" t="s">
        <v>39</v>
      </c>
      <c r="B2290" s="3">
        <v>44826</v>
      </c>
      <c r="C2290">
        <v>1</v>
      </c>
      <c r="D2290" t="s">
        <v>197</v>
      </c>
      <c r="E2290" s="22">
        <f>35-26</f>
        <v>9</v>
      </c>
      <c r="F2290" t="s">
        <v>363</v>
      </c>
      <c r="G2290" t="s">
        <v>367</v>
      </c>
    </row>
    <row r="2291" spans="1:11" x14ac:dyDescent="0.75">
      <c r="A2291" t="s">
        <v>39</v>
      </c>
      <c r="B2291" s="3">
        <v>44826</v>
      </c>
      <c r="C2291">
        <v>1</v>
      </c>
      <c r="D2291" t="s">
        <v>201</v>
      </c>
      <c r="E2291" s="22">
        <f>26-11</f>
        <v>15</v>
      </c>
      <c r="F2291" t="s">
        <v>363</v>
      </c>
      <c r="G2291" t="s">
        <v>367</v>
      </c>
    </row>
    <row r="2292" spans="1:11" x14ac:dyDescent="0.75">
      <c r="A2292" t="s">
        <v>39</v>
      </c>
      <c r="B2292" s="3">
        <v>44826</v>
      </c>
      <c r="C2292">
        <v>1</v>
      </c>
      <c r="D2292" t="s">
        <v>201</v>
      </c>
      <c r="E2292" s="22">
        <f>11+29-23</f>
        <v>17</v>
      </c>
      <c r="F2292" t="s">
        <v>363</v>
      </c>
      <c r="G2292" t="s">
        <v>367</v>
      </c>
    </row>
    <row r="2293" spans="1:11" s="23" customFormat="1" x14ac:dyDescent="0.75">
      <c r="A2293" s="23" t="s">
        <v>39</v>
      </c>
      <c r="B2293" s="24">
        <v>44826</v>
      </c>
      <c r="C2293" s="23">
        <v>2</v>
      </c>
      <c r="D2293" s="23" t="s">
        <v>168</v>
      </c>
      <c r="E2293" s="52">
        <f>55-30</f>
        <v>25</v>
      </c>
      <c r="F2293" s="23" t="s">
        <v>363</v>
      </c>
      <c r="G2293" s="23" t="s">
        <v>795</v>
      </c>
    </row>
    <row r="2294" spans="1:11" s="23" customFormat="1" x14ac:dyDescent="0.75">
      <c r="A2294" s="23" t="s">
        <v>39</v>
      </c>
      <c r="B2294" s="24">
        <v>44826</v>
      </c>
      <c r="C2294" s="23">
        <v>2</v>
      </c>
      <c r="D2294" s="23" t="s">
        <v>197</v>
      </c>
      <c r="E2294" s="52" t="s">
        <v>363</v>
      </c>
      <c r="F2294" s="23" t="s">
        <v>363</v>
      </c>
      <c r="G2294" s="23" t="s">
        <v>795</v>
      </c>
      <c r="K2294" s="23" t="s">
        <v>840</v>
      </c>
    </row>
    <row r="2295" spans="1:11" x14ac:dyDescent="0.75">
      <c r="A2295" t="s">
        <v>39</v>
      </c>
      <c r="B2295" s="3">
        <v>44826</v>
      </c>
      <c r="C2295">
        <v>3</v>
      </c>
      <c r="D2295" t="s">
        <v>194</v>
      </c>
      <c r="E2295" s="22">
        <f>14-5</f>
        <v>9</v>
      </c>
      <c r="F2295" t="s">
        <v>363</v>
      </c>
      <c r="G2295" t="s">
        <v>361</v>
      </c>
    </row>
    <row r="2296" spans="1:11" x14ac:dyDescent="0.75">
      <c r="A2296" t="s">
        <v>39</v>
      </c>
      <c r="B2296" s="3">
        <v>44826</v>
      </c>
      <c r="C2296">
        <v>3</v>
      </c>
      <c r="D2296" t="s">
        <v>194</v>
      </c>
      <c r="E2296" s="22">
        <f>23-15</f>
        <v>8</v>
      </c>
      <c r="F2296" t="s">
        <v>363</v>
      </c>
      <c r="G2296" t="s">
        <v>367</v>
      </c>
    </row>
    <row r="2297" spans="1:11" s="23" customFormat="1" x14ac:dyDescent="0.75">
      <c r="A2297" s="23" t="s">
        <v>69</v>
      </c>
      <c r="B2297" s="24">
        <v>44831</v>
      </c>
      <c r="C2297" s="23">
        <v>1</v>
      </c>
      <c r="D2297" s="23" t="s">
        <v>197</v>
      </c>
      <c r="E2297" s="52">
        <f>59-50</f>
        <v>9</v>
      </c>
      <c r="F2297" s="23" t="s">
        <v>363</v>
      </c>
      <c r="G2297" s="23" t="s">
        <v>361</v>
      </c>
    </row>
    <row r="2298" spans="1:11" s="23" customFormat="1" x14ac:dyDescent="0.75">
      <c r="A2298" s="23" t="s">
        <v>69</v>
      </c>
      <c r="B2298" s="24">
        <v>44831</v>
      </c>
      <c r="C2298" s="23">
        <v>1</v>
      </c>
      <c r="D2298" s="23" t="s">
        <v>197</v>
      </c>
      <c r="E2298" s="52">
        <f>50-47</f>
        <v>3</v>
      </c>
      <c r="F2298" s="23" t="s">
        <v>363</v>
      </c>
      <c r="G2298" s="23" t="s">
        <v>361</v>
      </c>
    </row>
    <row r="2299" spans="1:11" s="23" customFormat="1" x14ac:dyDescent="0.75">
      <c r="A2299" s="23" t="s">
        <v>69</v>
      </c>
      <c r="B2299" s="24">
        <v>44831</v>
      </c>
      <c r="C2299" s="23">
        <v>1</v>
      </c>
      <c r="D2299" s="23" t="s">
        <v>194</v>
      </c>
      <c r="E2299" s="52">
        <f>47-42</f>
        <v>5</v>
      </c>
      <c r="F2299" s="23" t="s">
        <v>363</v>
      </c>
      <c r="G2299" s="23" t="s">
        <v>361</v>
      </c>
    </row>
    <row r="2300" spans="1:11" s="23" customFormat="1" x14ac:dyDescent="0.75">
      <c r="A2300" s="23" t="s">
        <v>69</v>
      </c>
      <c r="B2300" s="24">
        <v>44831</v>
      </c>
      <c r="C2300" s="23">
        <v>1</v>
      </c>
      <c r="D2300" s="23" t="s">
        <v>153</v>
      </c>
      <c r="E2300" s="52">
        <f>42-39</f>
        <v>3</v>
      </c>
      <c r="F2300" s="23" t="s">
        <v>363</v>
      </c>
      <c r="G2300" s="23" t="s">
        <v>361</v>
      </c>
    </row>
    <row r="2301" spans="1:11" s="23" customFormat="1" x14ac:dyDescent="0.75">
      <c r="A2301" s="23" t="s">
        <v>69</v>
      </c>
      <c r="B2301" s="24">
        <v>44831</v>
      </c>
      <c r="C2301" s="23">
        <v>1</v>
      </c>
      <c r="D2301" s="23" t="s">
        <v>194</v>
      </c>
      <c r="E2301" s="52">
        <f>39-29</f>
        <v>10</v>
      </c>
      <c r="F2301" s="23" t="s">
        <v>363</v>
      </c>
      <c r="G2301" s="23" t="s">
        <v>361</v>
      </c>
    </row>
    <row r="2302" spans="1:11" s="23" customFormat="1" x14ac:dyDescent="0.75">
      <c r="A2302" s="23" t="s">
        <v>69</v>
      </c>
      <c r="B2302" s="24">
        <v>44831</v>
      </c>
      <c r="C2302" s="23">
        <v>1</v>
      </c>
      <c r="D2302" s="23" t="s">
        <v>215</v>
      </c>
      <c r="E2302" s="52">
        <f>29-23</f>
        <v>6</v>
      </c>
      <c r="F2302" s="23" t="s">
        <v>363</v>
      </c>
      <c r="G2302" s="23" t="s">
        <v>361</v>
      </c>
    </row>
    <row r="2303" spans="1:11" s="23" customFormat="1" x14ac:dyDescent="0.75">
      <c r="A2303" s="23" t="s">
        <v>69</v>
      </c>
      <c r="B2303" s="24">
        <v>44831</v>
      </c>
      <c r="C2303" s="23">
        <v>1</v>
      </c>
      <c r="D2303" s="23" t="s">
        <v>191</v>
      </c>
      <c r="E2303" s="52">
        <f>23-10</f>
        <v>13</v>
      </c>
      <c r="F2303" s="23" t="s">
        <v>363</v>
      </c>
      <c r="G2303" s="23" t="s">
        <v>361</v>
      </c>
    </row>
    <row r="2304" spans="1:11" s="23" customFormat="1" x14ac:dyDescent="0.75">
      <c r="A2304" s="23" t="s">
        <v>69</v>
      </c>
      <c r="B2304" s="24">
        <v>44831</v>
      </c>
      <c r="C2304" s="23">
        <v>1</v>
      </c>
      <c r="D2304" s="23" t="s">
        <v>197</v>
      </c>
      <c r="E2304" s="52">
        <f>10</f>
        <v>10</v>
      </c>
      <c r="F2304" s="23" t="s">
        <v>363</v>
      </c>
      <c r="G2304" s="23" t="s">
        <v>361</v>
      </c>
    </row>
    <row r="2305" spans="1:11" s="23" customFormat="1" x14ac:dyDescent="0.75">
      <c r="A2305" s="23" t="s">
        <v>69</v>
      </c>
      <c r="B2305" s="24">
        <v>44831</v>
      </c>
      <c r="C2305" s="23">
        <v>1</v>
      </c>
      <c r="D2305" s="23" t="s">
        <v>194</v>
      </c>
      <c r="E2305" s="52">
        <f>42-33</f>
        <v>9</v>
      </c>
      <c r="F2305" s="23" t="s">
        <v>363</v>
      </c>
      <c r="G2305" s="23" t="s">
        <v>361</v>
      </c>
    </row>
    <row r="2306" spans="1:11" s="23" customFormat="1" x14ac:dyDescent="0.75">
      <c r="A2306" s="23" t="s">
        <v>69</v>
      </c>
      <c r="B2306" s="24">
        <v>44831</v>
      </c>
      <c r="C2306" s="23">
        <v>1</v>
      </c>
      <c r="D2306" s="23" t="s">
        <v>194</v>
      </c>
      <c r="E2306" s="52">
        <f>33-23</f>
        <v>10</v>
      </c>
      <c r="F2306" s="23" t="s">
        <v>363</v>
      </c>
      <c r="G2306" s="23" t="s">
        <v>361</v>
      </c>
    </row>
    <row r="2307" spans="1:11" s="23" customFormat="1" x14ac:dyDescent="0.75">
      <c r="A2307" s="23" t="s">
        <v>69</v>
      </c>
      <c r="B2307" s="24">
        <v>44831</v>
      </c>
      <c r="C2307" s="23">
        <v>1</v>
      </c>
      <c r="D2307" s="23" t="s">
        <v>191</v>
      </c>
      <c r="E2307" s="52">
        <f>23-12</f>
        <v>11</v>
      </c>
      <c r="F2307" s="23" t="s">
        <v>363</v>
      </c>
      <c r="G2307" s="23" t="s">
        <v>361</v>
      </c>
    </row>
    <row r="2308" spans="1:11" s="23" customFormat="1" x14ac:dyDescent="0.75">
      <c r="A2308" s="23" t="s">
        <v>69</v>
      </c>
      <c r="B2308" s="24">
        <v>44831</v>
      </c>
      <c r="C2308" s="23">
        <v>1</v>
      </c>
      <c r="D2308" s="23" t="s">
        <v>194</v>
      </c>
      <c r="E2308" s="52">
        <f>12</f>
        <v>12</v>
      </c>
      <c r="F2308" s="23" t="s">
        <v>363</v>
      </c>
      <c r="G2308" s="23" t="s">
        <v>361</v>
      </c>
    </row>
    <row r="2309" spans="1:11" s="23" customFormat="1" x14ac:dyDescent="0.75">
      <c r="A2309" s="23" t="s">
        <v>69</v>
      </c>
      <c r="B2309" s="24">
        <v>44831</v>
      </c>
      <c r="C2309" s="23">
        <v>1</v>
      </c>
      <c r="D2309" s="23" t="s">
        <v>191</v>
      </c>
      <c r="E2309" s="52">
        <f>41-30</f>
        <v>11</v>
      </c>
      <c r="F2309" s="23" t="s">
        <v>363</v>
      </c>
      <c r="G2309" s="23" t="s">
        <v>361</v>
      </c>
    </row>
    <row r="2310" spans="1:11" s="23" customFormat="1" x14ac:dyDescent="0.75">
      <c r="A2310" s="23" t="s">
        <v>69</v>
      </c>
      <c r="B2310" s="24">
        <v>44831</v>
      </c>
      <c r="C2310" s="23">
        <v>1</v>
      </c>
      <c r="D2310" s="23" t="s">
        <v>197</v>
      </c>
      <c r="E2310" s="52">
        <f>30-25</f>
        <v>5</v>
      </c>
      <c r="F2310" s="23" t="s">
        <v>363</v>
      </c>
      <c r="G2310" s="23" t="s">
        <v>361</v>
      </c>
    </row>
    <row r="2311" spans="1:11" s="23" customFormat="1" x14ac:dyDescent="0.75">
      <c r="A2311" s="23" t="s">
        <v>69</v>
      </c>
      <c r="B2311" s="24">
        <v>44831</v>
      </c>
      <c r="C2311" s="23">
        <v>1</v>
      </c>
      <c r="D2311" s="23" t="s">
        <v>197</v>
      </c>
      <c r="E2311" s="52">
        <f>25-17</f>
        <v>8</v>
      </c>
      <c r="F2311" s="23" t="s">
        <v>363</v>
      </c>
      <c r="G2311" s="23" t="s">
        <v>361</v>
      </c>
    </row>
    <row r="2312" spans="1:11" s="23" customFormat="1" x14ac:dyDescent="0.75">
      <c r="A2312" s="23" t="s">
        <v>69</v>
      </c>
      <c r="B2312" s="24">
        <v>44831</v>
      </c>
      <c r="C2312" s="23">
        <v>1</v>
      </c>
      <c r="D2312" s="23" t="s">
        <v>164</v>
      </c>
      <c r="E2312" s="52">
        <f>17-9</f>
        <v>8</v>
      </c>
      <c r="F2312" s="23" t="s">
        <v>363</v>
      </c>
      <c r="G2312" s="23" t="s">
        <v>361</v>
      </c>
    </row>
    <row r="2313" spans="1:11" s="23" customFormat="1" x14ac:dyDescent="0.75">
      <c r="A2313" s="23" t="s">
        <v>69</v>
      </c>
      <c r="B2313" s="24">
        <v>44831</v>
      </c>
      <c r="C2313" s="23">
        <v>1</v>
      </c>
      <c r="D2313" s="23" t="s">
        <v>197</v>
      </c>
      <c r="E2313" s="52">
        <f>9-7</f>
        <v>2</v>
      </c>
      <c r="F2313" s="23" t="s">
        <v>363</v>
      </c>
      <c r="G2313" s="23" t="s">
        <v>361</v>
      </c>
    </row>
    <row r="2314" spans="1:11" s="23" customFormat="1" x14ac:dyDescent="0.75">
      <c r="A2314" s="23" t="s">
        <v>69</v>
      </c>
      <c r="B2314" s="24">
        <v>44831</v>
      </c>
      <c r="C2314" s="23">
        <v>1</v>
      </c>
      <c r="D2314" s="23" t="s">
        <v>197</v>
      </c>
      <c r="E2314" s="52">
        <f>7+40-34</f>
        <v>13</v>
      </c>
      <c r="F2314" s="23" t="s">
        <v>363</v>
      </c>
      <c r="G2314" s="23" t="s">
        <v>361</v>
      </c>
    </row>
    <row r="2315" spans="1:11" s="23" customFormat="1" x14ac:dyDescent="0.75">
      <c r="A2315" s="23" t="s">
        <v>69</v>
      </c>
      <c r="B2315" s="24">
        <v>44831</v>
      </c>
      <c r="C2315" s="23">
        <v>1</v>
      </c>
      <c r="D2315" s="23" t="s">
        <v>191</v>
      </c>
      <c r="E2315" s="52">
        <f>34-10</f>
        <v>24</v>
      </c>
      <c r="F2315" s="23" t="s">
        <v>363</v>
      </c>
      <c r="G2315" s="23" t="s">
        <v>361</v>
      </c>
    </row>
    <row r="2316" spans="1:11" s="23" customFormat="1" x14ac:dyDescent="0.75">
      <c r="A2316" s="23" t="s">
        <v>69</v>
      </c>
      <c r="B2316" s="24">
        <v>44831</v>
      </c>
      <c r="C2316" s="23">
        <v>1</v>
      </c>
      <c r="D2316" s="23" t="s">
        <v>197</v>
      </c>
      <c r="E2316" s="52">
        <f>34-22</f>
        <v>12</v>
      </c>
      <c r="F2316" s="23" t="s">
        <v>363</v>
      </c>
      <c r="G2316" s="23" t="s">
        <v>795</v>
      </c>
      <c r="K2316" s="23" t="s">
        <v>841</v>
      </c>
    </row>
    <row r="2317" spans="1:11" s="23" customFormat="1" x14ac:dyDescent="0.75">
      <c r="A2317" s="23" t="s">
        <v>69</v>
      </c>
      <c r="B2317" s="24">
        <v>44831</v>
      </c>
      <c r="C2317" s="23">
        <v>1</v>
      </c>
      <c r="D2317" s="23" t="s">
        <v>194</v>
      </c>
      <c r="E2317" s="52">
        <f>45-16</f>
        <v>29</v>
      </c>
      <c r="F2317" s="23" t="s">
        <v>363</v>
      </c>
      <c r="G2317" s="23" t="s">
        <v>795</v>
      </c>
      <c r="K2317" s="23" t="s">
        <v>841</v>
      </c>
    </row>
    <row r="2318" spans="1:11" s="23" customFormat="1" x14ac:dyDescent="0.75">
      <c r="A2318" s="23" t="s">
        <v>69</v>
      </c>
      <c r="B2318" s="24">
        <v>44831</v>
      </c>
      <c r="C2318" s="23">
        <v>1</v>
      </c>
      <c r="D2318" s="23" t="s">
        <v>199</v>
      </c>
      <c r="E2318" s="52">
        <f>22-11</f>
        <v>11</v>
      </c>
      <c r="F2318" s="23" t="s">
        <v>363</v>
      </c>
      <c r="G2318" s="23" t="s">
        <v>795</v>
      </c>
      <c r="K2318" s="23" t="s">
        <v>841</v>
      </c>
    </row>
    <row r="2319" spans="1:11" s="23" customFormat="1" x14ac:dyDescent="0.75">
      <c r="A2319" s="23" t="s">
        <v>69</v>
      </c>
      <c r="B2319" s="24">
        <v>44831</v>
      </c>
      <c r="C2319" s="23">
        <v>1</v>
      </c>
      <c r="D2319" s="23" t="s">
        <v>194</v>
      </c>
      <c r="E2319" s="52">
        <f>16-12</f>
        <v>4</v>
      </c>
      <c r="F2319" s="23" t="s">
        <v>363</v>
      </c>
      <c r="G2319" s="23" t="s">
        <v>795</v>
      </c>
      <c r="K2319" s="23" t="s">
        <v>841</v>
      </c>
    </row>
    <row r="2320" spans="1:11" s="23" customFormat="1" x14ac:dyDescent="0.75">
      <c r="A2320" s="23" t="s">
        <v>69</v>
      </c>
      <c r="B2320" s="24">
        <v>44831</v>
      </c>
      <c r="C2320" s="23">
        <v>1</v>
      </c>
      <c r="D2320" s="23" t="s">
        <v>191</v>
      </c>
      <c r="E2320" s="52">
        <f>12-11</f>
        <v>1</v>
      </c>
      <c r="F2320" s="23" t="s">
        <v>363</v>
      </c>
      <c r="G2320" s="23" t="s">
        <v>795</v>
      </c>
      <c r="K2320" s="23" t="s">
        <v>841</v>
      </c>
    </row>
    <row r="2321" spans="1:11" s="23" customFormat="1" x14ac:dyDescent="0.75">
      <c r="A2321" s="23" t="s">
        <v>69</v>
      </c>
      <c r="B2321" s="24">
        <v>44831</v>
      </c>
      <c r="C2321" s="23">
        <v>1</v>
      </c>
      <c r="D2321" s="23" t="s">
        <v>194</v>
      </c>
      <c r="E2321" s="52">
        <f>15-9</f>
        <v>6</v>
      </c>
      <c r="F2321" s="23" t="s">
        <v>363</v>
      </c>
      <c r="G2321" s="23" t="s">
        <v>795</v>
      </c>
      <c r="K2321" s="23" t="s">
        <v>841</v>
      </c>
    </row>
    <row r="2322" spans="1:11" s="23" customFormat="1" x14ac:dyDescent="0.75">
      <c r="A2322" s="23" t="s">
        <v>69</v>
      </c>
      <c r="B2322" s="24">
        <v>44831</v>
      </c>
      <c r="C2322" s="23">
        <v>1</v>
      </c>
      <c r="D2322" s="23" t="s">
        <v>197</v>
      </c>
      <c r="E2322" s="52">
        <f>11-9</f>
        <v>2</v>
      </c>
      <c r="F2322" s="23" t="s">
        <v>363</v>
      </c>
      <c r="G2322" s="23" t="s">
        <v>795</v>
      </c>
      <c r="K2322" s="23" t="s">
        <v>841</v>
      </c>
    </row>
    <row r="2323" spans="1:11" s="23" customFormat="1" x14ac:dyDescent="0.75">
      <c r="A2323" s="23" t="s">
        <v>69</v>
      </c>
      <c r="B2323" s="24">
        <v>44831</v>
      </c>
      <c r="C2323" s="23">
        <v>1</v>
      </c>
      <c r="D2323" s="23" t="s">
        <v>197</v>
      </c>
      <c r="E2323" s="52">
        <f>9-8</f>
        <v>1</v>
      </c>
      <c r="F2323" s="23" t="s">
        <v>363</v>
      </c>
      <c r="G2323" s="23" t="s">
        <v>795</v>
      </c>
      <c r="K2323" s="23" t="s">
        <v>841</v>
      </c>
    </row>
    <row r="2324" spans="1:11" s="23" customFormat="1" x14ac:dyDescent="0.75">
      <c r="A2324" s="23" t="s">
        <v>69</v>
      </c>
      <c r="B2324" s="24">
        <v>44831</v>
      </c>
      <c r="C2324" s="23">
        <v>1</v>
      </c>
      <c r="D2324" s="23" t="s">
        <v>191</v>
      </c>
      <c r="E2324" s="52">
        <f>9</f>
        <v>9</v>
      </c>
      <c r="F2324" s="23" t="s">
        <v>363</v>
      </c>
      <c r="G2324" s="23" t="s">
        <v>795</v>
      </c>
      <c r="K2324" s="23" t="s">
        <v>841</v>
      </c>
    </row>
    <row r="2325" spans="1:11" s="23" customFormat="1" x14ac:dyDescent="0.75">
      <c r="A2325" s="23" t="s">
        <v>69</v>
      </c>
      <c r="B2325" s="24">
        <v>44831</v>
      </c>
      <c r="C2325" s="23">
        <v>1</v>
      </c>
      <c r="D2325" s="23" t="s">
        <v>197</v>
      </c>
      <c r="E2325" s="52">
        <f>7-6</f>
        <v>1</v>
      </c>
      <c r="F2325" s="23" t="s">
        <v>363</v>
      </c>
      <c r="G2325" s="23" t="s">
        <v>795</v>
      </c>
      <c r="K2325" s="23" t="s">
        <v>841</v>
      </c>
    </row>
    <row r="2326" spans="1:11" s="23" customFormat="1" x14ac:dyDescent="0.75">
      <c r="A2326" s="23" t="s">
        <v>69</v>
      </c>
      <c r="B2326" s="24">
        <v>44831</v>
      </c>
      <c r="C2326" s="23">
        <v>1</v>
      </c>
      <c r="D2326" s="23" t="s">
        <v>197</v>
      </c>
      <c r="E2326" s="23" t="s">
        <v>363</v>
      </c>
      <c r="F2326" s="23" t="s">
        <v>363</v>
      </c>
      <c r="G2326" s="23" t="s">
        <v>795</v>
      </c>
      <c r="K2326" s="23" t="s">
        <v>842</v>
      </c>
    </row>
    <row r="2327" spans="1:11" s="23" customFormat="1" x14ac:dyDescent="0.75">
      <c r="A2327" s="23" t="s">
        <v>69</v>
      </c>
      <c r="B2327" s="24">
        <v>44831</v>
      </c>
      <c r="C2327" s="23">
        <v>1</v>
      </c>
      <c r="D2327" s="23" t="s">
        <v>194</v>
      </c>
      <c r="E2327" s="52">
        <f>38-17</f>
        <v>21</v>
      </c>
      <c r="F2327" s="23" t="s">
        <v>363</v>
      </c>
      <c r="G2327" s="23" t="s">
        <v>795</v>
      </c>
      <c r="K2327" s="23" t="s">
        <v>841</v>
      </c>
    </row>
    <row r="2328" spans="1:11" s="23" customFormat="1" x14ac:dyDescent="0.75">
      <c r="A2328" s="23" t="s">
        <v>69</v>
      </c>
      <c r="B2328" s="24">
        <v>44831</v>
      </c>
      <c r="C2328" s="23">
        <v>1</v>
      </c>
      <c r="D2328" s="23" t="s">
        <v>191</v>
      </c>
      <c r="E2328" s="52">
        <f>5-3</f>
        <v>2</v>
      </c>
      <c r="F2328" s="23" t="s">
        <v>363</v>
      </c>
      <c r="G2328" s="23" t="s">
        <v>795</v>
      </c>
      <c r="K2328" s="23" t="s">
        <v>841</v>
      </c>
    </row>
    <row r="2329" spans="1:11" s="23" customFormat="1" x14ac:dyDescent="0.75">
      <c r="A2329" s="23" t="s">
        <v>69</v>
      </c>
      <c r="B2329" s="24">
        <v>44831</v>
      </c>
      <c r="C2329" s="23">
        <v>1</v>
      </c>
      <c r="D2329" s="23" t="s">
        <v>191</v>
      </c>
      <c r="E2329" s="52">
        <f>3-1</f>
        <v>2</v>
      </c>
      <c r="F2329" s="23" t="s">
        <v>363</v>
      </c>
      <c r="G2329" s="23" t="s">
        <v>795</v>
      </c>
      <c r="K2329" s="23" t="s">
        <v>841</v>
      </c>
    </row>
    <row r="2330" spans="1:11" s="23" customFormat="1" x14ac:dyDescent="0.75">
      <c r="A2330" s="23" t="s">
        <v>69</v>
      </c>
      <c r="B2330" s="24">
        <v>44831</v>
      </c>
      <c r="C2330" s="23">
        <v>1</v>
      </c>
      <c r="D2330" s="23" t="s">
        <v>191</v>
      </c>
      <c r="E2330" s="52">
        <f>1</f>
        <v>1</v>
      </c>
      <c r="F2330" s="23" t="s">
        <v>363</v>
      </c>
      <c r="G2330" s="23" t="s">
        <v>795</v>
      </c>
      <c r="K2330" s="23" t="s">
        <v>841</v>
      </c>
    </row>
    <row r="2331" spans="1:11" s="23" customFormat="1" x14ac:dyDescent="0.75">
      <c r="A2331" s="23" t="s">
        <v>69</v>
      </c>
      <c r="B2331" s="24">
        <v>44831</v>
      </c>
      <c r="C2331" s="23">
        <v>1</v>
      </c>
      <c r="D2331" s="23" t="s">
        <v>194</v>
      </c>
      <c r="E2331" s="52">
        <f>17-5</f>
        <v>12</v>
      </c>
      <c r="F2331" s="23" t="s">
        <v>363</v>
      </c>
      <c r="G2331" s="23" t="s">
        <v>795</v>
      </c>
      <c r="K2331" s="23" t="s">
        <v>841</v>
      </c>
    </row>
    <row r="2332" spans="1:11" s="23" customFormat="1" x14ac:dyDescent="0.75">
      <c r="A2332" s="23" t="s">
        <v>69</v>
      </c>
      <c r="B2332" s="24">
        <v>44831</v>
      </c>
      <c r="C2332" s="23">
        <v>1</v>
      </c>
      <c r="D2332" s="23" t="s">
        <v>194</v>
      </c>
      <c r="E2332" s="52">
        <f>5-2</f>
        <v>3</v>
      </c>
      <c r="F2332" s="23" t="s">
        <v>363</v>
      </c>
      <c r="G2332" s="23" t="s">
        <v>795</v>
      </c>
      <c r="K2332" s="23" t="s">
        <v>841</v>
      </c>
    </row>
    <row r="2333" spans="1:11" s="23" customFormat="1" x14ac:dyDescent="0.75">
      <c r="A2333" s="23" t="s">
        <v>69</v>
      </c>
      <c r="B2333" s="24">
        <v>44831</v>
      </c>
      <c r="C2333" s="23">
        <v>1</v>
      </c>
      <c r="D2333" s="23" t="s">
        <v>199</v>
      </c>
      <c r="E2333" s="52">
        <f>2</f>
        <v>2</v>
      </c>
      <c r="F2333" s="23" t="s">
        <v>363</v>
      </c>
      <c r="G2333" s="23" t="s">
        <v>795</v>
      </c>
      <c r="K2333" s="23" t="s">
        <v>841</v>
      </c>
    </row>
    <row r="2334" spans="1:11" s="23" customFormat="1" x14ac:dyDescent="0.75">
      <c r="A2334" s="23" t="s">
        <v>69</v>
      </c>
      <c r="B2334" s="24">
        <v>44831</v>
      </c>
      <c r="C2334" s="23">
        <v>1</v>
      </c>
      <c r="D2334" s="23" t="s">
        <v>194</v>
      </c>
      <c r="E2334" s="52">
        <f>41-24</f>
        <v>17</v>
      </c>
      <c r="F2334" s="23" t="s">
        <v>363</v>
      </c>
      <c r="G2334" s="23" t="s">
        <v>795</v>
      </c>
      <c r="K2334" s="23" t="s">
        <v>841</v>
      </c>
    </row>
    <row r="2335" spans="1:11" s="23" customFormat="1" x14ac:dyDescent="0.75">
      <c r="A2335" s="23" t="s">
        <v>69</v>
      </c>
      <c r="B2335" s="24">
        <v>44831</v>
      </c>
      <c r="C2335" s="23">
        <v>1</v>
      </c>
      <c r="D2335" s="23" t="s">
        <v>194</v>
      </c>
      <c r="E2335" s="52">
        <f>40-30</f>
        <v>10</v>
      </c>
      <c r="F2335" s="23" t="s">
        <v>363</v>
      </c>
      <c r="G2335" s="23" t="s">
        <v>795</v>
      </c>
      <c r="K2335" s="23" t="s">
        <v>841</v>
      </c>
    </row>
    <row r="2336" spans="1:11" s="23" customFormat="1" x14ac:dyDescent="0.75">
      <c r="A2336" s="23" t="s">
        <v>69</v>
      </c>
      <c r="B2336" s="24">
        <v>44831</v>
      </c>
      <c r="C2336" s="23">
        <v>1</v>
      </c>
      <c r="D2336" s="23" t="s">
        <v>191</v>
      </c>
      <c r="E2336" s="52">
        <f>24-16</f>
        <v>8</v>
      </c>
      <c r="F2336" s="23" t="s">
        <v>363</v>
      </c>
      <c r="G2336" s="23" t="s">
        <v>795</v>
      </c>
      <c r="K2336" s="23" t="s">
        <v>841</v>
      </c>
    </row>
    <row r="2337" spans="1:11" s="23" customFormat="1" x14ac:dyDescent="0.75">
      <c r="A2337" s="23" t="s">
        <v>69</v>
      </c>
      <c r="B2337" s="24">
        <v>44831</v>
      </c>
      <c r="C2337" s="23">
        <v>1</v>
      </c>
      <c r="D2337" s="23" t="s">
        <v>194</v>
      </c>
      <c r="E2337" s="52">
        <f>16-14</f>
        <v>2</v>
      </c>
      <c r="F2337" s="23" t="s">
        <v>363</v>
      </c>
      <c r="G2337" s="23" t="s">
        <v>795</v>
      </c>
      <c r="K2337" s="23" t="s">
        <v>841</v>
      </c>
    </row>
    <row r="2338" spans="1:11" s="23" customFormat="1" x14ac:dyDescent="0.75">
      <c r="A2338" s="23" t="s">
        <v>69</v>
      </c>
      <c r="B2338" s="24">
        <v>44831</v>
      </c>
      <c r="C2338" s="23">
        <v>1</v>
      </c>
      <c r="D2338" s="23" t="s">
        <v>194</v>
      </c>
      <c r="E2338" s="52">
        <f>30-11</f>
        <v>19</v>
      </c>
      <c r="F2338" s="23" t="s">
        <v>363</v>
      </c>
      <c r="G2338" s="23" t="s">
        <v>795</v>
      </c>
      <c r="K2338" s="23" t="s">
        <v>841</v>
      </c>
    </row>
    <row r="2339" spans="1:11" s="23" customFormat="1" x14ac:dyDescent="0.75">
      <c r="A2339" s="23" t="s">
        <v>69</v>
      </c>
      <c r="B2339" s="24">
        <v>44831</v>
      </c>
      <c r="C2339" s="23">
        <v>1</v>
      </c>
      <c r="D2339" s="23" t="s">
        <v>191</v>
      </c>
      <c r="E2339" s="52">
        <f>14-12</f>
        <v>2</v>
      </c>
      <c r="F2339" s="23" t="s">
        <v>363</v>
      </c>
      <c r="G2339" s="23" t="s">
        <v>795</v>
      </c>
      <c r="K2339" s="23" t="s">
        <v>841</v>
      </c>
    </row>
    <row r="2340" spans="1:11" s="23" customFormat="1" x14ac:dyDescent="0.75">
      <c r="A2340" s="23" t="s">
        <v>69</v>
      </c>
      <c r="B2340" s="24">
        <v>44831</v>
      </c>
      <c r="C2340" s="23">
        <v>1</v>
      </c>
      <c r="D2340" s="23" t="s">
        <v>191</v>
      </c>
      <c r="E2340" s="52">
        <f>11-4</f>
        <v>7</v>
      </c>
      <c r="F2340" s="23" t="s">
        <v>363</v>
      </c>
      <c r="G2340" s="23" t="s">
        <v>795</v>
      </c>
      <c r="K2340" s="23" t="s">
        <v>841</v>
      </c>
    </row>
    <row r="2341" spans="1:11" s="23" customFormat="1" x14ac:dyDescent="0.75">
      <c r="A2341" s="23" t="s">
        <v>69</v>
      </c>
      <c r="B2341" s="24">
        <v>44831</v>
      </c>
      <c r="C2341" s="23">
        <v>1</v>
      </c>
      <c r="D2341" s="23" t="s">
        <v>194</v>
      </c>
      <c r="E2341" s="52">
        <f>12-5</f>
        <v>7</v>
      </c>
      <c r="F2341" s="23" t="s">
        <v>363</v>
      </c>
      <c r="G2341" s="23" t="s">
        <v>795</v>
      </c>
      <c r="K2341" s="23" t="s">
        <v>841</v>
      </c>
    </row>
    <row r="2342" spans="1:11" s="23" customFormat="1" x14ac:dyDescent="0.75">
      <c r="A2342" s="23" t="s">
        <v>69</v>
      </c>
      <c r="B2342" s="24">
        <v>44831</v>
      </c>
      <c r="C2342" s="23">
        <v>1</v>
      </c>
      <c r="D2342" s="23" t="s">
        <v>191</v>
      </c>
      <c r="E2342" s="52">
        <f>4</f>
        <v>4</v>
      </c>
      <c r="F2342" s="23" t="s">
        <v>363</v>
      </c>
      <c r="G2342" s="23" t="s">
        <v>795</v>
      </c>
      <c r="K2342" s="23" t="s">
        <v>841</v>
      </c>
    </row>
    <row r="2343" spans="1:11" x14ac:dyDescent="0.75">
      <c r="A2343" t="s">
        <v>69</v>
      </c>
      <c r="B2343" s="3">
        <v>44831</v>
      </c>
      <c r="C2343">
        <v>2</v>
      </c>
      <c r="D2343" t="s">
        <v>191</v>
      </c>
      <c r="E2343" s="22">
        <f>50-33</f>
        <v>17</v>
      </c>
      <c r="F2343" t="s">
        <v>363</v>
      </c>
      <c r="G2343" t="s">
        <v>361</v>
      </c>
    </row>
    <row r="2344" spans="1:11" x14ac:dyDescent="0.75">
      <c r="A2344" t="s">
        <v>69</v>
      </c>
      <c r="B2344" s="3">
        <v>44831</v>
      </c>
      <c r="C2344">
        <v>2</v>
      </c>
      <c r="D2344" t="s">
        <v>199</v>
      </c>
      <c r="E2344" t="s">
        <v>363</v>
      </c>
      <c r="F2344" t="s">
        <v>363</v>
      </c>
      <c r="G2344" t="s">
        <v>361</v>
      </c>
      <c r="K2344" t="s">
        <v>843</v>
      </c>
    </row>
    <row r="2345" spans="1:11" x14ac:dyDescent="0.75">
      <c r="A2345" t="s">
        <v>69</v>
      </c>
      <c r="B2345" s="3">
        <v>44831</v>
      </c>
      <c r="C2345">
        <v>2</v>
      </c>
      <c r="D2345" t="s">
        <v>191</v>
      </c>
      <c r="E2345" t="s">
        <v>363</v>
      </c>
      <c r="F2345" t="s">
        <v>363</v>
      </c>
      <c r="G2345" t="s">
        <v>361</v>
      </c>
      <c r="K2345" t="s">
        <v>844</v>
      </c>
    </row>
    <row r="2346" spans="1:11" x14ac:dyDescent="0.75">
      <c r="A2346" t="s">
        <v>69</v>
      </c>
      <c r="B2346" s="3">
        <v>44831</v>
      </c>
      <c r="C2346">
        <v>2</v>
      </c>
      <c r="D2346" t="s">
        <v>194</v>
      </c>
      <c r="E2346" s="22">
        <f>9-6</f>
        <v>3</v>
      </c>
      <c r="F2346" t="s">
        <v>363</v>
      </c>
      <c r="G2346" t="s">
        <v>361</v>
      </c>
    </row>
    <row r="2347" spans="1:11" x14ac:dyDescent="0.75">
      <c r="A2347" t="s">
        <v>69</v>
      </c>
      <c r="B2347" s="3">
        <v>44831</v>
      </c>
      <c r="C2347">
        <v>2</v>
      </c>
      <c r="D2347" t="s">
        <v>191</v>
      </c>
      <c r="E2347" s="22">
        <f>6+10-2</f>
        <v>14</v>
      </c>
      <c r="F2347" t="s">
        <v>363</v>
      </c>
      <c r="G2347" t="s">
        <v>361</v>
      </c>
    </row>
    <row r="2348" spans="1:11" x14ac:dyDescent="0.75">
      <c r="A2348" t="s">
        <v>69</v>
      </c>
      <c r="B2348" s="3">
        <v>44831</v>
      </c>
      <c r="C2348">
        <v>2</v>
      </c>
      <c r="D2348" t="s">
        <v>215</v>
      </c>
      <c r="E2348" s="22">
        <f>2+45-40</f>
        <v>7</v>
      </c>
      <c r="F2348" t="s">
        <v>363</v>
      </c>
      <c r="G2348" t="s">
        <v>361</v>
      </c>
    </row>
    <row r="2349" spans="1:11" x14ac:dyDescent="0.75">
      <c r="A2349" t="s">
        <v>69</v>
      </c>
      <c r="B2349" s="3">
        <v>44831</v>
      </c>
      <c r="C2349">
        <v>2</v>
      </c>
      <c r="D2349" t="s">
        <v>187</v>
      </c>
      <c r="E2349" s="22">
        <f>40-34</f>
        <v>6</v>
      </c>
      <c r="F2349" t="s">
        <v>363</v>
      </c>
      <c r="G2349" t="s">
        <v>361</v>
      </c>
    </row>
    <row r="2350" spans="1:11" x14ac:dyDescent="0.75">
      <c r="A2350" t="s">
        <v>69</v>
      </c>
      <c r="B2350" s="3">
        <v>44831</v>
      </c>
      <c r="C2350">
        <v>2</v>
      </c>
      <c r="D2350" t="s">
        <v>191</v>
      </c>
      <c r="E2350" s="22">
        <f>34-29</f>
        <v>5</v>
      </c>
      <c r="F2350" t="s">
        <v>363</v>
      </c>
      <c r="G2350" t="s">
        <v>361</v>
      </c>
    </row>
    <row r="2351" spans="1:11" x14ac:dyDescent="0.75">
      <c r="A2351" t="s">
        <v>69</v>
      </c>
      <c r="B2351" s="3">
        <v>44831</v>
      </c>
      <c r="C2351">
        <v>2</v>
      </c>
      <c r="D2351" t="s">
        <v>197</v>
      </c>
      <c r="E2351" s="22">
        <f>29-13</f>
        <v>16</v>
      </c>
      <c r="F2351" t="s">
        <v>363</v>
      </c>
      <c r="G2351" t="s">
        <v>361</v>
      </c>
    </row>
    <row r="2352" spans="1:11" x14ac:dyDescent="0.75">
      <c r="A2352" t="s">
        <v>69</v>
      </c>
      <c r="B2352" s="3">
        <v>44831</v>
      </c>
      <c r="C2352">
        <v>2</v>
      </c>
      <c r="D2352" t="s">
        <v>199</v>
      </c>
      <c r="E2352" s="22">
        <f>13-10</f>
        <v>3</v>
      </c>
      <c r="F2352" t="s">
        <v>363</v>
      </c>
      <c r="G2352" t="s">
        <v>361</v>
      </c>
    </row>
    <row r="2353" spans="1:11" x14ac:dyDescent="0.75">
      <c r="A2353" t="s">
        <v>69</v>
      </c>
      <c r="B2353" s="3">
        <v>44831</v>
      </c>
      <c r="C2353">
        <v>2</v>
      </c>
      <c r="D2353" t="s">
        <v>197</v>
      </c>
      <c r="E2353" t="s">
        <v>363</v>
      </c>
      <c r="F2353" t="s">
        <v>363</v>
      </c>
      <c r="G2353" t="s">
        <v>361</v>
      </c>
      <c r="K2353" t="s">
        <v>843</v>
      </c>
    </row>
    <row r="2354" spans="1:11" x14ac:dyDescent="0.75">
      <c r="A2354" t="s">
        <v>69</v>
      </c>
      <c r="B2354" s="3">
        <v>44831</v>
      </c>
      <c r="C2354">
        <v>2</v>
      </c>
      <c r="D2354" t="s">
        <v>194</v>
      </c>
      <c r="E2354" s="22">
        <f>18-12</f>
        <v>6</v>
      </c>
      <c r="F2354">
        <v>946</v>
      </c>
      <c r="G2354" t="s">
        <v>361</v>
      </c>
    </row>
    <row r="2355" spans="1:11" x14ac:dyDescent="0.75">
      <c r="A2355" t="s">
        <v>69</v>
      </c>
      <c r="B2355" s="3">
        <v>44831</v>
      </c>
      <c r="C2355">
        <v>2</v>
      </c>
      <c r="D2355" t="s">
        <v>194</v>
      </c>
      <c r="E2355" s="22">
        <f>48-35</f>
        <v>13</v>
      </c>
      <c r="F2355">
        <v>962</v>
      </c>
      <c r="G2355" t="s">
        <v>795</v>
      </c>
      <c r="K2355" t="s">
        <v>845</v>
      </c>
    </row>
    <row r="2356" spans="1:11" x14ac:dyDescent="0.75">
      <c r="A2356" t="s">
        <v>69</v>
      </c>
      <c r="B2356" s="3">
        <v>44831</v>
      </c>
      <c r="C2356">
        <v>2</v>
      </c>
      <c r="D2356" t="s">
        <v>191</v>
      </c>
      <c r="E2356" s="22">
        <f>35-27</f>
        <v>8</v>
      </c>
      <c r="F2356">
        <v>963</v>
      </c>
      <c r="G2356" t="s">
        <v>795</v>
      </c>
      <c r="K2356" t="s">
        <v>845</v>
      </c>
    </row>
    <row r="2357" spans="1:11" x14ac:dyDescent="0.75">
      <c r="A2357" t="s">
        <v>69</v>
      </c>
      <c r="B2357" s="3">
        <v>44831</v>
      </c>
      <c r="C2357">
        <v>2</v>
      </c>
      <c r="D2357" t="s">
        <v>201</v>
      </c>
      <c r="E2357" s="22">
        <f>1</f>
        <v>1</v>
      </c>
      <c r="F2357" t="s">
        <v>363</v>
      </c>
      <c r="G2357" t="s">
        <v>795</v>
      </c>
      <c r="K2357" t="s">
        <v>845</v>
      </c>
    </row>
    <row r="2358" spans="1:11" x14ac:dyDescent="0.75">
      <c r="A2358" t="s">
        <v>69</v>
      </c>
      <c r="B2358" s="3">
        <v>44831</v>
      </c>
      <c r="C2358">
        <v>2</v>
      </c>
      <c r="D2358" t="s">
        <v>191</v>
      </c>
      <c r="E2358" s="22">
        <f>44-42</f>
        <v>2</v>
      </c>
      <c r="F2358" t="s">
        <v>363</v>
      </c>
      <c r="G2358" t="s">
        <v>795</v>
      </c>
      <c r="K2358" t="s">
        <v>845</v>
      </c>
    </row>
    <row r="2359" spans="1:11" x14ac:dyDescent="0.75">
      <c r="A2359" t="s">
        <v>69</v>
      </c>
      <c r="B2359" s="3">
        <v>44831</v>
      </c>
      <c r="C2359">
        <v>2</v>
      </c>
      <c r="D2359" t="s">
        <v>194</v>
      </c>
      <c r="E2359" s="22">
        <f>42-32</f>
        <v>10</v>
      </c>
      <c r="F2359" t="s">
        <v>363</v>
      </c>
      <c r="G2359" t="s">
        <v>795</v>
      </c>
      <c r="K2359" t="s">
        <v>845</v>
      </c>
    </row>
    <row r="2360" spans="1:11" x14ac:dyDescent="0.75">
      <c r="A2360" t="s">
        <v>69</v>
      </c>
      <c r="B2360" s="3">
        <v>44831</v>
      </c>
      <c r="C2360">
        <v>2</v>
      </c>
      <c r="D2360" t="s">
        <v>191</v>
      </c>
      <c r="E2360" s="22">
        <f>32-30</f>
        <v>2</v>
      </c>
      <c r="F2360" t="s">
        <v>363</v>
      </c>
      <c r="G2360" t="s">
        <v>795</v>
      </c>
      <c r="K2360" t="s">
        <v>845</v>
      </c>
    </row>
    <row r="2361" spans="1:11" x14ac:dyDescent="0.75">
      <c r="A2361" t="s">
        <v>69</v>
      </c>
      <c r="B2361" s="3">
        <v>44831</v>
      </c>
      <c r="C2361">
        <v>2</v>
      </c>
      <c r="D2361" t="s">
        <v>194</v>
      </c>
      <c r="E2361" s="22">
        <f>27-20</f>
        <v>7</v>
      </c>
      <c r="F2361" t="s">
        <v>363</v>
      </c>
      <c r="G2361" t="s">
        <v>795</v>
      </c>
      <c r="K2361" t="s">
        <v>845</v>
      </c>
    </row>
    <row r="2362" spans="1:11" x14ac:dyDescent="0.75">
      <c r="A2362" t="s">
        <v>69</v>
      </c>
      <c r="B2362" s="3">
        <v>44831</v>
      </c>
      <c r="C2362">
        <v>2</v>
      </c>
      <c r="D2362" t="s">
        <v>197</v>
      </c>
      <c r="E2362" s="22">
        <f>27-21</f>
        <v>6</v>
      </c>
      <c r="F2362" t="s">
        <v>363</v>
      </c>
      <c r="G2362" t="s">
        <v>795</v>
      </c>
      <c r="K2362" t="s">
        <v>845</v>
      </c>
    </row>
    <row r="2363" spans="1:11" x14ac:dyDescent="0.75">
      <c r="A2363" t="s">
        <v>69</v>
      </c>
      <c r="B2363" s="3">
        <v>44831</v>
      </c>
      <c r="C2363">
        <v>2</v>
      </c>
      <c r="D2363" t="s">
        <v>197</v>
      </c>
      <c r="E2363" s="22">
        <f>21-13</f>
        <v>8</v>
      </c>
      <c r="F2363" t="s">
        <v>363</v>
      </c>
      <c r="G2363" t="s">
        <v>795</v>
      </c>
      <c r="K2363" t="s">
        <v>845</v>
      </c>
    </row>
    <row r="2364" spans="1:11" x14ac:dyDescent="0.75">
      <c r="A2364" t="s">
        <v>69</v>
      </c>
      <c r="B2364" s="3">
        <v>44831</v>
      </c>
      <c r="C2364">
        <v>2</v>
      </c>
      <c r="D2364" t="s">
        <v>197</v>
      </c>
      <c r="E2364" s="22">
        <f>26-23</f>
        <v>3</v>
      </c>
      <c r="F2364" t="s">
        <v>363</v>
      </c>
      <c r="G2364" t="s">
        <v>795</v>
      </c>
      <c r="K2364" t="s">
        <v>845</v>
      </c>
    </row>
    <row r="2365" spans="1:11" x14ac:dyDescent="0.75">
      <c r="A2365" t="s">
        <v>69</v>
      </c>
      <c r="B2365" s="3">
        <v>44831</v>
      </c>
      <c r="C2365">
        <v>2</v>
      </c>
      <c r="D2365" t="s">
        <v>197</v>
      </c>
      <c r="E2365" s="22">
        <f>13-12</f>
        <v>1</v>
      </c>
      <c r="F2365" t="s">
        <v>363</v>
      </c>
      <c r="G2365" t="s">
        <v>795</v>
      </c>
      <c r="K2365" t="s">
        <v>845</v>
      </c>
    </row>
    <row r="2366" spans="1:11" x14ac:dyDescent="0.75">
      <c r="A2366" t="s">
        <v>69</v>
      </c>
      <c r="B2366" s="3">
        <v>44831</v>
      </c>
      <c r="C2366">
        <v>2</v>
      </c>
      <c r="D2366" t="s">
        <v>215</v>
      </c>
      <c r="E2366" s="22">
        <f>22-20</f>
        <v>2</v>
      </c>
      <c r="F2366" t="s">
        <v>363</v>
      </c>
      <c r="G2366" t="s">
        <v>795</v>
      </c>
      <c r="K2366" t="s">
        <v>845</v>
      </c>
    </row>
    <row r="2367" spans="1:11" x14ac:dyDescent="0.75">
      <c r="A2367" t="s">
        <v>69</v>
      </c>
      <c r="B2367" s="3">
        <v>44831</v>
      </c>
      <c r="C2367">
        <v>2</v>
      </c>
      <c r="D2367" t="s">
        <v>207</v>
      </c>
      <c r="E2367" s="22">
        <f>21-18</f>
        <v>3</v>
      </c>
      <c r="F2367" t="s">
        <v>363</v>
      </c>
      <c r="G2367" t="s">
        <v>795</v>
      </c>
      <c r="K2367" t="s">
        <v>845</v>
      </c>
    </row>
    <row r="2368" spans="1:11" x14ac:dyDescent="0.75">
      <c r="A2368" t="s">
        <v>69</v>
      </c>
      <c r="B2368" s="3">
        <v>44831</v>
      </c>
      <c r="C2368">
        <v>2</v>
      </c>
      <c r="D2368" t="s">
        <v>194</v>
      </c>
      <c r="E2368" s="22">
        <f>40-23</f>
        <v>17</v>
      </c>
      <c r="F2368" t="s">
        <v>363</v>
      </c>
      <c r="G2368" t="s">
        <v>795</v>
      </c>
      <c r="K2368" t="s">
        <v>845</v>
      </c>
    </row>
    <row r="2369" spans="1:11" x14ac:dyDescent="0.75">
      <c r="A2369" t="s">
        <v>69</v>
      </c>
      <c r="B2369" s="3">
        <v>44831</v>
      </c>
      <c r="C2369">
        <v>2</v>
      </c>
      <c r="D2369" t="s">
        <v>191</v>
      </c>
      <c r="E2369" s="22">
        <f>23-19</f>
        <v>4</v>
      </c>
      <c r="F2369" t="s">
        <v>363</v>
      </c>
      <c r="G2369" t="s">
        <v>795</v>
      </c>
      <c r="K2369" t="s">
        <v>845</v>
      </c>
    </row>
    <row r="2370" spans="1:11" x14ac:dyDescent="0.75">
      <c r="A2370" t="s">
        <v>69</v>
      </c>
      <c r="B2370" s="3">
        <v>44831</v>
      </c>
      <c r="C2370">
        <v>2</v>
      </c>
      <c r="D2370" t="s">
        <v>197</v>
      </c>
      <c r="E2370" s="22">
        <f>11-6</f>
        <v>5</v>
      </c>
      <c r="F2370" t="s">
        <v>363</v>
      </c>
      <c r="G2370" t="s">
        <v>795</v>
      </c>
      <c r="K2370" t="s">
        <v>845</v>
      </c>
    </row>
    <row r="2371" spans="1:11" x14ac:dyDescent="0.75">
      <c r="A2371" t="s">
        <v>69</v>
      </c>
      <c r="B2371" s="3">
        <v>44831</v>
      </c>
      <c r="C2371">
        <v>2</v>
      </c>
      <c r="D2371" t="s">
        <v>191</v>
      </c>
      <c r="E2371" s="22">
        <f>19-12</f>
        <v>7</v>
      </c>
      <c r="F2371" t="s">
        <v>363</v>
      </c>
      <c r="G2371" t="s">
        <v>795</v>
      </c>
      <c r="K2371" t="s">
        <v>845</v>
      </c>
    </row>
    <row r="2372" spans="1:11" x14ac:dyDescent="0.75">
      <c r="A2372" t="s">
        <v>69</v>
      </c>
      <c r="B2372" s="3">
        <v>44831</v>
      </c>
      <c r="C2372">
        <v>2</v>
      </c>
      <c r="D2372" t="s">
        <v>199</v>
      </c>
      <c r="E2372" t="s">
        <v>363</v>
      </c>
      <c r="F2372" t="s">
        <v>363</v>
      </c>
      <c r="G2372" t="s">
        <v>795</v>
      </c>
      <c r="K2372" t="s">
        <v>846</v>
      </c>
    </row>
    <row r="2373" spans="1:11" x14ac:dyDescent="0.75">
      <c r="A2373" t="s">
        <v>69</v>
      </c>
      <c r="B2373" s="3">
        <v>44831</v>
      </c>
      <c r="C2373">
        <v>2</v>
      </c>
      <c r="D2373" t="s">
        <v>194</v>
      </c>
      <c r="E2373" t="s">
        <v>363</v>
      </c>
      <c r="F2373" t="s">
        <v>363</v>
      </c>
      <c r="G2373" t="s">
        <v>795</v>
      </c>
      <c r="K2373" t="s">
        <v>846</v>
      </c>
    </row>
    <row r="2374" spans="1:11" x14ac:dyDescent="0.75">
      <c r="A2374" t="s">
        <v>69</v>
      </c>
      <c r="B2374" s="3">
        <v>44831</v>
      </c>
      <c r="C2374">
        <v>2</v>
      </c>
      <c r="D2374" t="s">
        <v>199</v>
      </c>
      <c r="E2374" t="s">
        <v>363</v>
      </c>
      <c r="F2374" t="s">
        <v>363</v>
      </c>
      <c r="G2374" t="s">
        <v>795</v>
      </c>
      <c r="K2374" t="s">
        <v>846</v>
      </c>
    </row>
    <row r="2375" spans="1:11" x14ac:dyDescent="0.75">
      <c r="A2375" t="s">
        <v>69</v>
      </c>
      <c r="B2375" s="3">
        <v>44831</v>
      </c>
      <c r="C2375">
        <v>2</v>
      </c>
      <c r="D2375" t="s">
        <v>194</v>
      </c>
      <c r="E2375" s="22">
        <f>6</f>
        <v>6</v>
      </c>
      <c r="F2375" t="s">
        <v>363</v>
      </c>
      <c r="G2375" t="s">
        <v>795</v>
      </c>
      <c r="K2375" t="s">
        <v>845</v>
      </c>
    </row>
    <row r="2376" spans="1:11" x14ac:dyDescent="0.75">
      <c r="A2376" t="s">
        <v>69</v>
      </c>
      <c r="B2376" s="3">
        <v>44831</v>
      </c>
      <c r="C2376">
        <v>2</v>
      </c>
      <c r="D2376" t="s">
        <v>197</v>
      </c>
      <c r="E2376" s="22">
        <f>40-34</f>
        <v>6</v>
      </c>
      <c r="F2376">
        <v>953</v>
      </c>
      <c r="G2376" t="s">
        <v>795</v>
      </c>
      <c r="K2376" t="s">
        <v>845</v>
      </c>
    </row>
    <row r="2377" spans="1:11" x14ac:dyDescent="0.75">
      <c r="A2377" t="s">
        <v>69</v>
      </c>
      <c r="B2377" s="3">
        <v>44831</v>
      </c>
      <c r="C2377">
        <v>2</v>
      </c>
      <c r="D2377" t="s">
        <v>194</v>
      </c>
      <c r="E2377" s="22">
        <f>18-12</f>
        <v>6</v>
      </c>
      <c r="F2377" t="s">
        <v>363</v>
      </c>
      <c r="G2377" t="s">
        <v>795</v>
      </c>
      <c r="K2377" t="s">
        <v>845</v>
      </c>
    </row>
    <row r="2378" spans="1:11" x14ac:dyDescent="0.75">
      <c r="A2378" t="s">
        <v>69</v>
      </c>
      <c r="B2378" s="3">
        <v>44831</v>
      </c>
      <c r="C2378">
        <v>2</v>
      </c>
      <c r="D2378" t="s">
        <v>194</v>
      </c>
      <c r="E2378" s="22">
        <f>34-27</f>
        <v>7</v>
      </c>
      <c r="F2378" t="s">
        <v>363</v>
      </c>
      <c r="G2378" t="s">
        <v>795</v>
      </c>
      <c r="K2378" t="s">
        <v>845</v>
      </c>
    </row>
    <row r="2379" spans="1:11" s="23" customFormat="1" x14ac:dyDescent="0.75">
      <c r="A2379" s="23" t="s">
        <v>69</v>
      </c>
      <c r="B2379" s="24">
        <v>44838</v>
      </c>
      <c r="C2379" s="23">
        <v>1</v>
      </c>
      <c r="D2379" s="23" t="s">
        <v>168</v>
      </c>
      <c r="E2379" s="52">
        <f>50-44</f>
        <v>6</v>
      </c>
      <c r="F2379" s="23" t="s">
        <v>363</v>
      </c>
      <c r="G2379" s="23" t="s">
        <v>374</v>
      </c>
      <c r="I2379" s="23" t="s">
        <v>367</v>
      </c>
      <c r="J2379" s="24">
        <v>44922</v>
      </c>
      <c r="K2379" s="23" t="s">
        <v>847</v>
      </c>
    </row>
    <row r="2380" spans="1:11" s="23" customFormat="1" x14ac:dyDescent="0.75">
      <c r="A2380" s="23" t="s">
        <v>69</v>
      </c>
      <c r="B2380" s="24">
        <v>44838</v>
      </c>
      <c r="C2380" s="23">
        <v>1</v>
      </c>
      <c r="D2380" s="23" t="s">
        <v>191</v>
      </c>
      <c r="E2380" s="52">
        <f>44-22</f>
        <v>22</v>
      </c>
      <c r="F2380" s="23" t="s">
        <v>363</v>
      </c>
      <c r="G2380" s="23" t="s">
        <v>374</v>
      </c>
      <c r="I2380" s="23" t="s">
        <v>367</v>
      </c>
      <c r="J2380" s="24">
        <v>44922</v>
      </c>
    </row>
    <row r="2381" spans="1:11" s="23" customFormat="1" x14ac:dyDescent="0.75">
      <c r="A2381" s="23" t="s">
        <v>69</v>
      </c>
      <c r="B2381" s="24">
        <v>44838</v>
      </c>
      <c r="C2381" s="23">
        <v>1</v>
      </c>
      <c r="D2381" s="23" t="s">
        <v>197</v>
      </c>
      <c r="E2381" s="52">
        <f>22-8</f>
        <v>14</v>
      </c>
      <c r="F2381" s="23" t="s">
        <v>363</v>
      </c>
      <c r="G2381" s="23" t="s">
        <v>374</v>
      </c>
      <c r="I2381" s="23" t="s">
        <v>367</v>
      </c>
      <c r="J2381" s="24">
        <v>44922</v>
      </c>
    </row>
    <row r="2382" spans="1:11" s="23" customFormat="1" x14ac:dyDescent="0.75">
      <c r="A2382" s="23" t="s">
        <v>69</v>
      </c>
      <c r="B2382" s="24">
        <v>44838</v>
      </c>
      <c r="C2382" s="23">
        <v>1</v>
      </c>
      <c r="D2382" s="23" t="s">
        <v>199</v>
      </c>
      <c r="E2382" s="52">
        <f>8-2</f>
        <v>6</v>
      </c>
      <c r="F2382" s="23" t="s">
        <v>363</v>
      </c>
      <c r="G2382" s="23" t="s">
        <v>374</v>
      </c>
      <c r="I2382" s="23" t="s">
        <v>367</v>
      </c>
      <c r="J2382" s="24">
        <v>44922</v>
      </c>
    </row>
    <row r="2383" spans="1:11" s="23" customFormat="1" x14ac:dyDescent="0.75">
      <c r="A2383" s="23" t="s">
        <v>69</v>
      </c>
      <c r="B2383" s="24">
        <v>44838</v>
      </c>
      <c r="C2383" s="23">
        <v>1</v>
      </c>
      <c r="D2383" s="23" t="s">
        <v>207</v>
      </c>
      <c r="E2383" s="52">
        <f>2</f>
        <v>2</v>
      </c>
      <c r="F2383" s="23" t="s">
        <v>363</v>
      </c>
      <c r="G2383" s="23" t="s">
        <v>374</v>
      </c>
      <c r="I2383" s="23" t="s">
        <v>367</v>
      </c>
      <c r="J2383" s="24">
        <v>44922</v>
      </c>
    </row>
    <row r="2384" spans="1:11" s="23" customFormat="1" x14ac:dyDescent="0.75">
      <c r="A2384" s="23" t="s">
        <v>69</v>
      </c>
      <c r="B2384" s="24">
        <v>44838</v>
      </c>
      <c r="C2384" s="23">
        <v>1</v>
      </c>
      <c r="D2384" s="23" t="s">
        <v>197</v>
      </c>
      <c r="E2384" s="52">
        <f>45-34</f>
        <v>11</v>
      </c>
      <c r="F2384" s="23" t="s">
        <v>363</v>
      </c>
      <c r="G2384" s="23" t="s">
        <v>374</v>
      </c>
      <c r="I2384" s="23" t="s">
        <v>367</v>
      </c>
      <c r="J2384" s="24">
        <v>44922</v>
      </c>
    </row>
    <row r="2385" spans="1:10" s="23" customFormat="1" x14ac:dyDescent="0.75">
      <c r="A2385" s="23" t="s">
        <v>69</v>
      </c>
      <c r="B2385" s="24">
        <v>44838</v>
      </c>
      <c r="C2385" s="23">
        <v>1</v>
      </c>
      <c r="D2385" s="23" t="s">
        <v>207</v>
      </c>
      <c r="E2385" s="52">
        <f>34-23</f>
        <v>11</v>
      </c>
      <c r="F2385" s="23" t="s">
        <v>363</v>
      </c>
      <c r="G2385" s="23" t="s">
        <v>374</v>
      </c>
      <c r="I2385" s="23" t="s">
        <v>367</v>
      </c>
      <c r="J2385" s="24">
        <v>44922</v>
      </c>
    </row>
    <row r="2386" spans="1:10" s="23" customFormat="1" x14ac:dyDescent="0.75">
      <c r="A2386" s="23" t="s">
        <v>69</v>
      </c>
      <c r="B2386" s="24">
        <v>44838</v>
      </c>
      <c r="C2386" s="23">
        <v>1</v>
      </c>
      <c r="D2386" s="23" t="s">
        <v>207</v>
      </c>
      <c r="E2386" s="52">
        <f>23-14</f>
        <v>9</v>
      </c>
      <c r="F2386" s="23" t="s">
        <v>363</v>
      </c>
      <c r="G2386" s="23" t="s">
        <v>374</v>
      </c>
      <c r="I2386" s="23" t="s">
        <v>367</v>
      </c>
      <c r="J2386" s="24">
        <v>44922</v>
      </c>
    </row>
    <row r="2387" spans="1:10" s="23" customFormat="1" x14ac:dyDescent="0.75">
      <c r="A2387" s="23" t="s">
        <v>69</v>
      </c>
      <c r="B2387" s="24">
        <v>44838</v>
      </c>
      <c r="C2387" s="23">
        <v>1</v>
      </c>
      <c r="D2387" s="23" t="s">
        <v>225</v>
      </c>
      <c r="E2387" s="52">
        <f>14-13</f>
        <v>1</v>
      </c>
      <c r="F2387" s="23" t="s">
        <v>363</v>
      </c>
      <c r="G2387" s="23" t="s">
        <v>374</v>
      </c>
      <c r="I2387" s="23" t="s">
        <v>367</v>
      </c>
      <c r="J2387" s="24">
        <v>44922</v>
      </c>
    </row>
    <row r="2388" spans="1:10" s="23" customFormat="1" x14ac:dyDescent="0.75">
      <c r="A2388" s="23" t="s">
        <v>69</v>
      </c>
      <c r="B2388" s="24">
        <v>44838</v>
      </c>
      <c r="C2388" s="23">
        <v>1</v>
      </c>
      <c r="D2388" s="23" t="s">
        <v>197</v>
      </c>
      <c r="E2388" s="52">
        <f>13-12</f>
        <v>1</v>
      </c>
      <c r="F2388" s="23" t="s">
        <v>363</v>
      </c>
      <c r="G2388" s="23" t="s">
        <v>374</v>
      </c>
      <c r="I2388" s="23" t="s">
        <v>367</v>
      </c>
      <c r="J2388" s="24">
        <v>44922</v>
      </c>
    </row>
    <row r="2389" spans="1:10" s="23" customFormat="1" x14ac:dyDescent="0.75">
      <c r="A2389" s="23" t="s">
        <v>69</v>
      </c>
      <c r="B2389" s="24">
        <v>44838</v>
      </c>
      <c r="C2389" s="23">
        <v>1</v>
      </c>
      <c r="D2389" s="23" t="s">
        <v>207</v>
      </c>
      <c r="E2389" s="52">
        <f>12-4</f>
        <v>8</v>
      </c>
      <c r="F2389" s="23" t="s">
        <v>363</v>
      </c>
      <c r="G2389" s="23" t="s">
        <v>374</v>
      </c>
      <c r="I2389" s="23" t="s">
        <v>367</v>
      </c>
      <c r="J2389" s="24">
        <v>44922</v>
      </c>
    </row>
    <row r="2390" spans="1:10" s="23" customFormat="1" x14ac:dyDescent="0.75">
      <c r="A2390" s="23" t="s">
        <v>69</v>
      </c>
      <c r="B2390" s="24">
        <v>44838</v>
      </c>
      <c r="C2390" s="23">
        <v>1</v>
      </c>
      <c r="D2390" s="23" t="s">
        <v>207</v>
      </c>
      <c r="E2390" s="52">
        <f>4-1</f>
        <v>3</v>
      </c>
      <c r="F2390" s="23" t="s">
        <v>363</v>
      </c>
      <c r="G2390" s="23" t="s">
        <v>374</v>
      </c>
      <c r="I2390" s="23" t="s">
        <v>367</v>
      </c>
      <c r="J2390" s="24">
        <v>44922</v>
      </c>
    </row>
    <row r="2391" spans="1:10" s="23" customFormat="1" x14ac:dyDescent="0.75">
      <c r="A2391" s="23" t="s">
        <v>69</v>
      </c>
      <c r="B2391" s="24">
        <v>44838</v>
      </c>
      <c r="C2391" s="23">
        <v>1</v>
      </c>
      <c r="D2391" s="23" t="s">
        <v>207</v>
      </c>
      <c r="E2391" s="52">
        <f>1+24-22</f>
        <v>3</v>
      </c>
      <c r="F2391" s="23" t="s">
        <v>363</v>
      </c>
      <c r="G2391" s="23" t="s">
        <v>374</v>
      </c>
      <c r="I2391" s="23" t="s">
        <v>367</v>
      </c>
      <c r="J2391" s="24">
        <v>44922</v>
      </c>
    </row>
    <row r="2392" spans="1:10" s="23" customFormat="1" x14ac:dyDescent="0.75">
      <c r="A2392" s="23" t="s">
        <v>69</v>
      </c>
      <c r="B2392" s="24">
        <v>44838</v>
      </c>
      <c r="C2392" s="23">
        <v>1</v>
      </c>
      <c r="D2392" s="23" t="s">
        <v>191</v>
      </c>
      <c r="E2392" s="52">
        <f>41-34</f>
        <v>7</v>
      </c>
      <c r="F2392" s="23" t="s">
        <v>363</v>
      </c>
      <c r="G2392" s="23" t="s">
        <v>374</v>
      </c>
      <c r="I2392" s="23" t="s">
        <v>367</v>
      </c>
      <c r="J2392" s="24">
        <v>44922</v>
      </c>
    </row>
    <row r="2393" spans="1:10" s="23" customFormat="1" x14ac:dyDescent="0.75">
      <c r="A2393" s="23" t="s">
        <v>69</v>
      </c>
      <c r="B2393" s="24">
        <v>44838</v>
      </c>
      <c r="C2393" s="23">
        <v>1</v>
      </c>
      <c r="D2393" s="23" t="s">
        <v>176</v>
      </c>
      <c r="E2393" s="52">
        <f>34-18</f>
        <v>16</v>
      </c>
      <c r="F2393" s="23" t="s">
        <v>363</v>
      </c>
      <c r="G2393" s="23" t="s">
        <v>374</v>
      </c>
      <c r="I2393" s="23" t="s">
        <v>367</v>
      </c>
      <c r="J2393" s="24">
        <v>44922</v>
      </c>
    </row>
    <row r="2394" spans="1:10" s="23" customFormat="1" x14ac:dyDescent="0.75">
      <c r="A2394" s="23" t="s">
        <v>69</v>
      </c>
      <c r="B2394" s="24">
        <v>44838</v>
      </c>
      <c r="C2394" s="23">
        <v>1</v>
      </c>
      <c r="D2394" s="23" t="s">
        <v>168</v>
      </c>
      <c r="E2394" s="52">
        <f>18-13</f>
        <v>5</v>
      </c>
      <c r="F2394" s="23" t="s">
        <v>363</v>
      </c>
      <c r="G2394" s="23" t="s">
        <v>374</v>
      </c>
      <c r="I2394" s="23" t="s">
        <v>367</v>
      </c>
      <c r="J2394" s="24">
        <v>44922</v>
      </c>
    </row>
    <row r="2395" spans="1:10" s="23" customFormat="1" x14ac:dyDescent="0.75">
      <c r="A2395" s="23" t="s">
        <v>69</v>
      </c>
      <c r="B2395" s="24">
        <v>44838</v>
      </c>
      <c r="C2395" s="23">
        <v>1</v>
      </c>
      <c r="D2395" s="23" t="s">
        <v>207</v>
      </c>
      <c r="E2395" s="52">
        <f>13-9</f>
        <v>4</v>
      </c>
      <c r="F2395" s="23" t="s">
        <v>363</v>
      </c>
      <c r="G2395" s="23" t="s">
        <v>374</v>
      </c>
      <c r="I2395" s="23" t="s">
        <v>367</v>
      </c>
      <c r="J2395" s="24">
        <v>44922</v>
      </c>
    </row>
    <row r="2396" spans="1:10" s="23" customFormat="1" x14ac:dyDescent="0.75">
      <c r="A2396" s="23" t="s">
        <v>69</v>
      </c>
      <c r="B2396" s="24">
        <v>44838</v>
      </c>
      <c r="C2396" s="23">
        <v>1</v>
      </c>
      <c r="D2396" s="23" t="s">
        <v>207</v>
      </c>
      <c r="E2396" s="52">
        <f>1</f>
        <v>1</v>
      </c>
      <c r="F2396" s="23" t="s">
        <v>363</v>
      </c>
      <c r="G2396" s="23" t="s">
        <v>374</v>
      </c>
      <c r="I2396" s="23" t="s">
        <v>367</v>
      </c>
      <c r="J2396" s="24">
        <v>44922</v>
      </c>
    </row>
    <row r="2397" spans="1:10" s="23" customFormat="1" x14ac:dyDescent="0.75">
      <c r="A2397" s="23" t="s">
        <v>69</v>
      </c>
      <c r="B2397" s="24">
        <v>44838</v>
      </c>
      <c r="C2397" s="23">
        <v>1</v>
      </c>
      <c r="D2397" s="23" t="s">
        <v>207</v>
      </c>
      <c r="E2397" s="52">
        <f>45-13</f>
        <v>32</v>
      </c>
      <c r="F2397" s="23" t="s">
        <v>363</v>
      </c>
      <c r="G2397" s="23" t="s">
        <v>374</v>
      </c>
      <c r="I2397" s="23" t="s">
        <v>367</v>
      </c>
      <c r="J2397" s="24">
        <v>44922</v>
      </c>
    </row>
    <row r="2398" spans="1:10" s="23" customFormat="1" x14ac:dyDescent="0.75">
      <c r="A2398" s="23" t="s">
        <v>69</v>
      </c>
      <c r="B2398" s="24">
        <v>44838</v>
      </c>
      <c r="C2398" s="23">
        <v>1</v>
      </c>
      <c r="D2398" s="23" t="s">
        <v>207</v>
      </c>
      <c r="E2398" s="52">
        <f>13-8</f>
        <v>5</v>
      </c>
      <c r="F2398" s="23" t="s">
        <v>363</v>
      </c>
      <c r="G2398" s="23" t="s">
        <v>374</v>
      </c>
      <c r="I2398" s="23" t="s">
        <v>367</v>
      </c>
      <c r="J2398" s="24">
        <v>44922</v>
      </c>
    </row>
    <row r="2399" spans="1:10" s="23" customFormat="1" x14ac:dyDescent="0.75">
      <c r="A2399" s="23" t="s">
        <v>69</v>
      </c>
      <c r="B2399" s="24">
        <v>44838</v>
      </c>
      <c r="C2399" s="23">
        <v>1</v>
      </c>
      <c r="D2399" s="23" t="s">
        <v>207</v>
      </c>
      <c r="E2399" s="52">
        <f>8-6</f>
        <v>2</v>
      </c>
      <c r="F2399" s="23" t="s">
        <v>363</v>
      </c>
      <c r="G2399" s="23" t="s">
        <v>374</v>
      </c>
      <c r="I2399" s="23" t="s">
        <v>367</v>
      </c>
      <c r="J2399" s="24">
        <v>44922</v>
      </c>
    </row>
    <row r="2400" spans="1:10" s="23" customFormat="1" x14ac:dyDescent="0.75">
      <c r="A2400" s="23" t="s">
        <v>69</v>
      </c>
      <c r="B2400" s="24">
        <v>44838</v>
      </c>
      <c r="C2400" s="23">
        <v>1</v>
      </c>
      <c r="D2400" s="23" t="s">
        <v>207</v>
      </c>
      <c r="E2400" s="52">
        <f>1</f>
        <v>1</v>
      </c>
      <c r="F2400" s="23" t="s">
        <v>363</v>
      </c>
      <c r="G2400" s="23" t="s">
        <v>374</v>
      </c>
      <c r="I2400" s="23" t="s">
        <v>367</v>
      </c>
      <c r="J2400" s="24">
        <v>44922</v>
      </c>
    </row>
    <row r="2401" spans="1:11" s="23" customFormat="1" x14ac:dyDescent="0.75">
      <c r="A2401" s="23" t="s">
        <v>69</v>
      </c>
      <c r="B2401" s="24">
        <v>44838</v>
      </c>
      <c r="C2401" s="23">
        <v>1</v>
      </c>
      <c r="D2401" s="23" t="s">
        <v>191</v>
      </c>
      <c r="E2401" s="52">
        <f>6-2</f>
        <v>4</v>
      </c>
      <c r="F2401" s="23" t="s">
        <v>363</v>
      </c>
      <c r="G2401" s="23" t="s">
        <v>374</v>
      </c>
      <c r="I2401" s="23" t="s">
        <v>367</v>
      </c>
      <c r="J2401" s="24">
        <v>44922</v>
      </c>
    </row>
    <row r="2402" spans="1:11" s="23" customFormat="1" x14ac:dyDescent="0.75">
      <c r="A2402" s="23" t="s">
        <v>69</v>
      </c>
      <c r="B2402" s="24">
        <v>44838</v>
      </c>
      <c r="C2402" s="23">
        <v>1</v>
      </c>
      <c r="D2402" s="23" t="s">
        <v>168</v>
      </c>
      <c r="E2402" s="52">
        <f>6+2+60-50</f>
        <v>18</v>
      </c>
      <c r="F2402" s="23" t="s">
        <v>363</v>
      </c>
      <c r="G2402" s="23" t="s">
        <v>374</v>
      </c>
      <c r="I2402" s="23" t="s">
        <v>367</v>
      </c>
      <c r="J2402" s="24">
        <v>44922</v>
      </c>
    </row>
    <row r="2403" spans="1:11" s="23" customFormat="1" x14ac:dyDescent="0.75">
      <c r="A2403" s="23" t="s">
        <v>69</v>
      </c>
      <c r="B2403" s="24">
        <v>44838</v>
      </c>
      <c r="C2403" s="23">
        <v>1</v>
      </c>
      <c r="D2403" s="23" t="s">
        <v>207</v>
      </c>
      <c r="E2403" s="52">
        <f>18-4</f>
        <v>14</v>
      </c>
      <c r="F2403" s="23" t="s">
        <v>363</v>
      </c>
      <c r="G2403" s="23" t="s">
        <v>789</v>
      </c>
      <c r="I2403" s="23" t="s">
        <v>367</v>
      </c>
      <c r="J2403" s="24">
        <v>44922</v>
      </c>
      <c r="K2403" s="23" t="s">
        <v>848</v>
      </c>
    </row>
    <row r="2404" spans="1:11" s="23" customFormat="1" x14ac:dyDescent="0.75">
      <c r="A2404" s="23" t="s">
        <v>69</v>
      </c>
      <c r="B2404" s="24">
        <v>44838</v>
      </c>
      <c r="C2404" s="23">
        <v>1</v>
      </c>
      <c r="D2404" s="23" t="s">
        <v>197</v>
      </c>
      <c r="E2404" s="52">
        <f>4</f>
        <v>4</v>
      </c>
      <c r="F2404" s="23" t="s">
        <v>363</v>
      </c>
      <c r="G2404" s="23" t="s">
        <v>789</v>
      </c>
      <c r="I2404" s="23" t="s">
        <v>367</v>
      </c>
      <c r="J2404" s="24">
        <v>44922</v>
      </c>
      <c r="K2404" s="23" t="s">
        <v>849</v>
      </c>
    </row>
    <row r="2405" spans="1:11" x14ac:dyDescent="0.75">
      <c r="A2405" t="s">
        <v>69</v>
      </c>
      <c r="B2405" s="3">
        <v>44838</v>
      </c>
      <c r="C2405">
        <v>2</v>
      </c>
      <c r="D2405" t="s">
        <v>201</v>
      </c>
      <c r="E2405" s="22">
        <f>41-26</f>
        <v>15</v>
      </c>
      <c r="F2405" t="s">
        <v>363</v>
      </c>
      <c r="G2405" t="s">
        <v>361</v>
      </c>
      <c r="I2405" s="63" t="s">
        <v>367</v>
      </c>
      <c r="J2405" s="3">
        <v>44922</v>
      </c>
    </row>
    <row r="2406" spans="1:11" x14ac:dyDescent="0.75">
      <c r="A2406" t="s">
        <v>69</v>
      </c>
      <c r="B2406" s="3">
        <v>44838</v>
      </c>
      <c r="C2406">
        <v>2</v>
      </c>
      <c r="D2406" t="s">
        <v>197</v>
      </c>
      <c r="E2406" s="22">
        <f>26-22</f>
        <v>4</v>
      </c>
      <c r="F2406" t="s">
        <v>363</v>
      </c>
      <c r="G2406" t="s">
        <v>361</v>
      </c>
      <c r="I2406" s="63" t="s">
        <v>367</v>
      </c>
      <c r="J2406" s="3">
        <v>44922</v>
      </c>
      <c r="K2406" t="s">
        <v>850</v>
      </c>
    </row>
    <row r="2407" spans="1:11" x14ac:dyDescent="0.75">
      <c r="A2407" t="s">
        <v>69</v>
      </c>
      <c r="B2407" s="3">
        <v>44838</v>
      </c>
      <c r="C2407">
        <v>2</v>
      </c>
      <c r="D2407" t="s">
        <v>194</v>
      </c>
      <c r="E2407" s="22">
        <f>22-13</f>
        <v>9</v>
      </c>
      <c r="F2407" t="s">
        <v>363</v>
      </c>
      <c r="G2407" t="s">
        <v>361</v>
      </c>
      <c r="I2407" s="63" t="s">
        <v>367</v>
      </c>
      <c r="J2407" s="3">
        <v>44922</v>
      </c>
    </row>
    <row r="2408" spans="1:11" x14ac:dyDescent="0.75">
      <c r="A2408" t="s">
        <v>69</v>
      </c>
      <c r="B2408" s="3">
        <v>44838</v>
      </c>
      <c r="C2408">
        <v>2</v>
      </c>
      <c r="D2408" t="s">
        <v>201</v>
      </c>
      <c r="E2408" s="22">
        <f>42-30</f>
        <v>12</v>
      </c>
      <c r="F2408" t="s">
        <v>363</v>
      </c>
      <c r="G2408" t="s">
        <v>367</v>
      </c>
      <c r="I2408" s="63" t="s">
        <v>367</v>
      </c>
      <c r="J2408" s="3">
        <v>44922</v>
      </c>
    </row>
    <row r="2409" spans="1:11" x14ac:dyDescent="0.75">
      <c r="A2409" t="s">
        <v>69</v>
      </c>
      <c r="B2409" s="3">
        <v>44838</v>
      </c>
      <c r="C2409">
        <v>2</v>
      </c>
      <c r="D2409" t="s">
        <v>164</v>
      </c>
      <c r="E2409" s="22">
        <f>30-21</f>
        <v>9</v>
      </c>
      <c r="F2409" t="s">
        <v>363</v>
      </c>
      <c r="G2409" t="s">
        <v>367</v>
      </c>
      <c r="I2409" s="63" t="s">
        <v>367</v>
      </c>
      <c r="J2409" s="3">
        <v>44922</v>
      </c>
    </row>
    <row r="2410" spans="1:11" x14ac:dyDescent="0.75">
      <c r="A2410" t="s">
        <v>69</v>
      </c>
      <c r="B2410" s="3">
        <v>44838</v>
      </c>
      <c r="C2410">
        <v>2</v>
      </c>
      <c r="D2410" t="s">
        <v>197</v>
      </c>
      <c r="E2410" s="22">
        <f>21-17</f>
        <v>4</v>
      </c>
      <c r="F2410" t="s">
        <v>363</v>
      </c>
      <c r="G2410" t="s">
        <v>367</v>
      </c>
      <c r="I2410" s="63" t="s">
        <v>367</v>
      </c>
      <c r="J2410" s="3">
        <v>44922</v>
      </c>
    </row>
    <row r="2411" spans="1:11" s="23" customFormat="1" x14ac:dyDescent="0.75">
      <c r="A2411" s="23" t="s">
        <v>69</v>
      </c>
      <c r="B2411" s="24">
        <v>44838</v>
      </c>
      <c r="C2411" s="23">
        <v>3</v>
      </c>
      <c r="D2411" s="23" t="s">
        <v>168</v>
      </c>
      <c r="E2411" s="52">
        <f>50-48</f>
        <v>2</v>
      </c>
      <c r="F2411" s="23" t="s">
        <v>363</v>
      </c>
      <c r="G2411" s="23" t="s">
        <v>374</v>
      </c>
      <c r="I2411" s="23" t="s">
        <v>367</v>
      </c>
      <c r="J2411" s="24">
        <v>44922</v>
      </c>
    </row>
    <row r="2412" spans="1:11" s="23" customFormat="1" x14ac:dyDescent="0.75">
      <c r="A2412" s="23" t="s">
        <v>69</v>
      </c>
      <c r="B2412" s="24">
        <v>44838</v>
      </c>
      <c r="C2412" s="23">
        <v>3</v>
      </c>
      <c r="D2412" s="23" t="s">
        <v>207</v>
      </c>
      <c r="E2412" s="52">
        <f>48-45</f>
        <v>3</v>
      </c>
      <c r="F2412" s="23" t="s">
        <v>363</v>
      </c>
      <c r="G2412" s="23" t="s">
        <v>374</v>
      </c>
      <c r="I2412" s="23" t="s">
        <v>367</v>
      </c>
      <c r="J2412" s="24">
        <v>44922</v>
      </c>
    </row>
    <row r="2413" spans="1:11" s="23" customFormat="1" x14ac:dyDescent="0.75">
      <c r="A2413" s="23" t="s">
        <v>69</v>
      </c>
      <c r="B2413" s="24">
        <v>44838</v>
      </c>
      <c r="C2413" s="23">
        <v>3</v>
      </c>
      <c r="D2413" s="23" t="s">
        <v>207</v>
      </c>
      <c r="E2413" s="52">
        <f>45-41</f>
        <v>4</v>
      </c>
      <c r="F2413" s="23" t="s">
        <v>363</v>
      </c>
      <c r="G2413" s="23" t="s">
        <v>374</v>
      </c>
      <c r="I2413" s="23" t="s">
        <v>367</v>
      </c>
      <c r="J2413" s="24">
        <v>44922</v>
      </c>
    </row>
    <row r="2414" spans="1:11" s="23" customFormat="1" x14ac:dyDescent="0.75">
      <c r="A2414" s="23" t="s">
        <v>69</v>
      </c>
      <c r="B2414" s="24">
        <v>44838</v>
      </c>
      <c r="C2414" s="23">
        <v>3</v>
      </c>
      <c r="D2414" s="23" t="s">
        <v>201</v>
      </c>
      <c r="E2414" s="52">
        <f>41-35</f>
        <v>6</v>
      </c>
      <c r="F2414" s="23" t="s">
        <v>363</v>
      </c>
      <c r="G2414" s="23" t="s">
        <v>374</v>
      </c>
      <c r="I2414" s="23" t="s">
        <v>367</v>
      </c>
      <c r="J2414" s="24">
        <v>44922</v>
      </c>
    </row>
    <row r="2415" spans="1:11" s="23" customFormat="1" x14ac:dyDescent="0.75">
      <c r="A2415" s="23" t="s">
        <v>69</v>
      </c>
      <c r="B2415" s="24">
        <v>44838</v>
      </c>
      <c r="C2415" s="23">
        <v>3</v>
      </c>
      <c r="D2415" s="23" t="s">
        <v>207</v>
      </c>
      <c r="E2415" s="52">
        <f>35-33</f>
        <v>2</v>
      </c>
      <c r="F2415" s="23" t="s">
        <v>363</v>
      </c>
      <c r="G2415" s="23" t="s">
        <v>374</v>
      </c>
      <c r="I2415" s="23" t="s">
        <v>367</v>
      </c>
      <c r="J2415" s="24">
        <v>44922</v>
      </c>
    </row>
    <row r="2416" spans="1:11" s="23" customFormat="1" x14ac:dyDescent="0.75">
      <c r="A2416" s="23" t="s">
        <v>69</v>
      </c>
      <c r="B2416" s="24">
        <v>44838</v>
      </c>
      <c r="C2416" s="23">
        <v>3</v>
      </c>
      <c r="D2416" s="23" t="s">
        <v>207</v>
      </c>
      <c r="E2416" s="52">
        <f>33-31</f>
        <v>2</v>
      </c>
      <c r="F2416" s="23" t="s">
        <v>363</v>
      </c>
      <c r="G2416" s="23" t="s">
        <v>374</v>
      </c>
      <c r="I2416" s="23" t="s">
        <v>367</v>
      </c>
      <c r="J2416" s="24">
        <v>44922</v>
      </c>
    </row>
    <row r="2417" spans="1:11" s="23" customFormat="1" x14ac:dyDescent="0.75">
      <c r="A2417" s="23" t="s">
        <v>69</v>
      </c>
      <c r="B2417" s="24">
        <v>44838</v>
      </c>
      <c r="C2417" s="23">
        <v>3</v>
      </c>
      <c r="D2417" s="23" t="s">
        <v>197</v>
      </c>
      <c r="E2417" s="52">
        <f>31-30</f>
        <v>1</v>
      </c>
      <c r="F2417" s="23" t="s">
        <v>363</v>
      </c>
      <c r="G2417" s="23" t="s">
        <v>374</v>
      </c>
      <c r="I2417" s="23" t="s">
        <v>367</v>
      </c>
      <c r="J2417" s="24">
        <v>44922</v>
      </c>
    </row>
    <row r="2418" spans="1:11" s="23" customFormat="1" x14ac:dyDescent="0.75">
      <c r="A2418" s="23" t="s">
        <v>69</v>
      </c>
      <c r="B2418" s="24">
        <v>44838</v>
      </c>
      <c r="C2418" s="23">
        <v>3</v>
      </c>
      <c r="D2418" s="23" t="s">
        <v>191</v>
      </c>
      <c r="E2418" s="52">
        <f>30-26</f>
        <v>4</v>
      </c>
      <c r="F2418" s="23" t="s">
        <v>363</v>
      </c>
      <c r="G2418" s="23" t="s">
        <v>374</v>
      </c>
      <c r="I2418" s="23" t="s">
        <v>367</v>
      </c>
      <c r="J2418" s="24">
        <v>44922</v>
      </c>
    </row>
    <row r="2419" spans="1:11" s="23" customFormat="1" x14ac:dyDescent="0.75">
      <c r="A2419" s="23" t="s">
        <v>69</v>
      </c>
      <c r="B2419" s="24">
        <v>44838</v>
      </c>
      <c r="C2419" s="23">
        <v>3</v>
      </c>
      <c r="D2419" s="23" t="s">
        <v>191</v>
      </c>
      <c r="E2419" s="52">
        <f>26-24</f>
        <v>2</v>
      </c>
      <c r="F2419" s="23">
        <v>952</v>
      </c>
      <c r="G2419" s="23" t="s">
        <v>374</v>
      </c>
      <c r="I2419" s="23" t="s">
        <v>367</v>
      </c>
      <c r="J2419" s="24">
        <v>44922</v>
      </c>
    </row>
    <row r="2420" spans="1:11" s="23" customFormat="1" x14ac:dyDescent="0.75">
      <c r="A2420" s="23" t="s">
        <v>69</v>
      </c>
      <c r="B2420" s="24">
        <v>44838</v>
      </c>
      <c r="C2420" s="23">
        <v>3</v>
      </c>
      <c r="D2420" s="23" t="s">
        <v>191</v>
      </c>
      <c r="E2420" s="52">
        <f>50-48</f>
        <v>2</v>
      </c>
      <c r="F2420" s="23">
        <v>4127</v>
      </c>
      <c r="G2420" s="23" t="s">
        <v>374</v>
      </c>
      <c r="I2420" s="23" t="s">
        <v>367</v>
      </c>
      <c r="J2420" s="24">
        <v>44922</v>
      </c>
    </row>
    <row r="2421" spans="1:11" s="23" customFormat="1" x14ac:dyDescent="0.75">
      <c r="A2421" s="23" t="s">
        <v>69</v>
      </c>
      <c r="B2421" s="24">
        <v>44838</v>
      </c>
      <c r="C2421" s="23">
        <v>3</v>
      </c>
      <c r="D2421" s="23" t="s">
        <v>191</v>
      </c>
      <c r="E2421" s="52">
        <f>48-27</f>
        <v>21</v>
      </c>
      <c r="F2421" s="23">
        <v>3993</v>
      </c>
      <c r="G2421" s="23" t="s">
        <v>374</v>
      </c>
      <c r="I2421" s="23" t="s">
        <v>367</v>
      </c>
      <c r="J2421" s="24">
        <v>44922</v>
      </c>
    </row>
    <row r="2422" spans="1:11" s="23" customFormat="1" x14ac:dyDescent="0.75">
      <c r="A2422" s="23" t="s">
        <v>69</v>
      </c>
      <c r="B2422" s="24">
        <v>44838</v>
      </c>
      <c r="C2422" s="23">
        <v>3</v>
      </c>
      <c r="D2422" s="23" t="s">
        <v>207</v>
      </c>
      <c r="E2422" s="52">
        <f>27-25</f>
        <v>2</v>
      </c>
      <c r="F2422" s="23" t="s">
        <v>363</v>
      </c>
      <c r="G2422" s="23" t="s">
        <v>374</v>
      </c>
      <c r="I2422" s="23" t="s">
        <v>367</v>
      </c>
      <c r="J2422" s="24">
        <v>44922</v>
      </c>
    </row>
    <row r="2423" spans="1:11" s="23" customFormat="1" x14ac:dyDescent="0.75">
      <c r="A2423" s="23" t="s">
        <v>69</v>
      </c>
      <c r="B2423" s="24">
        <v>44838</v>
      </c>
      <c r="C2423" s="23">
        <v>3</v>
      </c>
      <c r="D2423" s="23" t="s">
        <v>201</v>
      </c>
      <c r="E2423" s="52">
        <f>44-41</f>
        <v>3</v>
      </c>
      <c r="F2423" s="23" t="s">
        <v>363</v>
      </c>
      <c r="G2423" s="23" t="s">
        <v>789</v>
      </c>
      <c r="I2423" s="23" t="s">
        <v>367</v>
      </c>
      <c r="J2423" s="24">
        <v>44922</v>
      </c>
      <c r="K2423" s="23" t="s">
        <v>851</v>
      </c>
    </row>
    <row r="2424" spans="1:11" s="23" customFormat="1" x14ac:dyDescent="0.75">
      <c r="A2424" s="23" t="s">
        <v>69</v>
      </c>
      <c r="B2424" s="24">
        <v>44838</v>
      </c>
      <c r="C2424" s="23">
        <v>3</v>
      </c>
      <c r="D2424" s="23" t="s">
        <v>197</v>
      </c>
      <c r="E2424" s="52">
        <f>41-36</f>
        <v>5</v>
      </c>
      <c r="F2424" s="23" t="s">
        <v>363</v>
      </c>
      <c r="G2424" s="23" t="s">
        <v>789</v>
      </c>
      <c r="I2424" s="23" t="s">
        <v>367</v>
      </c>
      <c r="J2424" s="24">
        <v>44922</v>
      </c>
      <c r="K2424" s="23" t="s">
        <v>851</v>
      </c>
    </row>
    <row r="2425" spans="1:11" s="23" customFormat="1" x14ac:dyDescent="0.75">
      <c r="A2425" s="23" t="s">
        <v>69</v>
      </c>
      <c r="B2425" s="24">
        <v>44838</v>
      </c>
      <c r="C2425" s="23">
        <v>3</v>
      </c>
      <c r="D2425" s="23" t="s">
        <v>207</v>
      </c>
      <c r="E2425" s="52">
        <f>36-32</f>
        <v>4</v>
      </c>
      <c r="F2425" s="23" t="s">
        <v>363</v>
      </c>
      <c r="G2425" s="23" t="s">
        <v>789</v>
      </c>
      <c r="I2425" s="23" t="s">
        <v>367</v>
      </c>
      <c r="J2425" s="24">
        <v>44922</v>
      </c>
      <c r="K2425" s="23" t="s">
        <v>851</v>
      </c>
    </row>
    <row r="2426" spans="1:11" s="23" customFormat="1" x14ac:dyDescent="0.75">
      <c r="A2426" s="23" t="s">
        <v>69</v>
      </c>
      <c r="B2426" s="24">
        <v>44838</v>
      </c>
      <c r="C2426" s="23">
        <v>3</v>
      </c>
      <c r="D2426" s="23" t="s">
        <v>207</v>
      </c>
      <c r="E2426" s="52">
        <f>32-28</f>
        <v>4</v>
      </c>
      <c r="F2426" s="23" t="s">
        <v>363</v>
      </c>
      <c r="G2426" s="23" t="s">
        <v>789</v>
      </c>
      <c r="I2426" s="23" t="s">
        <v>367</v>
      </c>
      <c r="J2426" s="24">
        <v>44922</v>
      </c>
      <c r="K2426" s="23" t="s">
        <v>851</v>
      </c>
    </row>
    <row r="2427" spans="1:11" s="23" customFormat="1" x14ac:dyDescent="0.75">
      <c r="A2427" s="23" t="s">
        <v>69</v>
      </c>
      <c r="B2427" s="24">
        <v>44838</v>
      </c>
      <c r="C2427" s="23">
        <v>3</v>
      </c>
      <c r="D2427" s="23" t="s">
        <v>207</v>
      </c>
      <c r="E2427" s="52">
        <f>28-27</f>
        <v>1</v>
      </c>
      <c r="F2427" s="23" t="s">
        <v>363</v>
      </c>
      <c r="G2427" s="23" t="s">
        <v>789</v>
      </c>
      <c r="I2427" s="23" t="s">
        <v>367</v>
      </c>
      <c r="J2427" s="24">
        <v>44922</v>
      </c>
      <c r="K2427" s="23" t="s">
        <v>851</v>
      </c>
    </row>
    <row r="2428" spans="1:11" s="23" customFormat="1" x14ac:dyDescent="0.75">
      <c r="A2428" s="23" t="s">
        <v>69</v>
      </c>
      <c r="B2428" s="24">
        <v>44838</v>
      </c>
      <c r="C2428" s="23">
        <v>3</v>
      </c>
      <c r="D2428" s="23" t="s">
        <v>207</v>
      </c>
      <c r="E2428" s="52">
        <f>27-19</f>
        <v>8</v>
      </c>
      <c r="F2428" s="23" t="s">
        <v>363</v>
      </c>
      <c r="G2428" s="23" t="s">
        <v>789</v>
      </c>
      <c r="I2428" s="23" t="s">
        <v>367</v>
      </c>
      <c r="J2428" s="24">
        <v>44922</v>
      </c>
      <c r="K2428" s="23" t="s">
        <v>851</v>
      </c>
    </row>
    <row r="2429" spans="1:11" x14ac:dyDescent="0.75">
      <c r="A2429" t="s">
        <v>69</v>
      </c>
      <c r="B2429" s="3">
        <v>44839</v>
      </c>
      <c r="C2429">
        <v>1</v>
      </c>
      <c r="D2429" t="s">
        <v>191</v>
      </c>
      <c r="E2429" s="22">
        <f>45-37</f>
        <v>8</v>
      </c>
      <c r="F2429" t="s">
        <v>363</v>
      </c>
      <c r="G2429" t="s">
        <v>361</v>
      </c>
      <c r="I2429" s="63" t="s">
        <v>367</v>
      </c>
      <c r="J2429" s="3">
        <v>44922</v>
      </c>
    </row>
    <row r="2430" spans="1:11" x14ac:dyDescent="0.75">
      <c r="A2430" t="s">
        <v>69</v>
      </c>
      <c r="B2430" s="3">
        <v>44839</v>
      </c>
      <c r="C2430">
        <v>1</v>
      </c>
      <c r="D2430" t="s">
        <v>191</v>
      </c>
      <c r="E2430" s="22">
        <f>37-33</f>
        <v>4</v>
      </c>
      <c r="F2430" t="s">
        <v>363</v>
      </c>
      <c r="G2430" t="s">
        <v>361</v>
      </c>
      <c r="I2430" s="63" t="s">
        <v>367</v>
      </c>
      <c r="J2430" s="3">
        <v>44922</v>
      </c>
    </row>
    <row r="2431" spans="1:11" s="23" customFormat="1" x14ac:dyDescent="0.75">
      <c r="A2431" s="23" t="s">
        <v>69</v>
      </c>
      <c r="B2431" s="24">
        <v>44839</v>
      </c>
      <c r="C2431" s="23">
        <v>2</v>
      </c>
      <c r="D2431" s="23" t="s">
        <v>191</v>
      </c>
      <c r="E2431" s="52">
        <f>18-10</f>
        <v>8</v>
      </c>
      <c r="F2431" s="23" t="s">
        <v>363</v>
      </c>
      <c r="G2431" s="23" t="s">
        <v>374</v>
      </c>
      <c r="I2431" s="23" t="s">
        <v>367</v>
      </c>
      <c r="J2431" s="24">
        <v>44922</v>
      </c>
    </row>
    <row r="2432" spans="1:11" s="23" customFormat="1" x14ac:dyDescent="0.75">
      <c r="A2432" s="23" t="s">
        <v>69</v>
      </c>
      <c r="B2432" s="24">
        <v>44839</v>
      </c>
      <c r="C2432" s="23">
        <v>2</v>
      </c>
      <c r="D2432" s="23" t="s">
        <v>191</v>
      </c>
      <c r="E2432" s="23" t="s">
        <v>363</v>
      </c>
      <c r="F2432" s="23" t="s">
        <v>363</v>
      </c>
      <c r="G2432" s="23" t="s">
        <v>374</v>
      </c>
      <c r="I2432" s="23" t="s">
        <v>367</v>
      </c>
      <c r="J2432" s="24">
        <v>44922</v>
      </c>
      <c r="K2432" s="23" t="s">
        <v>821</v>
      </c>
    </row>
    <row r="2433" spans="1:11" s="23" customFormat="1" x14ac:dyDescent="0.75">
      <c r="A2433" s="23" t="s">
        <v>69</v>
      </c>
      <c r="B2433" s="24">
        <v>44839</v>
      </c>
      <c r="C2433" s="23">
        <v>2</v>
      </c>
      <c r="D2433" s="23" t="s">
        <v>201</v>
      </c>
      <c r="E2433" s="52">
        <f>55-50</f>
        <v>5</v>
      </c>
      <c r="F2433" s="23" t="s">
        <v>363</v>
      </c>
      <c r="G2433" s="23" t="s">
        <v>789</v>
      </c>
      <c r="I2433" s="23" t="s">
        <v>367</v>
      </c>
      <c r="J2433" s="24">
        <v>44922</v>
      </c>
      <c r="K2433" s="23" t="s">
        <v>851</v>
      </c>
    </row>
    <row r="2434" spans="1:11" s="23" customFormat="1" x14ac:dyDescent="0.75">
      <c r="A2434" s="23" t="s">
        <v>69</v>
      </c>
      <c r="B2434" s="24">
        <v>44839</v>
      </c>
      <c r="C2434" s="23">
        <v>2</v>
      </c>
      <c r="D2434" s="23" t="s">
        <v>199</v>
      </c>
      <c r="E2434" s="52">
        <f>50-45</f>
        <v>5</v>
      </c>
      <c r="F2434" s="23" t="s">
        <v>363</v>
      </c>
      <c r="G2434" s="23" t="s">
        <v>789</v>
      </c>
      <c r="I2434" s="23" t="s">
        <v>367</v>
      </c>
      <c r="J2434" s="24">
        <v>44922</v>
      </c>
      <c r="K2434" s="23" t="s">
        <v>851</v>
      </c>
    </row>
    <row r="2435" spans="1:11" s="23" customFormat="1" x14ac:dyDescent="0.75">
      <c r="A2435" s="23" t="s">
        <v>69</v>
      </c>
      <c r="B2435" s="24">
        <v>44839</v>
      </c>
      <c r="C2435" s="23">
        <v>2</v>
      </c>
      <c r="D2435" s="23" t="s">
        <v>197</v>
      </c>
      <c r="E2435" s="52">
        <f>45-33</f>
        <v>12</v>
      </c>
      <c r="F2435" s="23" t="s">
        <v>363</v>
      </c>
      <c r="G2435" s="23" t="s">
        <v>789</v>
      </c>
      <c r="I2435" s="23" t="s">
        <v>367</v>
      </c>
      <c r="J2435" s="24">
        <v>44922</v>
      </c>
      <c r="K2435" s="23" t="s">
        <v>851</v>
      </c>
    </row>
    <row r="2436" spans="1:11" x14ac:dyDescent="0.75">
      <c r="A2436" t="s">
        <v>69</v>
      </c>
      <c r="B2436" s="3">
        <v>44839</v>
      </c>
      <c r="C2436">
        <v>3</v>
      </c>
      <c r="D2436" t="s">
        <v>207</v>
      </c>
      <c r="E2436" s="22">
        <f>17-10</f>
        <v>7</v>
      </c>
      <c r="F2436" t="s">
        <v>363</v>
      </c>
      <c r="G2436" t="s">
        <v>374</v>
      </c>
      <c r="I2436" s="63" t="s">
        <v>367</v>
      </c>
      <c r="J2436" s="3">
        <v>44922</v>
      </c>
    </row>
    <row r="2437" spans="1:11" x14ac:dyDescent="0.75">
      <c r="A2437" t="s">
        <v>69</v>
      </c>
      <c r="B2437" s="3">
        <v>44839</v>
      </c>
      <c r="C2437">
        <v>3</v>
      </c>
      <c r="D2437" t="s">
        <v>207</v>
      </c>
      <c r="E2437" s="22">
        <f>10-8</f>
        <v>2</v>
      </c>
      <c r="F2437" t="s">
        <v>363</v>
      </c>
      <c r="G2437" t="s">
        <v>374</v>
      </c>
      <c r="I2437" s="63" t="s">
        <v>367</v>
      </c>
      <c r="J2437" s="3">
        <v>44922</v>
      </c>
    </row>
    <row r="2438" spans="1:11" x14ac:dyDescent="0.75">
      <c r="A2438" t="s">
        <v>69</v>
      </c>
      <c r="B2438" s="3">
        <v>44839</v>
      </c>
      <c r="C2438">
        <v>3</v>
      </c>
      <c r="D2438" t="s">
        <v>197</v>
      </c>
      <c r="E2438" s="22">
        <f>33-25</f>
        <v>8</v>
      </c>
      <c r="F2438" t="s">
        <v>363</v>
      </c>
      <c r="G2438" t="s">
        <v>374</v>
      </c>
      <c r="I2438" s="63" t="s">
        <v>367</v>
      </c>
      <c r="J2438" s="3">
        <v>44922</v>
      </c>
    </row>
    <row r="2439" spans="1:11" x14ac:dyDescent="0.75">
      <c r="A2439" t="s">
        <v>69</v>
      </c>
      <c r="B2439" s="3">
        <v>44839</v>
      </c>
      <c r="C2439">
        <v>3</v>
      </c>
      <c r="D2439" t="s">
        <v>197</v>
      </c>
      <c r="E2439" s="22">
        <f>25-17</f>
        <v>8</v>
      </c>
      <c r="F2439" t="s">
        <v>363</v>
      </c>
      <c r="G2439" t="s">
        <v>374</v>
      </c>
      <c r="I2439" s="63" t="s">
        <v>367</v>
      </c>
      <c r="J2439" s="3">
        <v>44922</v>
      </c>
    </row>
    <row r="2440" spans="1:11" x14ac:dyDescent="0.75">
      <c r="A2440" t="s">
        <v>69</v>
      </c>
      <c r="B2440" s="3">
        <v>44839</v>
      </c>
      <c r="C2440">
        <v>3</v>
      </c>
      <c r="D2440" t="s">
        <v>191</v>
      </c>
      <c r="E2440" s="22">
        <f>17-0</f>
        <v>17</v>
      </c>
      <c r="F2440" t="s">
        <v>363</v>
      </c>
      <c r="G2440" t="s">
        <v>374</v>
      </c>
      <c r="I2440" s="63" t="s">
        <v>367</v>
      </c>
      <c r="J2440" s="3">
        <v>44922</v>
      </c>
    </row>
    <row r="2441" spans="1:11" x14ac:dyDescent="0.75">
      <c r="A2441" t="s">
        <v>69</v>
      </c>
      <c r="B2441" s="3">
        <v>44839</v>
      </c>
      <c r="C2441">
        <v>3</v>
      </c>
      <c r="D2441" t="s">
        <v>191</v>
      </c>
      <c r="E2441" s="22">
        <f>24-21</f>
        <v>3</v>
      </c>
      <c r="F2441" t="s">
        <v>363</v>
      </c>
      <c r="G2441" t="s">
        <v>374</v>
      </c>
      <c r="I2441" s="63" t="s">
        <v>367</v>
      </c>
      <c r="J2441" s="3">
        <v>44922</v>
      </c>
    </row>
    <row r="2442" spans="1:11" x14ac:dyDescent="0.75">
      <c r="A2442" t="s">
        <v>69</v>
      </c>
      <c r="B2442" s="3">
        <v>44839</v>
      </c>
      <c r="C2442">
        <v>3</v>
      </c>
      <c r="D2442" t="s">
        <v>197</v>
      </c>
      <c r="E2442" s="22">
        <f>21-19</f>
        <v>2</v>
      </c>
      <c r="F2442" t="s">
        <v>363</v>
      </c>
      <c r="G2442" t="s">
        <v>374</v>
      </c>
      <c r="I2442" s="63" t="s">
        <v>367</v>
      </c>
      <c r="J2442" s="3">
        <v>44922</v>
      </c>
    </row>
    <row r="2443" spans="1:11" x14ac:dyDescent="0.75">
      <c r="A2443" t="s">
        <v>69</v>
      </c>
      <c r="B2443" s="3">
        <v>44839</v>
      </c>
      <c r="C2443">
        <v>3</v>
      </c>
      <c r="D2443" t="s">
        <v>194</v>
      </c>
      <c r="E2443" s="22">
        <f>19-5</f>
        <v>14</v>
      </c>
      <c r="F2443" t="s">
        <v>363</v>
      </c>
      <c r="G2443" t="s">
        <v>374</v>
      </c>
      <c r="I2443" s="63" t="s">
        <v>367</v>
      </c>
      <c r="J2443" s="3">
        <v>44922</v>
      </c>
    </row>
    <row r="2444" spans="1:11" x14ac:dyDescent="0.75">
      <c r="A2444" t="s">
        <v>69</v>
      </c>
      <c r="B2444" s="3">
        <v>44839</v>
      </c>
      <c r="C2444">
        <v>3</v>
      </c>
      <c r="D2444" t="s">
        <v>201</v>
      </c>
      <c r="E2444" s="22">
        <f>13-12</f>
        <v>1</v>
      </c>
      <c r="F2444" t="s">
        <v>363</v>
      </c>
      <c r="G2444" t="s">
        <v>789</v>
      </c>
      <c r="I2444" s="64" t="s">
        <v>367</v>
      </c>
      <c r="J2444" s="3">
        <v>44922</v>
      </c>
      <c r="K2444" t="s">
        <v>851</v>
      </c>
    </row>
    <row r="2445" spans="1:11" s="58" customFormat="1" x14ac:dyDescent="0.75">
      <c r="A2445" s="58" t="s">
        <v>69</v>
      </c>
      <c r="B2445" s="59">
        <v>44839</v>
      </c>
      <c r="C2445" s="58">
        <v>4</v>
      </c>
      <c r="D2445" s="58" t="s">
        <v>160</v>
      </c>
      <c r="E2445" s="58" t="s">
        <v>363</v>
      </c>
      <c r="F2445" s="58">
        <v>903</v>
      </c>
      <c r="G2445" s="58" t="s">
        <v>367</v>
      </c>
      <c r="I2445" s="65" t="s">
        <v>367</v>
      </c>
      <c r="J2445" s="24">
        <v>44922</v>
      </c>
      <c r="K2445" s="58" t="s">
        <v>821</v>
      </c>
    </row>
    <row r="2446" spans="1:11" x14ac:dyDescent="0.75">
      <c r="A2446" t="s">
        <v>69</v>
      </c>
      <c r="B2446" s="3">
        <v>44839</v>
      </c>
      <c r="C2446">
        <v>5</v>
      </c>
      <c r="D2446" t="s">
        <v>207</v>
      </c>
      <c r="E2446" s="22">
        <f>20+23-2</f>
        <v>41</v>
      </c>
      <c r="F2446" t="s">
        <v>363</v>
      </c>
      <c r="G2446" t="s">
        <v>374</v>
      </c>
      <c r="I2446" s="63" t="s">
        <v>367</v>
      </c>
      <c r="J2446" s="3">
        <v>44922</v>
      </c>
    </row>
    <row r="2447" spans="1:11" x14ac:dyDescent="0.75">
      <c r="A2447" t="s">
        <v>69</v>
      </c>
      <c r="B2447" s="3">
        <v>44839</v>
      </c>
      <c r="C2447">
        <v>5</v>
      </c>
      <c r="D2447" t="s">
        <v>207</v>
      </c>
      <c r="E2447" s="22">
        <f>55-51</f>
        <v>4</v>
      </c>
      <c r="F2447" t="s">
        <v>363</v>
      </c>
      <c r="G2447" t="s">
        <v>374</v>
      </c>
      <c r="I2447" s="63" t="s">
        <v>367</v>
      </c>
      <c r="J2447" s="3">
        <v>44922</v>
      </c>
    </row>
    <row r="2448" spans="1:11" x14ac:dyDescent="0.75">
      <c r="A2448" t="s">
        <v>69</v>
      </c>
      <c r="B2448" s="3">
        <v>44839</v>
      </c>
      <c r="C2448">
        <v>5</v>
      </c>
      <c r="D2448" t="s">
        <v>199</v>
      </c>
      <c r="E2448" s="22">
        <f>50-40</f>
        <v>10</v>
      </c>
      <c r="F2448" t="s">
        <v>363</v>
      </c>
      <c r="G2448" t="s">
        <v>374</v>
      </c>
      <c r="I2448" s="63" t="s">
        <v>367</v>
      </c>
      <c r="J2448" s="3">
        <v>44922</v>
      </c>
    </row>
    <row r="2449" spans="1:11" x14ac:dyDescent="0.75">
      <c r="A2449" t="s">
        <v>69</v>
      </c>
      <c r="B2449" s="3">
        <v>44839</v>
      </c>
      <c r="C2449">
        <v>5</v>
      </c>
      <c r="D2449" t="s">
        <v>197</v>
      </c>
      <c r="E2449" s="22">
        <f>40-23</f>
        <v>17</v>
      </c>
      <c r="F2449" t="s">
        <v>363</v>
      </c>
      <c r="G2449" t="s">
        <v>374</v>
      </c>
      <c r="I2449" s="63" t="s">
        <v>367</v>
      </c>
      <c r="J2449" s="3">
        <v>44922</v>
      </c>
    </row>
    <row r="2450" spans="1:11" x14ac:dyDescent="0.75">
      <c r="A2450" t="s">
        <v>69</v>
      </c>
      <c r="B2450" s="3">
        <v>44839</v>
      </c>
      <c r="C2450">
        <v>5</v>
      </c>
      <c r="D2450" t="s">
        <v>191</v>
      </c>
      <c r="E2450" s="22">
        <f>23-14</f>
        <v>9</v>
      </c>
      <c r="F2450" t="s">
        <v>363</v>
      </c>
      <c r="G2450" t="s">
        <v>374</v>
      </c>
      <c r="I2450" s="63" t="s">
        <v>367</v>
      </c>
      <c r="J2450" s="3">
        <v>44922</v>
      </c>
    </row>
    <row r="2451" spans="1:11" x14ac:dyDescent="0.75">
      <c r="A2451" t="s">
        <v>69</v>
      </c>
      <c r="B2451" s="3">
        <v>44839</v>
      </c>
      <c r="C2451">
        <v>5</v>
      </c>
      <c r="D2451" t="s">
        <v>207</v>
      </c>
      <c r="E2451" s="22">
        <f>14-12</f>
        <v>2</v>
      </c>
      <c r="F2451" t="s">
        <v>363</v>
      </c>
      <c r="G2451" t="s">
        <v>789</v>
      </c>
      <c r="I2451" s="63" t="s">
        <v>367</v>
      </c>
      <c r="J2451" s="3">
        <v>44922</v>
      </c>
      <c r="K2451" t="s">
        <v>851</v>
      </c>
    </row>
    <row r="2452" spans="1:11" x14ac:dyDescent="0.75">
      <c r="A2452" t="s">
        <v>69</v>
      </c>
      <c r="B2452" s="3">
        <v>44839</v>
      </c>
      <c r="C2452">
        <v>5</v>
      </c>
      <c r="D2452" t="s">
        <v>197</v>
      </c>
      <c r="E2452" s="22">
        <f>12-9</f>
        <v>3</v>
      </c>
      <c r="F2452" t="s">
        <v>363</v>
      </c>
      <c r="G2452" t="s">
        <v>789</v>
      </c>
      <c r="I2452" s="63" t="s">
        <v>367</v>
      </c>
      <c r="J2452" s="3">
        <v>44922</v>
      </c>
      <c r="K2452" t="s">
        <v>851</v>
      </c>
    </row>
    <row r="2453" spans="1:11" s="23" customFormat="1" x14ac:dyDescent="0.75">
      <c r="A2453" s="23" t="s">
        <v>74</v>
      </c>
      <c r="B2453" s="24">
        <v>44839</v>
      </c>
      <c r="C2453" s="23">
        <v>1</v>
      </c>
      <c r="D2453" s="23" t="s">
        <v>176</v>
      </c>
      <c r="E2453" s="52">
        <f>50-28</f>
        <v>22</v>
      </c>
      <c r="G2453" s="23" t="s">
        <v>361</v>
      </c>
      <c r="I2453" s="23" t="s">
        <v>367</v>
      </c>
      <c r="J2453" s="24">
        <v>44922</v>
      </c>
    </row>
    <row r="2454" spans="1:11" s="23" customFormat="1" x14ac:dyDescent="0.75">
      <c r="A2454" s="23" t="s">
        <v>74</v>
      </c>
      <c r="B2454" s="24">
        <v>44839</v>
      </c>
      <c r="C2454" s="23">
        <v>1</v>
      </c>
      <c r="D2454" s="23" t="s">
        <v>168</v>
      </c>
      <c r="E2454" s="52">
        <f>28-16</f>
        <v>12</v>
      </c>
      <c r="G2454" s="23" t="s">
        <v>361</v>
      </c>
      <c r="I2454" s="23" t="s">
        <v>367</v>
      </c>
      <c r="J2454" s="24">
        <v>44922</v>
      </c>
    </row>
    <row r="2455" spans="1:11" s="23" customFormat="1" x14ac:dyDescent="0.75">
      <c r="A2455" s="23" t="s">
        <v>74</v>
      </c>
      <c r="B2455" s="24">
        <v>44839</v>
      </c>
      <c r="C2455" s="23">
        <v>1</v>
      </c>
      <c r="D2455" s="23" t="s">
        <v>160</v>
      </c>
      <c r="E2455" s="52">
        <f>16-12</f>
        <v>4</v>
      </c>
      <c r="G2455" s="23" t="s">
        <v>361</v>
      </c>
      <c r="I2455" s="23" t="s">
        <v>367</v>
      </c>
      <c r="J2455" s="24">
        <v>44922</v>
      </c>
    </row>
    <row r="2456" spans="1:11" s="23" customFormat="1" x14ac:dyDescent="0.75">
      <c r="A2456" s="23" t="s">
        <v>74</v>
      </c>
      <c r="B2456" s="24">
        <v>44839</v>
      </c>
      <c r="C2456" s="23">
        <v>1</v>
      </c>
      <c r="D2456" s="23" t="s">
        <v>176</v>
      </c>
      <c r="E2456" s="52">
        <f>12-5</f>
        <v>7</v>
      </c>
      <c r="G2456" s="23" t="s">
        <v>361</v>
      </c>
      <c r="I2456" s="23" t="s">
        <v>367</v>
      </c>
      <c r="J2456" s="24">
        <v>44922</v>
      </c>
    </row>
    <row r="2457" spans="1:11" s="23" customFormat="1" x14ac:dyDescent="0.75">
      <c r="A2457" s="23" t="s">
        <v>74</v>
      </c>
      <c r="B2457" s="24">
        <v>44839</v>
      </c>
      <c r="C2457" s="23">
        <v>1</v>
      </c>
      <c r="D2457" s="23" t="s">
        <v>176</v>
      </c>
      <c r="E2457" s="52">
        <f>5+33-28</f>
        <v>10</v>
      </c>
      <c r="G2457" s="23" t="s">
        <v>361</v>
      </c>
      <c r="I2457" s="23" t="s">
        <v>367</v>
      </c>
      <c r="J2457" s="24">
        <v>44922</v>
      </c>
    </row>
    <row r="2458" spans="1:11" s="23" customFormat="1" x14ac:dyDescent="0.75">
      <c r="A2458" s="23" t="s">
        <v>74</v>
      </c>
      <c r="B2458" s="24">
        <v>44839</v>
      </c>
      <c r="C2458" s="23">
        <v>1</v>
      </c>
      <c r="D2458" s="23" t="s">
        <v>176</v>
      </c>
      <c r="E2458" s="52">
        <f>9-0</f>
        <v>9</v>
      </c>
      <c r="G2458" s="23" t="s">
        <v>374</v>
      </c>
      <c r="I2458" s="23" t="s">
        <v>367</v>
      </c>
      <c r="J2458" s="24">
        <v>44922</v>
      </c>
    </row>
    <row r="2459" spans="1:11" s="23" customFormat="1" x14ac:dyDescent="0.75">
      <c r="A2459" s="23" t="s">
        <v>74</v>
      </c>
      <c r="B2459" s="24">
        <v>44839</v>
      </c>
      <c r="C2459" s="23">
        <v>1</v>
      </c>
      <c r="D2459" s="23" t="s">
        <v>176</v>
      </c>
      <c r="E2459" s="52">
        <f>54-42</f>
        <v>12</v>
      </c>
      <c r="G2459" s="23" t="s">
        <v>374</v>
      </c>
      <c r="I2459" s="23" t="s">
        <v>367</v>
      </c>
      <c r="J2459" s="24">
        <v>44922</v>
      </c>
    </row>
    <row r="2460" spans="1:11" s="23" customFormat="1" x14ac:dyDescent="0.75">
      <c r="A2460" s="23" t="s">
        <v>74</v>
      </c>
      <c r="B2460" s="24">
        <v>44839</v>
      </c>
      <c r="C2460" s="23">
        <v>1</v>
      </c>
      <c r="D2460" s="23" t="s">
        <v>160</v>
      </c>
      <c r="E2460" s="52">
        <f>42+45+36</f>
        <v>123</v>
      </c>
      <c r="G2460" s="23" t="s">
        <v>374</v>
      </c>
      <c r="I2460" s="23" t="s">
        <v>367</v>
      </c>
      <c r="J2460" s="24">
        <v>44922</v>
      </c>
    </row>
    <row r="2461" spans="1:11" s="23" customFormat="1" x14ac:dyDescent="0.75">
      <c r="A2461" s="23" t="s">
        <v>74</v>
      </c>
      <c r="B2461" s="24">
        <v>44839</v>
      </c>
      <c r="C2461" s="23">
        <v>1</v>
      </c>
      <c r="D2461" s="23" t="s">
        <v>160</v>
      </c>
      <c r="E2461" s="52">
        <f>11-4</f>
        <v>7</v>
      </c>
      <c r="G2461" s="23" t="s">
        <v>367</v>
      </c>
      <c r="I2461" s="23" t="s">
        <v>367</v>
      </c>
      <c r="J2461" s="24">
        <v>44922</v>
      </c>
    </row>
    <row r="2462" spans="1:11" s="23" customFormat="1" x14ac:dyDescent="0.75">
      <c r="A2462" s="23" t="s">
        <v>74</v>
      </c>
      <c r="B2462" s="24">
        <v>44839</v>
      </c>
      <c r="C2462" s="23">
        <v>1</v>
      </c>
      <c r="D2462" s="23" t="s">
        <v>160</v>
      </c>
      <c r="E2462" s="52">
        <f>45-38</f>
        <v>7</v>
      </c>
      <c r="G2462" s="23" t="s">
        <v>367</v>
      </c>
      <c r="I2462" s="23" t="s">
        <v>367</v>
      </c>
      <c r="J2462" s="24">
        <v>44922</v>
      </c>
    </row>
    <row r="2463" spans="1:11" s="23" customFormat="1" x14ac:dyDescent="0.75">
      <c r="A2463" s="23" t="s">
        <v>74</v>
      </c>
      <c r="B2463" s="24">
        <v>44839</v>
      </c>
      <c r="C2463" s="23">
        <v>1</v>
      </c>
      <c r="D2463" s="23" t="s">
        <v>160</v>
      </c>
      <c r="E2463" s="52">
        <f>38-35</f>
        <v>3</v>
      </c>
      <c r="G2463" s="23" t="s">
        <v>367</v>
      </c>
      <c r="I2463" s="23" t="s">
        <v>367</v>
      </c>
      <c r="J2463" s="24">
        <v>44922</v>
      </c>
    </row>
    <row r="2464" spans="1:11" s="23" customFormat="1" x14ac:dyDescent="0.75">
      <c r="A2464" s="23" t="s">
        <v>74</v>
      </c>
      <c r="B2464" s="24">
        <v>44839</v>
      </c>
      <c r="C2464" s="23">
        <v>1</v>
      </c>
      <c r="D2464" s="23" t="s">
        <v>176</v>
      </c>
      <c r="E2464" s="52">
        <f>42-26</f>
        <v>16</v>
      </c>
      <c r="G2464" s="23" t="s">
        <v>789</v>
      </c>
      <c r="I2464" s="23" t="s">
        <v>367</v>
      </c>
      <c r="J2464" s="24">
        <v>44922</v>
      </c>
      <c r="K2464" s="23" t="s">
        <v>851</v>
      </c>
    </row>
    <row r="2465" spans="1:11" s="23" customFormat="1" x14ac:dyDescent="0.75">
      <c r="A2465" s="23" t="s">
        <v>74</v>
      </c>
      <c r="B2465" s="24">
        <v>44839</v>
      </c>
      <c r="C2465" s="23">
        <v>1</v>
      </c>
      <c r="D2465" s="23" t="s">
        <v>176</v>
      </c>
      <c r="E2465" s="52">
        <f>26-22</f>
        <v>4</v>
      </c>
      <c r="G2465" s="23" t="s">
        <v>789</v>
      </c>
      <c r="I2465" s="23" t="s">
        <v>367</v>
      </c>
      <c r="J2465" s="24">
        <v>44922</v>
      </c>
      <c r="K2465" s="23" t="s">
        <v>851</v>
      </c>
    </row>
    <row r="2466" spans="1:11" x14ac:dyDescent="0.75">
      <c r="A2466" t="s">
        <v>60</v>
      </c>
      <c r="B2466" s="3">
        <v>44840</v>
      </c>
      <c r="C2466">
        <v>1</v>
      </c>
      <c r="D2466" t="s">
        <v>191</v>
      </c>
      <c r="E2466" s="22">
        <f>65-50</f>
        <v>15</v>
      </c>
      <c r="F2466" t="s">
        <v>363</v>
      </c>
      <c r="G2466" t="s">
        <v>361</v>
      </c>
      <c r="I2466" s="63" t="s">
        <v>367</v>
      </c>
      <c r="J2466" s="3">
        <v>44922</v>
      </c>
    </row>
    <row r="2467" spans="1:11" x14ac:dyDescent="0.75">
      <c r="A2467" t="s">
        <v>60</v>
      </c>
      <c r="B2467" s="3">
        <v>44840</v>
      </c>
      <c r="C2467">
        <v>1</v>
      </c>
      <c r="D2467" t="s">
        <v>201</v>
      </c>
      <c r="E2467" s="22">
        <f>50-40</f>
        <v>10</v>
      </c>
      <c r="F2467" t="s">
        <v>363</v>
      </c>
      <c r="G2467" t="s">
        <v>367</v>
      </c>
      <c r="I2467" s="63" t="s">
        <v>367</v>
      </c>
      <c r="J2467" s="3">
        <v>44922</v>
      </c>
    </row>
    <row r="2468" spans="1:11" s="23" customFormat="1" x14ac:dyDescent="0.75">
      <c r="A2468" s="23" t="s">
        <v>23</v>
      </c>
      <c r="B2468" s="24">
        <v>44845</v>
      </c>
      <c r="C2468" s="23">
        <v>1</v>
      </c>
      <c r="D2468" s="23" t="s">
        <v>194</v>
      </c>
      <c r="E2468" s="52">
        <f>46-23</f>
        <v>23</v>
      </c>
      <c r="F2468" s="23" t="s">
        <v>363</v>
      </c>
      <c r="G2468" s="23" t="s">
        <v>852</v>
      </c>
      <c r="I2468" s="23" t="s">
        <v>367</v>
      </c>
      <c r="J2468" s="24">
        <v>44922</v>
      </c>
      <c r="K2468" s="23" t="s">
        <v>851</v>
      </c>
    </row>
    <row r="2469" spans="1:11" s="23" customFormat="1" x14ac:dyDescent="0.75">
      <c r="A2469" s="23" t="s">
        <v>23</v>
      </c>
      <c r="B2469" s="24">
        <v>44845</v>
      </c>
      <c r="C2469" s="23">
        <v>1</v>
      </c>
      <c r="D2469" s="23" t="s">
        <v>194</v>
      </c>
      <c r="E2469" s="52">
        <f>63-42</f>
        <v>21</v>
      </c>
      <c r="F2469" s="23" t="s">
        <v>363</v>
      </c>
      <c r="G2469" s="23" t="s">
        <v>852</v>
      </c>
      <c r="I2469" s="23" t="s">
        <v>367</v>
      </c>
      <c r="J2469" s="24">
        <v>44922</v>
      </c>
      <c r="K2469" s="23" t="s">
        <v>851</v>
      </c>
    </row>
    <row r="2470" spans="1:11" s="23" customFormat="1" x14ac:dyDescent="0.75">
      <c r="A2470" s="23" t="s">
        <v>23</v>
      </c>
      <c r="B2470" s="24">
        <v>44845</v>
      </c>
      <c r="C2470" s="23">
        <v>1</v>
      </c>
      <c r="D2470" s="23" t="s">
        <v>194</v>
      </c>
      <c r="E2470" s="52">
        <f>65-61</f>
        <v>4</v>
      </c>
      <c r="F2470" s="23">
        <v>944</v>
      </c>
      <c r="G2470" s="23" t="s">
        <v>361</v>
      </c>
      <c r="I2470" s="23" t="s">
        <v>367</v>
      </c>
      <c r="J2470" s="24">
        <v>44922</v>
      </c>
    </row>
    <row r="2471" spans="1:11" x14ac:dyDescent="0.75">
      <c r="A2471" t="s">
        <v>39</v>
      </c>
      <c r="B2471" s="3">
        <v>44845</v>
      </c>
      <c r="C2471">
        <v>1</v>
      </c>
      <c r="D2471" t="s">
        <v>164</v>
      </c>
      <c r="E2471" s="22">
        <f>61-47</f>
        <v>14</v>
      </c>
      <c r="F2471">
        <v>3535</v>
      </c>
      <c r="G2471" t="s">
        <v>361</v>
      </c>
      <c r="I2471" t="s">
        <v>367</v>
      </c>
      <c r="J2471" s="3">
        <v>44922</v>
      </c>
    </row>
    <row r="2472" spans="1:11" s="23" customFormat="1" x14ac:dyDescent="0.75">
      <c r="A2472" s="23" t="s">
        <v>39</v>
      </c>
      <c r="B2472" s="24">
        <v>44845</v>
      </c>
      <c r="C2472" s="23">
        <v>2</v>
      </c>
      <c r="D2472" s="23" t="s">
        <v>207</v>
      </c>
      <c r="E2472" s="52">
        <f>42-37</f>
        <v>5</v>
      </c>
      <c r="F2472" s="23" t="s">
        <v>363</v>
      </c>
      <c r="G2472" s="23" t="s">
        <v>733</v>
      </c>
      <c r="I2472" s="23" t="s">
        <v>367</v>
      </c>
      <c r="J2472" s="24">
        <v>44922</v>
      </c>
    </row>
    <row r="2473" spans="1:11" s="23" customFormat="1" x14ac:dyDescent="0.75">
      <c r="A2473" s="23" t="s">
        <v>39</v>
      </c>
      <c r="B2473" s="24">
        <v>44845</v>
      </c>
      <c r="C2473" s="23">
        <v>2</v>
      </c>
      <c r="D2473" s="23" t="s">
        <v>172</v>
      </c>
      <c r="E2473" s="52">
        <f>56-48</f>
        <v>8</v>
      </c>
      <c r="F2473" s="23" t="s">
        <v>363</v>
      </c>
      <c r="G2473" s="23" t="s">
        <v>733</v>
      </c>
      <c r="I2473" s="23" t="s">
        <v>367</v>
      </c>
      <c r="J2473" s="24">
        <v>44922</v>
      </c>
    </row>
    <row r="2474" spans="1:11" s="23" customFormat="1" x14ac:dyDescent="0.75">
      <c r="A2474" s="23" t="s">
        <v>39</v>
      </c>
      <c r="B2474" s="24">
        <v>44845</v>
      </c>
      <c r="C2474" s="23">
        <v>2</v>
      </c>
      <c r="D2474" s="23" t="s">
        <v>168</v>
      </c>
      <c r="E2474" s="52">
        <f>24+54-16</f>
        <v>62</v>
      </c>
      <c r="F2474" s="23" t="s">
        <v>363</v>
      </c>
      <c r="G2474" s="23" t="s">
        <v>733</v>
      </c>
      <c r="I2474" s="23" t="s">
        <v>367</v>
      </c>
      <c r="J2474" s="24">
        <v>44922</v>
      </c>
    </row>
    <row r="2475" spans="1:11" s="23" customFormat="1" x14ac:dyDescent="0.75">
      <c r="A2475" s="23" t="s">
        <v>39</v>
      </c>
      <c r="B2475" s="24">
        <v>44845</v>
      </c>
      <c r="C2475" s="23">
        <v>2</v>
      </c>
      <c r="D2475" s="23" t="s">
        <v>168</v>
      </c>
      <c r="E2475" s="52">
        <f>16+57-41</f>
        <v>32</v>
      </c>
      <c r="F2475" s="23" t="s">
        <v>363</v>
      </c>
      <c r="G2475" s="23" t="s">
        <v>733</v>
      </c>
      <c r="I2475" s="23" t="s">
        <v>367</v>
      </c>
      <c r="J2475" s="24">
        <v>44922</v>
      </c>
    </row>
    <row r="2476" spans="1:11" s="23" customFormat="1" x14ac:dyDescent="0.75">
      <c r="A2476" s="23" t="s">
        <v>39</v>
      </c>
      <c r="B2476" s="24">
        <v>44845</v>
      </c>
      <c r="C2476" s="23">
        <v>2</v>
      </c>
      <c r="D2476" s="23" t="s">
        <v>168</v>
      </c>
      <c r="E2476" s="52">
        <f>59-34</f>
        <v>25</v>
      </c>
      <c r="F2476" s="23" t="s">
        <v>363</v>
      </c>
      <c r="G2476" s="23" t="s">
        <v>853</v>
      </c>
      <c r="I2476" s="23" t="s">
        <v>367</v>
      </c>
      <c r="J2476" s="24">
        <v>44922</v>
      </c>
    </row>
    <row r="2477" spans="1:11" s="23" customFormat="1" x14ac:dyDescent="0.75">
      <c r="A2477" s="23" t="s">
        <v>39</v>
      </c>
      <c r="B2477" s="24">
        <v>44845</v>
      </c>
      <c r="C2477" s="23">
        <v>2</v>
      </c>
      <c r="D2477" s="23" t="s">
        <v>168</v>
      </c>
      <c r="E2477" s="52">
        <f>62-46</f>
        <v>16</v>
      </c>
      <c r="F2477" s="23" t="s">
        <v>363</v>
      </c>
      <c r="G2477" s="23" t="s">
        <v>853</v>
      </c>
      <c r="I2477" s="23" t="s">
        <v>367</v>
      </c>
      <c r="J2477" s="24">
        <v>44922</v>
      </c>
    </row>
    <row r="2478" spans="1:11" s="23" customFormat="1" x14ac:dyDescent="0.75">
      <c r="A2478" s="23" t="s">
        <v>39</v>
      </c>
      <c r="B2478" s="24">
        <v>44845</v>
      </c>
      <c r="C2478" s="23">
        <v>2</v>
      </c>
      <c r="D2478" s="23" t="s">
        <v>172</v>
      </c>
      <c r="E2478" s="52">
        <f>34-19</f>
        <v>15</v>
      </c>
      <c r="F2478" s="23" t="s">
        <v>363</v>
      </c>
      <c r="G2478" s="23" t="s">
        <v>853</v>
      </c>
      <c r="I2478" s="23" t="s">
        <v>367</v>
      </c>
      <c r="J2478" s="24">
        <v>44922</v>
      </c>
    </row>
    <row r="2479" spans="1:11" s="23" customFormat="1" x14ac:dyDescent="0.75">
      <c r="A2479" s="23" t="s">
        <v>39</v>
      </c>
      <c r="B2479" s="24">
        <v>44845</v>
      </c>
      <c r="C2479" s="23">
        <v>2</v>
      </c>
      <c r="D2479" s="23" t="s">
        <v>168</v>
      </c>
      <c r="E2479" s="52">
        <f>46-35</f>
        <v>11</v>
      </c>
      <c r="F2479" s="23" t="s">
        <v>363</v>
      </c>
      <c r="G2479" s="23" t="s">
        <v>853</v>
      </c>
      <c r="I2479" s="23" t="s">
        <v>367</v>
      </c>
      <c r="J2479" s="24">
        <v>44922</v>
      </c>
    </row>
    <row r="2480" spans="1:11" s="23" customFormat="1" x14ac:dyDescent="0.75">
      <c r="A2480" s="23" t="s">
        <v>39</v>
      </c>
      <c r="B2480" s="24">
        <v>44845</v>
      </c>
      <c r="C2480" s="23">
        <v>2</v>
      </c>
      <c r="D2480" s="23" t="s">
        <v>172</v>
      </c>
      <c r="E2480" s="52">
        <f>35-27</f>
        <v>8</v>
      </c>
      <c r="F2480" s="23" t="s">
        <v>363</v>
      </c>
      <c r="G2480" s="23" t="s">
        <v>853</v>
      </c>
      <c r="I2480" s="23" t="s">
        <v>367</v>
      </c>
      <c r="J2480" s="24">
        <v>44922</v>
      </c>
    </row>
    <row r="2481" spans="1:11" s="23" customFormat="1" x14ac:dyDescent="0.75">
      <c r="A2481" s="23" t="s">
        <v>39</v>
      </c>
      <c r="B2481" s="24">
        <v>44845</v>
      </c>
      <c r="C2481" s="23">
        <v>2</v>
      </c>
      <c r="D2481" s="23" t="s">
        <v>168</v>
      </c>
      <c r="E2481" s="52">
        <f>19-13</f>
        <v>6</v>
      </c>
      <c r="F2481" s="23" t="s">
        <v>363</v>
      </c>
      <c r="G2481" s="23" t="s">
        <v>853</v>
      </c>
      <c r="I2481" s="23" t="s">
        <v>367</v>
      </c>
      <c r="J2481" s="24">
        <v>44922</v>
      </c>
    </row>
    <row r="2482" spans="1:11" s="23" customFormat="1" x14ac:dyDescent="0.75">
      <c r="A2482" s="23" t="s">
        <v>39</v>
      </c>
      <c r="B2482" s="24">
        <v>44845</v>
      </c>
      <c r="C2482" s="23">
        <v>2</v>
      </c>
      <c r="D2482" s="23" t="s">
        <v>168</v>
      </c>
      <c r="E2482" s="52">
        <f>38-34</f>
        <v>4</v>
      </c>
      <c r="F2482" s="23" t="s">
        <v>363</v>
      </c>
      <c r="G2482" s="23" t="s">
        <v>789</v>
      </c>
      <c r="I2482" s="23" t="s">
        <v>367</v>
      </c>
      <c r="J2482" s="24">
        <v>44922</v>
      </c>
      <c r="K2482" s="23" t="s">
        <v>851</v>
      </c>
    </row>
    <row r="2483" spans="1:11" s="23" customFormat="1" x14ac:dyDescent="0.75">
      <c r="A2483" s="23" t="s">
        <v>39</v>
      </c>
      <c r="B2483" s="24">
        <v>44845</v>
      </c>
      <c r="C2483" s="23">
        <v>2</v>
      </c>
      <c r="D2483" s="23" t="s">
        <v>168</v>
      </c>
      <c r="E2483" s="52">
        <f>34-32</f>
        <v>2</v>
      </c>
      <c r="F2483" s="23" t="s">
        <v>363</v>
      </c>
      <c r="G2483" s="23" t="s">
        <v>789</v>
      </c>
      <c r="I2483" s="23" t="s">
        <v>367</v>
      </c>
      <c r="J2483" s="24">
        <v>44922</v>
      </c>
      <c r="K2483" s="23" t="s">
        <v>851</v>
      </c>
    </row>
    <row r="2484" spans="1:11" s="23" customFormat="1" x14ac:dyDescent="0.75">
      <c r="A2484" s="23" t="s">
        <v>39</v>
      </c>
      <c r="B2484" s="24">
        <v>44845</v>
      </c>
      <c r="C2484" s="23">
        <v>2</v>
      </c>
      <c r="D2484" s="23" t="s">
        <v>168</v>
      </c>
      <c r="E2484" s="52">
        <f>32-27</f>
        <v>5</v>
      </c>
      <c r="F2484" s="23" t="s">
        <v>363</v>
      </c>
      <c r="G2484" s="23" t="s">
        <v>789</v>
      </c>
      <c r="I2484" s="23" t="s">
        <v>367</v>
      </c>
      <c r="J2484" s="24">
        <v>44922</v>
      </c>
      <c r="K2484" s="23" t="s">
        <v>851</v>
      </c>
    </row>
    <row r="2485" spans="1:11" x14ac:dyDescent="0.75">
      <c r="A2485" t="s">
        <v>87</v>
      </c>
      <c r="B2485" s="3">
        <v>44847</v>
      </c>
      <c r="C2485">
        <v>1</v>
      </c>
      <c r="D2485" t="s">
        <v>160</v>
      </c>
      <c r="E2485" s="22">
        <f>48-18+59+40-25</f>
        <v>104</v>
      </c>
      <c r="F2485" t="s">
        <v>363</v>
      </c>
      <c r="G2485" t="s">
        <v>853</v>
      </c>
      <c r="I2485" s="63" t="s">
        <v>367</v>
      </c>
      <c r="J2485" s="3">
        <v>44922</v>
      </c>
      <c r="K2485" t="s">
        <v>854</v>
      </c>
    </row>
    <row r="2486" spans="1:11" s="23" customFormat="1" x14ac:dyDescent="0.75">
      <c r="A2486" s="23" t="s">
        <v>52</v>
      </c>
      <c r="B2486" s="24">
        <v>44847</v>
      </c>
      <c r="C2486" s="23">
        <v>1</v>
      </c>
      <c r="D2486" s="23" t="s">
        <v>168</v>
      </c>
      <c r="E2486" s="52">
        <f>26+18</f>
        <v>44</v>
      </c>
      <c r="F2486" s="23" t="s">
        <v>363</v>
      </c>
      <c r="G2486" s="23" t="s">
        <v>374</v>
      </c>
      <c r="K2486" s="23" t="s">
        <v>854</v>
      </c>
    </row>
    <row r="2487" spans="1:11" x14ac:dyDescent="0.75">
      <c r="A2487" t="s">
        <v>96</v>
      </c>
      <c r="B2487" s="3">
        <v>44853</v>
      </c>
      <c r="C2487">
        <v>1</v>
      </c>
      <c r="D2487" t="s">
        <v>191</v>
      </c>
      <c r="E2487" s="22">
        <f>38-30</f>
        <v>8</v>
      </c>
      <c r="F2487" t="s">
        <v>363</v>
      </c>
      <c r="G2487" t="s">
        <v>361</v>
      </c>
      <c r="I2487" t="s">
        <v>367</v>
      </c>
      <c r="J2487" s="3">
        <v>44922</v>
      </c>
    </row>
    <row r="2488" spans="1:11" x14ac:dyDescent="0.75">
      <c r="A2488" t="s">
        <v>96</v>
      </c>
      <c r="B2488" s="3">
        <v>44853</v>
      </c>
      <c r="C2488">
        <v>1</v>
      </c>
      <c r="D2488" t="s">
        <v>164</v>
      </c>
      <c r="E2488" s="22">
        <f>30-24</f>
        <v>6</v>
      </c>
      <c r="F2488" t="s">
        <v>363</v>
      </c>
      <c r="G2488" t="s">
        <v>361</v>
      </c>
      <c r="I2488" t="s">
        <v>367</v>
      </c>
      <c r="J2488" s="3">
        <v>44922</v>
      </c>
    </row>
    <row r="2489" spans="1:11" x14ac:dyDescent="0.75">
      <c r="A2489" t="s">
        <v>96</v>
      </c>
      <c r="B2489" s="3">
        <v>44853</v>
      </c>
      <c r="C2489">
        <v>1</v>
      </c>
      <c r="D2489" t="s">
        <v>194</v>
      </c>
      <c r="E2489" s="22">
        <f>24-18</f>
        <v>6</v>
      </c>
      <c r="F2489" t="s">
        <v>363</v>
      </c>
      <c r="G2489" t="s">
        <v>361</v>
      </c>
      <c r="I2489" t="s">
        <v>367</v>
      </c>
      <c r="J2489" s="3">
        <v>44922</v>
      </c>
    </row>
    <row r="2490" spans="1:11" x14ac:dyDescent="0.75">
      <c r="A2490" t="s">
        <v>96</v>
      </c>
      <c r="B2490" s="3">
        <v>44853</v>
      </c>
      <c r="C2490">
        <v>1</v>
      </c>
      <c r="D2490" t="s">
        <v>199</v>
      </c>
      <c r="E2490" s="22">
        <f>18-14</f>
        <v>4</v>
      </c>
      <c r="F2490" t="s">
        <v>363</v>
      </c>
      <c r="G2490" t="s">
        <v>361</v>
      </c>
      <c r="I2490" t="s">
        <v>367</v>
      </c>
      <c r="J2490" s="3">
        <v>44922</v>
      </c>
    </row>
    <row r="2491" spans="1:11" x14ac:dyDescent="0.75">
      <c r="A2491" t="s">
        <v>96</v>
      </c>
      <c r="B2491" s="3">
        <v>44853</v>
      </c>
      <c r="C2491">
        <v>1</v>
      </c>
      <c r="D2491" t="s">
        <v>191</v>
      </c>
      <c r="E2491" s="22">
        <f>14-12</f>
        <v>2</v>
      </c>
      <c r="F2491" t="s">
        <v>363</v>
      </c>
      <c r="G2491" t="s">
        <v>361</v>
      </c>
      <c r="I2491" t="s">
        <v>367</v>
      </c>
      <c r="J2491" s="3">
        <v>44922</v>
      </c>
    </row>
    <row r="2492" spans="1:11" x14ac:dyDescent="0.75">
      <c r="A2492" t="s">
        <v>96</v>
      </c>
      <c r="B2492" s="3">
        <v>44853</v>
      </c>
      <c r="C2492">
        <v>1</v>
      </c>
      <c r="D2492" t="s">
        <v>194</v>
      </c>
      <c r="E2492" s="22">
        <f>12-10</f>
        <v>2</v>
      </c>
      <c r="F2492" t="s">
        <v>363</v>
      </c>
      <c r="G2492" t="s">
        <v>361</v>
      </c>
      <c r="I2492" t="s">
        <v>367</v>
      </c>
      <c r="J2492" s="3">
        <v>44922</v>
      </c>
    </row>
    <row r="2493" spans="1:11" x14ac:dyDescent="0.75">
      <c r="A2493" t="s">
        <v>96</v>
      </c>
      <c r="B2493" s="3">
        <v>44853</v>
      </c>
      <c r="C2493">
        <v>1</v>
      </c>
      <c r="D2493" t="s">
        <v>194</v>
      </c>
      <c r="E2493" s="22">
        <f>10</f>
        <v>10</v>
      </c>
      <c r="F2493" t="s">
        <v>363</v>
      </c>
      <c r="G2493" t="s">
        <v>361</v>
      </c>
      <c r="I2493" t="s">
        <v>367</v>
      </c>
      <c r="J2493" s="3">
        <v>44922</v>
      </c>
    </row>
    <row r="2494" spans="1:11" x14ac:dyDescent="0.75">
      <c r="A2494" t="s">
        <v>96</v>
      </c>
      <c r="B2494" s="3">
        <v>44853</v>
      </c>
      <c r="C2494">
        <v>1</v>
      </c>
      <c r="D2494" t="s">
        <v>197</v>
      </c>
      <c r="E2494" s="22">
        <f>48-44</f>
        <v>4</v>
      </c>
      <c r="F2494" t="s">
        <v>363</v>
      </c>
      <c r="G2494" t="s">
        <v>361</v>
      </c>
      <c r="I2494" t="s">
        <v>367</v>
      </c>
      <c r="J2494" s="3">
        <v>44922</v>
      </c>
    </row>
    <row r="2495" spans="1:11" x14ac:dyDescent="0.75">
      <c r="A2495" t="s">
        <v>96</v>
      </c>
      <c r="B2495" s="3">
        <v>44853</v>
      </c>
      <c r="C2495">
        <v>1</v>
      </c>
      <c r="D2495" t="s">
        <v>194</v>
      </c>
      <c r="E2495" s="22">
        <f>44-39</f>
        <v>5</v>
      </c>
      <c r="F2495" t="s">
        <v>363</v>
      </c>
      <c r="G2495" t="s">
        <v>361</v>
      </c>
      <c r="I2495" t="s">
        <v>367</v>
      </c>
      <c r="J2495" s="3">
        <v>44922</v>
      </c>
    </row>
    <row r="2496" spans="1:11" x14ac:dyDescent="0.75">
      <c r="A2496" t="s">
        <v>96</v>
      </c>
      <c r="B2496" s="3">
        <v>44853</v>
      </c>
      <c r="C2496">
        <v>1</v>
      </c>
      <c r="D2496" t="s">
        <v>191</v>
      </c>
      <c r="E2496" s="22">
        <f>39-34</f>
        <v>5</v>
      </c>
      <c r="F2496" t="s">
        <v>363</v>
      </c>
      <c r="G2496" t="s">
        <v>361</v>
      </c>
      <c r="I2496" t="s">
        <v>367</v>
      </c>
      <c r="J2496" s="3">
        <v>44922</v>
      </c>
    </row>
    <row r="2497" spans="1:10" x14ac:dyDescent="0.75">
      <c r="A2497" t="s">
        <v>96</v>
      </c>
      <c r="B2497" s="3">
        <v>44853</v>
      </c>
      <c r="C2497">
        <v>1</v>
      </c>
      <c r="D2497" t="s">
        <v>153</v>
      </c>
      <c r="E2497" s="22">
        <f>34-24</f>
        <v>10</v>
      </c>
      <c r="F2497" t="s">
        <v>363</v>
      </c>
      <c r="G2497" t="s">
        <v>361</v>
      </c>
      <c r="I2497" t="s">
        <v>367</v>
      </c>
      <c r="J2497" s="3">
        <v>44922</v>
      </c>
    </row>
    <row r="2498" spans="1:10" x14ac:dyDescent="0.75">
      <c r="A2498" t="s">
        <v>96</v>
      </c>
      <c r="B2498" s="3">
        <v>44853</v>
      </c>
      <c r="C2498">
        <v>1</v>
      </c>
      <c r="D2498" t="s">
        <v>194</v>
      </c>
      <c r="E2498" s="22">
        <f>24-22</f>
        <v>2</v>
      </c>
      <c r="F2498" t="s">
        <v>363</v>
      </c>
      <c r="G2498" t="s">
        <v>361</v>
      </c>
      <c r="I2498" t="s">
        <v>367</v>
      </c>
      <c r="J2498" s="3">
        <v>44922</v>
      </c>
    </row>
    <row r="2499" spans="1:10" x14ac:dyDescent="0.75">
      <c r="A2499" t="s">
        <v>96</v>
      </c>
      <c r="B2499" s="3">
        <v>44853</v>
      </c>
      <c r="C2499">
        <v>1</v>
      </c>
      <c r="D2499" t="s">
        <v>194</v>
      </c>
      <c r="E2499" s="22">
        <f>22-16</f>
        <v>6</v>
      </c>
      <c r="F2499" t="s">
        <v>363</v>
      </c>
      <c r="G2499" t="s">
        <v>361</v>
      </c>
      <c r="I2499" t="s">
        <v>367</v>
      </c>
      <c r="J2499" s="3">
        <v>44922</v>
      </c>
    </row>
    <row r="2500" spans="1:10" x14ac:dyDescent="0.75">
      <c r="A2500" t="s">
        <v>96</v>
      </c>
      <c r="B2500" s="3">
        <v>44853</v>
      </c>
      <c r="C2500">
        <v>1</v>
      </c>
      <c r="D2500" t="s">
        <v>194</v>
      </c>
      <c r="E2500" s="22">
        <f>16-10</f>
        <v>6</v>
      </c>
      <c r="F2500" t="s">
        <v>363</v>
      </c>
      <c r="G2500" t="s">
        <v>361</v>
      </c>
      <c r="I2500" t="s">
        <v>367</v>
      </c>
      <c r="J2500" s="3">
        <v>44922</v>
      </c>
    </row>
    <row r="2501" spans="1:10" x14ac:dyDescent="0.75">
      <c r="A2501" t="s">
        <v>96</v>
      </c>
      <c r="B2501" s="3">
        <v>44853</v>
      </c>
      <c r="C2501">
        <v>1</v>
      </c>
      <c r="D2501" t="s">
        <v>191</v>
      </c>
      <c r="E2501" s="22">
        <f>10-4</f>
        <v>6</v>
      </c>
      <c r="F2501" t="s">
        <v>363</v>
      </c>
      <c r="G2501" t="s">
        <v>361</v>
      </c>
      <c r="I2501" t="s">
        <v>367</v>
      </c>
      <c r="J2501" s="3">
        <v>44922</v>
      </c>
    </row>
    <row r="2502" spans="1:10" x14ac:dyDescent="0.75">
      <c r="A2502" t="s">
        <v>96</v>
      </c>
      <c r="B2502" s="3">
        <v>44853</v>
      </c>
      <c r="C2502">
        <v>1</v>
      </c>
      <c r="D2502" t="s">
        <v>197</v>
      </c>
      <c r="E2502" s="22">
        <f>4-1</f>
        <v>3</v>
      </c>
      <c r="F2502" t="s">
        <v>363</v>
      </c>
      <c r="G2502" t="s">
        <v>361</v>
      </c>
      <c r="I2502" t="s">
        <v>367</v>
      </c>
      <c r="J2502" s="3">
        <v>44922</v>
      </c>
    </row>
    <row r="2503" spans="1:10" x14ac:dyDescent="0.75">
      <c r="A2503" t="s">
        <v>96</v>
      </c>
      <c r="B2503" s="3">
        <v>44853</v>
      </c>
      <c r="C2503">
        <v>1</v>
      </c>
      <c r="D2503" t="s">
        <v>191</v>
      </c>
      <c r="E2503" s="22">
        <f>38-20</f>
        <v>18</v>
      </c>
      <c r="F2503" t="s">
        <v>363</v>
      </c>
      <c r="G2503" t="s">
        <v>367</v>
      </c>
      <c r="I2503" t="s">
        <v>367</v>
      </c>
      <c r="J2503" s="3">
        <v>44922</v>
      </c>
    </row>
    <row r="2504" spans="1:10" x14ac:dyDescent="0.75">
      <c r="A2504" t="s">
        <v>96</v>
      </c>
      <c r="B2504" s="3">
        <v>44853</v>
      </c>
      <c r="C2504">
        <v>1</v>
      </c>
      <c r="D2504" t="s">
        <v>164</v>
      </c>
      <c r="E2504" s="22">
        <f>20-9</f>
        <v>11</v>
      </c>
      <c r="F2504" t="s">
        <v>363</v>
      </c>
      <c r="G2504" t="s">
        <v>367</v>
      </c>
      <c r="I2504" t="s">
        <v>367</v>
      </c>
      <c r="J2504" s="3">
        <v>44922</v>
      </c>
    </row>
    <row r="2505" spans="1:10" x14ac:dyDescent="0.75">
      <c r="A2505" t="s">
        <v>96</v>
      </c>
      <c r="B2505" s="3">
        <v>44853</v>
      </c>
      <c r="C2505">
        <v>1</v>
      </c>
      <c r="D2505" t="s">
        <v>194</v>
      </c>
      <c r="E2505" s="22">
        <f>9+49-46</f>
        <v>12</v>
      </c>
      <c r="F2505" t="s">
        <v>363</v>
      </c>
      <c r="G2505" t="s">
        <v>367</v>
      </c>
      <c r="I2505" t="s">
        <v>367</v>
      </c>
      <c r="J2505" s="3">
        <v>44922</v>
      </c>
    </row>
    <row r="2506" spans="1:10" x14ac:dyDescent="0.75">
      <c r="A2506" t="s">
        <v>96</v>
      </c>
      <c r="B2506" s="3">
        <v>44853</v>
      </c>
      <c r="C2506">
        <v>1</v>
      </c>
      <c r="D2506" t="s">
        <v>194</v>
      </c>
      <c r="E2506" s="22">
        <f>46-38</f>
        <v>8</v>
      </c>
      <c r="F2506" t="s">
        <v>363</v>
      </c>
      <c r="G2506" t="s">
        <v>367</v>
      </c>
      <c r="I2506" t="s">
        <v>367</v>
      </c>
      <c r="J2506" s="3">
        <v>44922</v>
      </c>
    </row>
    <row r="2507" spans="1:10" x14ac:dyDescent="0.75">
      <c r="A2507" t="s">
        <v>96</v>
      </c>
      <c r="B2507" s="3">
        <v>44853</v>
      </c>
      <c r="C2507">
        <v>1</v>
      </c>
      <c r="D2507" t="s">
        <v>194</v>
      </c>
      <c r="E2507" s="22">
        <f>38-30</f>
        <v>8</v>
      </c>
      <c r="F2507" t="s">
        <v>363</v>
      </c>
      <c r="G2507" t="s">
        <v>367</v>
      </c>
      <c r="I2507" t="s">
        <v>367</v>
      </c>
      <c r="J2507" s="3">
        <v>44922</v>
      </c>
    </row>
    <row r="2508" spans="1:10" x14ac:dyDescent="0.75">
      <c r="A2508" t="s">
        <v>96</v>
      </c>
      <c r="B2508" s="3">
        <v>44853</v>
      </c>
      <c r="C2508">
        <v>1</v>
      </c>
      <c r="D2508" t="s">
        <v>197</v>
      </c>
      <c r="E2508" s="22">
        <f>30-26</f>
        <v>4</v>
      </c>
      <c r="F2508" t="s">
        <v>363</v>
      </c>
      <c r="G2508" t="s">
        <v>367</v>
      </c>
      <c r="I2508" t="s">
        <v>367</v>
      </c>
      <c r="J2508" s="3">
        <v>44922</v>
      </c>
    </row>
    <row r="2509" spans="1:10" x14ac:dyDescent="0.75">
      <c r="A2509" t="s">
        <v>96</v>
      </c>
      <c r="B2509" s="3">
        <v>44853</v>
      </c>
      <c r="C2509">
        <v>1</v>
      </c>
      <c r="D2509" t="s">
        <v>191</v>
      </c>
      <c r="E2509" s="22">
        <f>52-48</f>
        <v>4</v>
      </c>
      <c r="F2509" t="s">
        <v>363</v>
      </c>
      <c r="G2509" t="s">
        <v>374</v>
      </c>
      <c r="I2509" t="s">
        <v>367</v>
      </c>
      <c r="J2509" s="3">
        <v>44922</v>
      </c>
    </row>
    <row r="2510" spans="1:10" x14ac:dyDescent="0.75">
      <c r="A2510" t="s">
        <v>96</v>
      </c>
      <c r="B2510" s="3">
        <v>44853</v>
      </c>
      <c r="C2510">
        <v>1</v>
      </c>
      <c r="D2510" t="s">
        <v>191</v>
      </c>
      <c r="E2510" s="22">
        <f>48-44</f>
        <v>4</v>
      </c>
      <c r="F2510" t="s">
        <v>363</v>
      </c>
      <c r="G2510" t="s">
        <v>374</v>
      </c>
      <c r="I2510" t="s">
        <v>367</v>
      </c>
      <c r="J2510" s="3">
        <v>44922</v>
      </c>
    </row>
    <row r="2511" spans="1:10" x14ac:dyDescent="0.75">
      <c r="A2511" t="s">
        <v>96</v>
      </c>
      <c r="B2511" s="3">
        <v>44853</v>
      </c>
      <c r="C2511">
        <v>1</v>
      </c>
      <c r="D2511" t="s">
        <v>191</v>
      </c>
      <c r="E2511" s="22">
        <f>44-40</f>
        <v>4</v>
      </c>
      <c r="F2511" t="s">
        <v>363</v>
      </c>
      <c r="G2511" t="s">
        <v>374</v>
      </c>
      <c r="I2511" t="s">
        <v>367</v>
      </c>
      <c r="J2511" s="3">
        <v>44922</v>
      </c>
    </row>
    <row r="2512" spans="1:10" x14ac:dyDescent="0.75">
      <c r="A2512" t="s">
        <v>96</v>
      </c>
      <c r="B2512" s="3">
        <v>44853</v>
      </c>
      <c r="C2512">
        <v>1</v>
      </c>
      <c r="D2512" t="s">
        <v>191</v>
      </c>
      <c r="E2512" s="22">
        <f>40-36</f>
        <v>4</v>
      </c>
      <c r="F2512" t="s">
        <v>855</v>
      </c>
      <c r="G2512" t="s">
        <v>374</v>
      </c>
      <c r="I2512" t="s">
        <v>367</v>
      </c>
      <c r="J2512" s="3">
        <v>44922</v>
      </c>
    </row>
    <row r="2513" spans="1:10" x14ac:dyDescent="0.75">
      <c r="A2513" t="s">
        <v>96</v>
      </c>
      <c r="B2513" s="3">
        <v>44853</v>
      </c>
      <c r="C2513">
        <v>1</v>
      </c>
      <c r="D2513" t="s">
        <v>191</v>
      </c>
      <c r="E2513" s="22">
        <f>36-32</f>
        <v>4</v>
      </c>
      <c r="F2513" t="s">
        <v>363</v>
      </c>
      <c r="G2513" t="s">
        <v>374</v>
      </c>
      <c r="I2513" t="s">
        <v>367</v>
      </c>
      <c r="J2513" s="3">
        <v>44922</v>
      </c>
    </row>
    <row r="2514" spans="1:10" x14ac:dyDescent="0.75">
      <c r="A2514" t="s">
        <v>96</v>
      </c>
      <c r="B2514" s="3">
        <v>44853</v>
      </c>
      <c r="C2514">
        <v>1</v>
      </c>
      <c r="D2514" t="s">
        <v>191</v>
      </c>
      <c r="E2514" s="22">
        <f>32-30</f>
        <v>2</v>
      </c>
      <c r="F2514" t="s">
        <v>363</v>
      </c>
      <c r="G2514" t="s">
        <v>374</v>
      </c>
      <c r="I2514" t="s">
        <v>367</v>
      </c>
      <c r="J2514" s="3">
        <v>44922</v>
      </c>
    </row>
    <row r="2515" spans="1:10" x14ac:dyDescent="0.75">
      <c r="A2515" t="s">
        <v>96</v>
      </c>
      <c r="B2515" s="3">
        <v>44853</v>
      </c>
      <c r="C2515">
        <v>1</v>
      </c>
      <c r="D2515" t="s">
        <v>199</v>
      </c>
      <c r="E2515" s="22">
        <f>30-23</f>
        <v>7</v>
      </c>
      <c r="F2515" t="s">
        <v>363</v>
      </c>
      <c r="G2515" t="s">
        <v>374</v>
      </c>
      <c r="I2515" t="s">
        <v>367</v>
      </c>
      <c r="J2515" s="3">
        <v>44922</v>
      </c>
    </row>
    <row r="2516" spans="1:10" x14ac:dyDescent="0.75">
      <c r="A2516" t="s">
        <v>96</v>
      </c>
      <c r="B2516" s="3">
        <v>44853</v>
      </c>
      <c r="C2516">
        <v>1</v>
      </c>
      <c r="D2516" t="s">
        <v>191</v>
      </c>
      <c r="E2516" s="22">
        <f>23-22</f>
        <v>1</v>
      </c>
      <c r="F2516" t="s">
        <v>363</v>
      </c>
      <c r="G2516" t="s">
        <v>374</v>
      </c>
      <c r="I2516" t="s">
        <v>367</v>
      </c>
      <c r="J2516" s="3">
        <v>44922</v>
      </c>
    </row>
    <row r="2517" spans="1:10" x14ac:dyDescent="0.75">
      <c r="A2517" t="s">
        <v>96</v>
      </c>
      <c r="B2517" s="3">
        <v>44853</v>
      </c>
      <c r="C2517">
        <v>1</v>
      </c>
      <c r="D2517" t="s">
        <v>194</v>
      </c>
      <c r="E2517" s="22">
        <f>22-16</f>
        <v>6</v>
      </c>
      <c r="F2517" t="s">
        <v>363</v>
      </c>
      <c r="G2517" t="s">
        <v>374</v>
      </c>
      <c r="I2517" t="s">
        <v>367</v>
      </c>
      <c r="J2517" s="3">
        <v>44922</v>
      </c>
    </row>
    <row r="2518" spans="1:10" x14ac:dyDescent="0.75">
      <c r="A2518" t="s">
        <v>96</v>
      </c>
      <c r="B2518" s="3">
        <v>44853</v>
      </c>
      <c r="C2518">
        <v>1</v>
      </c>
      <c r="D2518" t="s">
        <v>194</v>
      </c>
      <c r="E2518" s="22">
        <f>1</f>
        <v>1</v>
      </c>
      <c r="F2518" t="s">
        <v>363</v>
      </c>
      <c r="G2518" t="s">
        <v>374</v>
      </c>
      <c r="I2518" t="s">
        <v>367</v>
      </c>
      <c r="J2518" s="3">
        <v>44922</v>
      </c>
    </row>
    <row r="2519" spans="1:10" x14ac:dyDescent="0.75">
      <c r="A2519" t="s">
        <v>96</v>
      </c>
      <c r="B2519" s="3">
        <v>44853</v>
      </c>
      <c r="C2519">
        <v>1</v>
      </c>
      <c r="D2519" t="s">
        <v>194</v>
      </c>
      <c r="E2519" s="22">
        <f>16-15</f>
        <v>1</v>
      </c>
      <c r="F2519" t="s">
        <v>363</v>
      </c>
      <c r="G2519" t="s">
        <v>374</v>
      </c>
      <c r="I2519" t="s">
        <v>367</v>
      </c>
      <c r="J2519" s="3">
        <v>44922</v>
      </c>
    </row>
    <row r="2520" spans="1:10" x14ac:dyDescent="0.75">
      <c r="A2520" t="s">
        <v>96</v>
      </c>
      <c r="B2520" s="3">
        <v>44853</v>
      </c>
      <c r="C2520">
        <v>1</v>
      </c>
      <c r="D2520" t="s">
        <v>191</v>
      </c>
      <c r="E2520" s="22">
        <f>15-12</f>
        <v>3</v>
      </c>
      <c r="F2520" t="s">
        <v>363</v>
      </c>
      <c r="G2520" t="s">
        <v>374</v>
      </c>
      <c r="I2520" t="s">
        <v>367</v>
      </c>
      <c r="J2520" s="3">
        <v>44922</v>
      </c>
    </row>
    <row r="2521" spans="1:10" x14ac:dyDescent="0.75">
      <c r="A2521" t="s">
        <v>96</v>
      </c>
      <c r="B2521" s="3">
        <v>44853</v>
      </c>
      <c r="C2521">
        <v>1</v>
      </c>
      <c r="D2521" t="s">
        <v>194</v>
      </c>
      <c r="E2521" s="22">
        <f>12</f>
        <v>12</v>
      </c>
      <c r="F2521" t="s">
        <v>363</v>
      </c>
      <c r="G2521" t="s">
        <v>374</v>
      </c>
      <c r="I2521" t="s">
        <v>367</v>
      </c>
      <c r="J2521" s="3">
        <v>44922</v>
      </c>
    </row>
    <row r="2522" spans="1:10" x14ac:dyDescent="0.75">
      <c r="A2522" t="s">
        <v>96</v>
      </c>
      <c r="B2522" s="3">
        <v>44853</v>
      </c>
      <c r="C2522">
        <v>1</v>
      </c>
      <c r="D2522" t="s">
        <v>215</v>
      </c>
      <c r="E2522" s="22">
        <f>56-50</f>
        <v>6</v>
      </c>
      <c r="F2522" t="s">
        <v>363</v>
      </c>
      <c r="G2522" t="s">
        <v>374</v>
      </c>
      <c r="I2522" t="s">
        <v>367</v>
      </c>
      <c r="J2522" s="3">
        <v>44922</v>
      </c>
    </row>
    <row r="2523" spans="1:10" x14ac:dyDescent="0.75">
      <c r="A2523" t="s">
        <v>96</v>
      </c>
      <c r="B2523" s="3">
        <v>44853</v>
      </c>
      <c r="C2523">
        <v>1</v>
      </c>
      <c r="D2523" t="s">
        <v>194</v>
      </c>
      <c r="E2523" s="22">
        <f>50-42</f>
        <v>8</v>
      </c>
      <c r="F2523" t="s">
        <v>363</v>
      </c>
      <c r="G2523" t="s">
        <v>374</v>
      </c>
      <c r="I2523" t="s">
        <v>367</v>
      </c>
      <c r="J2523" s="3">
        <v>44922</v>
      </c>
    </row>
    <row r="2524" spans="1:10" x14ac:dyDescent="0.75">
      <c r="A2524" t="s">
        <v>96</v>
      </c>
      <c r="B2524" s="3">
        <v>44853</v>
      </c>
      <c r="C2524">
        <v>1</v>
      </c>
      <c r="D2524" t="s">
        <v>194</v>
      </c>
      <c r="E2524" s="22">
        <f>42-37</f>
        <v>5</v>
      </c>
      <c r="F2524" t="s">
        <v>363</v>
      </c>
      <c r="G2524" t="s">
        <v>374</v>
      </c>
      <c r="I2524" t="s">
        <v>367</v>
      </c>
      <c r="J2524" s="3">
        <v>44922</v>
      </c>
    </row>
    <row r="2525" spans="1:10" x14ac:dyDescent="0.75">
      <c r="A2525" t="s">
        <v>96</v>
      </c>
      <c r="B2525" s="3">
        <v>44853</v>
      </c>
      <c r="C2525">
        <v>1</v>
      </c>
      <c r="D2525" t="s">
        <v>197</v>
      </c>
      <c r="E2525" s="22">
        <f>37-32</f>
        <v>5</v>
      </c>
      <c r="F2525" t="s">
        <v>363</v>
      </c>
      <c r="G2525" t="s">
        <v>374</v>
      </c>
      <c r="I2525" t="s">
        <v>367</v>
      </c>
      <c r="J2525" s="3">
        <v>44922</v>
      </c>
    </row>
    <row r="2526" spans="1:10" x14ac:dyDescent="0.75">
      <c r="A2526" t="s">
        <v>96</v>
      </c>
      <c r="B2526" s="3">
        <v>44853</v>
      </c>
      <c r="C2526">
        <v>1</v>
      </c>
      <c r="D2526" t="s">
        <v>194</v>
      </c>
      <c r="E2526" s="22">
        <f>32-27</f>
        <v>5</v>
      </c>
      <c r="F2526" t="s">
        <v>363</v>
      </c>
      <c r="G2526" t="s">
        <v>374</v>
      </c>
      <c r="I2526" t="s">
        <v>367</v>
      </c>
      <c r="J2526" s="3">
        <v>44922</v>
      </c>
    </row>
    <row r="2527" spans="1:10" x14ac:dyDescent="0.75">
      <c r="A2527" t="s">
        <v>96</v>
      </c>
      <c r="B2527" s="3">
        <v>44853</v>
      </c>
      <c r="C2527">
        <v>1</v>
      </c>
      <c r="D2527" t="s">
        <v>194</v>
      </c>
      <c r="E2527" s="22">
        <f>27-24</f>
        <v>3</v>
      </c>
      <c r="F2527" t="s">
        <v>363</v>
      </c>
      <c r="G2527" t="s">
        <v>374</v>
      </c>
      <c r="I2527" t="s">
        <v>367</v>
      </c>
      <c r="J2527" s="3">
        <v>44922</v>
      </c>
    </row>
    <row r="2528" spans="1:10" x14ac:dyDescent="0.75">
      <c r="A2528" t="s">
        <v>96</v>
      </c>
      <c r="B2528" s="3">
        <v>44853</v>
      </c>
      <c r="C2528">
        <v>1</v>
      </c>
      <c r="D2528" t="s">
        <v>194</v>
      </c>
      <c r="E2528" s="22">
        <f>24-22</f>
        <v>2</v>
      </c>
      <c r="F2528" t="s">
        <v>363</v>
      </c>
      <c r="G2528" t="s">
        <v>374</v>
      </c>
      <c r="I2528" t="s">
        <v>367</v>
      </c>
      <c r="J2528" s="3">
        <v>44922</v>
      </c>
    </row>
    <row r="2529" spans="1:10" x14ac:dyDescent="0.75">
      <c r="A2529" t="s">
        <v>96</v>
      </c>
      <c r="B2529" s="3">
        <v>44853</v>
      </c>
      <c r="C2529">
        <v>1</v>
      </c>
      <c r="D2529" t="s">
        <v>199</v>
      </c>
      <c r="E2529" s="22">
        <f>22-18</f>
        <v>4</v>
      </c>
      <c r="F2529" t="s">
        <v>363</v>
      </c>
      <c r="G2529" t="s">
        <v>374</v>
      </c>
      <c r="I2529" t="s">
        <v>367</v>
      </c>
      <c r="J2529" s="3">
        <v>44922</v>
      </c>
    </row>
    <row r="2530" spans="1:10" x14ac:dyDescent="0.75">
      <c r="A2530" t="s">
        <v>96</v>
      </c>
      <c r="B2530" s="3">
        <v>44853</v>
      </c>
      <c r="C2530">
        <v>1</v>
      </c>
      <c r="D2530" t="s">
        <v>191</v>
      </c>
      <c r="E2530" s="22">
        <f>18-16</f>
        <v>2</v>
      </c>
      <c r="F2530" t="s">
        <v>363</v>
      </c>
      <c r="G2530" t="s">
        <v>374</v>
      </c>
      <c r="I2530" t="s">
        <v>367</v>
      </c>
      <c r="J2530" s="3">
        <v>44922</v>
      </c>
    </row>
    <row r="2531" spans="1:10" x14ac:dyDescent="0.75">
      <c r="A2531" t="s">
        <v>96</v>
      </c>
      <c r="B2531" s="3">
        <v>44853</v>
      </c>
      <c r="C2531">
        <v>1</v>
      </c>
      <c r="D2531" t="s">
        <v>194</v>
      </c>
      <c r="E2531" s="22">
        <f>1</f>
        <v>1</v>
      </c>
      <c r="F2531" t="s">
        <v>363</v>
      </c>
      <c r="G2531" t="s">
        <v>374</v>
      </c>
      <c r="I2531" t="s">
        <v>367</v>
      </c>
      <c r="J2531" s="3">
        <v>44922</v>
      </c>
    </row>
    <row r="2532" spans="1:10" x14ac:dyDescent="0.75">
      <c r="A2532" t="s">
        <v>96</v>
      </c>
      <c r="B2532" s="3">
        <v>44853</v>
      </c>
      <c r="C2532">
        <v>1</v>
      </c>
      <c r="D2532" t="s">
        <v>199</v>
      </c>
      <c r="E2532" s="22">
        <f>1</f>
        <v>1</v>
      </c>
      <c r="F2532" t="s">
        <v>363</v>
      </c>
      <c r="G2532" t="s">
        <v>374</v>
      </c>
      <c r="I2532" t="s">
        <v>367</v>
      </c>
      <c r="J2532" s="3">
        <v>44922</v>
      </c>
    </row>
    <row r="2533" spans="1:10" x14ac:dyDescent="0.75">
      <c r="A2533" t="s">
        <v>96</v>
      </c>
      <c r="B2533" s="3">
        <v>44853</v>
      </c>
      <c r="C2533">
        <v>1</v>
      </c>
      <c r="D2533" t="s">
        <v>191</v>
      </c>
      <c r="E2533" s="22">
        <f>15-12</f>
        <v>3</v>
      </c>
      <c r="F2533" t="s">
        <v>363</v>
      </c>
      <c r="G2533" t="s">
        <v>374</v>
      </c>
      <c r="I2533" t="s">
        <v>367</v>
      </c>
      <c r="J2533" s="3">
        <v>44922</v>
      </c>
    </row>
    <row r="2534" spans="1:10" x14ac:dyDescent="0.75">
      <c r="A2534" t="s">
        <v>96</v>
      </c>
      <c r="B2534" s="3">
        <v>44853</v>
      </c>
      <c r="C2534">
        <v>1</v>
      </c>
      <c r="D2534" t="s">
        <v>194</v>
      </c>
      <c r="E2534" s="22">
        <f>12</f>
        <v>12</v>
      </c>
      <c r="F2534" t="s">
        <v>363</v>
      </c>
      <c r="G2534" t="s">
        <v>374</v>
      </c>
      <c r="I2534" t="s">
        <v>367</v>
      </c>
      <c r="J2534" s="3">
        <v>44922</v>
      </c>
    </row>
    <row r="2535" spans="1:10" x14ac:dyDescent="0.75">
      <c r="A2535" t="s">
        <v>96</v>
      </c>
      <c r="B2535" s="3">
        <v>44853</v>
      </c>
      <c r="C2535">
        <v>1</v>
      </c>
      <c r="D2535" t="s">
        <v>191</v>
      </c>
      <c r="E2535" s="22">
        <f>49-45</f>
        <v>4</v>
      </c>
      <c r="F2535" t="s">
        <v>363</v>
      </c>
      <c r="G2535" t="s">
        <v>374</v>
      </c>
      <c r="I2535" t="s">
        <v>367</v>
      </c>
      <c r="J2535" s="3">
        <v>44922</v>
      </c>
    </row>
    <row r="2536" spans="1:10" x14ac:dyDescent="0.75">
      <c r="A2536" t="s">
        <v>96</v>
      </c>
      <c r="B2536" s="3">
        <v>44853</v>
      </c>
      <c r="C2536">
        <v>1</v>
      </c>
      <c r="D2536" t="s">
        <v>197</v>
      </c>
      <c r="E2536" s="22">
        <f>45-40</f>
        <v>5</v>
      </c>
      <c r="F2536" t="s">
        <v>363</v>
      </c>
      <c r="G2536" t="s">
        <v>374</v>
      </c>
      <c r="I2536" t="s">
        <v>367</v>
      </c>
      <c r="J2536" s="3">
        <v>44922</v>
      </c>
    </row>
    <row r="2537" spans="1:10" x14ac:dyDescent="0.75">
      <c r="A2537" t="s">
        <v>96</v>
      </c>
      <c r="B2537" s="3">
        <v>44853</v>
      </c>
      <c r="C2537">
        <v>1</v>
      </c>
      <c r="D2537" t="s">
        <v>194</v>
      </c>
      <c r="E2537" s="22">
        <f>40-37</f>
        <v>3</v>
      </c>
      <c r="F2537" t="s">
        <v>363</v>
      </c>
      <c r="G2537" t="s">
        <v>374</v>
      </c>
      <c r="I2537" t="s">
        <v>367</v>
      </c>
      <c r="J2537" s="3">
        <v>44922</v>
      </c>
    </row>
    <row r="2538" spans="1:10" x14ac:dyDescent="0.75">
      <c r="A2538" t="s">
        <v>96</v>
      </c>
      <c r="B2538" s="3">
        <v>44853</v>
      </c>
      <c r="C2538">
        <v>1</v>
      </c>
      <c r="D2538" t="s">
        <v>194</v>
      </c>
      <c r="E2538" s="22">
        <f>37-34</f>
        <v>3</v>
      </c>
      <c r="F2538" t="s">
        <v>363</v>
      </c>
      <c r="G2538" t="s">
        <v>374</v>
      </c>
      <c r="I2538" t="s">
        <v>367</v>
      </c>
      <c r="J2538" s="3">
        <v>44922</v>
      </c>
    </row>
    <row r="2539" spans="1:10" x14ac:dyDescent="0.75">
      <c r="A2539" t="s">
        <v>96</v>
      </c>
      <c r="B2539" s="3">
        <v>44853</v>
      </c>
      <c r="C2539">
        <v>1</v>
      </c>
      <c r="D2539" t="s">
        <v>191</v>
      </c>
      <c r="E2539" s="22">
        <f>34-32</f>
        <v>2</v>
      </c>
      <c r="F2539" t="s">
        <v>363</v>
      </c>
      <c r="G2539" t="s">
        <v>374</v>
      </c>
      <c r="I2539" t="s">
        <v>367</v>
      </c>
      <c r="J2539" s="3">
        <v>44922</v>
      </c>
    </row>
    <row r="2540" spans="1:10" s="23" customFormat="1" x14ac:dyDescent="0.75">
      <c r="A2540" s="23" t="s">
        <v>96</v>
      </c>
      <c r="B2540" s="24">
        <v>44853</v>
      </c>
      <c r="C2540" s="23">
        <v>2</v>
      </c>
      <c r="D2540" s="23" t="s">
        <v>197</v>
      </c>
      <c r="E2540" s="52">
        <f>45-34</f>
        <v>11</v>
      </c>
      <c r="F2540" s="23" t="s">
        <v>363</v>
      </c>
      <c r="G2540" s="23" t="s">
        <v>361</v>
      </c>
      <c r="I2540" s="23" t="s">
        <v>367</v>
      </c>
      <c r="J2540" s="24">
        <v>44922</v>
      </c>
    </row>
    <row r="2541" spans="1:10" s="23" customFormat="1" x14ac:dyDescent="0.75">
      <c r="A2541" s="23" t="s">
        <v>96</v>
      </c>
      <c r="B2541" s="24">
        <v>44853</v>
      </c>
      <c r="C2541" s="23">
        <v>2</v>
      </c>
      <c r="D2541" s="23" t="s">
        <v>194</v>
      </c>
      <c r="E2541" s="52">
        <f>34-22</f>
        <v>12</v>
      </c>
      <c r="F2541" s="23" t="s">
        <v>363</v>
      </c>
      <c r="G2541" s="23" t="s">
        <v>361</v>
      </c>
      <c r="I2541" s="23" t="s">
        <v>367</v>
      </c>
      <c r="J2541" s="24">
        <v>44922</v>
      </c>
    </row>
    <row r="2542" spans="1:10" s="23" customFormat="1" x14ac:dyDescent="0.75">
      <c r="A2542" s="23" t="s">
        <v>96</v>
      </c>
      <c r="B2542" s="24">
        <v>44853</v>
      </c>
      <c r="C2542" s="23">
        <v>2</v>
      </c>
      <c r="D2542" s="23" t="s">
        <v>194</v>
      </c>
      <c r="E2542" s="52">
        <f>22-19</f>
        <v>3</v>
      </c>
      <c r="F2542" s="23" t="s">
        <v>363</v>
      </c>
      <c r="G2542" s="23" t="s">
        <v>361</v>
      </c>
      <c r="I2542" s="23" t="s">
        <v>367</v>
      </c>
      <c r="J2542" s="24">
        <v>44922</v>
      </c>
    </row>
    <row r="2543" spans="1:10" s="23" customFormat="1" x14ac:dyDescent="0.75">
      <c r="A2543" s="23" t="s">
        <v>96</v>
      </c>
      <c r="B2543" s="24">
        <v>44853</v>
      </c>
      <c r="C2543" s="23">
        <v>2</v>
      </c>
      <c r="D2543" s="23" t="s">
        <v>194</v>
      </c>
      <c r="E2543" s="52">
        <f>19-8</f>
        <v>11</v>
      </c>
      <c r="F2543" s="23" t="s">
        <v>363</v>
      </c>
      <c r="G2543" s="23" t="s">
        <v>361</v>
      </c>
      <c r="I2543" s="23" t="s">
        <v>367</v>
      </c>
      <c r="J2543" s="24">
        <v>44922</v>
      </c>
    </row>
    <row r="2544" spans="1:10" s="23" customFormat="1" x14ac:dyDescent="0.75">
      <c r="A2544" s="23" t="s">
        <v>96</v>
      </c>
      <c r="B2544" s="24">
        <v>44853</v>
      </c>
      <c r="C2544" s="23">
        <v>2</v>
      </c>
      <c r="D2544" s="23" t="s">
        <v>194</v>
      </c>
      <c r="E2544" s="52">
        <f>8-6</f>
        <v>2</v>
      </c>
      <c r="F2544" s="23" t="s">
        <v>363</v>
      </c>
      <c r="G2544" s="23" t="s">
        <v>361</v>
      </c>
      <c r="I2544" s="23" t="s">
        <v>367</v>
      </c>
      <c r="J2544" s="24">
        <v>44922</v>
      </c>
    </row>
    <row r="2545" spans="1:10" s="23" customFormat="1" x14ac:dyDescent="0.75">
      <c r="A2545" s="23" t="s">
        <v>96</v>
      </c>
      <c r="B2545" s="24">
        <v>44853</v>
      </c>
      <c r="C2545" s="23">
        <v>2</v>
      </c>
      <c r="D2545" s="23" t="s">
        <v>197</v>
      </c>
      <c r="E2545" s="52">
        <f>6+44-40</f>
        <v>10</v>
      </c>
      <c r="F2545" s="23" t="s">
        <v>363</v>
      </c>
      <c r="G2545" s="23" t="s">
        <v>361</v>
      </c>
      <c r="I2545" s="23" t="s">
        <v>367</v>
      </c>
      <c r="J2545" s="24">
        <v>44922</v>
      </c>
    </row>
    <row r="2546" spans="1:10" s="23" customFormat="1" x14ac:dyDescent="0.75">
      <c r="A2546" s="23" t="s">
        <v>96</v>
      </c>
      <c r="B2546" s="24">
        <v>44853</v>
      </c>
      <c r="C2546" s="23">
        <v>2</v>
      </c>
      <c r="D2546" s="23" t="s">
        <v>194</v>
      </c>
      <c r="E2546" s="52">
        <f>40-28</f>
        <v>12</v>
      </c>
      <c r="F2546" s="23" t="s">
        <v>363</v>
      </c>
      <c r="G2546" s="23" t="s">
        <v>361</v>
      </c>
      <c r="I2546" s="23" t="s">
        <v>367</v>
      </c>
      <c r="J2546" s="24">
        <v>44922</v>
      </c>
    </row>
    <row r="2547" spans="1:10" s="23" customFormat="1" x14ac:dyDescent="0.75">
      <c r="A2547" s="23" t="s">
        <v>96</v>
      </c>
      <c r="B2547" s="24">
        <v>44853</v>
      </c>
      <c r="C2547" s="23">
        <v>2</v>
      </c>
      <c r="D2547" s="23" t="s">
        <v>191</v>
      </c>
      <c r="E2547" s="52">
        <f>28-22</f>
        <v>6</v>
      </c>
      <c r="F2547" s="23" t="s">
        <v>363</v>
      </c>
      <c r="G2547" s="23" t="s">
        <v>361</v>
      </c>
      <c r="I2547" s="23" t="s">
        <v>367</v>
      </c>
      <c r="J2547" s="24">
        <v>44922</v>
      </c>
    </row>
    <row r="2548" spans="1:10" s="23" customFormat="1" x14ac:dyDescent="0.75">
      <c r="A2548" s="23" t="s">
        <v>96</v>
      </c>
      <c r="B2548" s="24">
        <v>44853</v>
      </c>
      <c r="C2548" s="23">
        <v>2</v>
      </c>
      <c r="D2548" s="23" t="s">
        <v>197</v>
      </c>
      <c r="E2548" s="52">
        <f>22-11</f>
        <v>11</v>
      </c>
      <c r="F2548" s="23" t="s">
        <v>363</v>
      </c>
      <c r="G2548" s="23" t="s">
        <v>361</v>
      </c>
      <c r="I2548" s="23" t="s">
        <v>367</v>
      </c>
      <c r="J2548" s="24">
        <v>44922</v>
      </c>
    </row>
    <row r="2549" spans="1:10" s="23" customFormat="1" x14ac:dyDescent="0.75">
      <c r="A2549" s="23" t="s">
        <v>96</v>
      </c>
      <c r="B2549" s="24">
        <v>44853</v>
      </c>
      <c r="C2549" s="23">
        <v>2</v>
      </c>
      <c r="D2549" s="23" t="s">
        <v>194</v>
      </c>
      <c r="E2549" s="52">
        <f>50-36</f>
        <v>14</v>
      </c>
      <c r="F2549" s="23" t="s">
        <v>363</v>
      </c>
      <c r="G2549" s="23" t="s">
        <v>367</v>
      </c>
      <c r="I2549" s="23" t="s">
        <v>367</v>
      </c>
      <c r="J2549" s="24">
        <v>44922</v>
      </c>
    </row>
    <row r="2550" spans="1:10" s="23" customFormat="1" x14ac:dyDescent="0.75">
      <c r="A2550" s="23" t="s">
        <v>96</v>
      </c>
      <c r="B2550" s="24">
        <v>44853</v>
      </c>
      <c r="C2550" s="23">
        <v>2</v>
      </c>
      <c r="D2550" s="23" t="s">
        <v>194</v>
      </c>
      <c r="E2550" s="52">
        <f>36-28</f>
        <v>8</v>
      </c>
      <c r="F2550" s="23" t="s">
        <v>363</v>
      </c>
      <c r="G2550" s="23" t="s">
        <v>367</v>
      </c>
      <c r="I2550" s="23" t="s">
        <v>367</v>
      </c>
      <c r="J2550" s="24">
        <v>44922</v>
      </c>
    </row>
    <row r="2551" spans="1:10" s="23" customFormat="1" x14ac:dyDescent="0.75">
      <c r="A2551" s="23" t="s">
        <v>96</v>
      </c>
      <c r="B2551" s="24">
        <v>44853</v>
      </c>
      <c r="C2551" s="23">
        <v>2</v>
      </c>
      <c r="D2551" s="23" t="s">
        <v>194</v>
      </c>
      <c r="E2551" s="52">
        <f>28-21</f>
        <v>7</v>
      </c>
      <c r="F2551" s="23" t="s">
        <v>363</v>
      </c>
      <c r="G2551" s="23" t="s">
        <v>367</v>
      </c>
      <c r="I2551" s="23" t="s">
        <v>367</v>
      </c>
      <c r="J2551" s="24">
        <v>44922</v>
      </c>
    </row>
    <row r="2552" spans="1:10" s="23" customFormat="1" x14ac:dyDescent="0.75">
      <c r="A2552" s="23" t="s">
        <v>96</v>
      </c>
      <c r="B2552" s="24">
        <v>44853</v>
      </c>
      <c r="C2552" s="23">
        <v>2</v>
      </c>
      <c r="D2552" s="23" t="s">
        <v>194</v>
      </c>
      <c r="E2552" s="52">
        <f>21-5</f>
        <v>16</v>
      </c>
      <c r="F2552" s="23" t="s">
        <v>363</v>
      </c>
      <c r="G2552" s="23" t="s">
        <v>367</v>
      </c>
      <c r="I2552" s="23" t="s">
        <v>367</v>
      </c>
      <c r="J2552" s="24">
        <v>44922</v>
      </c>
    </row>
    <row r="2553" spans="1:10" s="23" customFormat="1" x14ac:dyDescent="0.75">
      <c r="A2553" s="23" t="s">
        <v>96</v>
      </c>
      <c r="B2553" s="24">
        <v>44853</v>
      </c>
      <c r="C2553" s="23">
        <v>2</v>
      </c>
      <c r="D2553" s="23" t="s">
        <v>205</v>
      </c>
      <c r="E2553" s="52">
        <f>5-0</f>
        <v>5</v>
      </c>
      <c r="F2553" s="23" t="s">
        <v>363</v>
      </c>
      <c r="G2553" s="23" t="s">
        <v>367</v>
      </c>
      <c r="I2553" s="23" t="s">
        <v>367</v>
      </c>
      <c r="J2553" s="24">
        <v>44922</v>
      </c>
    </row>
    <row r="2554" spans="1:10" s="23" customFormat="1" x14ac:dyDescent="0.75">
      <c r="A2554" s="23" t="s">
        <v>96</v>
      </c>
      <c r="B2554" s="24">
        <v>44853</v>
      </c>
      <c r="C2554" s="23">
        <v>2</v>
      </c>
      <c r="D2554" s="23" t="s">
        <v>194</v>
      </c>
      <c r="E2554" s="52">
        <f>46-36</f>
        <v>10</v>
      </c>
      <c r="F2554" s="23" t="s">
        <v>363</v>
      </c>
      <c r="G2554" s="23" t="s">
        <v>367</v>
      </c>
      <c r="I2554" s="23" t="s">
        <v>367</v>
      </c>
      <c r="J2554" s="24">
        <v>44922</v>
      </c>
    </row>
    <row r="2555" spans="1:10" s="23" customFormat="1" x14ac:dyDescent="0.75">
      <c r="A2555" s="23" t="s">
        <v>96</v>
      </c>
      <c r="B2555" s="24">
        <v>44853</v>
      </c>
      <c r="C2555" s="23">
        <v>2</v>
      </c>
      <c r="D2555" s="23" t="s">
        <v>194</v>
      </c>
      <c r="E2555" s="52">
        <f>36-17</f>
        <v>19</v>
      </c>
      <c r="F2555" s="23" t="s">
        <v>363</v>
      </c>
      <c r="G2555" s="23" t="s">
        <v>367</v>
      </c>
      <c r="I2555" s="23" t="s">
        <v>367</v>
      </c>
      <c r="J2555" s="24">
        <v>44922</v>
      </c>
    </row>
    <row r="2556" spans="1:10" s="23" customFormat="1" x14ac:dyDescent="0.75">
      <c r="A2556" s="23" t="s">
        <v>96</v>
      </c>
      <c r="B2556" s="24">
        <v>44853</v>
      </c>
      <c r="C2556" s="23">
        <v>2</v>
      </c>
      <c r="D2556" s="23" t="s">
        <v>197</v>
      </c>
      <c r="E2556" s="52">
        <f>17-8</f>
        <v>9</v>
      </c>
      <c r="F2556" s="23" t="s">
        <v>363</v>
      </c>
      <c r="G2556" s="23" t="s">
        <v>367</v>
      </c>
      <c r="I2556" s="23" t="s">
        <v>367</v>
      </c>
      <c r="J2556" s="24">
        <v>44922</v>
      </c>
    </row>
    <row r="2557" spans="1:10" s="23" customFormat="1" x14ac:dyDescent="0.75">
      <c r="A2557" s="23" t="s">
        <v>96</v>
      </c>
      <c r="B2557" s="24">
        <v>44853</v>
      </c>
      <c r="C2557" s="23">
        <v>2</v>
      </c>
      <c r="D2557" s="23" t="s">
        <v>215</v>
      </c>
      <c r="E2557" s="52">
        <f>1</f>
        <v>1</v>
      </c>
      <c r="F2557" s="23" t="s">
        <v>363</v>
      </c>
      <c r="G2557" s="23" t="s">
        <v>367</v>
      </c>
      <c r="I2557" s="23" t="s">
        <v>367</v>
      </c>
      <c r="J2557" s="24">
        <v>44922</v>
      </c>
    </row>
    <row r="2558" spans="1:10" s="23" customFormat="1" x14ac:dyDescent="0.75">
      <c r="A2558" s="23" t="s">
        <v>96</v>
      </c>
      <c r="B2558" s="24">
        <v>44853</v>
      </c>
      <c r="C2558" s="23">
        <v>2</v>
      </c>
      <c r="D2558" s="23" t="s">
        <v>207</v>
      </c>
      <c r="E2558" s="52">
        <f>8-3</f>
        <v>5</v>
      </c>
      <c r="F2558" s="23" t="s">
        <v>363</v>
      </c>
      <c r="G2558" s="23" t="s">
        <v>367</v>
      </c>
      <c r="I2558" s="23" t="s">
        <v>367</v>
      </c>
      <c r="J2558" s="24">
        <v>44922</v>
      </c>
    </row>
    <row r="2559" spans="1:10" s="23" customFormat="1" x14ac:dyDescent="0.75">
      <c r="A2559" s="23" t="s">
        <v>96</v>
      </c>
      <c r="B2559" s="24">
        <v>44853</v>
      </c>
      <c r="C2559" s="23">
        <v>2</v>
      </c>
      <c r="D2559" s="23" t="s">
        <v>194</v>
      </c>
      <c r="E2559" s="52">
        <f>3+25-22</f>
        <v>6</v>
      </c>
      <c r="F2559" s="23" t="s">
        <v>363</v>
      </c>
      <c r="G2559" s="23" t="s">
        <v>367</v>
      </c>
      <c r="I2559" s="23" t="s">
        <v>367</v>
      </c>
      <c r="J2559" s="24">
        <v>44922</v>
      </c>
    </row>
    <row r="2560" spans="1:10" s="23" customFormat="1" x14ac:dyDescent="0.75">
      <c r="A2560" s="23" t="s">
        <v>96</v>
      </c>
      <c r="B2560" s="24">
        <v>44853</v>
      </c>
      <c r="C2560" s="23">
        <v>2</v>
      </c>
      <c r="D2560" s="23" t="s">
        <v>197</v>
      </c>
      <c r="E2560" s="52">
        <f>32-23</f>
        <v>9</v>
      </c>
      <c r="F2560" s="23" t="s">
        <v>363</v>
      </c>
      <c r="G2560" s="23" t="s">
        <v>374</v>
      </c>
      <c r="I2560" s="23" t="s">
        <v>367</v>
      </c>
      <c r="J2560" s="24">
        <v>44922</v>
      </c>
    </row>
    <row r="2561" spans="1:10" s="23" customFormat="1" x14ac:dyDescent="0.75">
      <c r="A2561" s="23" t="s">
        <v>96</v>
      </c>
      <c r="B2561" s="24">
        <v>44853</v>
      </c>
      <c r="C2561" s="23">
        <v>2</v>
      </c>
      <c r="D2561" s="23" t="s">
        <v>191</v>
      </c>
      <c r="E2561" s="52">
        <f>24-21</f>
        <v>3</v>
      </c>
      <c r="F2561" s="23" t="s">
        <v>363</v>
      </c>
      <c r="G2561" s="23" t="s">
        <v>374</v>
      </c>
      <c r="I2561" s="23" t="s">
        <v>367</v>
      </c>
      <c r="J2561" s="24">
        <v>44922</v>
      </c>
    </row>
    <row r="2562" spans="1:10" s="23" customFormat="1" x14ac:dyDescent="0.75">
      <c r="A2562" s="23" t="s">
        <v>96</v>
      </c>
      <c r="B2562" s="24">
        <v>44853</v>
      </c>
      <c r="C2562" s="23">
        <v>2</v>
      </c>
      <c r="D2562" s="23" t="s">
        <v>191</v>
      </c>
      <c r="E2562" s="52">
        <f>21-20</f>
        <v>1</v>
      </c>
      <c r="F2562" s="23" t="s">
        <v>363</v>
      </c>
      <c r="G2562" s="23" t="s">
        <v>374</v>
      </c>
      <c r="I2562" s="23" t="s">
        <v>367</v>
      </c>
      <c r="J2562" s="24">
        <v>44922</v>
      </c>
    </row>
    <row r="2563" spans="1:10" s="23" customFormat="1" x14ac:dyDescent="0.75">
      <c r="A2563" s="23" t="s">
        <v>96</v>
      </c>
      <c r="B2563" s="24">
        <v>44853</v>
      </c>
      <c r="C2563" s="23">
        <v>2</v>
      </c>
      <c r="D2563" s="23" t="s">
        <v>191</v>
      </c>
      <c r="E2563" s="52">
        <f>19-12</f>
        <v>7</v>
      </c>
      <c r="F2563" s="23" t="s">
        <v>363</v>
      </c>
      <c r="G2563" s="23" t="s">
        <v>374</v>
      </c>
      <c r="I2563" s="23" t="s">
        <v>367</v>
      </c>
      <c r="J2563" s="24">
        <v>44922</v>
      </c>
    </row>
    <row r="2564" spans="1:10" s="23" customFormat="1" x14ac:dyDescent="0.75">
      <c r="A2564" s="23" t="s">
        <v>96</v>
      </c>
      <c r="B2564" s="24">
        <v>44853</v>
      </c>
      <c r="C2564" s="23">
        <v>2</v>
      </c>
      <c r="D2564" s="23" t="s">
        <v>191</v>
      </c>
      <c r="E2564" s="52">
        <f>12-4</f>
        <v>8</v>
      </c>
      <c r="F2564" s="23" t="s">
        <v>856</v>
      </c>
      <c r="G2564" s="23" t="s">
        <v>374</v>
      </c>
      <c r="I2564" s="23" t="s">
        <v>367</v>
      </c>
      <c r="J2564" s="24">
        <v>44922</v>
      </c>
    </row>
    <row r="2565" spans="1:10" s="23" customFormat="1" x14ac:dyDescent="0.75">
      <c r="A2565" s="23" t="s">
        <v>96</v>
      </c>
      <c r="B2565" s="24">
        <v>44853</v>
      </c>
      <c r="C2565" s="23">
        <v>2</v>
      </c>
      <c r="D2565" s="23" t="s">
        <v>191</v>
      </c>
      <c r="E2565" s="52">
        <f>50-39</f>
        <v>11</v>
      </c>
      <c r="F2565" s="23" t="s">
        <v>857</v>
      </c>
      <c r="G2565" s="23" t="s">
        <v>374</v>
      </c>
      <c r="I2565" s="23" t="s">
        <v>367</v>
      </c>
      <c r="J2565" s="24">
        <v>44922</v>
      </c>
    </row>
    <row r="2566" spans="1:10" s="23" customFormat="1" x14ac:dyDescent="0.75">
      <c r="A2566" s="23" t="s">
        <v>96</v>
      </c>
      <c r="B2566" s="24">
        <v>44853</v>
      </c>
      <c r="C2566" s="23">
        <v>2</v>
      </c>
      <c r="D2566" s="23" t="s">
        <v>191</v>
      </c>
      <c r="E2566" s="52">
        <f>1</f>
        <v>1</v>
      </c>
      <c r="F2566" s="23">
        <v>129</v>
      </c>
      <c r="G2566" s="23" t="s">
        <v>374</v>
      </c>
      <c r="I2566" s="23" t="s">
        <v>367</v>
      </c>
      <c r="J2566" s="24">
        <v>44922</v>
      </c>
    </row>
    <row r="2567" spans="1:10" s="23" customFormat="1" x14ac:dyDescent="0.75">
      <c r="A2567" s="23" t="s">
        <v>96</v>
      </c>
      <c r="B2567" s="24">
        <v>44853</v>
      </c>
      <c r="C2567" s="23">
        <v>2</v>
      </c>
      <c r="D2567" s="23" t="s">
        <v>197</v>
      </c>
      <c r="E2567" s="52">
        <f>4-3</f>
        <v>1</v>
      </c>
      <c r="F2567" s="23" t="s">
        <v>363</v>
      </c>
      <c r="G2567" s="23" t="s">
        <v>374</v>
      </c>
      <c r="I2567" s="23" t="s">
        <v>367</v>
      </c>
      <c r="J2567" s="24">
        <v>44922</v>
      </c>
    </row>
    <row r="2568" spans="1:10" s="23" customFormat="1" x14ac:dyDescent="0.75">
      <c r="A2568" s="23" t="s">
        <v>96</v>
      </c>
      <c r="B2568" s="24">
        <v>44853</v>
      </c>
      <c r="C2568" s="23">
        <v>2</v>
      </c>
      <c r="D2568" s="23" t="s">
        <v>191</v>
      </c>
      <c r="E2568" s="52">
        <f>3-1</f>
        <v>2</v>
      </c>
      <c r="F2568" s="23" t="s">
        <v>363</v>
      </c>
      <c r="G2568" s="23" t="s">
        <v>374</v>
      </c>
      <c r="I2568" s="23" t="s">
        <v>367</v>
      </c>
      <c r="J2568" s="24">
        <v>44922</v>
      </c>
    </row>
    <row r="2569" spans="1:10" s="23" customFormat="1" x14ac:dyDescent="0.75">
      <c r="A2569" s="23" t="s">
        <v>96</v>
      </c>
      <c r="B2569" s="24">
        <v>44853</v>
      </c>
      <c r="C2569" s="23">
        <v>2</v>
      </c>
      <c r="D2569" s="23" t="s">
        <v>194</v>
      </c>
      <c r="E2569" s="52">
        <f>38-30</f>
        <v>8</v>
      </c>
      <c r="F2569" s="23" t="s">
        <v>363</v>
      </c>
      <c r="G2569" s="23" t="s">
        <v>374</v>
      </c>
      <c r="I2569" s="23" t="s">
        <v>367</v>
      </c>
      <c r="J2569" s="24">
        <v>44922</v>
      </c>
    </row>
    <row r="2570" spans="1:10" s="23" customFormat="1" x14ac:dyDescent="0.75">
      <c r="A2570" s="23" t="s">
        <v>96</v>
      </c>
      <c r="B2570" s="24">
        <v>44853</v>
      </c>
      <c r="C2570" s="23">
        <v>2</v>
      </c>
      <c r="D2570" s="23" t="s">
        <v>194</v>
      </c>
      <c r="E2570" s="52">
        <f>30-29</f>
        <v>1</v>
      </c>
      <c r="F2570" s="23" t="s">
        <v>363</v>
      </c>
      <c r="G2570" s="23" t="s">
        <v>374</v>
      </c>
      <c r="I2570" s="23" t="s">
        <v>367</v>
      </c>
      <c r="J2570" s="24">
        <v>44922</v>
      </c>
    </row>
    <row r="2571" spans="1:10" s="23" customFormat="1" x14ac:dyDescent="0.75">
      <c r="A2571" s="23" t="s">
        <v>96</v>
      </c>
      <c r="B2571" s="24">
        <v>44853</v>
      </c>
      <c r="C2571" s="23">
        <v>2</v>
      </c>
      <c r="D2571" s="23" t="s">
        <v>191</v>
      </c>
      <c r="E2571" s="52">
        <f>29-26</f>
        <v>3</v>
      </c>
      <c r="F2571" s="23" t="s">
        <v>363</v>
      </c>
      <c r="G2571" s="23" t="s">
        <v>374</v>
      </c>
      <c r="I2571" s="23" t="s">
        <v>367</v>
      </c>
      <c r="J2571" s="24">
        <v>44922</v>
      </c>
    </row>
    <row r="2572" spans="1:10" s="23" customFormat="1" x14ac:dyDescent="0.75">
      <c r="A2572" s="23" t="s">
        <v>96</v>
      </c>
      <c r="B2572" s="24">
        <v>44853</v>
      </c>
      <c r="C2572" s="23">
        <v>2</v>
      </c>
      <c r="D2572" s="23" t="s">
        <v>197</v>
      </c>
      <c r="E2572" s="52">
        <f>26-16</f>
        <v>10</v>
      </c>
      <c r="F2572" s="23" t="s">
        <v>363</v>
      </c>
      <c r="G2572" s="23" t="s">
        <v>374</v>
      </c>
      <c r="I2572" s="23" t="s">
        <v>367</v>
      </c>
      <c r="J2572" s="24">
        <v>44922</v>
      </c>
    </row>
    <row r="2573" spans="1:10" s="23" customFormat="1" x14ac:dyDescent="0.75">
      <c r="A2573" s="23" t="s">
        <v>96</v>
      </c>
      <c r="B2573" s="24">
        <v>44853</v>
      </c>
      <c r="C2573" s="23">
        <v>2</v>
      </c>
      <c r="D2573" s="23" t="s">
        <v>215</v>
      </c>
      <c r="E2573" s="52">
        <f>16-15</f>
        <v>1</v>
      </c>
      <c r="F2573" s="23" t="s">
        <v>363</v>
      </c>
      <c r="G2573" s="23" t="s">
        <v>374</v>
      </c>
      <c r="I2573" s="23" t="s">
        <v>367</v>
      </c>
      <c r="J2573" s="24">
        <v>44922</v>
      </c>
    </row>
    <row r="2574" spans="1:10" s="23" customFormat="1" x14ac:dyDescent="0.75">
      <c r="A2574" s="23" t="s">
        <v>96</v>
      </c>
      <c r="B2574" s="24">
        <v>44853</v>
      </c>
      <c r="C2574" s="23">
        <v>2</v>
      </c>
      <c r="D2574" s="23" t="s">
        <v>197</v>
      </c>
      <c r="E2574" s="52">
        <f>15-4</f>
        <v>11</v>
      </c>
      <c r="F2574" s="23" t="s">
        <v>363</v>
      </c>
      <c r="G2574" s="23" t="s">
        <v>374</v>
      </c>
      <c r="I2574" s="23" t="s">
        <v>367</v>
      </c>
      <c r="J2574" s="24">
        <v>44922</v>
      </c>
    </row>
    <row r="2575" spans="1:10" s="23" customFormat="1" x14ac:dyDescent="0.75">
      <c r="A2575" s="23" t="s">
        <v>96</v>
      </c>
      <c r="B2575" s="24">
        <v>44853</v>
      </c>
      <c r="C2575" s="23">
        <v>2</v>
      </c>
      <c r="D2575" s="23" t="s">
        <v>191</v>
      </c>
      <c r="E2575" s="52">
        <f>1</f>
        <v>1</v>
      </c>
      <c r="F2575" s="23" t="s">
        <v>363</v>
      </c>
      <c r="G2575" s="23" t="s">
        <v>374</v>
      </c>
      <c r="I2575" s="23" t="s">
        <v>367</v>
      </c>
      <c r="J2575" s="24">
        <v>44922</v>
      </c>
    </row>
    <row r="2576" spans="1:10" s="23" customFormat="1" x14ac:dyDescent="0.75">
      <c r="A2576" s="23" t="s">
        <v>96</v>
      </c>
      <c r="B2576" s="24">
        <v>44853</v>
      </c>
      <c r="C2576" s="23">
        <v>2</v>
      </c>
      <c r="D2576" s="23" t="s">
        <v>197</v>
      </c>
      <c r="E2576" s="52">
        <f>39-33</f>
        <v>6</v>
      </c>
      <c r="F2576" s="23" t="s">
        <v>363</v>
      </c>
      <c r="G2576" s="23" t="s">
        <v>374</v>
      </c>
      <c r="I2576" s="23" t="s">
        <v>367</v>
      </c>
      <c r="J2576" s="24">
        <v>44922</v>
      </c>
    </row>
    <row r="2577" spans="1:10" s="23" customFormat="1" x14ac:dyDescent="0.75">
      <c r="A2577" s="23" t="s">
        <v>96</v>
      </c>
      <c r="B2577" s="24">
        <v>44853</v>
      </c>
      <c r="C2577" s="23">
        <v>2</v>
      </c>
      <c r="D2577" s="23" t="s">
        <v>194</v>
      </c>
      <c r="E2577" s="52">
        <f>33-28</f>
        <v>5</v>
      </c>
      <c r="F2577" s="23" t="s">
        <v>363</v>
      </c>
      <c r="G2577" s="23" t="s">
        <v>374</v>
      </c>
      <c r="I2577" s="23" t="s">
        <v>367</v>
      </c>
      <c r="J2577" s="24">
        <v>44922</v>
      </c>
    </row>
    <row r="2578" spans="1:10" s="23" customFormat="1" x14ac:dyDescent="0.75">
      <c r="A2578" s="23" t="s">
        <v>96</v>
      </c>
      <c r="B2578" s="24">
        <v>44853</v>
      </c>
      <c r="C2578" s="23">
        <v>2</v>
      </c>
      <c r="D2578" s="23" t="s">
        <v>207</v>
      </c>
      <c r="E2578" s="52">
        <f>28-26</f>
        <v>2</v>
      </c>
      <c r="F2578" s="23" t="s">
        <v>363</v>
      </c>
      <c r="G2578" s="23" t="s">
        <v>374</v>
      </c>
      <c r="I2578" s="23" t="s">
        <v>367</v>
      </c>
      <c r="J2578" s="24">
        <v>44922</v>
      </c>
    </row>
    <row r="2579" spans="1:10" s="23" customFormat="1" x14ac:dyDescent="0.75">
      <c r="A2579" s="23" t="s">
        <v>96</v>
      </c>
      <c r="B2579" s="24">
        <v>44853</v>
      </c>
      <c r="C2579" s="23">
        <v>2</v>
      </c>
      <c r="D2579" s="23" t="s">
        <v>191</v>
      </c>
      <c r="E2579" s="52">
        <f>26-22</f>
        <v>4</v>
      </c>
      <c r="F2579" s="23" t="s">
        <v>363</v>
      </c>
      <c r="G2579" s="23" t="s">
        <v>374</v>
      </c>
      <c r="I2579" s="23" t="s">
        <v>367</v>
      </c>
      <c r="J2579" s="24">
        <v>44922</v>
      </c>
    </row>
    <row r="2580" spans="1:10" s="23" customFormat="1" x14ac:dyDescent="0.75">
      <c r="A2580" s="23" t="s">
        <v>96</v>
      </c>
      <c r="B2580" s="24">
        <v>44853</v>
      </c>
      <c r="C2580" s="23">
        <v>2</v>
      </c>
      <c r="D2580" s="23" t="s">
        <v>194</v>
      </c>
      <c r="E2580" s="52">
        <f>22-18</f>
        <v>4</v>
      </c>
      <c r="F2580" s="23" t="s">
        <v>363</v>
      </c>
      <c r="G2580" s="23" t="s">
        <v>374</v>
      </c>
      <c r="I2580" s="23" t="s">
        <v>367</v>
      </c>
      <c r="J2580" s="24">
        <v>44922</v>
      </c>
    </row>
    <row r="2581" spans="1:10" s="23" customFormat="1" x14ac:dyDescent="0.75">
      <c r="A2581" s="23" t="s">
        <v>96</v>
      </c>
      <c r="B2581" s="24">
        <v>44853</v>
      </c>
      <c r="C2581" s="23">
        <v>2</v>
      </c>
      <c r="D2581" s="23" t="s">
        <v>207</v>
      </c>
      <c r="E2581" s="52">
        <f>18-16</f>
        <v>2</v>
      </c>
      <c r="F2581" s="23" t="s">
        <v>363</v>
      </c>
      <c r="G2581" s="23" t="s">
        <v>374</v>
      </c>
      <c r="I2581" s="23" t="s">
        <v>367</v>
      </c>
      <c r="J2581" s="24">
        <v>44922</v>
      </c>
    </row>
    <row r="2582" spans="1:10" s="23" customFormat="1" x14ac:dyDescent="0.75">
      <c r="A2582" s="23" t="s">
        <v>96</v>
      </c>
      <c r="B2582" s="24">
        <v>44853</v>
      </c>
      <c r="C2582" s="23">
        <v>2</v>
      </c>
      <c r="D2582" s="23" t="s">
        <v>194</v>
      </c>
      <c r="E2582" s="52">
        <f>16-13</f>
        <v>3</v>
      </c>
      <c r="F2582" s="23" t="s">
        <v>363</v>
      </c>
      <c r="G2582" s="23" t="s">
        <v>374</v>
      </c>
      <c r="I2582" s="23" t="s">
        <v>367</v>
      </c>
      <c r="J2582" s="24">
        <v>44922</v>
      </c>
    </row>
    <row r="2583" spans="1:10" s="23" customFormat="1" x14ac:dyDescent="0.75">
      <c r="A2583" s="23" t="s">
        <v>96</v>
      </c>
      <c r="B2583" s="24">
        <v>44853</v>
      </c>
      <c r="C2583" s="23">
        <v>2</v>
      </c>
      <c r="D2583" s="23" t="s">
        <v>194</v>
      </c>
      <c r="E2583" s="52">
        <f>13-7</f>
        <v>6</v>
      </c>
      <c r="F2583" s="23" t="s">
        <v>363</v>
      </c>
      <c r="G2583" s="23" t="s">
        <v>374</v>
      </c>
      <c r="I2583" s="23" t="s">
        <v>367</v>
      </c>
      <c r="J2583" s="24">
        <v>44922</v>
      </c>
    </row>
    <row r="2584" spans="1:10" s="23" customFormat="1" x14ac:dyDescent="0.75">
      <c r="A2584" s="23" t="s">
        <v>96</v>
      </c>
      <c r="B2584" s="24">
        <v>44853</v>
      </c>
      <c r="C2584" s="23">
        <v>2</v>
      </c>
      <c r="D2584" s="23" t="s">
        <v>194</v>
      </c>
      <c r="E2584" s="52">
        <f>7</f>
        <v>7</v>
      </c>
      <c r="F2584" s="23" t="s">
        <v>363</v>
      </c>
      <c r="G2584" s="23" t="s">
        <v>374</v>
      </c>
      <c r="I2584" s="23" t="s">
        <v>367</v>
      </c>
      <c r="J2584" s="24">
        <v>44922</v>
      </c>
    </row>
    <row r="2585" spans="1:10" s="23" customFormat="1" x14ac:dyDescent="0.75">
      <c r="A2585" s="23" t="s">
        <v>96</v>
      </c>
      <c r="B2585" s="24">
        <v>44853</v>
      </c>
      <c r="C2585" s="23">
        <v>2</v>
      </c>
      <c r="D2585" s="23" t="s">
        <v>197</v>
      </c>
      <c r="E2585" s="52">
        <f>4</f>
        <v>4</v>
      </c>
      <c r="F2585" s="23" t="s">
        <v>363</v>
      </c>
      <c r="G2585" s="23" t="s">
        <v>374</v>
      </c>
      <c r="I2585" s="23" t="s">
        <v>367</v>
      </c>
      <c r="J2585" s="24">
        <v>44922</v>
      </c>
    </row>
    <row r="2586" spans="1:10" x14ac:dyDescent="0.75">
      <c r="A2586" t="s">
        <v>96</v>
      </c>
      <c r="B2586" s="3">
        <v>44853</v>
      </c>
      <c r="C2586">
        <v>3</v>
      </c>
      <c r="D2586" t="s">
        <v>194</v>
      </c>
      <c r="E2586" s="22">
        <f>44-36</f>
        <v>8</v>
      </c>
      <c r="F2586" t="s">
        <v>363</v>
      </c>
      <c r="G2586" t="s">
        <v>374</v>
      </c>
      <c r="I2586" t="s">
        <v>367</v>
      </c>
      <c r="J2586" s="3">
        <v>44922</v>
      </c>
    </row>
    <row r="2587" spans="1:10" x14ac:dyDescent="0.75">
      <c r="A2587" t="s">
        <v>96</v>
      </c>
      <c r="B2587" s="3">
        <v>44853</v>
      </c>
      <c r="C2587">
        <v>3</v>
      </c>
      <c r="D2587" t="s">
        <v>197</v>
      </c>
      <c r="E2587" s="22">
        <f>36-30</f>
        <v>6</v>
      </c>
      <c r="F2587" t="s">
        <v>363</v>
      </c>
      <c r="G2587" t="s">
        <v>374</v>
      </c>
      <c r="I2587" t="s">
        <v>367</v>
      </c>
      <c r="J2587" s="3">
        <v>44922</v>
      </c>
    </row>
    <row r="2588" spans="1:10" x14ac:dyDescent="0.75">
      <c r="A2588" t="s">
        <v>96</v>
      </c>
      <c r="B2588" s="3">
        <v>44853</v>
      </c>
      <c r="C2588">
        <v>3</v>
      </c>
      <c r="D2588" t="s">
        <v>197</v>
      </c>
      <c r="E2588" s="22">
        <f>30-28</f>
        <v>2</v>
      </c>
      <c r="F2588" t="s">
        <v>363</v>
      </c>
      <c r="G2588" t="s">
        <v>374</v>
      </c>
      <c r="I2588" t="s">
        <v>367</v>
      </c>
      <c r="J2588" s="3">
        <v>44922</v>
      </c>
    </row>
    <row r="2589" spans="1:10" x14ac:dyDescent="0.75">
      <c r="A2589" t="s">
        <v>96</v>
      </c>
      <c r="B2589" s="3">
        <v>44853</v>
      </c>
      <c r="C2589">
        <v>3</v>
      </c>
      <c r="D2589" t="s">
        <v>197</v>
      </c>
      <c r="E2589" s="22">
        <f>27-16</f>
        <v>11</v>
      </c>
      <c r="F2589" t="s">
        <v>363</v>
      </c>
      <c r="G2589" t="s">
        <v>374</v>
      </c>
      <c r="I2589" t="s">
        <v>367</v>
      </c>
      <c r="J2589" s="3">
        <v>44922</v>
      </c>
    </row>
    <row r="2590" spans="1:10" x14ac:dyDescent="0.75">
      <c r="A2590" t="s">
        <v>96</v>
      </c>
      <c r="B2590" s="3">
        <v>44853</v>
      </c>
      <c r="C2590">
        <v>3</v>
      </c>
      <c r="D2590" t="s">
        <v>194</v>
      </c>
      <c r="E2590" s="22">
        <f>16-10</f>
        <v>6</v>
      </c>
      <c r="F2590" t="s">
        <v>363</v>
      </c>
      <c r="G2590" t="s">
        <v>374</v>
      </c>
      <c r="I2590" t="s">
        <v>367</v>
      </c>
      <c r="J2590" s="3">
        <v>44922</v>
      </c>
    </row>
    <row r="2591" spans="1:10" x14ac:dyDescent="0.75">
      <c r="A2591" t="s">
        <v>96</v>
      </c>
      <c r="B2591" s="3">
        <v>44853</v>
      </c>
      <c r="C2591">
        <v>3</v>
      </c>
      <c r="D2591" t="s">
        <v>197</v>
      </c>
      <c r="E2591" s="22">
        <f>10-8</f>
        <v>2</v>
      </c>
      <c r="F2591" t="s">
        <v>363</v>
      </c>
      <c r="G2591" t="s">
        <v>374</v>
      </c>
      <c r="I2591" t="s">
        <v>367</v>
      </c>
      <c r="J2591" s="3">
        <v>44922</v>
      </c>
    </row>
    <row r="2592" spans="1:10" x14ac:dyDescent="0.75">
      <c r="A2592" t="s">
        <v>96</v>
      </c>
      <c r="B2592" s="3">
        <v>44853</v>
      </c>
      <c r="C2592">
        <v>3</v>
      </c>
      <c r="D2592" t="s">
        <v>197</v>
      </c>
      <c r="E2592" s="22">
        <f>8-6</f>
        <v>2</v>
      </c>
      <c r="F2592" t="s">
        <v>363</v>
      </c>
      <c r="G2592" t="s">
        <v>374</v>
      </c>
      <c r="I2592" t="s">
        <v>367</v>
      </c>
      <c r="J2592" s="3">
        <v>44922</v>
      </c>
    </row>
    <row r="2593" spans="1:10" x14ac:dyDescent="0.75">
      <c r="A2593" t="s">
        <v>96</v>
      </c>
      <c r="B2593" s="3">
        <v>44853</v>
      </c>
      <c r="C2593">
        <v>3</v>
      </c>
      <c r="D2593" t="s">
        <v>215</v>
      </c>
      <c r="E2593" s="22">
        <f>6-4</f>
        <v>2</v>
      </c>
      <c r="F2593" t="s">
        <v>363</v>
      </c>
      <c r="G2593" t="s">
        <v>374</v>
      </c>
      <c r="I2593" t="s">
        <v>367</v>
      </c>
      <c r="J2593" s="3">
        <v>44922</v>
      </c>
    </row>
    <row r="2594" spans="1:10" x14ac:dyDescent="0.75">
      <c r="A2594" t="s">
        <v>96</v>
      </c>
      <c r="B2594" s="3">
        <v>44853</v>
      </c>
      <c r="C2594">
        <v>3</v>
      </c>
      <c r="D2594" t="s">
        <v>194</v>
      </c>
      <c r="E2594" s="22">
        <f>4-1</f>
        <v>3</v>
      </c>
      <c r="F2594" t="s">
        <v>363</v>
      </c>
      <c r="G2594" t="s">
        <v>374</v>
      </c>
      <c r="I2594" t="s">
        <v>367</v>
      </c>
      <c r="J2594" s="3">
        <v>44922</v>
      </c>
    </row>
    <row r="2595" spans="1:10" x14ac:dyDescent="0.75">
      <c r="A2595" t="s">
        <v>96</v>
      </c>
      <c r="B2595" s="3">
        <v>44853</v>
      </c>
      <c r="C2595">
        <v>3</v>
      </c>
      <c r="D2595" t="s">
        <v>194</v>
      </c>
      <c r="E2595" s="22">
        <f>1</f>
        <v>1</v>
      </c>
      <c r="F2595" t="s">
        <v>363</v>
      </c>
      <c r="G2595" t="s">
        <v>374</v>
      </c>
      <c r="I2595" t="s">
        <v>367</v>
      </c>
      <c r="J2595" s="3">
        <v>44922</v>
      </c>
    </row>
    <row r="2596" spans="1:10" x14ac:dyDescent="0.75">
      <c r="A2596" t="s">
        <v>96</v>
      </c>
      <c r="B2596" s="3">
        <v>44853</v>
      </c>
      <c r="C2596">
        <v>3</v>
      </c>
      <c r="D2596" t="s">
        <v>194</v>
      </c>
      <c r="E2596" s="22">
        <f>10-9</f>
        <v>1</v>
      </c>
      <c r="F2596" t="s">
        <v>363</v>
      </c>
      <c r="G2596" t="s">
        <v>374</v>
      </c>
      <c r="I2596" t="s">
        <v>367</v>
      </c>
      <c r="J2596" s="3">
        <v>44922</v>
      </c>
    </row>
    <row r="2597" spans="1:10" x14ac:dyDescent="0.75">
      <c r="A2597" t="s">
        <v>96</v>
      </c>
      <c r="B2597" s="3">
        <v>44853</v>
      </c>
      <c r="C2597">
        <v>3</v>
      </c>
      <c r="D2597" t="s">
        <v>194</v>
      </c>
      <c r="E2597" s="22">
        <f>9-5</f>
        <v>4</v>
      </c>
      <c r="F2597" t="s">
        <v>363</v>
      </c>
      <c r="G2597" t="s">
        <v>374</v>
      </c>
      <c r="I2597" t="s">
        <v>367</v>
      </c>
      <c r="J2597" s="3">
        <v>44922</v>
      </c>
    </row>
    <row r="2598" spans="1:10" x14ac:dyDescent="0.75">
      <c r="A2598" t="s">
        <v>96</v>
      </c>
      <c r="B2598" s="3">
        <v>44853</v>
      </c>
      <c r="C2598">
        <v>3</v>
      </c>
      <c r="D2598" t="s">
        <v>197</v>
      </c>
      <c r="E2598" s="22">
        <f>5-2</f>
        <v>3</v>
      </c>
      <c r="F2598" t="s">
        <v>363</v>
      </c>
      <c r="G2598" t="s">
        <v>374</v>
      </c>
      <c r="I2598" t="s">
        <v>367</v>
      </c>
      <c r="J2598" s="3">
        <v>44922</v>
      </c>
    </row>
    <row r="2599" spans="1:10" x14ac:dyDescent="0.75">
      <c r="A2599" t="s">
        <v>96</v>
      </c>
      <c r="B2599" s="3">
        <v>44853</v>
      </c>
      <c r="C2599">
        <v>3</v>
      </c>
      <c r="D2599" t="s">
        <v>191</v>
      </c>
      <c r="E2599" s="22">
        <f>2</f>
        <v>2</v>
      </c>
      <c r="F2599" t="s">
        <v>363</v>
      </c>
      <c r="G2599" t="s">
        <v>374</v>
      </c>
      <c r="I2599" t="s">
        <v>367</v>
      </c>
      <c r="J2599" s="3">
        <v>44922</v>
      </c>
    </row>
    <row r="2600" spans="1:10" x14ac:dyDescent="0.75">
      <c r="A2600" t="s">
        <v>96</v>
      </c>
      <c r="B2600" s="3">
        <v>44853</v>
      </c>
      <c r="C2600">
        <v>3</v>
      </c>
      <c r="D2600" t="s">
        <v>197</v>
      </c>
      <c r="E2600" s="22">
        <f>22-17</f>
        <v>5</v>
      </c>
      <c r="F2600" t="s">
        <v>363</v>
      </c>
      <c r="G2600" t="s">
        <v>367</v>
      </c>
      <c r="I2600" t="s">
        <v>367</v>
      </c>
      <c r="J2600" s="3">
        <v>44922</v>
      </c>
    </row>
    <row r="2601" spans="1:10" x14ac:dyDescent="0.75">
      <c r="A2601" t="s">
        <v>96</v>
      </c>
      <c r="B2601" s="3">
        <v>44853</v>
      </c>
      <c r="C2601">
        <v>3</v>
      </c>
      <c r="D2601" t="s">
        <v>197</v>
      </c>
      <c r="E2601" s="22">
        <f>17-13</f>
        <v>4</v>
      </c>
      <c r="F2601" t="s">
        <v>363</v>
      </c>
      <c r="G2601" t="s">
        <v>367</v>
      </c>
      <c r="I2601" t="s">
        <v>367</v>
      </c>
      <c r="J2601" s="3">
        <v>44922</v>
      </c>
    </row>
    <row r="2602" spans="1:10" x14ac:dyDescent="0.75">
      <c r="A2602" t="s">
        <v>96</v>
      </c>
      <c r="B2602" s="3">
        <v>44853</v>
      </c>
      <c r="C2602">
        <v>3</v>
      </c>
      <c r="D2602" t="s">
        <v>194</v>
      </c>
      <c r="E2602" s="22">
        <f>13-7</f>
        <v>6</v>
      </c>
      <c r="F2602" t="s">
        <v>363</v>
      </c>
      <c r="G2602" t="s">
        <v>367</v>
      </c>
      <c r="I2602" t="s">
        <v>367</v>
      </c>
      <c r="J2602" s="3">
        <v>44922</v>
      </c>
    </row>
    <row r="2603" spans="1:10" x14ac:dyDescent="0.75">
      <c r="A2603" t="s">
        <v>96</v>
      </c>
      <c r="B2603" s="3">
        <v>44853</v>
      </c>
      <c r="C2603">
        <v>3</v>
      </c>
      <c r="D2603" t="s">
        <v>194</v>
      </c>
      <c r="E2603" s="22">
        <f>7+11-10</f>
        <v>8</v>
      </c>
      <c r="F2603" t="s">
        <v>363</v>
      </c>
      <c r="G2603" t="s">
        <v>367</v>
      </c>
      <c r="I2603" t="s">
        <v>367</v>
      </c>
      <c r="J2603" s="3">
        <v>44922</v>
      </c>
    </row>
    <row r="2604" spans="1:10" s="23" customFormat="1" x14ac:dyDescent="0.75">
      <c r="A2604" s="23" t="s">
        <v>23</v>
      </c>
      <c r="B2604" s="24">
        <v>44854</v>
      </c>
      <c r="C2604" s="23">
        <v>1</v>
      </c>
      <c r="D2604" s="23" t="s">
        <v>201</v>
      </c>
      <c r="E2604" s="52">
        <f>46-37</f>
        <v>9</v>
      </c>
      <c r="F2604" s="23" t="s">
        <v>363</v>
      </c>
      <c r="G2604" s="23" t="s">
        <v>361</v>
      </c>
      <c r="I2604" s="23" t="s">
        <v>367</v>
      </c>
      <c r="J2604" s="24">
        <v>44922</v>
      </c>
    </row>
    <row r="2605" spans="1:10" s="23" customFormat="1" x14ac:dyDescent="0.75">
      <c r="A2605" s="23" t="s">
        <v>23</v>
      </c>
      <c r="B2605" s="24">
        <v>44854</v>
      </c>
      <c r="C2605" s="23">
        <v>1</v>
      </c>
      <c r="D2605" s="23" t="s">
        <v>197</v>
      </c>
      <c r="E2605" s="52">
        <f>37-32</f>
        <v>5</v>
      </c>
      <c r="F2605" s="23" t="s">
        <v>363</v>
      </c>
      <c r="G2605" s="23" t="s">
        <v>361</v>
      </c>
      <c r="I2605" s="23" t="s">
        <v>367</v>
      </c>
      <c r="J2605" s="24">
        <v>44922</v>
      </c>
    </row>
    <row r="2606" spans="1:10" s="23" customFormat="1" x14ac:dyDescent="0.75">
      <c r="A2606" s="23" t="s">
        <v>23</v>
      </c>
      <c r="B2606" s="24">
        <v>44854</v>
      </c>
      <c r="C2606" s="23">
        <v>1</v>
      </c>
      <c r="D2606" s="23" t="s">
        <v>207</v>
      </c>
      <c r="E2606" s="52">
        <f>53-49</f>
        <v>4</v>
      </c>
      <c r="F2606" s="23" t="s">
        <v>363</v>
      </c>
      <c r="G2606" s="23" t="s">
        <v>367</v>
      </c>
      <c r="I2606" s="23" t="s">
        <v>367</v>
      </c>
      <c r="J2606" s="24">
        <v>44922</v>
      </c>
    </row>
    <row r="2607" spans="1:10" s="23" customFormat="1" x14ac:dyDescent="0.75">
      <c r="A2607" s="23" t="s">
        <v>23</v>
      </c>
      <c r="B2607" s="24">
        <v>44854</v>
      </c>
      <c r="C2607" s="23">
        <v>1</v>
      </c>
      <c r="D2607" s="23" t="s">
        <v>197</v>
      </c>
      <c r="E2607" s="52">
        <f>49-44</f>
        <v>5</v>
      </c>
      <c r="F2607" s="23" t="s">
        <v>363</v>
      </c>
      <c r="G2607" s="23" t="s">
        <v>367</v>
      </c>
      <c r="I2607" s="23" t="s">
        <v>367</v>
      </c>
      <c r="J2607" s="24">
        <v>44922</v>
      </c>
    </row>
    <row r="2608" spans="1:10" s="23" customFormat="1" x14ac:dyDescent="0.75">
      <c r="A2608" s="23" t="s">
        <v>23</v>
      </c>
      <c r="B2608" s="24">
        <v>44854</v>
      </c>
      <c r="C2608" s="23">
        <v>1</v>
      </c>
      <c r="D2608" s="23" t="s">
        <v>194</v>
      </c>
      <c r="E2608" s="52">
        <f>44-42</f>
        <v>2</v>
      </c>
      <c r="F2608" s="23" t="s">
        <v>363</v>
      </c>
      <c r="G2608" s="23" t="s">
        <v>367</v>
      </c>
      <c r="I2608" s="23" t="s">
        <v>367</v>
      </c>
      <c r="J2608" s="24">
        <v>44922</v>
      </c>
    </row>
    <row r="2609" spans="1:10" s="23" customFormat="1" x14ac:dyDescent="0.75">
      <c r="A2609" s="23" t="s">
        <v>23</v>
      </c>
      <c r="B2609" s="24">
        <v>44854</v>
      </c>
      <c r="C2609" s="23">
        <v>1</v>
      </c>
      <c r="D2609" s="23" t="s">
        <v>153</v>
      </c>
      <c r="E2609" s="52">
        <f>42-22</f>
        <v>20</v>
      </c>
      <c r="F2609" s="23" t="s">
        <v>363</v>
      </c>
      <c r="G2609" s="23" t="s">
        <v>367</v>
      </c>
      <c r="I2609" s="23" t="s">
        <v>367</v>
      </c>
      <c r="J2609" s="24">
        <v>44922</v>
      </c>
    </row>
    <row r="2610" spans="1:10" s="23" customFormat="1" x14ac:dyDescent="0.75">
      <c r="A2610" s="23" t="s">
        <v>23</v>
      </c>
      <c r="B2610" s="24">
        <v>44854</v>
      </c>
      <c r="C2610" s="23">
        <v>1</v>
      </c>
      <c r="D2610" s="23" t="s">
        <v>197</v>
      </c>
      <c r="E2610" s="52">
        <f>22-8</f>
        <v>14</v>
      </c>
      <c r="F2610" s="23" t="s">
        <v>363</v>
      </c>
      <c r="G2610" s="23" t="s">
        <v>367</v>
      </c>
      <c r="I2610" s="23" t="s">
        <v>367</v>
      </c>
      <c r="J2610" s="24">
        <v>44922</v>
      </c>
    </row>
    <row r="2611" spans="1:10" s="23" customFormat="1" x14ac:dyDescent="0.75">
      <c r="A2611" s="23" t="s">
        <v>23</v>
      </c>
      <c r="B2611" s="24">
        <v>44854</v>
      </c>
      <c r="C2611" s="23">
        <v>1</v>
      </c>
      <c r="D2611" s="23" t="s">
        <v>197</v>
      </c>
      <c r="E2611" s="52">
        <f>8+57-52</f>
        <v>13</v>
      </c>
      <c r="F2611" s="23" t="s">
        <v>363</v>
      </c>
      <c r="G2611" s="23" t="s">
        <v>367</v>
      </c>
      <c r="I2611" s="23" t="s">
        <v>367</v>
      </c>
      <c r="J2611" s="24">
        <v>44922</v>
      </c>
    </row>
    <row r="2612" spans="1:10" x14ac:dyDescent="0.75">
      <c r="A2612" t="s">
        <v>23</v>
      </c>
      <c r="B2612" s="3">
        <v>44854</v>
      </c>
      <c r="C2612">
        <v>3</v>
      </c>
      <c r="D2612" t="s">
        <v>194</v>
      </c>
      <c r="E2612" s="22">
        <f>51-34</f>
        <v>17</v>
      </c>
      <c r="F2612" t="s">
        <v>363</v>
      </c>
      <c r="G2612" t="s">
        <v>361</v>
      </c>
      <c r="I2612" s="63" t="s">
        <v>367</v>
      </c>
      <c r="J2612" s="3">
        <v>44922</v>
      </c>
    </row>
    <row r="2613" spans="1:10" x14ac:dyDescent="0.75">
      <c r="A2613" t="s">
        <v>23</v>
      </c>
      <c r="B2613" s="3">
        <v>44854</v>
      </c>
      <c r="C2613">
        <v>3</v>
      </c>
      <c r="D2613" t="s">
        <v>197</v>
      </c>
      <c r="E2613" s="22">
        <f>34-29</f>
        <v>5</v>
      </c>
      <c r="F2613" t="s">
        <v>363</v>
      </c>
      <c r="G2613" t="s">
        <v>361</v>
      </c>
      <c r="I2613" s="63" t="s">
        <v>367</v>
      </c>
      <c r="J2613" s="3">
        <v>44922</v>
      </c>
    </row>
    <row r="2614" spans="1:10" x14ac:dyDescent="0.75">
      <c r="A2614" t="s">
        <v>23</v>
      </c>
      <c r="B2614" s="3">
        <v>44854</v>
      </c>
      <c r="C2614">
        <v>3</v>
      </c>
      <c r="D2614" t="s">
        <v>201</v>
      </c>
      <c r="E2614" s="22">
        <f>29-21</f>
        <v>8</v>
      </c>
      <c r="F2614" t="s">
        <v>363</v>
      </c>
      <c r="G2614" t="s">
        <v>361</v>
      </c>
      <c r="I2614" s="63" t="s">
        <v>367</v>
      </c>
      <c r="J2614" s="3">
        <v>44922</v>
      </c>
    </row>
    <row r="2615" spans="1:10" x14ac:dyDescent="0.75">
      <c r="A2615" t="s">
        <v>23</v>
      </c>
      <c r="B2615" s="3">
        <v>44854</v>
      </c>
      <c r="C2615">
        <v>3</v>
      </c>
      <c r="D2615" t="s">
        <v>197</v>
      </c>
      <c r="E2615" s="22">
        <f>21-10</f>
        <v>11</v>
      </c>
      <c r="F2615" t="s">
        <v>363</v>
      </c>
      <c r="G2615" t="s">
        <v>361</v>
      </c>
      <c r="I2615" s="63" t="s">
        <v>367</v>
      </c>
      <c r="J2615" s="3">
        <v>44922</v>
      </c>
    </row>
    <row r="2616" spans="1:10" x14ac:dyDescent="0.75">
      <c r="A2616" t="s">
        <v>23</v>
      </c>
      <c r="B2616" s="3">
        <v>44854</v>
      </c>
      <c r="C2616">
        <v>3</v>
      </c>
      <c r="D2616" t="s">
        <v>207</v>
      </c>
      <c r="E2616" s="22">
        <f>52-38</f>
        <v>14</v>
      </c>
      <c r="F2616" t="s">
        <v>363</v>
      </c>
      <c r="G2616" t="s">
        <v>367</v>
      </c>
      <c r="I2616" s="63" t="s">
        <v>367</v>
      </c>
      <c r="J2616" s="3">
        <v>44922</v>
      </c>
    </row>
    <row r="2617" spans="1:10" x14ac:dyDescent="0.75">
      <c r="A2617" t="s">
        <v>23</v>
      </c>
      <c r="B2617" s="3">
        <v>44854</v>
      </c>
      <c r="C2617">
        <v>3</v>
      </c>
      <c r="D2617" t="s">
        <v>194</v>
      </c>
      <c r="E2617" s="22">
        <f>38-32</f>
        <v>6</v>
      </c>
      <c r="F2617" t="s">
        <v>363</v>
      </c>
      <c r="G2617" t="s">
        <v>367</v>
      </c>
      <c r="I2617" s="63" t="s">
        <v>367</v>
      </c>
      <c r="J2617" s="3">
        <v>44922</v>
      </c>
    </row>
    <row r="2618" spans="1:10" s="23" customFormat="1" x14ac:dyDescent="0.75">
      <c r="A2618" s="23" t="s">
        <v>64</v>
      </c>
      <c r="B2618" s="24">
        <v>44854</v>
      </c>
      <c r="C2618" s="23">
        <v>1</v>
      </c>
      <c r="D2618" s="23" t="s">
        <v>201</v>
      </c>
      <c r="E2618" s="52">
        <f>42-39</f>
        <v>3</v>
      </c>
      <c r="F2618" s="23">
        <v>3339</v>
      </c>
      <c r="G2618" s="23" t="s">
        <v>361</v>
      </c>
      <c r="I2618" s="23" t="s">
        <v>367</v>
      </c>
      <c r="J2618" s="24">
        <v>44922</v>
      </c>
    </row>
    <row r="2619" spans="1:10" x14ac:dyDescent="0.75">
      <c r="A2619" t="s">
        <v>96</v>
      </c>
      <c r="B2619" s="3">
        <v>44859</v>
      </c>
      <c r="C2619">
        <v>1</v>
      </c>
      <c r="D2619" t="s">
        <v>194</v>
      </c>
      <c r="E2619" s="22">
        <f>52-29</f>
        <v>23</v>
      </c>
      <c r="F2619" t="s">
        <v>363</v>
      </c>
      <c r="G2619" t="s">
        <v>733</v>
      </c>
      <c r="I2619" s="63" t="s">
        <v>367</v>
      </c>
      <c r="J2619" s="3">
        <v>44922</v>
      </c>
    </row>
    <row r="2620" spans="1:10" x14ac:dyDescent="0.75">
      <c r="A2620" t="s">
        <v>96</v>
      </c>
      <c r="B2620" s="3">
        <v>44859</v>
      </c>
      <c r="C2620">
        <v>1</v>
      </c>
      <c r="D2620" t="s">
        <v>197</v>
      </c>
      <c r="E2620" s="22">
        <f>29-26</f>
        <v>3</v>
      </c>
      <c r="F2620" t="s">
        <v>363</v>
      </c>
      <c r="G2620" t="s">
        <v>733</v>
      </c>
      <c r="I2620" s="63" t="s">
        <v>367</v>
      </c>
      <c r="J2620" s="3">
        <v>44922</v>
      </c>
    </row>
    <row r="2621" spans="1:10" x14ac:dyDescent="0.75">
      <c r="A2621" t="s">
        <v>96</v>
      </c>
      <c r="B2621" s="3">
        <v>44859</v>
      </c>
      <c r="C2621">
        <v>1</v>
      </c>
      <c r="D2621" t="s">
        <v>194</v>
      </c>
      <c r="E2621" s="22">
        <f>26-14</f>
        <v>12</v>
      </c>
      <c r="F2621" t="s">
        <v>363</v>
      </c>
      <c r="G2621" t="s">
        <v>733</v>
      </c>
      <c r="I2621" s="63" t="s">
        <v>367</v>
      </c>
      <c r="J2621" s="3">
        <v>44922</v>
      </c>
    </row>
    <row r="2622" spans="1:10" x14ac:dyDescent="0.75">
      <c r="A2622" t="s">
        <v>96</v>
      </c>
      <c r="B2622" s="3">
        <v>44859</v>
      </c>
      <c r="C2622">
        <v>1</v>
      </c>
      <c r="D2622" t="s">
        <v>194</v>
      </c>
      <c r="E2622" s="22">
        <f>60-40</f>
        <v>20</v>
      </c>
      <c r="F2622" t="s">
        <v>363</v>
      </c>
      <c r="G2622" t="s">
        <v>361</v>
      </c>
      <c r="I2622" s="63" t="s">
        <v>367</v>
      </c>
      <c r="J2622" s="3">
        <v>44922</v>
      </c>
    </row>
    <row r="2623" spans="1:10" x14ac:dyDescent="0.75">
      <c r="A2623" t="s">
        <v>96</v>
      </c>
      <c r="B2623" s="3">
        <v>44859</v>
      </c>
      <c r="C2623">
        <v>1</v>
      </c>
      <c r="D2623" t="s">
        <v>153</v>
      </c>
      <c r="E2623" s="22">
        <f>40-16</f>
        <v>24</v>
      </c>
      <c r="F2623">
        <v>926</v>
      </c>
      <c r="G2623" t="s">
        <v>361</v>
      </c>
      <c r="I2623" s="63" t="s">
        <v>367</v>
      </c>
      <c r="J2623" s="3">
        <v>44922</v>
      </c>
    </row>
    <row r="2624" spans="1:10" x14ac:dyDescent="0.75">
      <c r="A2624" t="s">
        <v>96</v>
      </c>
      <c r="B2624" s="3">
        <v>44859</v>
      </c>
      <c r="C2624">
        <v>1</v>
      </c>
      <c r="D2624" t="s">
        <v>197</v>
      </c>
      <c r="E2624" s="22">
        <f>16-13</f>
        <v>3</v>
      </c>
      <c r="F2624" t="s">
        <v>363</v>
      </c>
      <c r="G2624" t="s">
        <v>361</v>
      </c>
      <c r="I2624" s="63" t="s">
        <v>367</v>
      </c>
      <c r="J2624" s="3">
        <v>44922</v>
      </c>
    </row>
    <row r="2625" spans="1:10" x14ac:dyDescent="0.75">
      <c r="A2625" t="s">
        <v>96</v>
      </c>
      <c r="B2625" s="3">
        <v>44859</v>
      </c>
      <c r="C2625">
        <v>1</v>
      </c>
      <c r="D2625" t="s">
        <v>197</v>
      </c>
      <c r="E2625" s="22">
        <f>13-4</f>
        <v>9</v>
      </c>
      <c r="F2625" t="s">
        <v>363</v>
      </c>
      <c r="G2625" t="s">
        <v>361</v>
      </c>
      <c r="I2625" s="63" t="s">
        <v>367</v>
      </c>
      <c r="J2625" s="3">
        <v>44922</v>
      </c>
    </row>
    <row r="2626" spans="1:10" x14ac:dyDescent="0.75">
      <c r="A2626" t="s">
        <v>96</v>
      </c>
      <c r="B2626" s="3">
        <v>44859</v>
      </c>
      <c r="C2626">
        <v>1</v>
      </c>
      <c r="D2626" t="s">
        <v>194</v>
      </c>
      <c r="E2626" s="22">
        <f>4</f>
        <v>4</v>
      </c>
      <c r="F2626">
        <v>927</v>
      </c>
      <c r="G2626" t="s">
        <v>361</v>
      </c>
      <c r="I2626" s="63" t="s">
        <v>367</v>
      </c>
      <c r="J2626" s="3">
        <v>44922</v>
      </c>
    </row>
    <row r="2627" spans="1:10" s="23" customFormat="1" x14ac:dyDescent="0.75">
      <c r="A2627" s="23" t="s">
        <v>96</v>
      </c>
      <c r="B2627" s="24">
        <v>44859</v>
      </c>
      <c r="C2627" s="23">
        <v>2</v>
      </c>
      <c r="D2627" s="23" t="s">
        <v>207</v>
      </c>
      <c r="E2627" s="52">
        <f>14-13</f>
        <v>1</v>
      </c>
      <c r="F2627" s="23" t="s">
        <v>363</v>
      </c>
      <c r="G2627" s="23" t="s">
        <v>733</v>
      </c>
      <c r="I2627" s="23" t="s">
        <v>367</v>
      </c>
      <c r="J2627" s="24">
        <v>44922</v>
      </c>
    </row>
    <row r="2628" spans="1:10" s="23" customFormat="1" x14ac:dyDescent="0.75">
      <c r="A2628" s="23" t="s">
        <v>96</v>
      </c>
      <c r="B2628" s="24">
        <v>44859</v>
      </c>
      <c r="C2628" s="23">
        <v>2</v>
      </c>
      <c r="D2628" s="23" t="s">
        <v>191</v>
      </c>
      <c r="E2628" s="52">
        <f>13-5</f>
        <v>8</v>
      </c>
      <c r="F2628" s="23" t="s">
        <v>363</v>
      </c>
      <c r="G2628" s="23" t="s">
        <v>733</v>
      </c>
      <c r="I2628" s="23" t="s">
        <v>367</v>
      </c>
      <c r="J2628" s="24">
        <v>44922</v>
      </c>
    </row>
    <row r="2629" spans="1:10" s="23" customFormat="1" x14ac:dyDescent="0.75">
      <c r="A2629" s="23" t="s">
        <v>96</v>
      </c>
      <c r="B2629" s="24">
        <v>44859</v>
      </c>
      <c r="C2629" s="23">
        <v>2</v>
      </c>
      <c r="D2629" s="23" t="s">
        <v>194</v>
      </c>
      <c r="E2629" s="52">
        <f>60-39</f>
        <v>21</v>
      </c>
      <c r="F2629" s="23">
        <v>937</v>
      </c>
      <c r="G2629" s="23" t="s">
        <v>361</v>
      </c>
      <c r="I2629" s="23" t="s">
        <v>367</v>
      </c>
      <c r="J2629" s="24">
        <v>44922</v>
      </c>
    </row>
    <row r="2630" spans="1:10" s="23" customFormat="1" x14ac:dyDescent="0.75">
      <c r="A2630" s="23" t="s">
        <v>96</v>
      </c>
      <c r="B2630" s="24">
        <v>44859</v>
      </c>
      <c r="C2630" s="23">
        <v>2</v>
      </c>
      <c r="D2630" s="23" t="s">
        <v>194</v>
      </c>
      <c r="E2630" s="52">
        <f>39-35</f>
        <v>4</v>
      </c>
      <c r="F2630" s="23" t="s">
        <v>363</v>
      </c>
      <c r="G2630" s="23" t="s">
        <v>361</v>
      </c>
      <c r="I2630" s="23" t="s">
        <v>367</v>
      </c>
      <c r="J2630" s="24">
        <v>44922</v>
      </c>
    </row>
    <row r="2631" spans="1:10" s="23" customFormat="1" x14ac:dyDescent="0.75">
      <c r="A2631" s="23" t="s">
        <v>96</v>
      </c>
      <c r="B2631" s="24">
        <v>44859</v>
      </c>
      <c r="C2631" s="23">
        <v>2</v>
      </c>
      <c r="D2631" s="23" t="s">
        <v>197</v>
      </c>
      <c r="E2631" s="52">
        <f>35-30</f>
        <v>5</v>
      </c>
      <c r="F2631" s="23" t="s">
        <v>363</v>
      </c>
      <c r="G2631" s="23" t="s">
        <v>361</v>
      </c>
      <c r="I2631" s="23" t="s">
        <v>367</v>
      </c>
      <c r="J2631" s="24">
        <v>44922</v>
      </c>
    </row>
    <row r="2632" spans="1:10" s="23" customFormat="1" x14ac:dyDescent="0.75">
      <c r="A2632" s="23" t="s">
        <v>96</v>
      </c>
      <c r="B2632" s="24">
        <v>44859</v>
      </c>
      <c r="C2632" s="23">
        <v>2</v>
      </c>
      <c r="D2632" s="23" t="s">
        <v>194</v>
      </c>
      <c r="E2632" s="52">
        <f>30-27</f>
        <v>3</v>
      </c>
      <c r="F2632" s="23" t="s">
        <v>363</v>
      </c>
      <c r="G2632" s="23" t="s">
        <v>361</v>
      </c>
      <c r="I2632" s="23" t="s">
        <v>367</v>
      </c>
      <c r="J2632" s="24">
        <v>44922</v>
      </c>
    </row>
    <row r="2633" spans="1:10" x14ac:dyDescent="0.75">
      <c r="A2633" t="s">
        <v>28</v>
      </c>
      <c r="B2633" s="3">
        <v>44859</v>
      </c>
      <c r="C2633">
        <v>1</v>
      </c>
      <c r="D2633" t="s">
        <v>160</v>
      </c>
      <c r="E2633" s="22">
        <f>28-24</f>
        <v>4</v>
      </c>
      <c r="F2633">
        <v>4190</v>
      </c>
      <c r="G2633" t="s">
        <v>361</v>
      </c>
      <c r="I2633" s="63" t="s">
        <v>367</v>
      </c>
      <c r="J2633" s="3">
        <v>44922</v>
      </c>
    </row>
    <row r="2634" spans="1:10" x14ac:dyDescent="0.75">
      <c r="A2634" t="s">
        <v>28</v>
      </c>
      <c r="B2634" s="3">
        <v>44859</v>
      </c>
      <c r="C2634">
        <v>1</v>
      </c>
      <c r="D2634" t="s">
        <v>197</v>
      </c>
      <c r="E2634" s="22">
        <f>23-20</f>
        <v>3</v>
      </c>
      <c r="G2634" t="s">
        <v>361</v>
      </c>
      <c r="I2634" s="63" t="s">
        <v>367</v>
      </c>
      <c r="J2634" s="3">
        <v>44922</v>
      </c>
    </row>
    <row r="2635" spans="1:10" x14ac:dyDescent="0.75">
      <c r="A2635" t="s">
        <v>28</v>
      </c>
      <c r="B2635" s="3">
        <v>44859</v>
      </c>
      <c r="C2635">
        <v>1</v>
      </c>
      <c r="D2635" t="s">
        <v>197</v>
      </c>
      <c r="E2635" s="22">
        <f>20-15</f>
        <v>5</v>
      </c>
      <c r="G2635" t="s">
        <v>361</v>
      </c>
      <c r="I2635" s="63" t="s">
        <v>367</v>
      </c>
      <c r="J2635" s="3">
        <v>44922</v>
      </c>
    </row>
    <row r="2636" spans="1:10" s="23" customFormat="1" x14ac:dyDescent="0.75">
      <c r="A2636" s="23" t="s">
        <v>28</v>
      </c>
      <c r="B2636" s="24">
        <v>44859</v>
      </c>
      <c r="C2636" s="23">
        <v>2</v>
      </c>
      <c r="D2636" s="23" t="s">
        <v>160</v>
      </c>
      <c r="E2636" s="52">
        <f>59-54</f>
        <v>5</v>
      </c>
      <c r="G2636" s="23" t="s">
        <v>733</v>
      </c>
      <c r="I2636" s="23" t="s">
        <v>367</v>
      </c>
      <c r="J2636" s="24">
        <v>44922</v>
      </c>
    </row>
    <row r="2637" spans="1:10" s="23" customFormat="1" x14ac:dyDescent="0.75">
      <c r="A2637" s="23" t="s">
        <v>28</v>
      </c>
      <c r="B2637" s="24">
        <v>44859</v>
      </c>
      <c r="C2637" s="23">
        <v>2</v>
      </c>
      <c r="D2637" s="23" t="s">
        <v>160</v>
      </c>
      <c r="E2637" s="52">
        <f>46-40</f>
        <v>6</v>
      </c>
      <c r="G2637" s="23" t="s">
        <v>733</v>
      </c>
      <c r="I2637" s="23" t="s">
        <v>367</v>
      </c>
      <c r="J2637" s="24">
        <v>44922</v>
      </c>
    </row>
    <row r="2638" spans="1:10" s="23" customFormat="1" x14ac:dyDescent="0.75">
      <c r="A2638" s="23" t="s">
        <v>28</v>
      </c>
      <c r="B2638" s="24">
        <v>44859</v>
      </c>
      <c r="C2638" s="23">
        <v>2</v>
      </c>
      <c r="D2638" s="23" t="s">
        <v>168</v>
      </c>
      <c r="E2638" s="52">
        <f>40-35</f>
        <v>5</v>
      </c>
      <c r="G2638" s="23" t="s">
        <v>733</v>
      </c>
      <c r="I2638" s="23" t="s">
        <v>367</v>
      </c>
      <c r="J2638" s="24">
        <v>44922</v>
      </c>
    </row>
    <row r="2639" spans="1:10" s="23" customFormat="1" x14ac:dyDescent="0.75">
      <c r="A2639" s="23" t="s">
        <v>28</v>
      </c>
      <c r="B2639" s="24">
        <v>44859</v>
      </c>
      <c r="C2639" s="23">
        <v>2</v>
      </c>
      <c r="D2639" s="23" t="s">
        <v>172</v>
      </c>
      <c r="E2639" s="52">
        <f>35-26</f>
        <v>9</v>
      </c>
      <c r="G2639" s="23" t="s">
        <v>733</v>
      </c>
      <c r="I2639" s="23" t="s">
        <v>367</v>
      </c>
      <c r="J2639" s="24">
        <v>44922</v>
      </c>
    </row>
    <row r="2640" spans="1:10" s="23" customFormat="1" x14ac:dyDescent="0.75">
      <c r="A2640" s="23" t="s">
        <v>28</v>
      </c>
      <c r="B2640" s="24">
        <v>44859</v>
      </c>
      <c r="C2640" s="23">
        <v>2</v>
      </c>
      <c r="D2640" s="23" t="s">
        <v>172</v>
      </c>
      <c r="E2640" s="52">
        <f>58-45</f>
        <v>13</v>
      </c>
      <c r="G2640" s="23" t="s">
        <v>361</v>
      </c>
      <c r="I2640" s="23" t="s">
        <v>367</v>
      </c>
      <c r="J2640" s="24">
        <v>44922</v>
      </c>
    </row>
    <row r="2641" spans="1:10" s="23" customFormat="1" x14ac:dyDescent="0.75">
      <c r="A2641" s="23" t="s">
        <v>28</v>
      </c>
      <c r="B2641" s="24">
        <v>44859</v>
      </c>
      <c r="C2641" s="23">
        <v>2</v>
      </c>
      <c r="D2641" s="23" t="s">
        <v>172</v>
      </c>
      <c r="E2641" s="52">
        <f>45-31</f>
        <v>14</v>
      </c>
      <c r="G2641" s="23" t="s">
        <v>361</v>
      </c>
      <c r="I2641" s="23" t="s">
        <v>367</v>
      </c>
      <c r="J2641" s="24">
        <v>44922</v>
      </c>
    </row>
    <row r="2642" spans="1:10" s="23" customFormat="1" x14ac:dyDescent="0.75">
      <c r="A2642" s="23" t="s">
        <v>28</v>
      </c>
      <c r="B2642" s="24">
        <v>44859</v>
      </c>
      <c r="C2642" s="23">
        <v>2</v>
      </c>
      <c r="D2642" s="23" t="s">
        <v>197</v>
      </c>
      <c r="E2642" s="52">
        <f>31-30</f>
        <v>1</v>
      </c>
      <c r="G2642" s="23" t="s">
        <v>361</v>
      </c>
      <c r="I2642" s="23" t="s">
        <v>367</v>
      </c>
      <c r="J2642" s="24">
        <v>44922</v>
      </c>
    </row>
    <row r="2643" spans="1:10" s="23" customFormat="1" x14ac:dyDescent="0.75">
      <c r="A2643" s="23" t="s">
        <v>28</v>
      </c>
      <c r="B2643" s="24">
        <v>44859</v>
      </c>
      <c r="C2643" s="23">
        <v>2</v>
      </c>
      <c r="D2643" s="23" t="s">
        <v>172</v>
      </c>
      <c r="E2643" s="52">
        <f>30-27</f>
        <v>3</v>
      </c>
      <c r="G2643" s="23" t="s">
        <v>361</v>
      </c>
      <c r="I2643" s="23" t="s">
        <v>367</v>
      </c>
      <c r="J2643" s="24">
        <v>44922</v>
      </c>
    </row>
    <row r="2644" spans="1:10" x14ac:dyDescent="0.75">
      <c r="A2644" t="s">
        <v>69</v>
      </c>
      <c r="B2644" s="3">
        <v>44867</v>
      </c>
      <c r="C2644">
        <v>2</v>
      </c>
      <c r="D2644" t="s">
        <v>201</v>
      </c>
      <c r="E2644" s="22">
        <f>57-54</f>
        <v>3</v>
      </c>
      <c r="F2644" t="s">
        <v>363</v>
      </c>
      <c r="G2644" t="s">
        <v>733</v>
      </c>
      <c r="I2644" t="s">
        <v>367</v>
      </c>
      <c r="J2644" s="3">
        <v>44931</v>
      </c>
    </row>
    <row r="2645" spans="1:10" x14ac:dyDescent="0.75">
      <c r="A2645" t="s">
        <v>69</v>
      </c>
      <c r="B2645" s="3">
        <v>44867</v>
      </c>
      <c r="C2645">
        <v>2</v>
      </c>
      <c r="D2645" t="s">
        <v>191</v>
      </c>
      <c r="E2645" s="22">
        <f>54-47</f>
        <v>7</v>
      </c>
      <c r="F2645" t="s">
        <v>363</v>
      </c>
      <c r="G2645" t="s">
        <v>733</v>
      </c>
      <c r="I2645" t="s">
        <v>367</v>
      </c>
      <c r="J2645" s="3">
        <v>44931</v>
      </c>
    </row>
    <row r="2646" spans="1:10" x14ac:dyDescent="0.75">
      <c r="A2646" t="s">
        <v>69</v>
      </c>
      <c r="B2646" s="3">
        <v>44867</v>
      </c>
      <c r="C2646">
        <v>2</v>
      </c>
      <c r="D2646" t="s">
        <v>197</v>
      </c>
      <c r="E2646" s="22">
        <f>47-42</f>
        <v>5</v>
      </c>
      <c r="F2646" t="s">
        <v>363</v>
      </c>
      <c r="G2646" t="s">
        <v>733</v>
      </c>
      <c r="I2646" t="s">
        <v>367</v>
      </c>
      <c r="J2646" s="3">
        <v>44931</v>
      </c>
    </row>
    <row r="2647" spans="1:10" s="43" customFormat="1" x14ac:dyDescent="0.75">
      <c r="A2647" s="43" t="s">
        <v>69</v>
      </c>
      <c r="B2647" s="44">
        <v>44867</v>
      </c>
      <c r="C2647" s="43">
        <v>3</v>
      </c>
      <c r="D2647" s="43" t="s">
        <v>194</v>
      </c>
      <c r="E2647" s="55">
        <f>42-36</f>
        <v>6</v>
      </c>
      <c r="F2647" s="43" t="s">
        <v>363</v>
      </c>
      <c r="G2647" s="43" t="s">
        <v>733</v>
      </c>
      <c r="I2647" s="43" t="s">
        <v>367</v>
      </c>
      <c r="J2647" s="44">
        <v>44931</v>
      </c>
    </row>
    <row r="2648" spans="1:10" s="43" customFormat="1" x14ac:dyDescent="0.75">
      <c r="A2648" s="43" t="s">
        <v>69</v>
      </c>
      <c r="B2648" s="44">
        <v>44867</v>
      </c>
      <c r="C2648" s="43">
        <v>3</v>
      </c>
      <c r="D2648" s="43" t="s">
        <v>153</v>
      </c>
      <c r="E2648" s="55">
        <f>36-30</f>
        <v>6</v>
      </c>
      <c r="F2648" s="43" t="s">
        <v>363</v>
      </c>
      <c r="G2648" s="43" t="s">
        <v>733</v>
      </c>
      <c r="I2648" s="67" t="s">
        <v>367</v>
      </c>
      <c r="J2648" s="44">
        <v>44931</v>
      </c>
    </row>
    <row r="2649" spans="1:10" s="43" customFormat="1" x14ac:dyDescent="0.75">
      <c r="A2649" s="43" t="s">
        <v>69</v>
      </c>
      <c r="B2649" s="44">
        <v>44867</v>
      </c>
      <c r="C2649" s="43">
        <v>3</v>
      </c>
      <c r="D2649" s="43" t="s">
        <v>197</v>
      </c>
      <c r="E2649" s="55">
        <f>29-14</f>
        <v>15</v>
      </c>
      <c r="F2649" s="43" t="s">
        <v>363</v>
      </c>
      <c r="G2649" s="43" t="s">
        <v>733</v>
      </c>
      <c r="I2649" s="67" t="s">
        <v>367</v>
      </c>
      <c r="J2649" s="44">
        <v>44931</v>
      </c>
    </row>
    <row r="2650" spans="1:10" s="43" customFormat="1" x14ac:dyDescent="0.75">
      <c r="A2650" s="43" t="s">
        <v>69</v>
      </c>
      <c r="B2650" s="44">
        <v>44867</v>
      </c>
      <c r="C2650" s="43">
        <v>3</v>
      </c>
      <c r="D2650" s="43" t="s">
        <v>197</v>
      </c>
      <c r="E2650" s="55">
        <f>14-4</f>
        <v>10</v>
      </c>
      <c r="F2650" s="43" t="s">
        <v>363</v>
      </c>
      <c r="G2650" s="43" t="s">
        <v>733</v>
      </c>
      <c r="I2650" s="67" t="s">
        <v>367</v>
      </c>
      <c r="J2650" s="44">
        <v>44931</v>
      </c>
    </row>
    <row r="2651" spans="1:10" s="43" customFormat="1" x14ac:dyDescent="0.75">
      <c r="A2651" s="43" t="s">
        <v>69</v>
      </c>
      <c r="B2651" s="44">
        <v>44867</v>
      </c>
      <c r="C2651" s="43">
        <v>3</v>
      </c>
      <c r="D2651" s="43" t="s">
        <v>194</v>
      </c>
      <c r="E2651" s="55">
        <f>58-48</f>
        <v>10</v>
      </c>
      <c r="F2651" s="43" t="s">
        <v>363</v>
      </c>
      <c r="G2651" s="43" t="s">
        <v>361</v>
      </c>
      <c r="I2651" s="67" t="s">
        <v>367</v>
      </c>
      <c r="J2651" s="44">
        <v>44931</v>
      </c>
    </row>
    <row r="2652" spans="1:10" s="43" customFormat="1" x14ac:dyDescent="0.75">
      <c r="A2652" s="43" t="s">
        <v>69</v>
      </c>
      <c r="B2652" s="44">
        <v>44867</v>
      </c>
      <c r="C2652" s="43">
        <v>3</v>
      </c>
      <c r="D2652" s="43" t="s">
        <v>164</v>
      </c>
      <c r="E2652" s="55">
        <f>48-38</f>
        <v>10</v>
      </c>
      <c r="F2652" s="43" t="s">
        <v>363</v>
      </c>
      <c r="G2652" s="43" t="s">
        <v>361</v>
      </c>
      <c r="I2652" s="67" t="s">
        <v>367</v>
      </c>
      <c r="J2652" s="44">
        <v>44931</v>
      </c>
    </row>
    <row r="2653" spans="1:10" s="43" customFormat="1" x14ac:dyDescent="0.75">
      <c r="A2653" s="43" t="s">
        <v>69</v>
      </c>
      <c r="B2653" s="44">
        <v>44867</v>
      </c>
      <c r="C2653" s="43">
        <v>3</v>
      </c>
      <c r="D2653" s="43" t="s">
        <v>194</v>
      </c>
      <c r="E2653" s="55">
        <f>38-23</f>
        <v>15</v>
      </c>
      <c r="F2653" s="43" t="s">
        <v>363</v>
      </c>
      <c r="G2653" s="43" t="s">
        <v>361</v>
      </c>
      <c r="I2653" s="67" t="s">
        <v>367</v>
      </c>
      <c r="J2653" s="44">
        <v>44931</v>
      </c>
    </row>
    <row r="2654" spans="1:10" s="43" customFormat="1" x14ac:dyDescent="0.75">
      <c r="A2654" s="43" t="s">
        <v>69</v>
      </c>
      <c r="B2654" s="44">
        <v>44867</v>
      </c>
      <c r="C2654" s="43">
        <v>3</v>
      </c>
      <c r="D2654" s="43" t="s">
        <v>194</v>
      </c>
      <c r="E2654" s="55">
        <f>23-15</f>
        <v>8</v>
      </c>
      <c r="F2654" s="43" t="s">
        <v>363</v>
      </c>
      <c r="G2654" s="43" t="s">
        <v>361</v>
      </c>
      <c r="I2654" s="67" t="s">
        <v>367</v>
      </c>
      <c r="J2654" s="44">
        <v>44931</v>
      </c>
    </row>
    <row r="2655" spans="1:10" x14ac:dyDescent="0.75">
      <c r="A2655" t="s">
        <v>69</v>
      </c>
      <c r="B2655" s="3">
        <v>44867</v>
      </c>
      <c r="C2655">
        <v>4</v>
      </c>
      <c r="D2655" t="s">
        <v>201</v>
      </c>
      <c r="E2655" s="22">
        <f>4+53-52</f>
        <v>5</v>
      </c>
      <c r="F2655" t="s">
        <v>363</v>
      </c>
      <c r="G2655" t="s">
        <v>733</v>
      </c>
      <c r="I2655" s="66" t="s">
        <v>367</v>
      </c>
      <c r="J2655" s="3">
        <v>44931</v>
      </c>
    </row>
    <row r="2656" spans="1:10" x14ac:dyDescent="0.75">
      <c r="A2656" t="s">
        <v>69</v>
      </c>
      <c r="B2656" s="3">
        <v>44867</v>
      </c>
      <c r="C2656">
        <v>4</v>
      </c>
      <c r="D2656" t="s">
        <v>194</v>
      </c>
      <c r="E2656" s="22">
        <f>52-6</f>
        <v>46</v>
      </c>
      <c r="F2656" t="s">
        <v>363</v>
      </c>
      <c r="G2656" t="s">
        <v>733</v>
      </c>
      <c r="I2656" s="66" t="s">
        <v>367</v>
      </c>
      <c r="J2656" s="3">
        <v>44931</v>
      </c>
    </row>
    <row r="2657" spans="1:10" x14ac:dyDescent="0.75">
      <c r="A2657" t="s">
        <v>69</v>
      </c>
      <c r="B2657" s="3">
        <v>44867</v>
      </c>
      <c r="C2657">
        <v>4</v>
      </c>
      <c r="D2657" t="s">
        <v>201</v>
      </c>
      <c r="E2657" s="22">
        <f>6</f>
        <v>6</v>
      </c>
      <c r="F2657" t="s">
        <v>363</v>
      </c>
      <c r="G2657" t="s">
        <v>733</v>
      </c>
      <c r="I2657" s="66" t="s">
        <v>367</v>
      </c>
      <c r="J2657" s="3">
        <v>44931</v>
      </c>
    </row>
    <row r="2658" spans="1:10" x14ac:dyDescent="0.75">
      <c r="A2658" t="s">
        <v>69</v>
      </c>
      <c r="B2658" s="3">
        <v>44867</v>
      </c>
      <c r="C2658">
        <v>4</v>
      </c>
      <c r="D2658" t="s">
        <v>205</v>
      </c>
      <c r="E2658" s="22">
        <f>56-49</f>
        <v>7</v>
      </c>
      <c r="F2658" t="s">
        <v>363</v>
      </c>
      <c r="G2658" t="s">
        <v>733</v>
      </c>
      <c r="I2658" s="66" t="s">
        <v>367</v>
      </c>
      <c r="J2658" s="3">
        <v>44931</v>
      </c>
    </row>
    <row r="2659" spans="1:10" x14ac:dyDescent="0.75">
      <c r="A2659" t="s">
        <v>69</v>
      </c>
      <c r="B2659" s="3">
        <v>44867</v>
      </c>
      <c r="C2659">
        <v>4</v>
      </c>
      <c r="D2659" t="s">
        <v>194</v>
      </c>
      <c r="E2659" s="22">
        <f>49-37</f>
        <v>12</v>
      </c>
      <c r="F2659" t="s">
        <v>363</v>
      </c>
      <c r="G2659" t="s">
        <v>733</v>
      </c>
      <c r="I2659" s="66" t="s">
        <v>367</v>
      </c>
      <c r="J2659" s="3">
        <v>44931</v>
      </c>
    </row>
    <row r="2660" spans="1:10" x14ac:dyDescent="0.75">
      <c r="A2660" t="s">
        <v>69</v>
      </c>
      <c r="B2660" s="3">
        <v>44867</v>
      </c>
      <c r="C2660">
        <v>4</v>
      </c>
      <c r="D2660" t="s">
        <v>164</v>
      </c>
      <c r="E2660" s="22">
        <f>37-35</f>
        <v>2</v>
      </c>
      <c r="F2660" t="s">
        <v>363</v>
      </c>
      <c r="G2660" t="s">
        <v>733</v>
      </c>
      <c r="I2660" s="66" t="s">
        <v>367</v>
      </c>
      <c r="J2660" s="3">
        <v>44931</v>
      </c>
    </row>
    <row r="2661" spans="1:10" x14ac:dyDescent="0.75">
      <c r="A2661" t="s">
        <v>69</v>
      </c>
      <c r="B2661" s="3">
        <v>44867</v>
      </c>
      <c r="C2661">
        <v>4</v>
      </c>
      <c r="D2661" t="s">
        <v>201</v>
      </c>
      <c r="E2661" s="22">
        <f>35-14</f>
        <v>21</v>
      </c>
      <c r="F2661" t="s">
        <v>363</v>
      </c>
      <c r="G2661" t="s">
        <v>733</v>
      </c>
      <c r="I2661" s="66" t="s">
        <v>367</v>
      </c>
      <c r="J2661" s="3">
        <v>44931</v>
      </c>
    </row>
    <row r="2662" spans="1:10" x14ac:dyDescent="0.75">
      <c r="A2662" t="s">
        <v>69</v>
      </c>
      <c r="B2662" s="3">
        <v>44867</v>
      </c>
      <c r="C2662">
        <v>4</v>
      </c>
      <c r="D2662" t="s">
        <v>201</v>
      </c>
      <c r="E2662" s="22">
        <f>13+58-53</f>
        <v>18</v>
      </c>
      <c r="F2662" t="s">
        <v>363</v>
      </c>
      <c r="G2662" t="s">
        <v>733</v>
      </c>
      <c r="I2662" s="66" t="s">
        <v>367</v>
      </c>
      <c r="J2662" s="3">
        <v>44931</v>
      </c>
    </row>
    <row r="2663" spans="1:10" x14ac:dyDescent="0.75">
      <c r="A2663" t="s">
        <v>69</v>
      </c>
      <c r="B2663" s="3">
        <v>44867</v>
      </c>
      <c r="C2663">
        <v>4</v>
      </c>
      <c r="D2663" t="s">
        <v>194</v>
      </c>
      <c r="E2663" s="22">
        <f>53-31</f>
        <v>22</v>
      </c>
      <c r="F2663" t="s">
        <v>363</v>
      </c>
      <c r="G2663" t="s">
        <v>733</v>
      </c>
      <c r="I2663" s="66" t="s">
        <v>367</v>
      </c>
      <c r="J2663" s="3">
        <v>44931</v>
      </c>
    </row>
    <row r="2664" spans="1:10" x14ac:dyDescent="0.75">
      <c r="A2664" t="s">
        <v>69</v>
      </c>
      <c r="B2664" s="3">
        <v>44867</v>
      </c>
      <c r="C2664">
        <v>4</v>
      </c>
      <c r="D2664" t="s">
        <v>164</v>
      </c>
      <c r="E2664" s="22">
        <f>50-24</f>
        <v>26</v>
      </c>
      <c r="F2664" t="s">
        <v>363</v>
      </c>
      <c r="G2664" t="s">
        <v>361</v>
      </c>
      <c r="I2664" s="66" t="s">
        <v>367</v>
      </c>
      <c r="J2664" s="3">
        <v>44931</v>
      </c>
    </row>
    <row r="2665" spans="1:10" x14ac:dyDescent="0.75">
      <c r="A2665" t="s">
        <v>69</v>
      </c>
      <c r="B2665" s="3">
        <v>44867</v>
      </c>
      <c r="C2665">
        <v>4</v>
      </c>
      <c r="D2665" t="s">
        <v>164</v>
      </c>
      <c r="E2665" s="22">
        <f>24-20</f>
        <v>4</v>
      </c>
      <c r="F2665" t="s">
        <v>363</v>
      </c>
      <c r="G2665" t="s">
        <v>361</v>
      </c>
      <c r="I2665" s="66" t="s">
        <v>367</v>
      </c>
      <c r="J2665" s="3">
        <v>44931</v>
      </c>
    </row>
    <row r="2666" spans="1:10" x14ac:dyDescent="0.75">
      <c r="A2666" t="s">
        <v>69</v>
      </c>
      <c r="B2666" s="3">
        <v>44867</v>
      </c>
      <c r="C2666">
        <v>4</v>
      </c>
      <c r="D2666" t="s">
        <v>197</v>
      </c>
      <c r="E2666" s="22">
        <f>15-8</f>
        <v>7</v>
      </c>
      <c r="F2666" t="s">
        <v>363</v>
      </c>
      <c r="G2666" t="s">
        <v>361</v>
      </c>
      <c r="I2666" s="66" t="s">
        <v>367</v>
      </c>
      <c r="J2666" s="3">
        <v>44931</v>
      </c>
    </row>
    <row r="2667" spans="1:10" x14ac:dyDescent="0.75">
      <c r="A2667" t="s">
        <v>69</v>
      </c>
      <c r="B2667" s="3">
        <v>44867</v>
      </c>
      <c r="C2667">
        <v>4</v>
      </c>
      <c r="D2667" t="s">
        <v>194</v>
      </c>
      <c r="E2667" s="22">
        <f>8</f>
        <v>8</v>
      </c>
      <c r="F2667" t="s">
        <v>363</v>
      </c>
      <c r="G2667" t="s">
        <v>361</v>
      </c>
      <c r="I2667" s="66" t="s">
        <v>367</v>
      </c>
      <c r="J2667" s="3">
        <v>44931</v>
      </c>
    </row>
    <row r="2668" spans="1:10" ht="14.45" customHeight="1" x14ac:dyDescent="0.75">
      <c r="A2668" t="s">
        <v>69</v>
      </c>
      <c r="B2668" s="3">
        <v>44867</v>
      </c>
      <c r="C2668">
        <v>4</v>
      </c>
      <c r="D2668" t="s">
        <v>194</v>
      </c>
      <c r="E2668" s="22">
        <f>58-50</f>
        <v>8</v>
      </c>
      <c r="F2668" t="s">
        <v>363</v>
      </c>
      <c r="G2668" t="s">
        <v>361</v>
      </c>
      <c r="I2668" s="66" t="s">
        <v>367</v>
      </c>
      <c r="J2668" s="3">
        <v>44931</v>
      </c>
    </row>
    <row r="2669" spans="1:10" s="43" customFormat="1" x14ac:dyDescent="0.75">
      <c r="A2669" s="43" t="s">
        <v>48</v>
      </c>
      <c r="B2669" s="44">
        <v>44868</v>
      </c>
      <c r="C2669" s="43">
        <v>1</v>
      </c>
      <c r="D2669" s="43" t="s">
        <v>197</v>
      </c>
      <c r="E2669" s="55">
        <f>59-54</f>
        <v>5</v>
      </c>
      <c r="F2669" s="43" t="s">
        <v>363</v>
      </c>
      <c r="G2669" s="43" t="s">
        <v>361</v>
      </c>
      <c r="I2669" s="43" t="s">
        <v>367</v>
      </c>
      <c r="J2669" s="44">
        <v>44931</v>
      </c>
    </row>
    <row r="2670" spans="1:10" s="43" customFormat="1" x14ac:dyDescent="0.75">
      <c r="A2670" s="43" t="s">
        <v>48</v>
      </c>
      <c r="B2670" s="44">
        <v>44868</v>
      </c>
      <c r="C2670" s="43">
        <v>1</v>
      </c>
      <c r="D2670" s="43" t="s">
        <v>197</v>
      </c>
      <c r="E2670" s="55">
        <f>57-17</f>
        <v>40</v>
      </c>
      <c r="F2670" s="43" t="s">
        <v>363</v>
      </c>
      <c r="G2670" s="43" t="s">
        <v>374</v>
      </c>
      <c r="I2670" s="43" t="s">
        <v>367</v>
      </c>
      <c r="J2670" s="44">
        <v>44931</v>
      </c>
    </row>
    <row r="2671" spans="1:10" s="43" customFormat="1" x14ac:dyDescent="0.75">
      <c r="A2671" s="43" t="s">
        <v>48</v>
      </c>
      <c r="B2671" s="44">
        <v>44868</v>
      </c>
      <c r="C2671" s="43">
        <v>1</v>
      </c>
      <c r="D2671" s="43" t="s">
        <v>207</v>
      </c>
      <c r="E2671" s="55">
        <f>17-16</f>
        <v>1</v>
      </c>
      <c r="F2671" s="43" t="s">
        <v>363</v>
      </c>
      <c r="G2671" s="43" t="s">
        <v>374</v>
      </c>
      <c r="I2671" s="43" t="s">
        <v>367</v>
      </c>
      <c r="J2671" s="44">
        <v>44931</v>
      </c>
    </row>
    <row r="2672" spans="1:10" s="43" customFormat="1" x14ac:dyDescent="0.75">
      <c r="A2672" s="43" t="s">
        <v>48</v>
      </c>
      <c r="B2672" s="44">
        <v>44868</v>
      </c>
      <c r="C2672" s="43">
        <v>1</v>
      </c>
      <c r="D2672" s="43" t="s">
        <v>191</v>
      </c>
      <c r="E2672" s="55">
        <f>16-15</f>
        <v>1</v>
      </c>
      <c r="F2672" s="43" t="s">
        <v>363</v>
      </c>
      <c r="G2672" s="43" t="s">
        <v>374</v>
      </c>
      <c r="I2672" s="43" t="s">
        <v>367</v>
      </c>
      <c r="J2672" s="44">
        <v>44931</v>
      </c>
    </row>
    <row r="2673" spans="1:10" s="43" customFormat="1" x14ac:dyDescent="0.75">
      <c r="A2673" s="43" t="s">
        <v>48</v>
      </c>
      <c r="B2673" s="44">
        <v>44868</v>
      </c>
      <c r="C2673" s="43">
        <v>1</v>
      </c>
      <c r="D2673" s="43" t="s">
        <v>207</v>
      </c>
      <c r="E2673" s="55">
        <f>15-14</f>
        <v>1</v>
      </c>
      <c r="F2673" s="43" t="s">
        <v>363</v>
      </c>
      <c r="G2673" s="43" t="s">
        <v>374</v>
      </c>
      <c r="I2673" s="43" t="s">
        <v>367</v>
      </c>
      <c r="J2673" s="44">
        <v>44931</v>
      </c>
    </row>
    <row r="2674" spans="1:10" s="43" customFormat="1" x14ac:dyDescent="0.75">
      <c r="A2674" s="43" t="s">
        <v>48</v>
      </c>
      <c r="B2674" s="44">
        <v>44868</v>
      </c>
      <c r="C2674" s="43">
        <v>1</v>
      </c>
      <c r="D2674" s="43" t="s">
        <v>197</v>
      </c>
      <c r="E2674" s="55">
        <f>14-10</f>
        <v>4</v>
      </c>
      <c r="F2674" s="43" t="s">
        <v>363</v>
      </c>
      <c r="G2674" s="43" t="s">
        <v>374</v>
      </c>
      <c r="I2674" s="43" t="s">
        <v>367</v>
      </c>
      <c r="J2674" s="44">
        <v>44931</v>
      </c>
    </row>
    <row r="2675" spans="1:10" s="43" customFormat="1" x14ac:dyDescent="0.75">
      <c r="A2675" s="43" t="s">
        <v>48</v>
      </c>
      <c r="B2675" s="44">
        <v>44868</v>
      </c>
      <c r="C2675" s="43">
        <v>1</v>
      </c>
      <c r="D2675" s="43" t="s">
        <v>197</v>
      </c>
      <c r="E2675" s="55">
        <f>10-2</f>
        <v>8</v>
      </c>
      <c r="F2675" s="43" t="s">
        <v>363</v>
      </c>
      <c r="G2675" s="43" t="s">
        <v>374</v>
      </c>
      <c r="I2675" s="43" t="s">
        <v>367</v>
      </c>
      <c r="J2675" s="44">
        <v>44931</v>
      </c>
    </row>
    <row r="2676" spans="1:10" s="43" customFormat="1" x14ac:dyDescent="0.75">
      <c r="A2676" s="43" t="s">
        <v>48</v>
      </c>
      <c r="B2676" s="44">
        <v>44868</v>
      </c>
      <c r="C2676" s="43">
        <v>1</v>
      </c>
      <c r="D2676" s="43" t="s">
        <v>197</v>
      </c>
      <c r="E2676" s="55">
        <f>52-48</f>
        <v>4</v>
      </c>
      <c r="F2676" s="43" t="s">
        <v>363</v>
      </c>
      <c r="G2676" s="43" t="s">
        <v>367</v>
      </c>
      <c r="I2676" s="43" t="s">
        <v>367</v>
      </c>
      <c r="J2676" s="44">
        <v>44931</v>
      </c>
    </row>
    <row r="2677" spans="1:10" x14ac:dyDescent="0.75">
      <c r="A2677" t="s">
        <v>44</v>
      </c>
      <c r="B2677" s="3">
        <v>44868</v>
      </c>
      <c r="C2677">
        <v>1</v>
      </c>
      <c r="D2677" t="s">
        <v>168</v>
      </c>
      <c r="E2677" s="22">
        <f>60-45</f>
        <v>15</v>
      </c>
      <c r="F2677" t="s">
        <v>363</v>
      </c>
      <c r="G2677" t="s">
        <v>361</v>
      </c>
      <c r="I2677" t="s">
        <v>367</v>
      </c>
      <c r="J2677" s="3">
        <v>44931</v>
      </c>
    </row>
    <row r="2678" spans="1:10" x14ac:dyDescent="0.75">
      <c r="A2678" t="s">
        <v>44</v>
      </c>
      <c r="B2678" s="3">
        <v>44868</v>
      </c>
      <c r="C2678">
        <v>1</v>
      </c>
      <c r="D2678" t="s">
        <v>168</v>
      </c>
      <c r="E2678" s="22">
        <f>45-40</f>
        <v>5</v>
      </c>
      <c r="F2678" t="s">
        <v>363</v>
      </c>
      <c r="G2678" t="s">
        <v>361</v>
      </c>
      <c r="I2678" t="s">
        <v>367</v>
      </c>
      <c r="J2678" s="3">
        <v>44931</v>
      </c>
    </row>
    <row r="2679" spans="1:10" x14ac:dyDescent="0.75">
      <c r="A2679" t="s">
        <v>44</v>
      </c>
      <c r="B2679" s="3">
        <v>44868</v>
      </c>
      <c r="C2679">
        <v>1</v>
      </c>
      <c r="D2679" t="s">
        <v>168</v>
      </c>
      <c r="E2679" s="22">
        <f>40-4</f>
        <v>36</v>
      </c>
      <c r="F2679" t="s">
        <v>363</v>
      </c>
      <c r="G2679" t="s">
        <v>361</v>
      </c>
      <c r="I2679" t="s">
        <v>367</v>
      </c>
      <c r="J2679" s="3">
        <v>44931</v>
      </c>
    </row>
    <row r="2680" spans="1:10" x14ac:dyDescent="0.75">
      <c r="A2680" t="s">
        <v>44</v>
      </c>
      <c r="B2680" s="3">
        <v>44868</v>
      </c>
      <c r="C2680">
        <v>1</v>
      </c>
      <c r="D2680" t="s">
        <v>207</v>
      </c>
      <c r="E2680" s="22">
        <f>58-54</f>
        <v>4</v>
      </c>
      <c r="F2680" t="s">
        <v>363</v>
      </c>
      <c r="G2680" t="s">
        <v>374</v>
      </c>
      <c r="I2680" t="s">
        <v>367</v>
      </c>
      <c r="J2680" s="3">
        <v>44931</v>
      </c>
    </row>
    <row r="2681" spans="1:10" x14ac:dyDescent="0.75">
      <c r="A2681" t="s">
        <v>44</v>
      </c>
      <c r="B2681" s="3">
        <v>44868</v>
      </c>
      <c r="C2681">
        <v>1</v>
      </c>
      <c r="D2681" t="s">
        <v>207</v>
      </c>
      <c r="E2681" s="22">
        <f>54-52</f>
        <v>2</v>
      </c>
      <c r="F2681" t="s">
        <v>363</v>
      </c>
      <c r="G2681" t="s">
        <v>374</v>
      </c>
      <c r="I2681" t="s">
        <v>367</v>
      </c>
      <c r="J2681" s="3">
        <v>44931</v>
      </c>
    </row>
    <row r="2682" spans="1:10" x14ac:dyDescent="0.75">
      <c r="A2682" t="s">
        <v>44</v>
      </c>
      <c r="B2682" s="3">
        <v>44868</v>
      </c>
      <c r="C2682">
        <v>1</v>
      </c>
      <c r="D2682" t="s">
        <v>207</v>
      </c>
      <c r="E2682" s="22">
        <f>52-46</f>
        <v>6</v>
      </c>
      <c r="F2682" t="s">
        <v>363</v>
      </c>
      <c r="G2682" t="s">
        <v>374</v>
      </c>
      <c r="I2682" t="s">
        <v>367</v>
      </c>
      <c r="J2682" s="3">
        <v>44931</v>
      </c>
    </row>
    <row r="2683" spans="1:10" x14ac:dyDescent="0.75">
      <c r="A2683" t="s">
        <v>44</v>
      </c>
      <c r="B2683" s="3">
        <v>44868</v>
      </c>
      <c r="C2683">
        <v>1</v>
      </c>
      <c r="D2683" t="s">
        <v>207</v>
      </c>
      <c r="E2683" s="22">
        <f>46-18</f>
        <v>28</v>
      </c>
      <c r="F2683" t="s">
        <v>363</v>
      </c>
      <c r="G2683" t="s">
        <v>374</v>
      </c>
      <c r="I2683" t="s">
        <v>367</v>
      </c>
      <c r="J2683" s="3">
        <v>44931</v>
      </c>
    </row>
    <row r="2684" spans="1:10" x14ac:dyDescent="0.75">
      <c r="A2684" t="s">
        <v>44</v>
      </c>
      <c r="B2684" s="3">
        <v>44868</v>
      </c>
      <c r="C2684">
        <v>1</v>
      </c>
      <c r="D2684" t="s">
        <v>191</v>
      </c>
      <c r="E2684" s="22">
        <f>1</f>
        <v>1</v>
      </c>
      <c r="F2684" t="s">
        <v>363</v>
      </c>
      <c r="G2684" t="s">
        <v>374</v>
      </c>
      <c r="I2684" t="s">
        <v>367</v>
      </c>
      <c r="J2684" s="3">
        <v>44931</v>
      </c>
    </row>
    <row r="2685" spans="1:10" x14ac:dyDescent="0.75">
      <c r="A2685" t="s">
        <v>44</v>
      </c>
      <c r="B2685" s="3">
        <v>44868</v>
      </c>
      <c r="C2685">
        <v>1</v>
      </c>
      <c r="D2685" t="s">
        <v>153</v>
      </c>
      <c r="E2685" s="22">
        <f>18-17</f>
        <v>1</v>
      </c>
      <c r="F2685" t="s">
        <v>363</v>
      </c>
      <c r="G2685" t="s">
        <v>374</v>
      </c>
      <c r="I2685" t="s">
        <v>367</v>
      </c>
      <c r="J2685" s="3">
        <v>44931</v>
      </c>
    </row>
    <row r="2686" spans="1:10" x14ac:dyDescent="0.75">
      <c r="A2686" t="s">
        <v>44</v>
      </c>
      <c r="B2686" s="3">
        <v>44868</v>
      </c>
      <c r="C2686">
        <v>1</v>
      </c>
      <c r="D2686" t="s">
        <v>201</v>
      </c>
      <c r="E2686" s="22">
        <f>17+53-8</f>
        <v>62</v>
      </c>
      <c r="F2686" t="s">
        <v>363</v>
      </c>
      <c r="G2686" t="s">
        <v>374</v>
      </c>
      <c r="I2686" t="s">
        <v>367</v>
      </c>
      <c r="J2686" s="3">
        <v>44931</v>
      </c>
    </row>
    <row r="2687" spans="1:10" x14ac:dyDescent="0.75">
      <c r="A2687" t="s">
        <v>44</v>
      </c>
      <c r="B2687" s="3">
        <v>44868</v>
      </c>
      <c r="C2687">
        <v>1</v>
      </c>
      <c r="D2687" t="s">
        <v>207</v>
      </c>
      <c r="E2687" s="22">
        <f>8</f>
        <v>8</v>
      </c>
      <c r="F2687" t="s">
        <v>363</v>
      </c>
      <c r="G2687" t="s">
        <v>374</v>
      </c>
      <c r="I2687" t="s">
        <v>367</v>
      </c>
      <c r="J2687" s="3">
        <v>44931</v>
      </c>
    </row>
    <row r="2688" spans="1:10" x14ac:dyDescent="0.75">
      <c r="A2688" t="s">
        <v>44</v>
      </c>
      <c r="B2688" s="3">
        <v>44868</v>
      </c>
      <c r="C2688">
        <v>1</v>
      </c>
      <c r="D2688" t="s">
        <v>176</v>
      </c>
      <c r="E2688" s="22">
        <f>58-52</f>
        <v>6</v>
      </c>
      <c r="F2688" t="s">
        <v>363</v>
      </c>
      <c r="G2688" t="s">
        <v>374</v>
      </c>
      <c r="I2688" t="s">
        <v>367</v>
      </c>
      <c r="J2688" s="3">
        <v>44931</v>
      </c>
    </row>
    <row r="2689" spans="1:10" x14ac:dyDescent="0.75">
      <c r="A2689" t="s">
        <v>44</v>
      </c>
      <c r="B2689" s="3">
        <v>44868</v>
      </c>
      <c r="C2689">
        <v>1</v>
      </c>
      <c r="D2689" t="s">
        <v>207</v>
      </c>
      <c r="E2689" s="22">
        <f>52-48</f>
        <v>4</v>
      </c>
      <c r="F2689" t="s">
        <v>363</v>
      </c>
      <c r="G2689" t="s">
        <v>374</v>
      </c>
      <c r="I2689" t="s">
        <v>367</v>
      </c>
      <c r="J2689" s="3">
        <v>44931</v>
      </c>
    </row>
    <row r="2690" spans="1:10" x14ac:dyDescent="0.75">
      <c r="A2690" t="s">
        <v>44</v>
      </c>
      <c r="B2690" s="3">
        <v>44868</v>
      </c>
      <c r="C2690">
        <v>1</v>
      </c>
      <c r="D2690" t="s">
        <v>207</v>
      </c>
      <c r="E2690" s="22">
        <f>48-30</f>
        <v>18</v>
      </c>
      <c r="F2690" t="s">
        <v>363</v>
      </c>
      <c r="G2690" t="s">
        <v>374</v>
      </c>
      <c r="I2690" t="s">
        <v>367</v>
      </c>
      <c r="J2690" s="3">
        <v>44931</v>
      </c>
    </row>
    <row r="2691" spans="1:10" x14ac:dyDescent="0.75">
      <c r="A2691" t="s">
        <v>44</v>
      </c>
      <c r="B2691" s="3">
        <v>44868</v>
      </c>
      <c r="C2691">
        <v>1</v>
      </c>
      <c r="D2691" t="s">
        <v>191</v>
      </c>
      <c r="E2691" s="22">
        <f>1</f>
        <v>1</v>
      </c>
      <c r="F2691" t="s">
        <v>363</v>
      </c>
      <c r="G2691" t="s">
        <v>374</v>
      </c>
      <c r="I2691" t="s">
        <v>367</v>
      </c>
      <c r="J2691" s="3">
        <v>44931</v>
      </c>
    </row>
    <row r="2692" spans="1:10" x14ac:dyDescent="0.75">
      <c r="A2692" t="s">
        <v>44</v>
      </c>
      <c r="B2692" s="3">
        <v>44868</v>
      </c>
      <c r="C2692">
        <v>1</v>
      </c>
      <c r="D2692" t="s">
        <v>176</v>
      </c>
      <c r="E2692" s="22">
        <f>30-20</f>
        <v>10</v>
      </c>
      <c r="F2692" t="s">
        <v>363</v>
      </c>
      <c r="G2692" t="s">
        <v>374</v>
      </c>
      <c r="I2692" t="s">
        <v>367</v>
      </c>
      <c r="J2692" s="3">
        <v>44931</v>
      </c>
    </row>
    <row r="2693" spans="1:10" x14ac:dyDescent="0.75">
      <c r="A2693" t="s">
        <v>44</v>
      </c>
      <c r="B2693" s="3">
        <v>44868</v>
      </c>
      <c r="C2693">
        <v>1</v>
      </c>
      <c r="D2693" t="s">
        <v>194</v>
      </c>
      <c r="E2693" s="22">
        <f>20-16</f>
        <v>4</v>
      </c>
      <c r="F2693" t="s">
        <v>363</v>
      </c>
      <c r="G2693" t="s">
        <v>374</v>
      </c>
      <c r="I2693" t="s">
        <v>367</v>
      </c>
      <c r="J2693" s="3">
        <v>44931</v>
      </c>
    </row>
    <row r="2694" spans="1:10" x14ac:dyDescent="0.75">
      <c r="A2694" t="s">
        <v>44</v>
      </c>
      <c r="B2694" s="3">
        <v>44868</v>
      </c>
      <c r="C2694">
        <v>1</v>
      </c>
      <c r="D2694" t="s">
        <v>207</v>
      </c>
      <c r="E2694" s="22">
        <f>16-13</f>
        <v>3</v>
      </c>
      <c r="F2694" t="s">
        <v>363</v>
      </c>
      <c r="G2694" t="s">
        <v>374</v>
      </c>
      <c r="I2694" t="s">
        <v>367</v>
      </c>
      <c r="J2694" s="3">
        <v>44931</v>
      </c>
    </row>
    <row r="2695" spans="1:10" x14ac:dyDescent="0.75">
      <c r="A2695" t="s">
        <v>44</v>
      </c>
      <c r="B2695" s="3">
        <v>44868</v>
      </c>
      <c r="C2695">
        <v>1</v>
      </c>
      <c r="D2695" t="s">
        <v>207</v>
      </c>
      <c r="E2695" s="22">
        <f>13-11</f>
        <v>2</v>
      </c>
      <c r="F2695" t="s">
        <v>363</v>
      </c>
      <c r="G2695" t="s">
        <v>374</v>
      </c>
      <c r="I2695" t="s">
        <v>367</v>
      </c>
      <c r="J2695" s="3">
        <v>44931</v>
      </c>
    </row>
    <row r="2696" spans="1:10" x14ac:dyDescent="0.75">
      <c r="A2696" t="s">
        <v>44</v>
      </c>
      <c r="B2696" s="3">
        <v>44868</v>
      </c>
      <c r="C2696">
        <v>1</v>
      </c>
      <c r="D2696" t="s">
        <v>197</v>
      </c>
      <c r="E2696" s="22">
        <f>1</f>
        <v>1</v>
      </c>
      <c r="F2696" t="s">
        <v>363</v>
      </c>
      <c r="G2696" t="s">
        <v>374</v>
      </c>
      <c r="I2696" t="s">
        <v>367</v>
      </c>
      <c r="J2696" s="3">
        <v>44931</v>
      </c>
    </row>
    <row r="2697" spans="1:10" x14ac:dyDescent="0.75">
      <c r="A2697" t="s">
        <v>44</v>
      </c>
      <c r="B2697" s="3">
        <v>44868</v>
      </c>
      <c r="C2697">
        <v>1</v>
      </c>
      <c r="D2697" t="s">
        <v>207</v>
      </c>
      <c r="E2697" s="22">
        <f>10-6</f>
        <v>4</v>
      </c>
      <c r="F2697" t="s">
        <v>363</v>
      </c>
      <c r="G2697" t="s">
        <v>374</v>
      </c>
      <c r="I2697" s="66" t="s">
        <v>367</v>
      </c>
      <c r="J2697" s="3">
        <v>44931</v>
      </c>
    </row>
    <row r="2698" spans="1:10" x14ac:dyDescent="0.75">
      <c r="A2698" t="s">
        <v>44</v>
      </c>
      <c r="B2698" s="3">
        <v>44868</v>
      </c>
      <c r="C2698">
        <v>1</v>
      </c>
      <c r="D2698" t="s">
        <v>194</v>
      </c>
      <c r="E2698" s="22">
        <f>6-4</f>
        <v>2</v>
      </c>
      <c r="F2698" t="s">
        <v>363</v>
      </c>
      <c r="G2698" t="s">
        <v>374</v>
      </c>
      <c r="I2698" s="66" t="s">
        <v>367</v>
      </c>
      <c r="J2698" s="3">
        <v>44931</v>
      </c>
    </row>
    <row r="2699" spans="1:10" x14ac:dyDescent="0.75">
      <c r="A2699" t="s">
        <v>44</v>
      </c>
      <c r="B2699" s="3">
        <v>44868</v>
      </c>
      <c r="C2699">
        <v>1</v>
      </c>
      <c r="D2699" t="s">
        <v>209</v>
      </c>
      <c r="E2699" s="22">
        <f>4-2</f>
        <v>2</v>
      </c>
      <c r="F2699" t="s">
        <v>363</v>
      </c>
      <c r="G2699" t="s">
        <v>374</v>
      </c>
      <c r="I2699" s="66" t="s">
        <v>367</v>
      </c>
      <c r="J2699" s="3">
        <v>44931</v>
      </c>
    </row>
    <row r="2700" spans="1:10" x14ac:dyDescent="0.75">
      <c r="A2700" t="s">
        <v>44</v>
      </c>
      <c r="B2700" s="3">
        <v>44868</v>
      </c>
      <c r="C2700">
        <v>1</v>
      </c>
      <c r="D2700" t="s">
        <v>207</v>
      </c>
      <c r="E2700" s="22">
        <f>2-1</f>
        <v>1</v>
      </c>
      <c r="F2700" t="s">
        <v>363</v>
      </c>
      <c r="G2700" t="s">
        <v>374</v>
      </c>
      <c r="I2700" s="66" t="s">
        <v>367</v>
      </c>
      <c r="J2700" s="3">
        <v>44931</v>
      </c>
    </row>
    <row r="2701" spans="1:10" x14ac:dyDescent="0.75">
      <c r="A2701" t="s">
        <v>44</v>
      </c>
      <c r="B2701" s="3">
        <v>44868</v>
      </c>
      <c r="C2701">
        <v>1</v>
      </c>
      <c r="D2701" t="s">
        <v>201</v>
      </c>
      <c r="E2701" s="22">
        <f>1</f>
        <v>1</v>
      </c>
      <c r="F2701" t="s">
        <v>363</v>
      </c>
      <c r="G2701" t="s">
        <v>374</v>
      </c>
      <c r="I2701" s="66" t="s">
        <v>367</v>
      </c>
      <c r="J2701" s="3">
        <v>44931</v>
      </c>
    </row>
    <row r="2702" spans="1:10" x14ac:dyDescent="0.75">
      <c r="A2702" t="s">
        <v>44</v>
      </c>
      <c r="B2702" s="3">
        <v>44868</v>
      </c>
      <c r="C2702">
        <v>1</v>
      </c>
      <c r="D2702" t="s">
        <v>197</v>
      </c>
      <c r="E2702" s="22">
        <f>49-34</f>
        <v>15</v>
      </c>
      <c r="F2702" t="s">
        <v>363</v>
      </c>
      <c r="G2702" t="s">
        <v>367</v>
      </c>
      <c r="I2702" s="66" t="s">
        <v>367</v>
      </c>
      <c r="J2702" s="3">
        <v>44931</v>
      </c>
    </row>
    <row r="2703" spans="1:10" x14ac:dyDescent="0.75">
      <c r="A2703" t="s">
        <v>44</v>
      </c>
      <c r="B2703" s="3">
        <v>44868</v>
      </c>
      <c r="C2703">
        <v>1</v>
      </c>
      <c r="D2703" t="s">
        <v>201</v>
      </c>
      <c r="E2703" s="22">
        <f>34-28</f>
        <v>6</v>
      </c>
      <c r="F2703" t="s">
        <v>363</v>
      </c>
      <c r="G2703" t="s">
        <v>367</v>
      </c>
      <c r="I2703" s="66" t="s">
        <v>367</v>
      </c>
      <c r="J2703" s="3">
        <v>44931</v>
      </c>
    </row>
    <row r="2704" spans="1:10" s="43" customFormat="1" x14ac:dyDescent="0.75">
      <c r="A2704" s="43" t="s">
        <v>60</v>
      </c>
      <c r="B2704" s="44">
        <v>44868</v>
      </c>
      <c r="C2704" s="43">
        <v>1</v>
      </c>
      <c r="D2704" s="43" t="s">
        <v>199</v>
      </c>
      <c r="E2704" s="55">
        <f>52-46</f>
        <v>6</v>
      </c>
      <c r="F2704" s="43" t="s">
        <v>363</v>
      </c>
      <c r="G2704" s="43" t="s">
        <v>367</v>
      </c>
      <c r="I2704" s="67" t="s">
        <v>367</v>
      </c>
      <c r="J2704" s="44">
        <v>44931</v>
      </c>
    </row>
    <row r="2705" spans="1:10" s="43" customFormat="1" x14ac:dyDescent="0.75">
      <c r="A2705" s="43" t="s">
        <v>60</v>
      </c>
      <c r="B2705" s="44">
        <v>44868</v>
      </c>
      <c r="C2705" s="43">
        <v>1</v>
      </c>
      <c r="D2705" s="43" t="s">
        <v>197</v>
      </c>
      <c r="E2705" s="55">
        <f>50-26</f>
        <v>24</v>
      </c>
      <c r="F2705" s="43" t="s">
        <v>363</v>
      </c>
      <c r="G2705" s="43" t="s">
        <v>374</v>
      </c>
      <c r="I2705" s="67" t="s">
        <v>367</v>
      </c>
      <c r="J2705" s="44">
        <v>44931</v>
      </c>
    </row>
    <row r="2706" spans="1:10" s="43" customFormat="1" x14ac:dyDescent="0.75">
      <c r="A2706" s="43" t="s">
        <v>60</v>
      </c>
      <c r="B2706" s="44">
        <v>44868</v>
      </c>
      <c r="C2706" s="43">
        <v>1</v>
      </c>
      <c r="D2706" s="43" t="s">
        <v>215</v>
      </c>
      <c r="E2706" s="55">
        <f>26-22</f>
        <v>4</v>
      </c>
      <c r="F2706" s="43" t="s">
        <v>363</v>
      </c>
      <c r="G2706" s="43" t="s">
        <v>374</v>
      </c>
      <c r="I2706" s="67" t="s">
        <v>367</v>
      </c>
      <c r="J2706" s="44">
        <v>44931</v>
      </c>
    </row>
    <row r="2707" spans="1:10" s="43" customFormat="1" x14ac:dyDescent="0.75">
      <c r="A2707" s="43" t="s">
        <v>60</v>
      </c>
      <c r="B2707" s="44">
        <v>44868</v>
      </c>
      <c r="C2707" s="43">
        <v>1</v>
      </c>
      <c r="D2707" s="43" t="s">
        <v>217</v>
      </c>
      <c r="E2707" s="55">
        <f>1</f>
        <v>1</v>
      </c>
      <c r="F2707" s="43" t="s">
        <v>363</v>
      </c>
      <c r="G2707" s="43" t="s">
        <v>374</v>
      </c>
      <c r="I2707" s="67" t="s">
        <v>367</v>
      </c>
      <c r="J2707" s="44">
        <v>44931</v>
      </c>
    </row>
    <row r="2708" spans="1:10" s="43" customFormat="1" x14ac:dyDescent="0.75">
      <c r="A2708" s="43" t="s">
        <v>60</v>
      </c>
      <c r="B2708" s="44">
        <v>44868</v>
      </c>
      <c r="C2708" s="43">
        <v>1</v>
      </c>
      <c r="D2708" s="43" t="s">
        <v>191</v>
      </c>
      <c r="E2708" s="55">
        <f>22-21</f>
        <v>1</v>
      </c>
      <c r="F2708" s="43" t="s">
        <v>363</v>
      </c>
      <c r="G2708" s="43" t="s">
        <v>374</v>
      </c>
      <c r="I2708" s="67" t="s">
        <v>367</v>
      </c>
      <c r="J2708" s="44">
        <v>44931</v>
      </c>
    </row>
    <row r="2709" spans="1:10" s="43" customFormat="1" x14ac:dyDescent="0.75">
      <c r="A2709" s="43" t="s">
        <v>60</v>
      </c>
      <c r="B2709" s="44">
        <v>44868</v>
      </c>
      <c r="C2709" s="43">
        <v>1</v>
      </c>
      <c r="D2709" s="43" t="s">
        <v>197</v>
      </c>
      <c r="E2709" s="55">
        <f>21-18</f>
        <v>3</v>
      </c>
      <c r="F2709" s="43" t="s">
        <v>363</v>
      </c>
      <c r="G2709" s="43" t="s">
        <v>374</v>
      </c>
      <c r="I2709" s="67" t="s">
        <v>367</v>
      </c>
      <c r="J2709" s="44">
        <v>44931</v>
      </c>
    </row>
    <row r="2710" spans="1:10" s="43" customFormat="1" x14ac:dyDescent="0.75">
      <c r="A2710" s="43" t="s">
        <v>60</v>
      </c>
      <c r="B2710" s="44">
        <v>44868</v>
      </c>
      <c r="C2710" s="43">
        <v>1</v>
      </c>
      <c r="D2710" s="43" t="s">
        <v>191</v>
      </c>
      <c r="E2710" s="55">
        <f>18-16</f>
        <v>2</v>
      </c>
      <c r="F2710" s="43" t="s">
        <v>363</v>
      </c>
      <c r="G2710" s="43" t="s">
        <v>374</v>
      </c>
      <c r="I2710" s="67" t="s">
        <v>367</v>
      </c>
      <c r="J2710" s="44">
        <v>44931</v>
      </c>
    </row>
    <row r="2711" spans="1:10" s="43" customFormat="1" x14ac:dyDescent="0.75">
      <c r="A2711" s="43" t="s">
        <v>60</v>
      </c>
      <c r="B2711" s="44">
        <v>44868</v>
      </c>
      <c r="C2711" s="43">
        <v>1</v>
      </c>
      <c r="D2711" s="43" t="s">
        <v>197</v>
      </c>
      <c r="E2711" s="55">
        <f>16</f>
        <v>16</v>
      </c>
      <c r="F2711" s="43" t="s">
        <v>363</v>
      </c>
      <c r="G2711" s="43" t="s">
        <v>374</v>
      </c>
      <c r="I2711" s="67" t="s">
        <v>367</v>
      </c>
      <c r="J2711" s="44">
        <v>44931</v>
      </c>
    </row>
    <row r="2712" spans="1:10" s="43" customFormat="1" x14ac:dyDescent="0.75">
      <c r="A2712" s="43" t="s">
        <v>60</v>
      </c>
      <c r="B2712" s="44">
        <v>44868</v>
      </c>
      <c r="C2712" s="43">
        <v>1</v>
      </c>
      <c r="D2712" s="43" t="s">
        <v>191</v>
      </c>
      <c r="E2712" s="55">
        <f>55-40</f>
        <v>15</v>
      </c>
      <c r="F2712" s="43" t="s">
        <v>363</v>
      </c>
      <c r="G2712" s="43" t="s">
        <v>374</v>
      </c>
      <c r="I2712" s="67" t="s">
        <v>367</v>
      </c>
      <c r="J2712" s="44">
        <v>44931</v>
      </c>
    </row>
    <row r="2713" spans="1:10" s="43" customFormat="1" x14ac:dyDescent="0.75">
      <c r="A2713" s="43" t="s">
        <v>60</v>
      </c>
      <c r="B2713" s="44">
        <v>44868</v>
      </c>
      <c r="C2713" s="43">
        <v>1</v>
      </c>
      <c r="D2713" s="43" t="s">
        <v>207</v>
      </c>
      <c r="E2713" s="55">
        <f>40-34</f>
        <v>6</v>
      </c>
      <c r="F2713" s="43" t="s">
        <v>363</v>
      </c>
      <c r="G2713" s="43" t="s">
        <v>374</v>
      </c>
      <c r="I2713" s="67" t="s">
        <v>367</v>
      </c>
      <c r="J2713" s="44">
        <v>44931</v>
      </c>
    </row>
    <row r="2714" spans="1:10" s="43" customFormat="1" x14ac:dyDescent="0.75">
      <c r="A2714" s="43" t="s">
        <v>60</v>
      </c>
      <c r="B2714" s="44">
        <v>44868</v>
      </c>
      <c r="C2714" s="43">
        <v>1</v>
      </c>
      <c r="D2714" s="43" t="s">
        <v>194</v>
      </c>
      <c r="E2714" s="55">
        <f>34-30</f>
        <v>4</v>
      </c>
      <c r="F2714" s="43" t="s">
        <v>363</v>
      </c>
      <c r="G2714" s="43" t="s">
        <v>374</v>
      </c>
      <c r="I2714" s="67" t="s">
        <v>367</v>
      </c>
      <c r="J2714" s="44">
        <v>44931</v>
      </c>
    </row>
    <row r="2715" spans="1:10" s="43" customFormat="1" x14ac:dyDescent="0.75">
      <c r="A2715" s="43" t="s">
        <v>60</v>
      </c>
      <c r="B2715" s="44">
        <v>44868</v>
      </c>
      <c r="C2715" s="43">
        <v>1</v>
      </c>
      <c r="D2715" s="43" t="s">
        <v>191</v>
      </c>
      <c r="E2715" s="55">
        <f>30-17</f>
        <v>13</v>
      </c>
      <c r="F2715" s="43" t="s">
        <v>363</v>
      </c>
      <c r="G2715" s="43" t="s">
        <v>374</v>
      </c>
      <c r="I2715" s="67" t="s">
        <v>367</v>
      </c>
      <c r="J2715" s="44">
        <v>44931</v>
      </c>
    </row>
    <row r="2716" spans="1:10" s="43" customFormat="1" x14ac:dyDescent="0.75">
      <c r="A2716" s="43" t="s">
        <v>60</v>
      </c>
      <c r="B2716" s="44">
        <v>44868</v>
      </c>
      <c r="C2716" s="43">
        <v>1</v>
      </c>
      <c r="D2716" s="43" t="s">
        <v>191</v>
      </c>
      <c r="E2716" s="55">
        <f>17-15</f>
        <v>2</v>
      </c>
      <c r="F2716" s="43" t="s">
        <v>363</v>
      </c>
      <c r="G2716" s="43" t="s">
        <v>374</v>
      </c>
      <c r="I2716" s="67" t="s">
        <v>367</v>
      </c>
      <c r="J2716" s="44">
        <v>44931</v>
      </c>
    </row>
    <row r="2717" spans="1:10" x14ac:dyDescent="0.75">
      <c r="A2717" t="s">
        <v>23</v>
      </c>
      <c r="B2717" s="3">
        <v>44873</v>
      </c>
      <c r="C2717">
        <v>1</v>
      </c>
      <c r="D2717" t="s">
        <v>197</v>
      </c>
      <c r="E2717" s="22">
        <f>50-41</f>
        <v>9</v>
      </c>
      <c r="F2717" t="s">
        <v>363</v>
      </c>
      <c r="G2717" t="s">
        <v>361</v>
      </c>
      <c r="I2717" s="66" t="s">
        <v>367</v>
      </c>
      <c r="J2717" s="3">
        <v>44931</v>
      </c>
    </row>
    <row r="2718" spans="1:10" x14ac:dyDescent="0.75">
      <c r="A2718" t="s">
        <v>23</v>
      </c>
      <c r="B2718" s="3">
        <v>44873</v>
      </c>
      <c r="C2718">
        <v>1</v>
      </c>
      <c r="D2718" t="s">
        <v>153</v>
      </c>
      <c r="E2718" s="22">
        <f>41-38</f>
        <v>3</v>
      </c>
      <c r="F2718" t="s">
        <v>363</v>
      </c>
      <c r="G2718" t="s">
        <v>361</v>
      </c>
      <c r="I2718" s="66" t="s">
        <v>367</v>
      </c>
      <c r="J2718" s="3">
        <v>44931</v>
      </c>
    </row>
    <row r="2719" spans="1:10" x14ac:dyDescent="0.75">
      <c r="A2719" t="s">
        <v>23</v>
      </c>
      <c r="B2719" s="3">
        <v>44873</v>
      </c>
      <c r="C2719">
        <v>1</v>
      </c>
      <c r="D2719" t="s">
        <v>153</v>
      </c>
      <c r="E2719" s="22">
        <f>49-48</f>
        <v>1</v>
      </c>
      <c r="F2719" t="s">
        <v>363</v>
      </c>
      <c r="G2719" t="s">
        <v>374</v>
      </c>
      <c r="I2719" s="66" t="s">
        <v>367</v>
      </c>
      <c r="J2719" s="3">
        <v>44931</v>
      </c>
    </row>
    <row r="2720" spans="1:10" x14ac:dyDescent="0.75">
      <c r="A2720" t="s">
        <v>23</v>
      </c>
      <c r="B2720" s="3">
        <v>44873</v>
      </c>
      <c r="C2720">
        <v>1</v>
      </c>
      <c r="D2720" t="s">
        <v>194</v>
      </c>
      <c r="E2720" s="22">
        <f>48-46</f>
        <v>2</v>
      </c>
      <c r="F2720" t="s">
        <v>363</v>
      </c>
      <c r="G2720" t="s">
        <v>374</v>
      </c>
      <c r="I2720" s="66" t="s">
        <v>367</v>
      </c>
      <c r="J2720" s="3">
        <v>44931</v>
      </c>
    </row>
    <row r="2721" spans="1:10" x14ac:dyDescent="0.75">
      <c r="A2721" t="s">
        <v>23</v>
      </c>
      <c r="B2721" s="3">
        <v>44873</v>
      </c>
      <c r="C2721">
        <v>1</v>
      </c>
      <c r="D2721" t="s">
        <v>197</v>
      </c>
      <c r="E2721" s="22">
        <f>46-44</f>
        <v>2</v>
      </c>
      <c r="F2721" t="s">
        <v>363</v>
      </c>
      <c r="G2721" t="s">
        <v>374</v>
      </c>
      <c r="I2721" s="66" t="s">
        <v>367</v>
      </c>
      <c r="J2721" s="3">
        <v>44931</v>
      </c>
    </row>
    <row r="2722" spans="1:10" x14ac:dyDescent="0.75">
      <c r="A2722" t="s">
        <v>23</v>
      </c>
      <c r="B2722" s="3">
        <v>44873</v>
      </c>
      <c r="C2722">
        <v>1</v>
      </c>
      <c r="D2722" t="s">
        <v>197</v>
      </c>
      <c r="E2722" s="22">
        <f>44-42</f>
        <v>2</v>
      </c>
      <c r="F2722" t="s">
        <v>363</v>
      </c>
      <c r="G2722" t="s">
        <v>374</v>
      </c>
      <c r="I2722" s="66" t="s">
        <v>367</v>
      </c>
      <c r="J2722" s="3">
        <v>44931</v>
      </c>
    </row>
    <row r="2723" spans="1:10" x14ac:dyDescent="0.75">
      <c r="A2723" t="s">
        <v>23</v>
      </c>
      <c r="B2723" s="3">
        <v>44873</v>
      </c>
      <c r="C2723">
        <v>1</v>
      </c>
      <c r="D2723" t="s">
        <v>197</v>
      </c>
      <c r="E2723" s="22">
        <f>42-39</f>
        <v>3</v>
      </c>
      <c r="F2723" t="s">
        <v>363</v>
      </c>
      <c r="G2723" t="s">
        <v>374</v>
      </c>
      <c r="I2723" s="66" t="s">
        <v>367</v>
      </c>
      <c r="J2723" s="3">
        <v>44931</v>
      </c>
    </row>
    <row r="2724" spans="1:10" x14ac:dyDescent="0.75">
      <c r="A2724" t="s">
        <v>23</v>
      </c>
      <c r="B2724" s="3">
        <v>44873</v>
      </c>
      <c r="C2724">
        <v>1</v>
      </c>
      <c r="D2724" t="s">
        <v>201</v>
      </c>
      <c r="E2724" s="22">
        <f>1</f>
        <v>1</v>
      </c>
      <c r="F2724" t="s">
        <v>363</v>
      </c>
      <c r="G2724" t="s">
        <v>374</v>
      </c>
      <c r="I2724" s="66" t="s">
        <v>367</v>
      </c>
      <c r="J2724" s="3">
        <v>44931</v>
      </c>
    </row>
    <row r="2725" spans="1:10" x14ac:dyDescent="0.75">
      <c r="A2725" t="s">
        <v>23</v>
      </c>
      <c r="B2725" s="3">
        <v>44873</v>
      </c>
      <c r="C2725">
        <v>1</v>
      </c>
      <c r="D2725" t="s">
        <v>194</v>
      </c>
      <c r="E2725" s="22">
        <f>38-36</f>
        <v>2</v>
      </c>
      <c r="F2725" t="s">
        <v>363</v>
      </c>
      <c r="G2725" t="s">
        <v>374</v>
      </c>
      <c r="I2725" s="66" t="s">
        <v>367</v>
      </c>
      <c r="J2725" s="3">
        <v>44931</v>
      </c>
    </row>
    <row r="2726" spans="1:10" x14ac:dyDescent="0.75">
      <c r="A2726" t="s">
        <v>23</v>
      </c>
      <c r="B2726" s="3">
        <v>44873</v>
      </c>
      <c r="C2726">
        <v>1</v>
      </c>
      <c r="D2726" t="s">
        <v>213</v>
      </c>
      <c r="E2726" s="22">
        <f>36-34</f>
        <v>2</v>
      </c>
      <c r="F2726" t="s">
        <v>363</v>
      </c>
      <c r="G2726" t="s">
        <v>374</v>
      </c>
      <c r="I2726" s="66" t="s">
        <v>367</v>
      </c>
      <c r="J2726" s="3">
        <v>44931</v>
      </c>
    </row>
    <row r="2727" spans="1:10" x14ac:dyDescent="0.75">
      <c r="A2727" t="s">
        <v>23</v>
      </c>
      <c r="B2727" s="3">
        <v>44873</v>
      </c>
      <c r="C2727">
        <v>1</v>
      </c>
      <c r="D2727" t="s">
        <v>197</v>
      </c>
      <c r="E2727" s="22">
        <f>34-33</f>
        <v>1</v>
      </c>
      <c r="F2727" t="s">
        <v>363</v>
      </c>
      <c r="G2727" t="s">
        <v>374</v>
      </c>
      <c r="I2727" s="66" t="s">
        <v>367</v>
      </c>
      <c r="J2727" s="3">
        <v>44931</v>
      </c>
    </row>
    <row r="2728" spans="1:10" x14ac:dyDescent="0.75">
      <c r="A2728" t="s">
        <v>23</v>
      </c>
      <c r="B2728" s="3">
        <v>44873</v>
      </c>
      <c r="C2728">
        <v>1</v>
      </c>
      <c r="D2728" t="s">
        <v>213</v>
      </c>
      <c r="E2728" s="22">
        <f>33-32</f>
        <v>1</v>
      </c>
      <c r="F2728" t="s">
        <v>363</v>
      </c>
      <c r="G2728" t="s">
        <v>374</v>
      </c>
      <c r="I2728" s="66" t="s">
        <v>367</v>
      </c>
      <c r="J2728" s="3">
        <v>44931</v>
      </c>
    </row>
    <row r="2729" spans="1:10" x14ac:dyDescent="0.75">
      <c r="A2729" t="s">
        <v>23</v>
      </c>
      <c r="B2729" s="3">
        <v>44873</v>
      </c>
      <c r="C2729">
        <v>1</v>
      </c>
      <c r="D2729" t="s">
        <v>197</v>
      </c>
      <c r="E2729" s="22">
        <f>32-16</f>
        <v>16</v>
      </c>
      <c r="F2729" t="s">
        <v>363</v>
      </c>
      <c r="G2729" t="s">
        <v>374</v>
      </c>
      <c r="I2729" s="66" t="s">
        <v>367</v>
      </c>
      <c r="J2729" s="3">
        <v>44931</v>
      </c>
    </row>
    <row r="2730" spans="1:10" s="43" customFormat="1" x14ac:dyDescent="0.75">
      <c r="A2730" s="43" t="s">
        <v>69</v>
      </c>
      <c r="B2730" s="44">
        <v>44874</v>
      </c>
      <c r="C2730" s="43">
        <v>1</v>
      </c>
      <c r="D2730" s="43" t="s">
        <v>197</v>
      </c>
      <c r="E2730" s="55">
        <f>16-14</f>
        <v>2</v>
      </c>
      <c r="F2730" s="43" t="s">
        <v>363</v>
      </c>
      <c r="G2730" s="43" t="s">
        <v>733</v>
      </c>
      <c r="I2730" s="43" t="s">
        <v>367</v>
      </c>
      <c r="J2730" s="44">
        <v>44931</v>
      </c>
    </row>
    <row r="2731" spans="1:10" s="43" customFormat="1" x14ac:dyDescent="0.75">
      <c r="A2731" s="43" t="s">
        <v>69</v>
      </c>
      <c r="B2731" s="44">
        <v>44874</v>
      </c>
      <c r="C2731" s="43">
        <v>1</v>
      </c>
      <c r="D2731" s="43" t="s">
        <v>197</v>
      </c>
      <c r="E2731" s="55">
        <f>14-12</f>
        <v>2</v>
      </c>
      <c r="F2731" s="43" t="s">
        <v>363</v>
      </c>
      <c r="G2731" s="43" t="s">
        <v>733</v>
      </c>
      <c r="I2731" s="43" t="s">
        <v>367</v>
      </c>
      <c r="J2731" s="44">
        <v>44931</v>
      </c>
    </row>
    <row r="2732" spans="1:10" s="43" customFormat="1" x14ac:dyDescent="0.75">
      <c r="A2732" s="43" t="s">
        <v>69</v>
      </c>
      <c r="B2732" s="44">
        <v>44874</v>
      </c>
      <c r="C2732" s="43">
        <v>1</v>
      </c>
      <c r="D2732" s="43" t="s">
        <v>194</v>
      </c>
      <c r="E2732" s="55">
        <f>12</f>
        <v>12</v>
      </c>
      <c r="F2732" s="43" t="s">
        <v>363</v>
      </c>
      <c r="G2732" s="43" t="s">
        <v>733</v>
      </c>
      <c r="I2732" s="43" t="s">
        <v>367</v>
      </c>
      <c r="J2732" s="44">
        <v>44931</v>
      </c>
    </row>
    <row r="2733" spans="1:10" s="43" customFormat="1" x14ac:dyDescent="0.75">
      <c r="A2733" s="43" t="s">
        <v>69</v>
      </c>
      <c r="B2733" s="44">
        <v>44874</v>
      </c>
      <c r="C2733" s="43">
        <v>1</v>
      </c>
      <c r="D2733" s="43" t="s">
        <v>191</v>
      </c>
      <c r="E2733" s="55">
        <f>38-29</f>
        <v>9</v>
      </c>
      <c r="F2733" s="43" t="s">
        <v>363</v>
      </c>
      <c r="G2733" s="43" t="s">
        <v>733</v>
      </c>
      <c r="I2733" s="43" t="s">
        <v>367</v>
      </c>
      <c r="J2733" s="44">
        <v>44931</v>
      </c>
    </row>
    <row r="2734" spans="1:10" s="43" customFormat="1" x14ac:dyDescent="0.75">
      <c r="A2734" s="43" t="s">
        <v>69</v>
      </c>
      <c r="B2734" s="44">
        <v>44874</v>
      </c>
      <c r="C2734" s="43">
        <v>1</v>
      </c>
      <c r="D2734" s="43" t="s">
        <v>194</v>
      </c>
      <c r="E2734" s="55">
        <f>29-18</f>
        <v>11</v>
      </c>
      <c r="F2734" s="43" t="s">
        <v>363</v>
      </c>
      <c r="G2734" s="43" t="s">
        <v>733</v>
      </c>
      <c r="I2734" s="43" t="s">
        <v>367</v>
      </c>
      <c r="J2734" s="44">
        <v>44931</v>
      </c>
    </row>
    <row r="2735" spans="1:10" s="43" customFormat="1" x14ac:dyDescent="0.75">
      <c r="A2735" s="43" t="s">
        <v>69</v>
      </c>
      <c r="B2735" s="44">
        <v>44874</v>
      </c>
      <c r="C2735" s="43">
        <v>1</v>
      </c>
      <c r="D2735" s="43" t="s">
        <v>191</v>
      </c>
      <c r="E2735" s="55">
        <f>18-10</f>
        <v>8</v>
      </c>
      <c r="F2735" s="43" t="s">
        <v>363</v>
      </c>
      <c r="G2735" s="43" t="s">
        <v>733</v>
      </c>
      <c r="I2735" s="43" t="s">
        <v>367</v>
      </c>
      <c r="J2735" s="44">
        <v>44931</v>
      </c>
    </row>
    <row r="2736" spans="1:10" s="43" customFormat="1" x14ac:dyDescent="0.75">
      <c r="A2736" s="43" t="s">
        <v>69</v>
      </c>
      <c r="B2736" s="44">
        <v>44874</v>
      </c>
      <c r="C2736" s="43">
        <v>1</v>
      </c>
      <c r="D2736" s="43" t="s">
        <v>197</v>
      </c>
      <c r="E2736" s="55">
        <f>10</f>
        <v>10</v>
      </c>
      <c r="F2736" s="43" t="s">
        <v>363</v>
      </c>
      <c r="G2736" s="43" t="s">
        <v>733</v>
      </c>
      <c r="I2736" s="43" t="s">
        <v>367</v>
      </c>
      <c r="J2736" s="44">
        <v>44931</v>
      </c>
    </row>
    <row r="2737" spans="1:10" s="43" customFormat="1" x14ac:dyDescent="0.75">
      <c r="A2737" s="43" t="s">
        <v>69</v>
      </c>
      <c r="B2737" s="44">
        <v>44874</v>
      </c>
      <c r="C2737" s="43">
        <v>1</v>
      </c>
      <c r="D2737" s="43" t="s">
        <v>197</v>
      </c>
      <c r="E2737" s="55">
        <f>52-42</f>
        <v>10</v>
      </c>
      <c r="F2737" s="43" t="s">
        <v>363</v>
      </c>
      <c r="G2737" s="43" t="s">
        <v>733</v>
      </c>
      <c r="I2737" s="43" t="s">
        <v>367</v>
      </c>
      <c r="J2737" s="44">
        <v>44931</v>
      </c>
    </row>
    <row r="2738" spans="1:10" s="43" customFormat="1" x14ac:dyDescent="0.75">
      <c r="A2738" s="43" t="s">
        <v>69</v>
      </c>
      <c r="B2738" s="44">
        <v>44874</v>
      </c>
      <c r="C2738" s="43">
        <v>1</v>
      </c>
      <c r="D2738" s="43" t="s">
        <v>191</v>
      </c>
      <c r="E2738" s="55">
        <f>42-34</f>
        <v>8</v>
      </c>
      <c r="F2738" s="43" t="s">
        <v>363</v>
      </c>
      <c r="G2738" s="43" t="s">
        <v>733</v>
      </c>
      <c r="I2738" s="43" t="s">
        <v>367</v>
      </c>
      <c r="J2738" s="44">
        <v>44931</v>
      </c>
    </row>
    <row r="2739" spans="1:10" s="43" customFormat="1" x14ac:dyDescent="0.75">
      <c r="A2739" s="43" t="s">
        <v>69</v>
      </c>
      <c r="B2739" s="44">
        <v>44874</v>
      </c>
      <c r="C2739" s="43">
        <v>1</v>
      </c>
      <c r="D2739" s="43" t="s">
        <v>201</v>
      </c>
      <c r="E2739" s="55">
        <f>21-13</f>
        <v>8</v>
      </c>
      <c r="F2739" s="43" t="s">
        <v>363</v>
      </c>
      <c r="G2739" s="43" t="s">
        <v>361</v>
      </c>
      <c r="I2739" s="43" t="s">
        <v>367</v>
      </c>
      <c r="J2739" s="44">
        <v>44931</v>
      </c>
    </row>
    <row r="2740" spans="1:10" s="43" customFormat="1" x14ac:dyDescent="0.75">
      <c r="A2740" s="43" t="s">
        <v>69</v>
      </c>
      <c r="B2740" s="44">
        <v>44874</v>
      </c>
      <c r="C2740" s="43">
        <v>1</v>
      </c>
      <c r="D2740" s="43" t="s">
        <v>191</v>
      </c>
      <c r="E2740" s="55">
        <f>13-10</f>
        <v>3</v>
      </c>
      <c r="F2740" s="43" t="s">
        <v>363</v>
      </c>
      <c r="G2740" s="43" t="s">
        <v>361</v>
      </c>
      <c r="I2740" s="43" t="s">
        <v>367</v>
      </c>
      <c r="J2740" s="44">
        <v>44931</v>
      </c>
    </row>
    <row r="2741" spans="1:10" s="43" customFormat="1" x14ac:dyDescent="0.75">
      <c r="A2741" s="43" t="s">
        <v>69</v>
      </c>
      <c r="B2741" s="44">
        <v>44874</v>
      </c>
      <c r="C2741" s="43">
        <v>1</v>
      </c>
      <c r="D2741" s="43" t="s">
        <v>164</v>
      </c>
      <c r="E2741" s="55">
        <f>10+55-45</f>
        <v>20</v>
      </c>
      <c r="F2741" s="43" t="s">
        <v>363</v>
      </c>
      <c r="G2741" s="43" t="s">
        <v>361</v>
      </c>
      <c r="I2741" s="43" t="s">
        <v>367</v>
      </c>
      <c r="J2741" s="44">
        <v>44931</v>
      </c>
    </row>
    <row r="2742" spans="1:10" s="43" customFormat="1" x14ac:dyDescent="0.75">
      <c r="A2742" s="43" t="s">
        <v>69</v>
      </c>
      <c r="B2742" s="44">
        <v>44874</v>
      </c>
      <c r="C2742" s="43">
        <v>1</v>
      </c>
      <c r="D2742" s="43" t="s">
        <v>194</v>
      </c>
      <c r="E2742" s="55">
        <f>45-33</f>
        <v>12</v>
      </c>
      <c r="F2742" s="43" t="s">
        <v>363</v>
      </c>
      <c r="G2742" s="43" t="s">
        <v>361</v>
      </c>
      <c r="I2742" s="43" t="s">
        <v>367</v>
      </c>
      <c r="J2742" s="44">
        <v>44931</v>
      </c>
    </row>
    <row r="2743" spans="1:10" s="43" customFormat="1" x14ac:dyDescent="0.75">
      <c r="A2743" s="43" t="s">
        <v>69</v>
      </c>
      <c r="B2743" s="44">
        <v>44874</v>
      </c>
      <c r="C2743" s="43">
        <v>1</v>
      </c>
      <c r="D2743" s="43" t="s">
        <v>201</v>
      </c>
      <c r="E2743" s="55">
        <f>33-16</f>
        <v>17</v>
      </c>
      <c r="F2743" s="43" t="s">
        <v>363</v>
      </c>
      <c r="G2743" s="43" t="s">
        <v>361</v>
      </c>
      <c r="I2743" s="43" t="s">
        <v>367</v>
      </c>
      <c r="J2743" s="44">
        <v>44931</v>
      </c>
    </row>
    <row r="2744" spans="1:10" s="43" customFormat="1" x14ac:dyDescent="0.75">
      <c r="A2744" s="43" t="s">
        <v>69</v>
      </c>
      <c r="B2744" s="44">
        <v>44874</v>
      </c>
      <c r="C2744" s="43">
        <v>1</v>
      </c>
      <c r="D2744" s="43" t="s">
        <v>197</v>
      </c>
      <c r="E2744" s="55">
        <f>58-54</f>
        <v>4</v>
      </c>
      <c r="F2744" s="43">
        <v>953</v>
      </c>
      <c r="G2744" s="43" t="s">
        <v>374</v>
      </c>
      <c r="I2744" s="43" t="s">
        <v>367</v>
      </c>
      <c r="J2744" s="44">
        <v>44931</v>
      </c>
    </row>
    <row r="2745" spans="1:10" s="43" customFormat="1" x14ac:dyDescent="0.75">
      <c r="A2745" s="43" t="s">
        <v>69</v>
      </c>
      <c r="B2745" s="44">
        <v>44874</v>
      </c>
      <c r="C2745" s="43">
        <v>1</v>
      </c>
      <c r="D2745" s="43" t="s">
        <v>197</v>
      </c>
      <c r="E2745" s="55">
        <f>54-52</f>
        <v>2</v>
      </c>
      <c r="F2745" s="43" t="s">
        <v>363</v>
      </c>
      <c r="G2745" s="43" t="s">
        <v>374</v>
      </c>
      <c r="I2745" s="43" t="s">
        <v>367</v>
      </c>
      <c r="J2745" s="44">
        <v>44931</v>
      </c>
    </row>
    <row r="2746" spans="1:10" s="43" customFormat="1" x14ac:dyDescent="0.75">
      <c r="A2746" s="43" t="s">
        <v>69</v>
      </c>
      <c r="B2746" s="44">
        <v>44874</v>
      </c>
      <c r="C2746" s="43">
        <v>1</v>
      </c>
      <c r="D2746" s="43" t="s">
        <v>191</v>
      </c>
      <c r="E2746" s="55">
        <f>52-47</f>
        <v>5</v>
      </c>
      <c r="F2746" s="43" t="s">
        <v>363</v>
      </c>
      <c r="G2746" s="43" t="s">
        <v>374</v>
      </c>
      <c r="I2746" s="43" t="s">
        <v>367</v>
      </c>
      <c r="J2746" s="44">
        <v>44931</v>
      </c>
    </row>
    <row r="2747" spans="1:10" s="43" customFormat="1" x14ac:dyDescent="0.75">
      <c r="A2747" s="43" t="s">
        <v>69</v>
      </c>
      <c r="B2747" s="44">
        <v>44874</v>
      </c>
      <c r="C2747" s="43">
        <v>1</v>
      </c>
      <c r="D2747" s="43" t="s">
        <v>197</v>
      </c>
      <c r="E2747" s="55">
        <f>47-41</f>
        <v>6</v>
      </c>
      <c r="F2747" s="43" t="s">
        <v>363</v>
      </c>
      <c r="G2747" s="43" t="s">
        <v>374</v>
      </c>
      <c r="I2747" s="43" t="s">
        <v>367</v>
      </c>
      <c r="J2747" s="44">
        <v>44931</v>
      </c>
    </row>
    <row r="2748" spans="1:10" s="43" customFormat="1" x14ac:dyDescent="0.75">
      <c r="A2748" s="43" t="s">
        <v>69</v>
      </c>
      <c r="B2748" s="44">
        <v>44874</v>
      </c>
      <c r="C2748" s="43">
        <v>1</v>
      </c>
      <c r="D2748" s="43" t="s">
        <v>215</v>
      </c>
      <c r="E2748" s="55">
        <f>41-36</f>
        <v>5</v>
      </c>
      <c r="F2748" s="43" t="s">
        <v>363</v>
      </c>
      <c r="G2748" s="43" t="s">
        <v>374</v>
      </c>
      <c r="I2748" s="43" t="s">
        <v>367</v>
      </c>
      <c r="J2748" s="44">
        <v>44931</v>
      </c>
    </row>
    <row r="2749" spans="1:10" s="43" customFormat="1" x14ac:dyDescent="0.75">
      <c r="A2749" s="43" t="s">
        <v>69</v>
      </c>
      <c r="B2749" s="44">
        <v>44874</v>
      </c>
      <c r="C2749" s="43">
        <v>1</v>
      </c>
      <c r="D2749" s="43" t="s">
        <v>197</v>
      </c>
      <c r="E2749" s="55">
        <f>36-30</f>
        <v>6</v>
      </c>
      <c r="F2749" s="43" t="s">
        <v>363</v>
      </c>
      <c r="G2749" s="43" t="s">
        <v>374</v>
      </c>
      <c r="I2749" s="43" t="s">
        <v>367</v>
      </c>
      <c r="J2749" s="44">
        <v>44931</v>
      </c>
    </row>
    <row r="2750" spans="1:10" s="43" customFormat="1" x14ac:dyDescent="0.75">
      <c r="A2750" s="43" t="s">
        <v>69</v>
      </c>
      <c r="B2750" s="44">
        <v>44874</v>
      </c>
      <c r="C2750" s="43">
        <v>1</v>
      </c>
      <c r="D2750" s="43" t="s">
        <v>191</v>
      </c>
      <c r="E2750" s="55">
        <f>30-20</f>
        <v>10</v>
      </c>
      <c r="F2750" s="43" t="s">
        <v>363</v>
      </c>
      <c r="G2750" s="43" t="s">
        <v>374</v>
      </c>
      <c r="I2750" s="43" t="s">
        <v>367</v>
      </c>
      <c r="J2750" s="44">
        <v>44931</v>
      </c>
    </row>
    <row r="2751" spans="1:10" s="43" customFormat="1" x14ac:dyDescent="0.75">
      <c r="A2751" s="43" t="s">
        <v>69</v>
      </c>
      <c r="B2751" s="44">
        <v>44874</v>
      </c>
      <c r="C2751" s="43">
        <v>1</v>
      </c>
      <c r="D2751" s="43" t="s">
        <v>191</v>
      </c>
      <c r="E2751" s="55">
        <f>20-18</f>
        <v>2</v>
      </c>
      <c r="F2751" s="43" t="s">
        <v>363</v>
      </c>
      <c r="G2751" s="43" t="s">
        <v>374</v>
      </c>
      <c r="I2751" s="43" t="s">
        <v>367</v>
      </c>
      <c r="J2751" s="44">
        <v>44931</v>
      </c>
    </row>
    <row r="2752" spans="1:10" s="43" customFormat="1" x14ac:dyDescent="0.75">
      <c r="A2752" s="43" t="s">
        <v>69</v>
      </c>
      <c r="B2752" s="44">
        <v>44874</v>
      </c>
      <c r="C2752" s="43">
        <v>1</v>
      </c>
      <c r="D2752" s="43" t="s">
        <v>194</v>
      </c>
      <c r="E2752" s="55">
        <f>18-12</f>
        <v>6</v>
      </c>
      <c r="F2752" s="43" t="s">
        <v>363</v>
      </c>
      <c r="G2752" s="43" t="s">
        <v>374</v>
      </c>
      <c r="I2752" s="43" t="s">
        <v>367</v>
      </c>
      <c r="J2752" s="44">
        <v>44931</v>
      </c>
    </row>
    <row r="2753" spans="1:11" s="43" customFormat="1" x14ac:dyDescent="0.75">
      <c r="A2753" s="43" t="s">
        <v>69</v>
      </c>
      <c r="B2753" s="44">
        <v>44874</v>
      </c>
      <c r="C2753" s="43">
        <v>1</v>
      </c>
      <c r="D2753" s="43" t="s">
        <v>197</v>
      </c>
      <c r="E2753" s="55">
        <f>12-7</f>
        <v>5</v>
      </c>
      <c r="F2753" s="43" t="s">
        <v>363</v>
      </c>
      <c r="G2753" s="43" t="s">
        <v>374</v>
      </c>
      <c r="I2753" s="43" t="s">
        <v>367</v>
      </c>
      <c r="J2753" s="44">
        <v>44931</v>
      </c>
    </row>
    <row r="2754" spans="1:11" s="43" customFormat="1" x14ac:dyDescent="0.75">
      <c r="A2754" s="43" t="s">
        <v>69</v>
      </c>
      <c r="B2754" s="44">
        <v>44874</v>
      </c>
      <c r="C2754" s="43">
        <v>1</v>
      </c>
      <c r="D2754" s="43" t="s">
        <v>194</v>
      </c>
      <c r="E2754" s="55">
        <f>7-6</f>
        <v>1</v>
      </c>
      <c r="F2754" s="43" t="s">
        <v>363</v>
      </c>
      <c r="G2754" s="43" t="s">
        <v>374</v>
      </c>
      <c r="I2754" s="43" t="s">
        <v>367</v>
      </c>
      <c r="J2754" s="44">
        <v>44931</v>
      </c>
      <c r="K2754" s="43" t="s">
        <v>858</v>
      </c>
    </row>
    <row r="2755" spans="1:11" s="43" customFormat="1" x14ac:dyDescent="0.75">
      <c r="A2755" s="43" t="s">
        <v>69</v>
      </c>
      <c r="B2755" s="44">
        <v>44874</v>
      </c>
      <c r="C2755" s="43">
        <v>1</v>
      </c>
      <c r="D2755" s="43" t="s">
        <v>197</v>
      </c>
      <c r="E2755" s="55">
        <f>5-2</f>
        <v>3</v>
      </c>
      <c r="F2755" s="43" t="s">
        <v>363</v>
      </c>
      <c r="G2755" s="43" t="s">
        <v>374</v>
      </c>
      <c r="I2755" s="43" t="s">
        <v>367</v>
      </c>
      <c r="J2755" s="44">
        <v>44931</v>
      </c>
    </row>
    <row r="2756" spans="1:11" s="43" customFormat="1" x14ac:dyDescent="0.75">
      <c r="A2756" s="43" t="s">
        <v>69</v>
      </c>
      <c r="B2756" s="44">
        <v>44874</v>
      </c>
      <c r="C2756" s="43">
        <v>1</v>
      </c>
      <c r="D2756" s="43" t="s">
        <v>197</v>
      </c>
      <c r="E2756" s="55">
        <f>2-0</f>
        <v>2</v>
      </c>
      <c r="F2756" s="43" t="s">
        <v>363</v>
      </c>
      <c r="G2756" s="43" t="s">
        <v>374</v>
      </c>
      <c r="I2756" s="43" t="s">
        <v>367</v>
      </c>
      <c r="J2756" s="44">
        <v>44931</v>
      </c>
    </row>
    <row r="2757" spans="1:11" s="43" customFormat="1" x14ac:dyDescent="0.75">
      <c r="A2757" s="43" t="s">
        <v>69</v>
      </c>
      <c r="B2757" s="44">
        <v>44874</v>
      </c>
      <c r="C2757" s="43">
        <v>1</v>
      </c>
      <c r="D2757" s="43" t="s">
        <v>197</v>
      </c>
      <c r="E2757" s="55">
        <f>41-37</f>
        <v>4</v>
      </c>
      <c r="F2757" s="43" t="s">
        <v>363</v>
      </c>
      <c r="G2757" s="43" t="s">
        <v>374</v>
      </c>
      <c r="I2757" s="43" t="s">
        <v>367</v>
      </c>
      <c r="J2757" s="44">
        <v>44931</v>
      </c>
    </row>
    <row r="2758" spans="1:11" s="43" customFormat="1" x14ac:dyDescent="0.75">
      <c r="A2758" s="43" t="s">
        <v>69</v>
      </c>
      <c r="B2758" s="44">
        <v>44874</v>
      </c>
      <c r="C2758" s="43">
        <v>1</v>
      </c>
      <c r="D2758" s="43" t="s">
        <v>197</v>
      </c>
      <c r="E2758" s="55">
        <f>37-34</f>
        <v>3</v>
      </c>
      <c r="F2758" s="43" t="s">
        <v>363</v>
      </c>
      <c r="G2758" s="43" t="s">
        <v>374</v>
      </c>
      <c r="I2758" s="43" t="s">
        <v>367</v>
      </c>
      <c r="J2758" s="44">
        <v>44931</v>
      </c>
    </row>
    <row r="2759" spans="1:11" s="43" customFormat="1" x14ac:dyDescent="0.75">
      <c r="A2759" s="43" t="s">
        <v>69</v>
      </c>
      <c r="B2759" s="44">
        <v>44874</v>
      </c>
      <c r="C2759" s="43">
        <v>1</v>
      </c>
      <c r="D2759" s="43" t="s">
        <v>197</v>
      </c>
      <c r="E2759" s="55">
        <f>34-27</f>
        <v>7</v>
      </c>
      <c r="F2759" s="43" t="s">
        <v>363</v>
      </c>
      <c r="G2759" s="43" t="s">
        <v>374</v>
      </c>
      <c r="I2759" s="43" t="s">
        <v>367</v>
      </c>
      <c r="J2759" s="44">
        <v>44931</v>
      </c>
    </row>
    <row r="2760" spans="1:11" s="43" customFormat="1" x14ac:dyDescent="0.75">
      <c r="A2760" s="43" t="s">
        <v>69</v>
      </c>
      <c r="B2760" s="44">
        <v>44874</v>
      </c>
      <c r="C2760" s="43">
        <v>1</v>
      </c>
      <c r="D2760" s="43" t="s">
        <v>197</v>
      </c>
      <c r="E2760" s="55">
        <f>27-24</f>
        <v>3</v>
      </c>
      <c r="F2760" s="43" t="s">
        <v>363</v>
      </c>
      <c r="G2760" s="43" t="s">
        <v>374</v>
      </c>
      <c r="I2760" s="43" t="s">
        <v>367</v>
      </c>
      <c r="J2760" s="44">
        <v>44931</v>
      </c>
    </row>
    <row r="2761" spans="1:11" s="43" customFormat="1" x14ac:dyDescent="0.75">
      <c r="A2761" s="43" t="s">
        <v>69</v>
      </c>
      <c r="B2761" s="44">
        <v>44874</v>
      </c>
      <c r="C2761" s="43">
        <v>1</v>
      </c>
      <c r="D2761" s="43" t="s">
        <v>197</v>
      </c>
      <c r="E2761" s="55">
        <f>24-8</f>
        <v>16</v>
      </c>
      <c r="F2761" s="43" t="s">
        <v>363</v>
      </c>
      <c r="G2761" s="43" t="s">
        <v>374</v>
      </c>
      <c r="I2761" s="43" t="s">
        <v>367</v>
      </c>
      <c r="J2761" s="44">
        <v>44931</v>
      </c>
    </row>
    <row r="2762" spans="1:11" s="43" customFormat="1" x14ac:dyDescent="0.75">
      <c r="A2762" s="43" t="s">
        <v>69</v>
      </c>
      <c r="B2762" s="44">
        <v>44874</v>
      </c>
      <c r="C2762" s="43">
        <v>1</v>
      </c>
      <c r="D2762" s="43" t="s">
        <v>194</v>
      </c>
      <c r="E2762" s="55">
        <f>56-36</f>
        <v>20</v>
      </c>
      <c r="F2762" s="43" t="s">
        <v>363</v>
      </c>
      <c r="G2762" s="43" t="s">
        <v>374</v>
      </c>
      <c r="I2762" s="43" t="s">
        <v>367</v>
      </c>
      <c r="J2762" s="44">
        <v>44931</v>
      </c>
      <c r="K2762" s="43" t="s">
        <v>858</v>
      </c>
    </row>
    <row r="2763" spans="1:11" x14ac:dyDescent="0.75">
      <c r="A2763" t="s">
        <v>69</v>
      </c>
      <c r="B2763" s="3">
        <v>44874</v>
      </c>
      <c r="C2763">
        <v>2</v>
      </c>
      <c r="D2763" t="s">
        <v>191</v>
      </c>
      <c r="E2763" s="22" t="s">
        <v>363</v>
      </c>
      <c r="F2763" t="s">
        <v>363</v>
      </c>
      <c r="G2763" t="s">
        <v>733</v>
      </c>
      <c r="I2763" t="s">
        <v>367</v>
      </c>
      <c r="J2763" s="3">
        <v>44931</v>
      </c>
      <c r="K2763" t="s">
        <v>839</v>
      </c>
    </row>
    <row r="2764" spans="1:11" x14ac:dyDescent="0.75">
      <c r="A2764" t="s">
        <v>69</v>
      </c>
      <c r="B2764" s="3">
        <v>44874</v>
      </c>
      <c r="C2764">
        <v>2</v>
      </c>
      <c r="D2764" t="s">
        <v>191</v>
      </c>
      <c r="E2764" s="22" t="s">
        <v>363</v>
      </c>
      <c r="F2764" t="s">
        <v>363</v>
      </c>
      <c r="G2764" t="s">
        <v>733</v>
      </c>
      <c r="I2764" t="s">
        <v>367</v>
      </c>
      <c r="J2764" s="3">
        <v>44931</v>
      </c>
      <c r="K2764" t="s">
        <v>839</v>
      </c>
    </row>
    <row r="2765" spans="1:11" x14ac:dyDescent="0.75">
      <c r="A2765" t="s">
        <v>69</v>
      </c>
      <c r="B2765" s="3">
        <v>44874</v>
      </c>
      <c r="C2765">
        <v>2</v>
      </c>
      <c r="D2765" t="s">
        <v>191</v>
      </c>
      <c r="E2765" s="22" t="s">
        <v>363</v>
      </c>
      <c r="F2765" t="s">
        <v>363</v>
      </c>
      <c r="G2765" t="s">
        <v>733</v>
      </c>
      <c r="I2765" t="s">
        <v>367</v>
      </c>
      <c r="J2765" s="3">
        <v>44931</v>
      </c>
      <c r="K2765" t="s">
        <v>839</v>
      </c>
    </row>
    <row r="2766" spans="1:11" x14ac:dyDescent="0.75">
      <c r="A2766" t="s">
        <v>69</v>
      </c>
      <c r="B2766" s="3">
        <v>44874</v>
      </c>
      <c r="C2766">
        <v>2</v>
      </c>
      <c r="D2766" t="s">
        <v>194</v>
      </c>
      <c r="E2766" s="22" t="s">
        <v>363</v>
      </c>
      <c r="F2766" t="s">
        <v>363</v>
      </c>
      <c r="G2766" t="s">
        <v>733</v>
      </c>
      <c r="I2766" t="s">
        <v>367</v>
      </c>
      <c r="J2766" s="3">
        <v>44931</v>
      </c>
      <c r="K2766" t="s">
        <v>839</v>
      </c>
    </row>
    <row r="2767" spans="1:11" x14ac:dyDescent="0.75">
      <c r="A2767" t="s">
        <v>69</v>
      </c>
      <c r="B2767" s="3">
        <v>44874</v>
      </c>
      <c r="C2767">
        <v>2</v>
      </c>
      <c r="D2767" t="s">
        <v>194</v>
      </c>
      <c r="E2767" s="22" t="s">
        <v>363</v>
      </c>
      <c r="F2767" t="s">
        <v>363</v>
      </c>
      <c r="G2767" t="s">
        <v>733</v>
      </c>
      <c r="I2767" t="s">
        <v>367</v>
      </c>
      <c r="J2767" s="3">
        <v>44931</v>
      </c>
      <c r="K2767" t="s">
        <v>839</v>
      </c>
    </row>
    <row r="2768" spans="1:11" x14ac:dyDescent="0.75">
      <c r="A2768" t="s">
        <v>69</v>
      </c>
      <c r="B2768" s="3">
        <v>44874</v>
      </c>
      <c r="C2768">
        <v>2</v>
      </c>
      <c r="D2768" t="s">
        <v>194</v>
      </c>
      <c r="E2768" s="22" t="s">
        <v>363</v>
      </c>
      <c r="F2768" t="s">
        <v>363</v>
      </c>
      <c r="G2768" t="s">
        <v>733</v>
      </c>
      <c r="I2768" t="s">
        <v>367</v>
      </c>
      <c r="J2768" s="3">
        <v>44931</v>
      </c>
      <c r="K2768" t="s">
        <v>839</v>
      </c>
    </row>
    <row r="2769" spans="1:11" x14ac:dyDescent="0.75">
      <c r="A2769" t="s">
        <v>69</v>
      </c>
      <c r="B2769" s="3">
        <v>44874</v>
      </c>
      <c r="C2769">
        <v>2</v>
      </c>
      <c r="D2769" t="s">
        <v>191</v>
      </c>
      <c r="E2769" s="22">
        <f>48-44</f>
        <v>4</v>
      </c>
      <c r="F2769" t="s">
        <v>363</v>
      </c>
      <c r="G2769" t="s">
        <v>733</v>
      </c>
      <c r="I2769" t="s">
        <v>367</v>
      </c>
      <c r="J2769" s="3">
        <v>44931</v>
      </c>
    </row>
    <row r="2770" spans="1:11" x14ac:dyDescent="0.75">
      <c r="A2770" t="s">
        <v>69</v>
      </c>
      <c r="B2770" s="3">
        <v>44874</v>
      </c>
      <c r="C2770">
        <v>2</v>
      </c>
      <c r="D2770" t="s">
        <v>194</v>
      </c>
      <c r="E2770" s="22">
        <f>44-43+30-28</f>
        <v>3</v>
      </c>
      <c r="F2770" t="s">
        <v>363</v>
      </c>
      <c r="G2770" t="s">
        <v>733</v>
      </c>
      <c r="I2770" t="s">
        <v>367</v>
      </c>
      <c r="J2770" s="3">
        <v>44931</v>
      </c>
    </row>
    <row r="2771" spans="1:11" x14ac:dyDescent="0.75">
      <c r="A2771" t="s">
        <v>69</v>
      </c>
      <c r="B2771" s="3">
        <v>44874</v>
      </c>
      <c r="C2771">
        <v>2</v>
      </c>
      <c r="D2771" t="s">
        <v>199</v>
      </c>
      <c r="E2771" s="22">
        <f>43-38</f>
        <v>5</v>
      </c>
      <c r="F2771" t="s">
        <v>363</v>
      </c>
      <c r="G2771" t="s">
        <v>733</v>
      </c>
      <c r="I2771" t="s">
        <v>367</v>
      </c>
      <c r="J2771" s="3">
        <v>44931</v>
      </c>
    </row>
    <row r="2772" spans="1:11" x14ac:dyDescent="0.75">
      <c r="A2772" t="s">
        <v>69</v>
      </c>
      <c r="B2772" s="3">
        <v>44874</v>
      </c>
      <c r="C2772">
        <v>2</v>
      </c>
      <c r="D2772" t="s">
        <v>191</v>
      </c>
      <c r="E2772" s="22">
        <f>38-30</f>
        <v>8</v>
      </c>
      <c r="F2772" t="s">
        <v>363</v>
      </c>
      <c r="G2772" t="s">
        <v>733</v>
      </c>
      <c r="I2772" t="s">
        <v>367</v>
      </c>
      <c r="J2772" s="3">
        <v>44931</v>
      </c>
    </row>
    <row r="2773" spans="1:11" x14ac:dyDescent="0.75">
      <c r="A2773" t="s">
        <v>69</v>
      </c>
      <c r="B2773" s="3">
        <v>44874</v>
      </c>
      <c r="C2773">
        <v>2</v>
      </c>
      <c r="D2773" t="s">
        <v>197</v>
      </c>
      <c r="E2773" s="22">
        <f>28-20</f>
        <v>8</v>
      </c>
      <c r="F2773" t="s">
        <v>363</v>
      </c>
      <c r="G2773" t="s">
        <v>733</v>
      </c>
      <c r="I2773" t="s">
        <v>367</v>
      </c>
      <c r="J2773" s="3">
        <v>44931</v>
      </c>
    </row>
    <row r="2774" spans="1:11" x14ac:dyDescent="0.75">
      <c r="A2774" t="s">
        <v>69</v>
      </c>
      <c r="B2774" s="3">
        <v>44874</v>
      </c>
      <c r="C2774">
        <v>2</v>
      </c>
      <c r="D2774" t="s">
        <v>197</v>
      </c>
      <c r="E2774" s="22">
        <f>20-9</f>
        <v>11</v>
      </c>
      <c r="F2774" t="s">
        <v>363</v>
      </c>
      <c r="G2774" t="s">
        <v>733</v>
      </c>
      <c r="I2774" t="s">
        <v>367</v>
      </c>
      <c r="J2774" s="3">
        <v>44931</v>
      </c>
    </row>
    <row r="2775" spans="1:11" x14ac:dyDescent="0.75">
      <c r="A2775" t="s">
        <v>69</v>
      </c>
      <c r="B2775" s="3">
        <v>44874</v>
      </c>
      <c r="C2775">
        <v>2</v>
      </c>
      <c r="D2775" t="s">
        <v>197</v>
      </c>
      <c r="E2775" s="22">
        <f>9+56-51</f>
        <v>14</v>
      </c>
      <c r="F2775" t="s">
        <v>363</v>
      </c>
      <c r="G2775" t="s">
        <v>733</v>
      </c>
      <c r="I2775" t="s">
        <v>367</v>
      </c>
      <c r="J2775" s="3">
        <v>44931</v>
      </c>
    </row>
    <row r="2776" spans="1:11" x14ac:dyDescent="0.75">
      <c r="A2776" t="s">
        <v>69</v>
      </c>
      <c r="B2776" s="3">
        <v>44874</v>
      </c>
      <c r="C2776">
        <v>2</v>
      </c>
      <c r="D2776" t="s">
        <v>201</v>
      </c>
      <c r="E2776" s="22">
        <f>51-49</f>
        <v>2</v>
      </c>
      <c r="F2776" t="s">
        <v>363</v>
      </c>
      <c r="G2776" t="s">
        <v>733</v>
      </c>
      <c r="I2776" t="s">
        <v>367</v>
      </c>
      <c r="J2776" s="3">
        <v>44931</v>
      </c>
    </row>
    <row r="2777" spans="1:11" x14ac:dyDescent="0.75">
      <c r="A2777" t="s">
        <v>69</v>
      </c>
      <c r="B2777" s="3">
        <v>44874</v>
      </c>
      <c r="C2777">
        <v>2</v>
      </c>
      <c r="D2777" t="s">
        <v>194</v>
      </c>
      <c r="E2777" s="22">
        <f>49-15+31-17</f>
        <v>48</v>
      </c>
      <c r="F2777" t="s">
        <v>363</v>
      </c>
      <c r="G2777" t="s">
        <v>859</v>
      </c>
      <c r="I2777" t="s">
        <v>367</v>
      </c>
      <c r="J2777" s="3">
        <v>44931</v>
      </c>
      <c r="K2777" t="s">
        <v>860</v>
      </c>
    </row>
    <row r="2778" spans="1:11" x14ac:dyDescent="0.75">
      <c r="A2778" t="s">
        <v>69</v>
      </c>
      <c r="B2778" s="3">
        <v>44874</v>
      </c>
      <c r="C2778">
        <v>2</v>
      </c>
      <c r="D2778" t="s">
        <v>191</v>
      </c>
      <c r="E2778" s="22">
        <f>40-34</f>
        <v>6</v>
      </c>
      <c r="F2778" t="s">
        <v>363</v>
      </c>
      <c r="G2778" t="s">
        <v>733</v>
      </c>
      <c r="I2778" t="s">
        <v>367</v>
      </c>
      <c r="J2778" s="3">
        <v>44931</v>
      </c>
    </row>
    <row r="2779" spans="1:11" x14ac:dyDescent="0.75">
      <c r="A2779" t="s">
        <v>69</v>
      </c>
      <c r="B2779" s="3">
        <v>44874</v>
      </c>
      <c r="C2779">
        <v>2</v>
      </c>
      <c r="D2779" t="s">
        <v>194</v>
      </c>
      <c r="E2779" s="22">
        <f>8+1</f>
        <v>9</v>
      </c>
      <c r="F2779" t="s">
        <v>363</v>
      </c>
      <c r="G2779" t="s">
        <v>733</v>
      </c>
      <c r="I2779" t="s">
        <v>367</v>
      </c>
      <c r="J2779" s="3">
        <v>44931</v>
      </c>
    </row>
    <row r="2780" spans="1:11" x14ac:dyDescent="0.75">
      <c r="A2780" t="s">
        <v>69</v>
      </c>
      <c r="B2780" s="3">
        <v>44874</v>
      </c>
      <c r="C2780">
        <v>2</v>
      </c>
      <c r="D2780" t="s">
        <v>194</v>
      </c>
      <c r="E2780" s="22">
        <f>3</f>
        <v>3</v>
      </c>
      <c r="F2780" t="s">
        <v>363</v>
      </c>
      <c r="G2780" t="s">
        <v>733</v>
      </c>
      <c r="I2780" t="s">
        <v>367</v>
      </c>
      <c r="J2780" s="3">
        <v>44931</v>
      </c>
    </row>
    <row r="2781" spans="1:11" x14ac:dyDescent="0.75">
      <c r="A2781" t="s">
        <v>69</v>
      </c>
      <c r="B2781" s="3">
        <v>44874</v>
      </c>
      <c r="C2781">
        <v>2</v>
      </c>
      <c r="D2781" t="s">
        <v>194</v>
      </c>
      <c r="E2781" s="22">
        <f>55-31</f>
        <v>24</v>
      </c>
      <c r="F2781" t="s">
        <v>363</v>
      </c>
      <c r="G2781" t="s">
        <v>361</v>
      </c>
      <c r="I2781" t="s">
        <v>367</v>
      </c>
      <c r="J2781" s="3">
        <v>44931</v>
      </c>
    </row>
    <row r="2782" spans="1:11" x14ac:dyDescent="0.75">
      <c r="A2782" t="s">
        <v>69</v>
      </c>
      <c r="B2782" s="3">
        <v>44874</v>
      </c>
      <c r="C2782">
        <v>2</v>
      </c>
      <c r="D2782" t="s">
        <v>191</v>
      </c>
      <c r="E2782" s="22">
        <f>17-12</f>
        <v>5</v>
      </c>
      <c r="F2782" t="s">
        <v>363</v>
      </c>
      <c r="G2782" t="s">
        <v>361</v>
      </c>
      <c r="I2782" t="s">
        <v>367</v>
      </c>
      <c r="J2782" s="3">
        <v>44931</v>
      </c>
    </row>
    <row r="2783" spans="1:11" x14ac:dyDescent="0.75">
      <c r="A2783" t="s">
        <v>69</v>
      </c>
      <c r="B2783" s="3">
        <v>44874</v>
      </c>
      <c r="C2783">
        <v>2</v>
      </c>
      <c r="D2783" t="s">
        <v>191</v>
      </c>
      <c r="E2783" s="22">
        <f>12</f>
        <v>12</v>
      </c>
      <c r="F2783" t="s">
        <v>363</v>
      </c>
      <c r="G2783" t="s">
        <v>361</v>
      </c>
      <c r="I2783" t="s">
        <v>367</v>
      </c>
      <c r="J2783" s="3">
        <v>44931</v>
      </c>
    </row>
    <row r="2784" spans="1:11" x14ac:dyDescent="0.75">
      <c r="A2784" t="s">
        <v>69</v>
      </c>
      <c r="B2784" s="3">
        <v>44874</v>
      </c>
      <c r="C2784">
        <v>2</v>
      </c>
      <c r="D2784" t="s">
        <v>213</v>
      </c>
      <c r="E2784" s="22">
        <f>53-52</f>
        <v>1</v>
      </c>
      <c r="F2784" t="s">
        <v>363</v>
      </c>
      <c r="G2784" t="s">
        <v>374</v>
      </c>
      <c r="I2784" t="s">
        <v>367</v>
      </c>
      <c r="J2784" s="3">
        <v>44931</v>
      </c>
    </row>
    <row r="2785" spans="1:11" x14ac:dyDescent="0.75">
      <c r="A2785" t="s">
        <v>69</v>
      </c>
      <c r="B2785" s="3">
        <v>44874</v>
      </c>
      <c r="C2785">
        <v>2</v>
      </c>
      <c r="D2785" t="s">
        <v>223</v>
      </c>
      <c r="E2785" s="22">
        <f>1</f>
        <v>1</v>
      </c>
      <c r="F2785" t="s">
        <v>363</v>
      </c>
      <c r="G2785" t="s">
        <v>374</v>
      </c>
      <c r="I2785" t="s">
        <v>367</v>
      </c>
      <c r="J2785" s="3">
        <v>44931</v>
      </c>
    </row>
    <row r="2786" spans="1:11" x14ac:dyDescent="0.75">
      <c r="A2786" t="s">
        <v>69</v>
      </c>
      <c r="B2786" s="3">
        <v>44874</v>
      </c>
      <c r="C2786">
        <v>2</v>
      </c>
      <c r="D2786" t="s">
        <v>194</v>
      </c>
      <c r="E2786" s="22">
        <f>52-48</f>
        <v>4</v>
      </c>
      <c r="F2786" t="s">
        <v>363</v>
      </c>
      <c r="G2786" t="s">
        <v>374</v>
      </c>
      <c r="I2786" t="s">
        <v>367</v>
      </c>
      <c r="J2786" s="3">
        <v>44931</v>
      </c>
    </row>
    <row r="2787" spans="1:11" x14ac:dyDescent="0.75">
      <c r="A2787" t="s">
        <v>69</v>
      </c>
      <c r="B2787" s="3">
        <v>44874</v>
      </c>
      <c r="C2787">
        <v>2</v>
      </c>
      <c r="D2787" t="s">
        <v>197</v>
      </c>
      <c r="E2787" s="22">
        <f>48-44</f>
        <v>4</v>
      </c>
      <c r="F2787" t="s">
        <v>363</v>
      </c>
      <c r="G2787" t="s">
        <v>374</v>
      </c>
      <c r="I2787" t="s">
        <v>367</v>
      </c>
      <c r="J2787" s="3">
        <v>44931</v>
      </c>
    </row>
    <row r="2788" spans="1:11" x14ac:dyDescent="0.75">
      <c r="A2788" t="s">
        <v>69</v>
      </c>
      <c r="B2788" s="3">
        <v>44874</v>
      </c>
      <c r="C2788">
        <v>2</v>
      </c>
      <c r="D2788" t="s">
        <v>197</v>
      </c>
      <c r="E2788" s="22">
        <f>44-40</f>
        <v>4</v>
      </c>
      <c r="F2788" t="s">
        <v>363</v>
      </c>
      <c r="G2788" t="s">
        <v>374</v>
      </c>
      <c r="I2788" t="s">
        <v>367</v>
      </c>
      <c r="J2788" s="3">
        <v>44931</v>
      </c>
    </row>
    <row r="2789" spans="1:11" x14ac:dyDescent="0.75">
      <c r="A2789" t="s">
        <v>69</v>
      </c>
      <c r="B2789" s="3">
        <v>44874</v>
      </c>
      <c r="C2789">
        <v>2</v>
      </c>
      <c r="D2789" t="s">
        <v>197</v>
      </c>
      <c r="E2789" s="22">
        <f>40-37</f>
        <v>3</v>
      </c>
      <c r="F2789" t="s">
        <v>363</v>
      </c>
      <c r="G2789" t="s">
        <v>374</v>
      </c>
      <c r="I2789" t="s">
        <v>367</v>
      </c>
      <c r="J2789" s="3">
        <v>44931</v>
      </c>
    </row>
    <row r="2790" spans="1:11" x14ac:dyDescent="0.75">
      <c r="A2790" t="s">
        <v>69</v>
      </c>
      <c r="B2790" s="3">
        <v>44874</v>
      </c>
      <c r="C2790">
        <v>2</v>
      </c>
      <c r="D2790" t="s">
        <v>199</v>
      </c>
      <c r="E2790" s="22">
        <f>37-36</f>
        <v>1</v>
      </c>
      <c r="F2790" t="s">
        <v>363</v>
      </c>
      <c r="G2790" t="s">
        <v>374</v>
      </c>
      <c r="I2790" t="s">
        <v>367</v>
      </c>
      <c r="J2790" s="3">
        <v>44931</v>
      </c>
    </row>
    <row r="2791" spans="1:11" x14ac:dyDescent="0.75">
      <c r="A2791" t="s">
        <v>69</v>
      </c>
      <c r="B2791" s="3">
        <v>44874</v>
      </c>
      <c r="C2791">
        <v>2</v>
      </c>
      <c r="D2791" t="s">
        <v>194</v>
      </c>
      <c r="E2791" s="22">
        <f>35-22</f>
        <v>13</v>
      </c>
      <c r="F2791" t="s">
        <v>363</v>
      </c>
      <c r="G2791" t="s">
        <v>374</v>
      </c>
      <c r="I2791" t="s">
        <v>367</v>
      </c>
      <c r="J2791" s="3">
        <v>44931</v>
      </c>
    </row>
    <row r="2792" spans="1:11" x14ac:dyDescent="0.75">
      <c r="A2792" t="s">
        <v>69</v>
      </c>
      <c r="B2792" s="3">
        <v>44874</v>
      </c>
      <c r="C2792">
        <v>2</v>
      </c>
      <c r="D2792" t="s">
        <v>194</v>
      </c>
      <c r="E2792" s="22">
        <f>22-18</f>
        <v>4</v>
      </c>
      <c r="F2792" t="s">
        <v>363</v>
      </c>
      <c r="G2792" t="s">
        <v>374</v>
      </c>
      <c r="I2792" t="s">
        <v>367</v>
      </c>
      <c r="J2792" s="3">
        <v>44931</v>
      </c>
    </row>
    <row r="2793" spans="1:11" x14ac:dyDescent="0.75">
      <c r="A2793" t="s">
        <v>69</v>
      </c>
      <c r="B2793" s="3">
        <v>44874</v>
      </c>
      <c r="C2793">
        <v>2</v>
      </c>
      <c r="D2793" t="s">
        <v>191</v>
      </c>
      <c r="E2793" s="22">
        <f>18-12</f>
        <v>6</v>
      </c>
      <c r="F2793" t="s">
        <v>363</v>
      </c>
      <c r="G2793" t="s">
        <v>374</v>
      </c>
      <c r="I2793" t="s">
        <v>367</v>
      </c>
      <c r="J2793" s="3">
        <v>44931</v>
      </c>
    </row>
    <row r="2794" spans="1:11" x14ac:dyDescent="0.75">
      <c r="A2794" t="s">
        <v>69</v>
      </c>
      <c r="B2794" s="3">
        <v>44874</v>
      </c>
      <c r="C2794">
        <v>2</v>
      </c>
      <c r="D2794" t="s">
        <v>197</v>
      </c>
      <c r="E2794" s="22">
        <f>12-9</f>
        <v>3</v>
      </c>
      <c r="F2794" t="s">
        <v>363</v>
      </c>
      <c r="G2794" t="s">
        <v>374</v>
      </c>
      <c r="I2794" t="s">
        <v>367</v>
      </c>
      <c r="J2794" s="3">
        <v>44931</v>
      </c>
      <c r="K2794" t="s">
        <v>858</v>
      </c>
    </row>
    <row r="2795" spans="1:11" x14ac:dyDescent="0.75">
      <c r="A2795" t="s">
        <v>69</v>
      </c>
      <c r="B2795" s="3">
        <v>44874</v>
      </c>
      <c r="C2795">
        <v>2</v>
      </c>
      <c r="D2795" t="s">
        <v>194</v>
      </c>
      <c r="E2795" s="22">
        <f>9+36</f>
        <v>45</v>
      </c>
      <c r="F2795" t="s">
        <v>363</v>
      </c>
      <c r="G2795" t="s">
        <v>374</v>
      </c>
      <c r="I2795" t="s">
        <v>367</v>
      </c>
      <c r="J2795" s="3">
        <v>44931</v>
      </c>
      <c r="K2795" t="s">
        <v>858</v>
      </c>
    </row>
    <row r="2796" spans="1:11" x14ac:dyDescent="0.75">
      <c r="A2796" t="s">
        <v>69</v>
      </c>
      <c r="B2796" s="3">
        <v>44874</v>
      </c>
      <c r="C2796">
        <v>2</v>
      </c>
      <c r="D2796" t="s">
        <v>194</v>
      </c>
      <c r="E2796" s="22">
        <f>58-47</f>
        <v>11</v>
      </c>
      <c r="F2796" t="s">
        <v>363</v>
      </c>
      <c r="G2796" t="s">
        <v>374</v>
      </c>
      <c r="I2796" t="s">
        <v>367</v>
      </c>
      <c r="J2796" s="3">
        <v>44931</v>
      </c>
      <c r="K2796" t="s">
        <v>858</v>
      </c>
    </row>
    <row r="2797" spans="1:11" x14ac:dyDescent="0.75">
      <c r="A2797" t="s">
        <v>69</v>
      </c>
      <c r="B2797" s="3">
        <v>44874</v>
      </c>
      <c r="C2797">
        <v>2</v>
      </c>
      <c r="D2797" t="s">
        <v>197</v>
      </c>
      <c r="E2797" s="22">
        <f>47-38</f>
        <v>9</v>
      </c>
      <c r="F2797" t="s">
        <v>363</v>
      </c>
      <c r="G2797" t="s">
        <v>374</v>
      </c>
      <c r="I2797" t="s">
        <v>367</v>
      </c>
      <c r="J2797" s="3">
        <v>44931</v>
      </c>
    </row>
    <row r="2798" spans="1:11" x14ac:dyDescent="0.75">
      <c r="A2798" t="s">
        <v>69</v>
      </c>
      <c r="B2798" s="3">
        <v>44874</v>
      </c>
      <c r="C2798">
        <v>2</v>
      </c>
      <c r="D2798" t="s">
        <v>194</v>
      </c>
      <c r="E2798" s="22">
        <f>38-25</f>
        <v>13</v>
      </c>
      <c r="F2798" t="s">
        <v>363</v>
      </c>
      <c r="G2798" t="s">
        <v>374</v>
      </c>
      <c r="I2798" t="s">
        <v>367</v>
      </c>
      <c r="J2798" s="3">
        <v>44931</v>
      </c>
    </row>
    <row r="2799" spans="1:11" x14ac:dyDescent="0.75">
      <c r="A2799" t="s">
        <v>69</v>
      </c>
      <c r="B2799" s="3">
        <v>44874</v>
      </c>
      <c r="C2799">
        <v>2</v>
      </c>
      <c r="D2799" t="s">
        <v>191</v>
      </c>
      <c r="E2799" s="22">
        <f>25-23</f>
        <v>2</v>
      </c>
      <c r="F2799" t="s">
        <v>363</v>
      </c>
      <c r="G2799" t="s">
        <v>374</v>
      </c>
      <c r="I2799" t="s">
        <v>367</v>
      </c>
      <c r="J2799" s="3">
        <v>44931</v>
      </c>
    </row>
    <row r="2800" spans="1:11" x14ac:dyDescent="0.75">
      <c r="A2800" t="s">
        <v>69</v>
      </c>
      <c r="B2800" s="3">
        <v>44874</v>
      </c>
      <c r="C2800">
        <v>2</v>
      </c>
      <c r="D2800" t="s">
        <v>197</v>
      </c>
      <c r="E2800" s="22">
        <f>23-19</f>
        <v>4</v>
      </c>
      <c r="F2800" t="s">
        <v>363</v>
      </c>
      <c r="G2800" t="s">
        <v>374</v>
      </c>
      <c r="I2800" t="s">
        <v>367</v>
      </c>
      <c r="J2800" s="3">
        <v>44931</v>
      </c>
    </row>
    <row r="2801" spans="1:10" x14ac:dyDescent="0.75">
      <c r="A2801" t="s">
        <v>69</v>
      </c>
      <c r="B2801" s="3">
        <v>44874</v>
      </c>
      <c r="C2801">
        <v>2</v>
      </c>
      <c r="D2801" t="s">
        <v>194</v>
      </c>
      <c r="E2801" s="22">
        <f>19-8</f>
        <v>11</v>
      </c>
      <c r="F2801" t="s">
        <v>363</v>
      </c>
      <c r="G2801" t="s">
        <v>374</v>
      </c>
      <c r="I2801" t="s">
        <v>367</v>
      </c>
      <c r="J2801" s="3">
        <v>44931</v>
      </c>
    </row>
    <row r="2802" spans="1:10" x14ac:dyDescent="0.75">
      <c r="A2802" t="s">
        <v>69</v>
      </c>
      <c r="B2802" s="3">
        <v>44874</v>
      </c>
      <c r="C2802">
        <v>2</v>
      </c>
      <c r="D2802" t="s">
        <v>194</v>
      </c>
      <c r="E2802" s="22">
        <f>8+48-39</f>
        <v>17</v>
      </c>
      <c r="F2802" t="s">
        <v>363</v>
      </c>
      <c r="G2802" t="s">
        <v>374</v>
      </c>
      <c r="I2802" t="s">
        <v>367</v>
      </c>
      <c r="J2802" s="3">
        <v>44931</v>
      </c>
    </row>
    <row r="2803" spans="1:10" x14ac:dyDescent="0.75">
      <c r="A2803" t="s">
        <v>69</v>
      </c>
      <c r="B2803" s="3">
        <v>44874</v>
      </c>
      <c r="C2803">
        <v>2</v>
      </c>
      <c r="D2803" t="s">
        <v>199</v>
      </c>
      <c r="E2803" s="22">
        <f>39-32</f>
        <v>7</v>
      </c>
      <c r="F2803" t="s">
        <v>363</v>
      </c>
      <c r="G2803" t="s">
        <v>374</v>
      </c>
      <c r="I2803" t="s">
        <v>367</v>
      </c>
      <c r="J2803" s="3">
        <v>44931</v>
      </c>
    </row>
    <row r="2804" spans="1:10" x14ac:dyDescent="0.75">
      <c r="A2804" t="s">
        <v>69</v>
      </c>
      <c r="B2804" s="3">
        <v>44874</v>
      </c>
      <c r="C2804">
        <v>2</v>
      </c>
      <c r="D2804" t="s">
        <v>191</v>
      </c>
      <c r="E2804" s="22">
        <f>32-22</f>
        <v>10</v>
      </c>
      <c r="F2804" t="s">
        <v>363</v>
      </c>
      <c r="G2804" t="s">
        <v>374</v>
      </c>
      <c r="I2804" t="s">
        <v>367</v>
      </c>
      <c r="J2804" s="3">
        <v>44931</v>
      </c>
    </row>
    <row r="2805" spans="1:10" x14ac:dyDescent="0.75">
      <c r="A2805" t="s">
        <v>69</v>
      </c>
      <c r="B2805" s="3">
        <v>44874</v>
      </c>
      <c r="C2805">
        <v>2</v>
      </c>
      <c r="D2805" t="s">
        <v>197</v>
      </c>
      <c r="E2805" s="22">
        <f>22-21</f>
        <v>1</v>
      </c>
      <c r="F2805" t="s">
        <v>363</v>
      </c>
      <c r="G2805" t="s">
        <v>374</v>
      </c>
      <c r="I2805" t="s">
        <v>367</v>
      </c>
      <c r="J2805" s="3">
        <v>44931</v>
      </c>
    </row>
    <row r="2806" spans="1:10" x14ac:dyDescent="0.75">
      <c r="A2806" t="s">
        <v>69</v>
      </c>
      <c r="B2806" s="3">
        <v>44874</v>
      </c>
      <c r="C2806">
        <v>2</v>
      </c>
      <c r="D2806" t="s">
        <v>197</v>
      </c>
      <c r="E2806" s="22">
        <f>21-3</f>
        <v>18</v>
      </c>
      <c r="F2806" t="s">
        <v>363</v>
      </c>
      <c r="G2806" t="s">
        <v>374</v>
      </c>
      <c r="I2806" t="s">
        <v>367</v>
      </c>
      <c r="J2806" s="3">
        <v>44931</v>
      </c>
    </row>
    <row r="2807" spans="1:10" x14ac:dyDescent="0.75">
      <c r="A2807" t="s">
        <v>69</v>
      </c>
      <c r="B2807" s="3">
        <v>44874</v>
      </c>
      <c r="C2807">
        <v>2</v>
      </c>
      <c r="D2807" t="s">
        <v>197</v>
      </c>
      <c r="E2807" s="22">
        <f>3</f>
        <v>3</v>
      </c>
      <c r="F2807" t="s">
        <v>363</v>
      </c>
      <c r="G2807" t="s">
        <v>374</v>
      </c>
      <c r="I2807" t="s">
        <v>367</v>
      </c>
      <c r="J2807" s="3">
        <v>44931</v>
      </c>
    </row>
    <row r="2808" spans="1:10" x14ac:dyDescent="0.75">
      <c r="A2808" t="s">
        <v>69</v>
      </c>
      <c r="B2808" s="3">
        <v>44874</v>
      </c>
      <c r="C2808">
        <v>2</v>
      </c>
      <c r="D2808" t="s">
        <v>197</v>
      </c>
      <c r="E2808" s="22">
        <f>34-29</f>
        <v>5</v>
      </c>
      <c r="F2808" t="s">
        <v>363</v>
      </c>
      <c r="G2808" t="s">
        <v>374</v>
      </c>
      <c r="I2808" t="s">
        <v>367</v>
      </c>
      <c r="J2808" s="3">
        <v>44931</v>
      </c>
    </row>
    <row r="2809" spans="1:10" x14ac:dyDescent="0.75">
      <c r="A2809" t="s">
        <v>69</v>
      </c>
      <c r="B2809" s="3">
        <v>44874</v>
      </c>
      <c r="C2809">
        <v>2</v>
      </c>
      <c r="D2809" t="s">
        <v>199</v>
      </c>
      <c r="E2809" s="22">
        <f>29-27</f>
        <v>2</v>
      </c>
      <c r="F2809" t="s">
        <v>363</v>
      </c>
      <c r="G2809" t="s">
        <v>374</v>
      </c>
      <c r="I2809" t="s">
        <v>367</v>
      </c>
      <c r="J2809" s="3">
        <v>44931</v>
      </c>
    </row>
    <row r="2810" spans="1:10" x14ac:dyDescent="0.75">
      <c r="A2810" t="s">
        <v>69</v>
      </c>
      <c r="B2810" s="3">
        <v>44874</v>
      </c>
      <c r="C2810">
        <v>2</v>
      </c>
      <c r="D2810" t="s">
        <v>197</v>
      </c>
      <c r="E2810" s="22">
        <f>27-26</f>
        <v>1</v>
      </c>
      <c r="F2810" t="s">
        <v>363</v>
      </c>
      <c r="G2810" t="s">
        <v>374</v>
      </c>
      <c r="I2810" t="s">
        <v>367</v>
      </c>
      <c r="J2810" s="3">
        <v>44931</v>
      </c>
    </row>
    <row r="2811" spans="1:10" x14ac:dyDescent="0.75">
      <c r="A2811" t="s">
        <v>69</v>
      </c>
      <c r="B2811" s="3">
        <v>44874</v>
      </c>
      <c r="C2811">
        <v>2</v>
      </c>
      <c r="D2811" t="s">
        <v>191</v>
      </c>
      <c r="E2811" s="22">
        <f>24-19</f>
        <v>5</v>
      </c>
      <c r="F2811" t="s">
        <v>363</v>
      </c>
      <c r="G2811" t="s">
        <v>374</v>
      </c>
      <c r="I2811" t="s">
        <v>367</v>
      </c>
      <c r="J2811" s="3">
        <v>44931</v>
      </c>
    </row>
    <row r="2812" spans="1:10" x14ac:dyDescent="0.75">
      <c r="A2812" t="s">
        <v>69</v>
      </c>
      <c r="B2812" s="3">
        <v>44874</v>
      </c>
      <c r="C2812">
        <v>2</v>
      </c>
      <c r="D2812" t="s">
        <v>197</v>
      </c>
      <c r="E2812" s="22">
        <f>19-17</f>
        <v>2</v>
      </c>
      <c r="F2812" t="s">
        <v>363</v>
      </c>
      <c r="G2812" t="s">
        <v>374</v>
      </c>
      <c r="I2812" t="s">
        <v>367</v>
      </c>
      <c r="J2812" s="3">
        <v>44931</v>
      </c>
    </row>
    <row r="2813" spans="1:10" x14ac:dyDescent="0.75">
      <c r="A2813" t="s">
        <v>69</v>
      </c>
      <c r="B2813" s="3">
        <v>44874</v>
      </c>
      <c r="C2813">
        <v>2</v>
      </c>
      <c r="D2813" t="s">
        <v>191</v>
      </c>
      <c r="E2813" s="22">
        <f>17-12</f>
        <v>5</v>
      </c>
      <c r="F2813" t="s">
        <v>363</v>
      </c>
      <c r="G2813" t="s">
        <v>374</v>
      </c>
      <c r="I2813" t="s">
        <v>367</v>
      </c>
      <c r="J2813" s="3">
        <v>44931</v>
      </c>
    </row>
    <row r="2814" spans="1:10" x14ac:dyDescent="0.75">
      <c r="A2814" t="s">
        <v>69</v>
      </c>
      <c r="B2814" s="3">
        <v>44874</v>
      </c>
      <c r="C2814">
        <v>2</v>
      </c>
      <c r="D2814" t="s">
        <v>215</v>
      </c>
      <c r="E2814" s="22">
        <f>12-11</f>
        <v>1</v>
      </c>
      <c r="F2814" t="s">
        <v>363</v>
      </c>
      <c r="G2814" t="s">
        <v>374</v>
      </c>
      <c r="I2814" t="s">
        <v>367</v>
      </c>
      <c r="J2814" s="3">
        <v>44931</v>
      </c>
    </row>
    <row r="2815" spans="1:10" x14ac:dyDescent="0.75">
      <c r="A2815" t="s">
        <v>69</v>
      </c>
      <c r="B2815" s="3">
        <v>44874</v>
      </c>
      <c r="C2815">
        <v>2</v>
      </c>
      <c r="D2815" t="s">
        <v>191</v>
      </c>
      <c r="E2815" s="22">
        <f>11-10</f>
        <v>1</v>
      </c>
      <c r="F2815" t="s">
        <v>363</v>
      </c>
      <c r="G2815" t="s">
        <v>374</v>
      </c>
      <c r="I2815" t="s">
        <v>367</v>
      </c>
      <c r="J2815" s="3">
        <v>44931</v>
      </c>
    </row>
    <row r="2816" spans="1:10" x14ac:dyDescent="0.75">
      <c r="A2816" t="s">
        <v>69</v>
      </c>
      <c r="B2816" s="3">
        <v>44874</v>
      </c>
      <c r="C2816">
        <v>2</v>
      </c>
      <c r="D2816" t="s">
        <v>197</v>
      </c>
      <c r="E2816" s="22">
        <f>10</f>
        <v>10</v>
      </c>
      <c r="F2816" t="s">
        <v>363</v>
      </c>
      <c r="G2816" t="s">
        <v>374</v>
      </c>
      <c r="I2816" t="s">
        <v>367</v>
      </c>
      <c r="J2816" s="3">
        <v>44931</v>
      </c>
    </row>
    <row r="2817" spans="1:11" s="43" customFormat="1" x14ac:dyDescent="0.75">
      <c r="A2817" s="43" t="s">
        <v>69</v>
      </c>
      <c r="B2817" s="44">
        <v>44874</v>
      </c>
      <c r="C2817" s="43">
        <v>3</v>
      </c>
      <c r="D2817" s="43" t="s">
        <v>194</v>
      </c>
      <c r="E2817" s="55">
        <f>32-22</f>
        <v>10</v>
      </c>
      <c r="F2817" s="43" t="s">
        <v>363</v>
      </c>
      <c r="G2817" s="43" t="s">
        <v>733</v>
      </c>
      <c r="I2817" s="43" t="s">
        <v>367</v>
      </c>
      <c r="J2817" s="44">
        <v>44931</v>
      </c>
    </row>
    <row r="2818" spans="1:11" s="43" customFormat="1" x14ac:dyDescent="0.75">
      <c r="A2818" s="43" t="s">
        <v>69</v>
      </c>
      <c r="B2818" s="44">
        <v>44874</v>
      </c>
      <c r="C2818" s="43">
        <v>3</v>
      </c>
      <c r="D2818" s="43" t="s">
        <v>194</v>
      </c>
      <c r="E2818" s="55">
        <f>22-20</f>
        <v>2</v>
      </c>
      <c r="F2818" s="43" t="s">
        <v>363</v>
      </c>
      <c r="G2818" s="43" t="s">
        <v>733</v>
      </c>
      <c r="I2818" s="43" t="s">
        <v>367</v>
      </c>
      <c r="J2818" s="44">
        <v>44931</v>
      </c>
    </row>
    <row r="2819" spans="1:11" s="43" customFormat="1" x14ac:dyDescent="0.75">
      <c r="A2819" s="43" t="s">
        <v>69</v>
      </c>
      <c r="B2819" s="44">
        <v>44874</v>
      </c>
      <c r="C2819" s="43">
        <v>3</v>
      </c>
      <c r="D2819" s="43" t="s">
        <v>197</v>
      </c>
      <c r="E2819" s="55">
        <f>20-19</f>
        <v>1</v>
      </c>
      <c r="F2819" s="43" t="s">
        <v>363</v>
      </c>
      <c r="G2819" s="43" t="s">
        <v>733</v>
      </c>
      <c r="I2819" s="43" t="s">
        <v>367</v>
      </c>
      <c r="J2819" s="44">
        <v>44931</v>
      </c>
    </row>
    <row r="2820" spans="1:11" s="43" customFormat="1" x14ac:dyDescent="0.75">
      <c r="A2820" s="43" t="s">
        <v>69</v>
      </c>
      <c r="B2820" s="44">
        <v>44874</v>
      </c>
      <c r="C2820" s="43">
        <v>3</v>
      </c>
      <c r="D2820" s="43" t="s">
        <v>197</v>
      </c>
      <c r="E2820" s="55">
        <f>19-14</f>
        <v>5</v>
      </c>
      <c r="F2820" s="43" t="s">
        <v>363</v>
      </c>
      <c r="G2820" s="43" t="s">
        <v>733</v>
      </c>
      <c r="I2820" s="43" t="s">
        <v>367</v>
      </c>
      <c r="J2820" s="44">
        <v>44931</v>
      </c>
    </row>
    <row r="2821" spans="1:11" s="43" customFormat="1" x14ac:dyDescent="0.75">
      <c r="A2821" s="43" t="s">
        <v>69</v>
      </c>
      <c r="B2821" s="44">
        <v>44874</v>
      </c>
      <c r="C2821" s="43">
        <v>3</v>
      </c>
      <c r="D2821" s="43" t="s">
        <v>153</v>
      </c>
      <c r="E2821" s="55">
        <f>14-10</f>
        <v>4</v>
      </c>
      <c r="F2821" s="43" t="s">
        <v>363</v>
      </c>
      <c r="G2821" s="43" t="s">
        <v>733</v>
      </c>
      <c r="I2821" s="43" t="s">
        <v>367</v>
      </c>
      <c r="J2821" s="44">
        <v>44931</v>
      </c>
    </row>
    <row r="2822" spans="1:11" s="43" customFormat="1" x14ac:dyDescent="0.75">
      <c r="A2822" s="43" t="s">
        <v>69</v>
      </c>
      <c r="B2822" s="44">
        <v>44874</v>
      </c>
      <c r="C2822" s="43">
        <v>3</v>
      </c>
      <c r="D2822" s="43" t="s">
        <v>191</v>
      </c>
      <c r="E2822" s="55">
        <f>10</f>
        <v>10</v>
      </c>
      <c r="F2822" s="43" t="s">
        <v>363</v>
      </c>
      <c r="G2822" s="43" t="s">
        <v>733</v>
      </c>
      <c r="I2822" s="43" t="s">
        <v>367</v>
      </c>
      <c r="J2822" s="44">
        <v>44931</v>
      </c>
    </row>
    <row r="2823" spans="1:11" s="43" customFormat="1" x14ac:dyDescent="0.75">
      <c r="A2823" s="43" t="s">
        <v>69</v>
      </c>
      <c r="B2823" s="44">
        <v>44874</v>
      </c>
      <c r="C2823" s="43">
        <v>3</v>
      </c>
      <c r="D2823" s="43" t="s">
        <v>197</v>
      </c>
      <c r="E2823" s="55">
        <f>50-47</f>
        <v>3</v>
      </c>
      <c r="F2823" s="43" t="s">
        <v>363</v>
      </c>
      <c r="G2823" s="43" t="s">
        <v>361</v>
      </c>
      <c r="I2823" s="43" t="s">
        <v>367</v>
      </c>
      <c r="J2823" s="44">
        <v>44931</v>
      </c>
    </row>
    <row r="2824" spans="1:11" s="43" customFormat="1" x14ac:dyDescent="0.75">
      <c r="A2824" s="43" t="s">
        <v>69</v>
      </c>
      <c r="B2824" s="44">
        <v>44874</v>
      </c>
      <c r="C2824" s="43">
        <v>3</v>
      </c>
      <c r="D2824" s="43" t="s">
        <v>194</v>
      </c>
      <c r="E2824" s="55">
        <f>47-44</f>
        <v>3</v>
      </c>
      <c r="F2824" s="43" t="s">
        <v>363</v>
      </c>
      <c r="G2824" s="43" t="s">
        <v>361</v>
      </c>
      <c r="I2824" s="43" t="s">
        <v>367</v>
      </c>
      <c r="J2824" s="44">
        <v>44931</v>
      </c>
    </row>
    <row r="2825" spans="1:11" s="43" customFormat="1" x14ac:dyDescent="0.75">
      <c r="A2825" s="43" t="s">
        <v>69</v>
      </c>
      <c r="B2825" s="44">
        <v>44874</v>
      </c>
      <c r="C2825" s="43">
        <v>3</v>
      </c>
      <c r="D2825" s="43" t="s">
        <v>197</v>
      </c>
      <c r="E2825" s="55">
        <f>44-38</f>
        <v>6</v>
      </c>
      <c r="F2825" s="43" t="s">
        <v>363</v>
      </c>
      <c r="G2825" s="43" t="s">
        <v>361</v>
      </c>
      <c r="I2825" s="43" t="s">
        <v>367</v>
      </c>
      <c r="J2825" s="44">
        <v>44931</v>
      </c>
    </row>
    <row r="2826" spans="1:11" s="43" customFormat="1" x14ac:dyDescent="0.75">
      <c r="A2826" s="43" t="s">
        <v>69</v>
      </c>
      <c r="B2826" s="44">
        <v>44874</v>
      </c>
      <c r="C2826" s="43">
        <v>3</v>
      </c>
      <c r="D2826" s="43" t="s">
        <v>194</v>
      </c>
      <c r="E2826" s="55">
        <f>38-24</f>
        <v>14</v>
      </c>
      <c r="F2826" s="43" t="s">
        <v>363</v>
      </c>
      <c r="G2826" s="43" t="s">
        <v>361</v>
      </c>
      <c r="I2826" s="43" t="s">
        <v>367</v>
      </c>
      <c r="J2826" s="44">
        <v>44931</v>
      </c>
    </row>
    <row r="2827" spans="1:11" s="43" customFormat="1" x14ac:dyDescent="0.75">
      <c r="A2827" s="43" t="s">
        <v>69</v>
      </c>
      <c r="B2827" s="44">
        <v>44874</v>
      </c>
      <c r="C2827" s="43">
        <v>3</v>
      </c>
      <c r="D2827" s="43" t="s">
        <v>197</v>
      </c>
      <c r="E2827" s="55">
        <f>24-10</f>
        <v>14</v>
      </c>
      <c r="F2827" s="43" t="s">
        <v>363</v>
      </c>
      <c r="G2827" s="43" t="s">
        <v>361</v>
      </c>
      <c r="I2827" s="43" t="s">
        <v>367</v>
      </c>
      <c r="J2827" s="44">
        <v>44931</v>
      </c>
    </row>
    <row r="2828" spans="1:11" s="43" customFormat="1" x14ac:dyDescent="0.75">
      <c r="A2828" s="43" t="s">
        <v>69</v>
      </c>
      <c r="B2828" s="44">
        <v>44874</v>
      </c>
      <c r="C2828" s="43">
        <v>3</v>
      </c>
      <c r="D2828" s="43" t="s">
        <v>164</v>
      </c>
      <c r="E2828" s="55">
        <f>10</f>
        <v>10</v>
      </c>
      <c r="F2828" s="43" t="s">
        <v>363</v>
      </c>
      <c r="G2828" s="43" t="s">
        <v>361</v>
      </c>
      <c r="I2828" s="43" t="s">
        <v>367</v>
      </c>
      <c r="J2828" s="44">
        <v>44931</v>
      </c>
      <c r="K2828" s="43" t="s">
        <v>861</v>
      </c>
    </row>
    <row r="2829" spans="1:11" s="43" customFormat="1" x14ac:dyDescent="0.75">
      <c r="A2829" s="43" t="s">
        <v>69</v>
      </c>
      <c r="B2829" s="44">
        <v>44874</v>
      </c>
      <c r="C2829" s="43">
        <v>3</v>
      </c>
      <c r="D2829" s="43" t="s">
        <v>191</v>
      </c>
      <c r="E2829" s="55">
        <f>53-40</f>
        <v>13</v>
      </c>
      <c r="F2829" s="43" t="s">
        <v>363</v>
      </c>
      <c r="G2829" s="43" t="s">
        <v>374</v>
      </c>
      <c r="I2829" s="43" t="s">
        <v>367</v>
      </c>
      <c r="J2829" s="44">
        <v>44931</v>
      </c>
    </row>
    <row r="2830" spans="1:11" s="43" customFormat="1" x14ac:dyDescent="0.75">
      <c r="A2830" s="43" t="s">
        <v>69</v>
      </c>
      <c r="B2830" s="44">
        <v>44874</v>
      </c>
      <c r="C2830" s="43">
        <v>3</v>
      </c>
      <c r="D2830" s="43" t="s">
        <v>197</v>
      </c>
      <c r="E2830" s="55">
        <f>40-39</f>
        <v>1</v>
      </c>
      <c r="F2830" s="43" t="s">
        <v>363</v>
      </c>
      <c r="G2830" s="43" t="s">
        <v>374</v>
      </c>
      <c r="I2830" s="43" t="s">
        <v>367</v>
      </c>
      <c r="J2830" s="44">
        <v>44931</v>
      </c>
    </row>
    <row r="2831" spans="1:11" s="43" customFormat="1" x14ac:dyDescent="0.75">
      <c r="A2831" s="43" t="s">
        <v>69</v>
      </c>
      <c r="B2831" s="44">
        <v>44874</v>
      </c>
      <c r="C2831" s="43">
        <v>3</v>
      </c>
      <c r="D2831" s="43" t="s">
        <v>191</v>
      </c>
      <c r="E2831" s="55">
        <f>39-20</f>
        <v>19</v>
      </c>
      <c r="F2831" s="43" t="s">
        <v>363</v>
      </c>
      <c r="G2831" s="43" t="s">
        <v>374</v>
      </c>
      <c r="I2831" s="43" t="s">
        <v>367</v>
      </c>
      <c r="J2831" s="44">
        <v>44931</v>
      </c>
    </row>
    <row r="2832" spans="1:11" s="43" customFormat="1" x14ac:dyDescent="0.75">
      <c r="A2832" s="43" t="s">
        <v>69</v>
      </c>
      <c r="B2832" s="44">
        <v>44874</v>
      </c>
      <c r="C2832" s="43">
        <v>3</v>
      </c>
      <c r="D2832" s="43" t="s">
        <v>194</v>
      </c>
      <c r="E2832" s="55">
        <f>20-15</f>
        <v>5</v>
      </c>
      <c r="F2832" s="43" t="s">
        <v>363</v>
      </c>
      <c r="G2832" s="43" t="s">
        <v>374</v>
      </c>
      <c r="I2832" s="43" t="s">
        <v>367</v>
      </c>
      <c r="J2832" s="44">
        <v>44931</v>
      </c>
    </row>
    <row r="2833" spans="1:11" s="43" customFormat="1" x14ac:dyDescent="0.75">
      <c r="A2833" s="43" t="s">
        <v>69</v>
      </c>
      <c r="B2833" s="44">
        <v>44874</v>
      </c>
      <c r="C2833" s="43">
        <v>3</v>
      </c>
      <c r="D2833" s="43" t="s">
        <v>194</v>
      </c>
      <c r="E2833" s="55">
        <f>15-9</f>
        <v>6</v>
      </c>
      <c r="F2833" s="43" t="s">
        <v>363</v>
      </c>
      <c r="G2833" s="43" t="s">
        <v>374</v>
      </c>
      <c r="I2833" s="43" t="s">
        <v>367</v>
      </c>
      <c r="J2833" s="44">
        <v>44931</v>
      </c>
    </row>
    <row r="2834" spans="1:11" s="43" customFormat="1" x14ac:dyDescent="0.75">
      <c r="A2834" s="43" t="s">
        <v>69</v>
      </c>
      <c r="B2834" s="44">
        <v>44874</v>
      </c>
      <c r="C2834" s="43">
        <v>3</v>
      </c>
      <c r="D2834" s="43" t="s">
        <v>191</v>
      </c>
      <c r="E2834" s="55">
        <f>9-4</f>
        <v>5</v>
      </c>
      <c r="F2834" s="43" t="s">
        <v>363</v>
      </c>
      <c r="G2834" s="43" t="s">
        <v>374</v>
      </c>
      <c r="I2834" s="43" t="s">
        <v>367</v>
      </c>
      <c r="J2834" s="44">
        <v>44931</v>
      </c>
    </row>
    <row r="2835" spans="1:11" s="43" customFormat="1" x14ac:dyDescent="0.75">
      <c r="A2835" s="43" t="s">
        <v>69</v>
      </c>
      <c r="B2835" s="44">
        <v>44874</v>
      </c>
      <c r="C2835" s="43">
        <v>3</v>
      </c>
      <c r="D2835" s="43" t="s">
        <v>191</v>
      </c>
      <c r="E2835" s="55">
        <f>4-2</f>
        <v>2</v>
      </c>
      <c r="F2835" s="43" t="s">
        <v>363</v>
      </c>
      <c r="G2835" s="43" t="s">
        <v>374</v>
      </c>
      <c r="I2835" s="43" t="s">
        <v>367</v>
      </c>
      <c r="J2835" s="44">
        <v>44931</v>
      </c>
    </row>
    <row r="2836" spans="1:11" x14ac:dyDescent="0.75">
      <c r="A2836" t="s">
        <v>69</v>
      </c>
      <c r="B2836" s="3">
        <v>44875</v>
      </c>
      <c r="C2836">
        <v>1</v>
      </c>
      <c r="D2836" t="s">
        <v>164</v>
      </c>
      <c r="E2836" s="22">
        <f>49-22</f>
        <v>27</v>
      </c>
      <c r="F2836" t="s">
        <v>363</v>
      </c>
      <c r="G2836" t="s">
        <v>361</v>
      </c>
      <c r="I2836" t="s">
        <v>367</v>
      </c>
      <c r="J2836" s="3">
        <v>44931</v>
      </c>
    </row>
    <row r="2837" spans="1:11" x14ac:dyDescent="0.75">
      <c r="A2837" t="s">
        <v>69</v>
      </c>
      <c r="B2837" s="3">
        <v>44875</v>
      </c>
      <c r="C2837">
        <v>1</v>
      </c>
      <c r="D2837" t="s">
        <v>194</v>
      </c>
      <c r="E2837" s="22">
        <f>22-10</f>
        <v>12</v>
      </c>
      <c r="F2837" t="s">
        <v>363</v>
      </c>
      <c r="G2837" t="s">
        <v>361</v>
      </c>
      <c r="I2837" t="s">
        <v>367</v>
      </c>
      <c r="J2837" s="3">
        <v>44931</v>
      </c>
    </row>
    <row r="2838" spans="1:11" x14ac:dyDescent="0.75">
      <c r="A2838" t="s">
        <v>69</v>
      </c>
      <c r="B2838" s="3">
        <v>44875</v>
      </c>
      <c r="C2838">
        <v>1</v>
      </c>
      <c r="D2838" t="s">
        <v>164</v>
      </c>
      <c r="E2838" s="22">
        <f>10-7</f>
        <v>3</v>
      </c>
      <c r="F2838" t="s">
        <v>363</v>
      </c>
      <c r="G2838" t="s">
        <v>361</v>
      </c>
      <c r="I2838" t="s">
        <v>367</v>
      </c>
      <c r="J2838" s="3">
        <v>44931</v>
      </c>
    </row>
    <row r="2839" spans="1:11" x14ac:dyDescent="0.75">
      <c r="A2839" t="s">
        <v>69</v>
      </c>
      <c r="B2839" s="3">
        <v>44875</v>
      </c>
      <c r="C2839">
        <v>1</v>
      </c>
      <c r="D2839" t="s">
        <v>194</v>
      </c>
      <c r="E2839" s="22">
        <f>7-2</f>
        <v>5</v>
      </c>
      <c r="F2839" t="s">
        <v>363</v>
      </c>
      <c r="G2839" t="s">
        <v>361</v>
      </c>
      <c r="I2839" t="s">
        <v>367</v>
      </c>
      <c r="J2839" s="3">
        <v>44931</v>
      </c>
    </row>
    <row r="2840" spans="1:11" x14ac:dyDescent="0.75">
      <c r="A2840" t="s">
        <v>69</v>
      </c>
      <c r="B2840" s="3">
        <v>44875</v>
      </c>
      <c r="C2840">
        <v>1</v>
      </c>
      <c r="D2840" t="s">
        <v>197</v>
      </c>
      <c r="E2840" s="22">
        <f>2+50-37</f>
        <v>15</v>
      </c>
      <c r="F2840" t="s">
        <v>363</v>
      </c>
      <c r="G2840" t="s">
        <v>361</v>
      </c>
      <c r="I2840" t="s">
        <v>367</v>
      </c>
      <c r="J2840" s="3">
        <v>44931</v>
      </c>
    </row>
    <row r="2841" spans="1:11" x14ac:dyDescent="0.75">
      <c r="A2841" t="s">
        <v>69</v>
      </c>
      <c r="B2841" s="3">
        <v>44875</v>
      </c>
      <c r="C2841">
        <v>1</v>
      </c>
      <c r="D2841" t="s">
        <v>191</v>
      </c>
      <c r="E2841" s="22">
        <f>37-20</f>
        <v>17</v>
      </c>
      <c r="F2841" t="s">
        <v>363</v>
      </c>
      <c r="G2841" t="s">
        <v>361</v>
      </c>
      <c r="I2841" t="s">
        <v>367</v>
      </c>
      <c r="J2841" s="3">
        <v>44931</v>
      </c>
    </row>
    <row r="2842" spans="1:11" x14ac:dyDescent="0.75">
      <c r="A2842" t="s">
        <v>69</v>
      </c>
      <c r="B2842" s="3">
        <v>44875</v>
      </c>
      <c r="C2842">
        <v>1</v>
      </c>
      <c r="D2842" t="s">
        <v>197</v>
      </c>
      <c r="E2842" s="22">
        <f>20-17</f>
        <v>3</v>
      </c>
      <c r="F2842" t="s">
        <v>363</v>
      </c>
      <c r="G2842" t="s">
        <v>361</v>
      </c>
      <c r="I2842" t="s">
        <v>367</v>
      </c>
      <c r="J2842" s="3">
        <v>44931</v>
      </c>
    </row>
    <row r="2843" spans="1:11" x14ac:dyDescent="0.75">
      <c r="A2843" t="s">
        <v>69</v>
      </c>
      <c r="B2843" s="3">
        <v>44875</v>
      </c>
      <c r="C2843">
        <v>1</v>
      </c>
      <c r="D2843" t="s">
        <v>191</v>
      </c>
      <c r="E2843" s="22">
        <f>17-0</f>
        <v>17</v>
      </c>
      <c r="F2843" t="s">
        <v>363</v>
      </c>
      <c r="G2843" t="s">
        <v>361</v>
      </c>
      <c r="I2843" t="s">
        <v>367</v>
      </c>
      <c r="J2843" s="3">
        <v>44931</v>
      </c>
    </row>
    <row r="2844" spans="1:11" x14ac:dyDescent="0.75">
      <c r="A2844" t="s">
        <v>69</v>
      </c>
      <c r="B2844" s="3">
        <v>44875</v>
      </c>
      <c r="C2844">
        <v>1</v>
      </c>
      <c r="D2844" t="s">
        <v>197</v>
      </c>
      <c r="E2844" s="22">
        <f>36-32</f>
        <v>4</v>
      </c>
      <c r="F2844" t="s">
        <v>363</v>
      </c>
      <c r="G2844" t="s">
        <v>374</v>
      </c>
      <c r="I2844" t="s">
        <v>367</v>
      </c>
      <c r="J2844" s="3">
        <v>44931</v>
      </c>
      <c r="K2844" t="s">
        <v>862</v>
      </c>
    </row>
    <row r="2845" spans="1:11" x14ac:dyDescent="0.75">
      <c r="A2845" t="s">
        <v>69</v>
      </c>
      <c r="B2845" s="3">
        <v>44875</v>
      </c>
      <c r="C2845">
        <v>1</v>
      </c>
      <c r="D2845" t="s">
        <v>191</v>
      </c>
      <c r="E2845" s="22">
        <f>32-24</f>
        <v>8</v>
      </c>
      <c r="F2845" t="s">
        <v>363</v>
      </c>
      <c r="G2845" t="s">
        <v>374</v>
      </c>
      <c r="I2845" t="s">
        <v>367</v>
      </c>
      <c r="J2845" s="3">
        <v>44931</v>
      </c>
    </row>
    <row r="2846" spans="1:11" x14ac:dyDescent="0.75">
      <c r="A2846" t="s">
        <v>69</v>
      </c>
      <c r="B2846" s="3">
        <v>44875</v>
      </c>
      <c r="C2846">
        <v>1</v>
      </c>
      <c r="D2846" t="s">
        <v>191</v>
      </c>
      <c r="E2846" s="22">
        <f>24-3</f>
        <v>21</v>
      </c>
      <c r="F2846" t="s">
        <v>363</v>
      </c>
      <c r="G2846" t="s">
        <v>374</v>
      </c>
      <c r="I2846" t="s">
        <v>367</v>
      </c>
      <c r="J2846" s="3">
        <v>44931</v>
      </c>
    </row>
    <row r="2847" spans="1:11" x14ac:dyDescent="0.75">
      <c r="A2847" t="s">
        <v>69</v>
      </c>
      <c r="B2847" s="3">
        <v>44875</v>
      </c>
      <c r="C2847">
        <v>1</v>
      </c>
      <c r="D2847" t="s">
        <v>191</v>
      </c>
      <c r="E2847" s="22">
        <f>40-25</f>
        <v>15</v>
      </c>
      <c r="F2847" t="s">
        <v>363</v>
      </c>
      <c r="G2847" t="s">
        <v>374</v>
      </c>
      <c r="I2847" t="s">
        <v>367</v>
      </c>
      <c r="J2847" s="3">
        <v>44931</v>
      </c>
    </row>
    <row r="2848" spans="1:11" x14ac:dyDescent="0.75">
      <c r="A2848" t="s">
        <v>69</v>
      </c>
      <c r="B2848" s="3">
        <v>44875</v>
      </c>
      <c r="C2848">
        <v>1</v>
      </c>
      <c r="D2848" t="s">
        <v>197</v>
      </c>
      <c r="E2848" s="22">
        <f>24-20</f>
        <v>4</v>
      </c>
      <c r="F2848" t="s">
        <v>363</v>
      </c>
      <c r="G2848" t="s">
        <v>374</v>
      </c>
      <c r="I2848" t="s">
        <v>367</v>
      </c>
      <c r="J2848" s="3">
        <v>44931</v>
      </c>
    </row>
    <row r="2849" spans="1:11" x14ac:dyDescent="0.75">
      <c r="A2849" t="s">
        <v>69</v>
      </c>
      <c r="B2849" s="3">
        <v>44875</v>
      </c>
      <c r="C2849">
        <v>1</v>
      </c>
      <c r="D2849" t="s">
        <v>197</v>
      </c>
      <c r="E2849" s="22">
        <f>20-14</f>
        <v>6</v>
      </c>
      <c r="F2849" t="s">
        <v>363</v>
      </c>
      <c r="G2849" t="s">
        <v>374</v>
      </c>
      <c r="I2849" t="s">
        <v>367</v>
      </c>
      <c r="J2849" s="3">
        <v>44931</v>
      </c>
    </row>
    <row r="2850" spans="1:11" x14ac:dyDescent="0.75">
      <c r="A2850" t="s">
        <v>69</v>
      </c>
      <c r="B2850" s="3">
        <v>44875</v>
      </c>
      <c r="C2850">
        <v>1</v>
      </c>
      <c r="D2850" t="s">
        <v>197</v>
      </c>
      <c r="E2850" s="22">
        <f>14-10</f>
        <v>4</v>
      </c>
      <c r="F2850" t="s">
        <v>363</v>
      </c>
      <c r="G2850" t="s">
        <v>374</v>
      </c>
      <c r="I2850" t="s">
        <v>367</v>
      </c>
      <c r="J2850" s="3">
        <v>44931</v>
      </c>
    </row>
    <row r="2851" spans="1:11" x14ac:dyDescent="0.75">
      <c r="A2851" t="s">
        <v>69</v>
      </c>
      <c r="B2851" s="3">
        <v>44875</v>
      </c>
      <c r="C2851">
        <v>1</v>
      </c>
      <c r="D2851" t="s">
        <v>191</v>
      </c>
      <c r="E2851" s="22">
        <f>10-6</f>
        <v>4</v>
      </c>
      <c r="F2851" t="s">
        <v>363</v>
      </c>
      <c r="G2851" t="s">
        <v>374</v>
      </c>
      <c r="I2851" t="s">
        <v>367</v>
      </c>
      <c r="J2851" s="3">
        <v>44931</v>
      </c>
    </row>
    <row r="2852" spans="1:11" x14ac:dyDescent="0.75">
      <c r="A2852" t="s">
        <v>69</v>
      </c>
      <c r="B2852" s="3">
        <v>44875</v>
      </c>
      <c r="C2852">
        <v>1</v>
      </c>
      <c r="D2852" t="s">
        <v>197</v>
      </c>
      <c r="E2852" s="22">
        <f>6</f>
        <v>6</v>
      </c>
      <c r="F2852" t="s">
        <v>363</v>
      </c>
      <c r="G2852" t="s">
        <v>374</v>
      </c>
      <c r="I2852" t="s">
        <v>367</v>
      </c>
      <c r="J2852" s="3">
        <v>44931</v>
      </c>
    </row>
    <row r="2853" spans="1:11" x14ac:dyDescent="0.75">
      <c r="A2853" t="s">
        <v>69</v>
      </c>
      <c r="B2853" s="3">
        <v>44875</v>
      </c>
      <c r="C2853">
        <v>1</v>
      </c>
      <c r="D2853" t="s">
        <v>191</v>
      </c>
      <c r="E2853" s="22">
        <f>1</f>
        <v>1</v>
      </c>
      <c r="F2853" t="s">
        <v>363</v>
      </c>
      <c r="G2853" t="s">
        <v>374</v>
      </c>
      <c r="I2853" t="s">
        <v>367</v>
      </c>
      <c r="J2853" s="3">
        <v>44931</v>
      </c>
    </row>
    <row r="2854" spans="1:11" x14ac:dyDescent="0.75">
      <c r="A2854" t="s">
        <v>69</v>
      </c>
      <c r="B2854" s="3">
        <v>44875</v>
      </c>
      <c r="C2854">
        <v>1</v>
      </c>
      <c r="D2854" t="s">
        <v>199</v>
      </c>
      <c r="E2854" s="22">
        <f>48-45</f>
        <v>3</v>
      </c>
      <c r="F2854" t="s">
        <v>363</v>
      </c>
      <c r="G2854" t="s">
        <v>374</v>
      </c>
      <c r="I2854" t="s">
        <v>367</v>
      </c>
      <c r="J2854" s="3">
        <v>44931</v>
      </c>
    </row>
    <row r="2855" spans="1:11" x14ac:dyDescent="0.75">
      <c r="A2855" t="s">
        <v>69</v>
      </c>
      <c r="B2855" s="3">
        <v>44875</v>
      </c>
      <c r="C2855">
        <v>1</v>
      </c>
      <c r="D2855" t="s">
        <v>191</v>
      </c>
      <c r="E2855" s="22">
        <f>45-29</f>
        <v>16</v>
      </c>
      <c r="F2855" t="s">
        <v>363</v>
      </c>
      <c r="G2855" t="s">
        <v>374</v>
      </c>
      <c r="I2855" t="s">
        <v>367</v>
      </c>
      <c r="J2855" s="3">
        <v>44931</v>
      </c>
    </row>
    <row r="2856" spans="1:11" x14ac:dyDescent="0.75">
      <c r="A2856" t="s">
        <v>69</v>
      </c>
      <c r="B2856" s="3">
        <v>44875</v>
      </c>
      <c r="C2856">
        <v>1</v>
      </c>
      <c r="D2856" t="s">
        <v>197</v>
      </c>
      <c r="E2856" s="22">
        <f>29-14</f>
        <v>15</v>
      </c>
      <c r="F2856" t="s">
        <v>363</v>
      </c>
      <c r="G2856" t="s">
        <v>374</v>
      </c>
      <c r="I2856" t="s">
        <v>367</v>
      </c>
      <c r="J2856" s="3">
        <v>44931</v>
      </c>
    </row>
    <row r="2857" spans="1:11" x14ac:dyDescent="0.75">
      <c r="A2857" t="s">
        <v>69</v>
      </c>
      <c r="B2857" s="3">
        <v>44875</v>
      </c>
      <c r="C2857">
        <v>1</v>
      </c>
      <c r="D2857" t="s">
        <v>197</v>
      </c>
      <c r="E2857" s="22">
        <f>12-10</f>
        <v>2</v>
      </c>
      <c r="F2857" t="s">
        <v>363</v>
      </c>
      <c r="G2857" t="s">
        <v>374</v>
      </c>
      <c r="I2857" t="s">
        <v>367</v>
      </c>
      <c r="J2857" s="3">
        <v>44931</v>
      </c>
    </row>
    <row r="2858" spans="1:11" x14ac:dyDescent="0.75">
      <c r="A2858" t="s">
        <v>69</v>
      </c>
      <c r="B2858" s="3">
        <v>44875</v>
      </c>
      <c r="C2858">
        <v>1</v>
      </c>
      <c r="D2858" t="s">
        <v>191</v>
      </c>
      <c r="E2858" s="22">
        <f>10-7</f>
        <v>3</v>
      </c>
      <c r="F2858" t="s">
        <v>363</v>
      </c>
      <c r="G2858" t="s">
        <v>374</v>
      </c>
      <c r="I2858" t="s">
        <v>367</v>
      </c>
      <c r="J2858" s="3">
        <v>44931</v>
      </c>
    </row>
    <row r="2859" spans="1:11" x14ac:dyDescent="0.75">
      <c r="A2859" t="s">
        <v>69</v>
      </c>
      <c r="B2859" s="3">
        <v>44875</v>
      </c>
      <c r="C2859">
        <v>1</v>
      </c>
      <c r="D2859" t="s">
        <v>194</v>
      </c>
      <c r="E2859" s="22">
        <f>7-5</f>
        <v>2</v>
      </c>
      <c r="F2859" t="s">
        <v>363</v>
      </c>
      <c r="G2859" t="s">
        <v>374</v>
      </c>
      <c r="I2859" t="s">
        <v>367</v>
      </c>
      <c r="J2859" s="3">
        <v>44931</v>
      </c>
    </row>
    <row r="2860" spans="1:11" x14ac:dyDescent="0.75">
      <c r="A2860" t="s">
        <v>69</v>
      </c>
      <c r="B2860" s="3">
        <v>44875</v>
      </c>
      <c r="C2860">
        <v>1</v>
      </c>
      <c r="D2860" t="s">
        <v>197</v>
      </c>
      <c r="E2860" s="22">
        <f>5+45-42</f>
        <v>8</v>
      </c>
      <c r="F2860" t="s">
        <v>363</v>
      </c>
      <c r="G2860" t="s">
        <v>374</v>
      </c>
      <c r="I2860" t="s">
        <v>367</v>
      </c>
      <c r="J2860" s="3">
        <v>44931</v>
      </c>
    </row>
    <row r="2861" spans="1:11" x14ac:dyDescent="0.75">
      <c r="A2861" t="s">
        <v>69</v>
      </c>
      <c r="B2861" s="3">
        <v>44875</v>
      </c>
      <c r="C2861">
        <v>1</v>
      </c>
      <c r="D2861" t="s">
        <v>197</v>
      </c>
      <c r="E2861" s="22">
        <f>42-29</f>
        <v>13</v>
      </c>
      <c r="F2861" t="s">
        <v>363</v>
      </c>
      <c r="G2861" t="s">
        <v>374</v>
      </c>
      <c r="I2861" t="s">
        <v>367</v>
      </c>
      <c r="J2861" s="3">
        <v>44931</v>
      </c>
    </row>
    <row r="2862" spans="1:11" x14ac:dyDescent="0.75">
      <c r="A2862" t="s">
        <v>69</v>
      </c>
      <c r="B2862" s="3">
        <v>44875</v>
      </c>
      <c r="C2862">
        <v>1</v>
      </c>
      <c r="D2862" t="s">
        <v>215</v>
      </c>
      <c r="E2862" s="22">
        <f>29-23</f>
        <v>6</v>
      </c>
      <c r="F2862" t="s">
        <v>363</v>
      </c>
      <c r="G2862" t="s">
        <v>374</v>
      </c>
      <c r="I2862" t="s">
        <v>367</v>
      </c>
      <c r="J2862" s="3">
        <v>44931</v>
      </c>
    </row>
    <row r="2863" spans="1:11" x14ac:dyDescent="0.75">
      <c r="A2863" t="s">
        <v>69</v>
      </c>
      <c r="B2863" s="3">
        <v>44875</v>
      </c>
      <c r="C2863">
        <v>1</v>
      </c>
      <c r="D2863" t="s">
        <v>199</v>
      </c>
      <c r="E2863" s="22">
        <f>23-16</f>
        <v>7</v>
      </c>
      <c r="F2863" t="s">
        <v>363</v>
      </c>
      <c r="G2863" t="s">
        <v>374</v>
      </c>
      <c r="I2863" t="s">
        <v>367</v>
      </c>
      <c r="J2863" s="3">
        <v>44931</v>
      </c>
    </row>
    <row r="2864" spans="1:11" x14ac:dyDescent="0.75">
      <c r="A2864" t="s">
        <v>69</v>
      </c>
      <c r="B2864" s="3">
        <v>44875</v>
      </c>
      <c r="C2864">
        <v>1</v>
      </c>
      <c r="D2864" t="s">
        <v>197</v>
      </c>
      <c r="E2864" s="22">
        <f>16-12</f>
        <v>4</v>
      </c>
      <c r="F2864" t="s">
        <v>363</v>
      </c>
      <c r="G2864" t="s">
        <v>374</v>
      </c>
      <c r="I2864" t="s">
        <v>367</v>
      </c>
      <c r="J2864" s="3">
        <v>44931</v>
      </c>
      <c r="K2864" t="s">
        <v>858</v>
      </c>
    </row>
    <row r="2865" spans="1:11" x14ac:dyDescent="0.75">
      <c r="A2865" t="s">
        <v>69</v>
      </c>
      <c r="B2865" s="3">
        <v>44875</v>
      </c>
      <c r="C2865">
        <v>1</v>
      </c>
      <c r="D2865" t="s">
        <v>191</v>
      </c>
      <c r="E2865" s="22">
        <f>12-11</f>
        <v>1</v>
      </c>
      <c r="F2865" t="s">
        <v>363</v>
      </c>
      <c r="G2865" t="s">
        <v>374</v>
      </c>
      <c r="I2865" t="s">
        <v>367</v>
      </c>
      <c r="J2865" s="3">
        <v>44931</v>
      </c>
    </row>
    <row r="2866" spans="1:11" x14ac:dyDescent="0.75">
      <c r="A2866" t="s">
        <v>69</v>
      </c>
      <c r="B2866" s="3">
        <v>44875</v>
      </c>
      <c r="C2866">
        <v>1</v>
      </c>
      <c r="D2866" t="s">
        <v>191</v>
      </c>
      <c r="E2866" s="22">
        <f>11-10</f>
        <v>1</v>
      </c>
      <c r="F2866" t="s">
        <v>363</v>
      </c>
      <c r="G2866" t="s">
        <v>374</v>
      </c>
      <c r="I2866" t="s">
        <v>367</v>
      </c>
      <c r="J2866" s="3">
        <v>44931</v>
      </c>
    </row>
    <row r="2867" spans="1:11" x14ac:dyDescent="0.75">
      <c r="A2867" t="s">
        <v>69</v>
      </c>
      <c r="B2867" s="3">
        <v>44875</v>
      </c>
      <c r="C2867">
        <v>1</v>
      </c>
      <c r="D2867" t="s">
        <v>197</v>
      </c>
      <c r="E2867" s="22">
        <f>5</f>
        <v>5</v>
      </c>
      <c r="F2867" t="s">
        <v>363</v>
      </c>
      <c r="G2867" t="s">
        <v>367</v>
      </c>
      <c r="I2867" t="s">
        <v>367</v>
      </c>
      <c r="J2867" s="3">
        <v>44931</v>
      </c>
      <c r="K2867" t="s">
        <v>863</v>
      </c>
    </row>
    <row r="2868" spans="1:11" x14ac:dyDescent="0.75">
      <c r="A2868" t="s">
        <v>69</v>
      </c>
      <c r="B2868" s="3">
        <v>44875</v>
      </c>
      <c r="C2868">
        <v>1</v>
      </c>
      <c r="D2868" t="s">
        <v>197</v>
      </c>
      <c r="E2868" s="22">
        <f>2</f>
        <v>2</v>
      </c>
      <c r="F2868" t="s">
        <v>363</v>
      </c>
      <c r="G2868" t="s">
        <v>367</v>
      </c>
      <c r="I2868" t="s">
        <v>367</v>
      </c>
      <c r="J2868" s="3">
        <v>44931</v>
      </c>
    </row>
    <row r="2869" spans="1:11" x14ac:dyDescent="0.75">
      <c r="A2869" t="s">
        <v>69</v>
      </c>
      <c r="B2869" s="3">
        <v>44875</v>
      </c>
      <c r="C2869">
        <v>1</v>
      </c>
      <c r="D2869" t="s">
        <v>194</v>
      </c>
      <c r="E2869" s="22">
        <f>9</f>
        <v>9</v>
      </c>
      <c r="F2869" t="s">
        <v>363</v>
      </c>
      <c r="G2869" t="s">
        <v>367</v>
      </c>
      <c r="I2869" t="s">
        <v>367</v>
      </c>
      <c r="J2869" s="3">
        <v>44931</v>
      </c>
    </row>
    <row r="2870" spans="1:11" x14ac:dyDescent="0.75">
      <c r="A2870" t="s">
        <v>69</v>
      </c>
      <c r="B2870" s="3">
        <v>44875</v>
      </c>
      <c r="C2870">
        <v>1</v>
      </c>
      <c r="D2870" t="s">
        <v>191</v>
      </c>
      <c r="E2870" s="22">
        <f>10</f>
        <v>10</v>
      </c>
      <c r="F2870" t="s">
        <v>363</v>
      </c>
      <c r="G2870" t="s">
        <v>367</v>
      </c>
      <c r="I2870" t="s">
        <v>367</v>
      </c>
      <c r="J2870" s="3">
        <v>44931</v>
      </c>
    </row>
    <row r="2871" spans="1:11" x14ac:dyDescent="0.75">
      <c r="A2871" t="s">
        <v>69</v>
      </c>
      <c r="B2871" s="3">
        <v>44875</v>
      </c>
      <c r="C2871">
        <v>1</v>
      </c>
      <c r="D2871" t="s">
        <v>197</v>
      </c>
      <c r="E2871" s="22">
        <f>3</f>
        <v>3</v>
      </c>
      <c r="F2871" t="s">
        <v>363</v>
      </c>
      <c r="G2871" t="s">
        <v>367</v>
      </c>
      <c r="I2871" t="s">
        <v>367</v>
      </c>
      <c r="J2871" s="3">
        <v>44931</v>
      </c>
    </row>
    <row r="2872" spans="1:11" x14ac:dyDescent="0.75">
      <c r="A2872" t="s">
        <v>69</v>
      </c>
      <c r="B2872" s="3">
        <v>44875</v>
      </c>
      <c r="C2872">
        <v>1</v>
      </c>
      <c r="D2872" t="s">
        <v>197</v>
      </c>
      <c r="E2872" s="22">
        <f>7</f>
        <v>7</v>
      </c>
      <c r="F2872" t="s">
        <v>363</v>
      </c>
      <c r="G2872" t="s">
        <v>367</v>
      </c>
      <c r="I2872" t="s">
        <v>367</v>
      </c>
      <c r="J2872" s="3">
        <v>44931</v>
      </c>
    </row>
    <row r="2873" spans="1:11" x14ac:dyDescent="0.75">
      <c r="A2873" t="s">
        <v>69</v>
      </c>
      <c r="B2873" s="3">
        <v>44875</v>
      </c>
      <c r="C2873">
        <v>1</v>
      </c>
      <c r="D2873" t="s">
        <v>197</v>
      </c>
      <c r="E2873" s="22">
        <f>1</f>
        <v>1</v>
      </c>
      <c r="F2873" t="s">
        <v>363</v>
      </c>
      <c r="G2873" t="s">
        <v>367</v>
      </c>
      <c r="I2873" t="s">
        <v>367</v>
      </c>
      <c r="J2873" s="3">
        <v>44931</v>
      </c>
    </row>
    <row r="2874" spans="1:11" x14ac:dyDescent="0.75">
      <c r="A2874" t="s">
        <v>69</v>
      </c>
      <c r="B2874" s="3">
        <v>44875</v>
      </c>
      <c r="C2874">
        <v>1</v>
      </c>
      <c r="D2874" t="s">
        <v>207</v>
      </c>
      <c r="E2874" s="22">
        <f>2</f>
        <v>2</v>
      </c>
      <c r="F2874" t="s">
        <v>363</v>
      </c>
      <c r="G2874" t="s">
        <v>367</v>
      </c>
      <c r="I2874" t="s">
        <v>367</v>
      </c>
      <c r="J2874" s="3">
        <v>44931</v>
      </c>
    </row>
    <row r="2875" spans="1:11" x14ac:dyDescent="0.75">
      <c r="A2875" t="s">
        <v>69</v>
      </c>
      <c r="B2875" s="3">
        <v>44875</v>
      </c>
      <c r="C2875">
        <v>1</v>
      </c>
      <c r="D2875" t="s">
        <v>191</v>
      </c>
      <c r="E2875" s="22">
        <f>38</f>
        <v>38</v>
      </c>
      <c r="F2875" t="s">
        <v>363</v>
      </c>
      <c r="G2875" t="s">
        <v>367</v>
      </c>
      <c r="I2875" t="s">
        <v>367</v>
      </c>
      <c r="J2875" s="3">
        <v>44931</v>
      </c>
    </row>
    <row r="2876" spans="1:11" x14ac:dyDescent="0.75">
      <c r="A2876" t="s">
        <v>69</v>
      </c>
      <c r="B2876" s="3">
        <v>44875</v>
      </c>
      <c r="C2876">
        <v>1</v>
      </c>
      <c r="D2876" t="s">
        <v>197</v>
      </c>
      <c r="E2876" s="22">
        <f>8</f>
        <v>8</v>
      </c>
      <c r="F2876" t="s">
        <v>363</v>
      </c>
      <c r="G2876" t="s">
        <v>367</v>
      </c>
      <c r="I2876" t="s">
        <v>367</v>
      </c>
      <c r="J2876" s="3">
        <v>44931</v>
      </c>
    </row>
    <row r="2877" spans="1:11" x14ac:dyDescent="0.75">
      <c r="A2877" t="s">
        <v>69</v>
      </c>
      <c r="B2877" s="3">
        <v>44875</v>
      </c>
      <c r="C2877">
        <v>1</v>
      </c>
      <c r="D2877" t="s">
        <v>194</v>
      </c>
      <c r="E2877" s="22">
        <f>5</f>
        <v>5</v>
      </c>
      <c r="F2877" t="s">
        <v>363</v>
      </c>
      <c r="G2877" t="s">
        <v>367</v>
      </c>
      <c r="I2877" t="s">
        <v>367</v>
      </c>
      <c r="J2877" s="3">
        <v>44931</v>
      </c>
    </row>
    <row r="2878" spans="1:11" x14ac:dyDescent="0.75">
      <c r="A2878" t="s">
        <v>69</v>
      </c>
      <c r="B2878" s="3">
        <v>44875</v>
      </c>
      <c r="C2878">
        <v>1</v>
      </c>
      <c r="D2878" t="s">
        <v>191</v>
      </c>
      <c r="E2878" s="22">
        <f>9</f>
        <v>9</v>
      </c>
      <c r="F2878" t="s">
        <v>363</v>
      </c>
      <c r="G2878" t="s">
        <v>367</v>
      </c>
      <c r="I2878" t="s">
        <v>367</v>
      </c>
      <c r="J2878" s="3">
        <v>44931</v>
      </c>
    </row>
    <row r="2879" spans="1:11" s="43" customFormat="1" x14ac:dyDescent="0.75">
      <c r="A2879" s="43" t="s">
        <v>69</v>
      </c>
      <c r="B2879" s="44">
        <v>44875</v>
      </c>
      <c r="C2879" s="43">
        <v>2</v>
      </c>
      <c r="D2879" s="43" t="s">
        <v>168</v>
      </c>
      <c r="E2879" s="55">
        <f>44-35</f>
        <v>9</v>
      </c>
      <c r="F2879" s="43" t="s">
        <v>363</v>
      </c>
      <c r="G2879" s="43" t="s">
        <v>361</v>
      </c>
      <c r="I2879" s="43" t="s">
        <v>367</v>
      </c>
      <c r="J2879" s="44">
        <v>44931</v>
      </c>
    </row>
    <row r="2880" spans="1:11" s="43" customFormat="1" x14ac:dyDescent="0.75">
      <c r="A2880" s="43" t="s">
        <v>69</v>
      </c>
      <c r="B2880" s="44">
        <v>44875</v>
      </c>
      <c r="C2880" s="43">
        <v>2</v>
      </c>
      <c r="D2880" s="43" t="s">
        <v>191</v>
      </c>
      <c r="E2880" s="55">
        <f>35-28</f>
        <v>7</v>
      </c>
      <c r="F2880" s="43">
        <v>3993</v>
      </c>
      <c r="G2880" s="43" t="s">
        <v>361</v>
      </c>
      <c r="I2880" s="43" t="s">
        <v>367</v>
      </c>
      <c r="J2880" s="44">
        <v>44931</v>
      </c>
    </row>
    <row r="2881" spans="1:11" s="43" customFormat="1" x14ac:dyDescent="0.75">
      <c r="A2881" s="43" t="s">
        <v>69</v>
      </c>
      <c r="B2881" s="44">
        <v>44875</v>
      </c>
      <c r="C2881" s="43">
        <v>2</v>
      </c>
      <c r="D2881" s="43" t="s">
        <v>168</v>
      </c>
      <c r="E2881" s="55">
        <f>41-38</f>
        <v>3</v>
      </c>
      <c r="F2881" s="43" t="s">
        <v>363</v>
      </c>
      <c r="G2881" s="43" t="s">
        <v>374</v>
      </c>
      <c r="I2881" s="43" t="s">
        <v>367</v>
      </c>
      <c r="J2881" s="44">
        <v>44931</v>
      </c>
    </row>
    <row r="2882" spans="1:11" s="43" customFormat="1" x14ac:dyDescent="0.75">
      <c r="A2882" s="43" t="s">
        <v>69</v>
      </c>
      <c r="B2882" s="44">
        <v>44875</v>
      </c>
      <c r="C2882" s="43">
        <v>2</v>
      </c>
      <c r="D2882" s="43" t="s">
        <v>207</v>
      </c>
      <c r="E2882" s="55">
        <f>38-35</f>
        <v>3</v>
      </c>
      <c r="F2882" s="43" t="s">
        <v>363</v>
      </c>
      <c r="G2882" s="43" t="s">
        <v>374</v>
      </c>
      <c r="I2882" s="43" t="s">
        <v>367</v>
      </c>
      <c r="J2882" s="44">
        <v>44931</v>
      </c>
    </row>
    <row r="2883" spans="1:11" s="43" customFormat="1" x14ac:dyDescent="0.75">
      <c r="A2883" s="43" t="s">
        <v>69</v>
      </c>
      <c r="B2883" s="44">
        <v>44875</v>
      </c>
      <c r="C2883" s="43">
        <v>2</v>
      </c>
      <c r="D2883" s="43" t="s">
        <v>207</v>
      </c>
      <c r="E2883" s="55">
        <f>35-31</f>
        <v>4</v>
      </c>
      <c r="F2883" s="43" t="s">
        <v>363</v>
      </c>
      <c r="G2883" s="43" t="s">
        <v>374</v>
      </c>
      <c r="I2883" s="43" t="s">
        <v>367</v>
      </c>
      <c r="J2883" s="44">
        <v>44931</v>
      </c>
    </row>
    <row r="2884" spans="1:11" s="43" customFormat="1" x14ac:dyDescent="0.75">
      <c r="A2884" s="43" t="s">
        <v>69</v>
      </c>
      <c r="B2884" s="44">
        <v>44875</v>
      </c>
      <c r="C2884" s="43">
        <v>2</v>
      </c>
      <c r="D2884" s="43" t="s">
        <v>197</v>
      </c>
      <c r="E2884" s="55">
        <f>31-29</f>
        <v>2</v>
      </c>
      <c r="F2884" s="43" t="s">
        <v>363</v>
      </c>
      <c r="G2884" s="43" t="s">
        <v>374</v>
      </c>
      <c r="I2884" s="43" t="s">
        <v>367</v>
      </c>
      <c r="J2884" s="44">
        <v>44931</v>
      </c>
    </row>
    <row r="2885" spans="1:11" s="43" customFormat="1" x14ac:dyDescent="0.75">
      <c r="A2885" s="43" t="s">
        <v>69</v>
      </c>
      <c r="B2885" s="44">
        <v>44875</v>
      </c>
      <c r="C2885" s="43">
        <v>2</v>
      </c>
      <c r="D2885" s="43" t="s">
        <v>207</v>
      </c>
      <c r="E2885" s="55">
        <f>29-25</f>
        <v>4</v>
      </c>
      <c r="F2885" s="43" t="s">
        <v>363</v>
      </c>
      <c r="G2885" s="43" t="s">
        <v>374</v>
      </c>
      <c r="I2885" s="43" t="s">
        <v>367</v>
      </c>
      <c r="J2885" s="44">
        <v>44931</v>
      </c>
    </row>
    <row r="2886" spans="1:11" s="43" customFormat="1" x14ac:dyDescent="0.75">
      <c r="A2886" s="43" t="s">
        <v>69</v>
      </c>
      <c r="B2886" s="44">
        <v>44875</v>
      </c>
      <c r="C2886" s="43">
        <v>2</v>
      </c>
      <c r="D2886" s="43" t="s">
        <v>207</v>
      </c>
      <c r="E2886" s="55">
        <f>25-22</f>
        <v>3</v>
      </c>
      <c r="F2886" s="43" t="s">
        <v>363</v>
      </c>
      <c r="G2886" s="43" t="s">
        <v>374</v>
      </c>
      <c r="I2886" s="43" t="s">
        <v>367</v>
      </c>
      <c r="J2886" s="44">
        <v>44931</v>
      </c>
    </row>
    <row r="2887" spans="1:11" s="43" customFormat="1" x14ac:dyDescent="0.75">
      <c r="A2887" s="43" t="s">
        <v>69</v>
      </c>
      <c r="B2887" s="44">
        <v>44875</v>
      </c>
      <c r="C2887" s="43">
        <v>2</v>
      </c>
      <c r="D2887" s="43" t="s">
        <v>191</v>
      </c>
      <c r="E2887" s="55">
        <f>56-47</f>
        <v>9</v>
      </c>
      <c r="F2887" s="43" t="s">
        <v>363</v>
      </c>
      <c r="G2887" s="43" t="s">
        <v>374</v>
      </c>
      <c r="I2887" s="43" t="s">
        <v>367</v>
      </c>
      <c r="J2887" s="44">
        <v>44931</v>
      </c>
      <c r="K2887" s="43" t="s">
        <v>864</v>
      </c>
    </row>
    <row r="2888" spans="1:11" s="43" customFormat="1" x14ac:dyDescent="0.75">
      <c r="A2888" s="43" t="s">
        <v>69</v>
      </c>
      <c r="B2888" s="44">
        <v>44875</v>
      </c>
      <c r="C2888" s="43">
        <v>2</v>
      </c>
      <c r="D2888" s="43" t="s">
        <v>191</v>
      </c>
      <c r="E2888" s="55">
        <f>47-45</f>
        <v>2</v>
      </c>
      <c r="F2888" s="43" t="s">
        <v>363</v>
      </c>
      <c r="G2888" s="43" t="s">
        <v>374</v>
      </c>
      <c r="I2888" s="43" t="s">
        <v>367</v>
      </c>
      <c r="J2888" s="44">
        <v>44931</v>
      </c>
    </row>
    <row r="2889" spans="1:11" s="43" customFormat="1" x14ac:dyDescent="0.75">
      <c r="A2889" s="43" t="s">
        <v>69</v>
      </c>
      <c r="B2889" s="44">
        <v>44875</v>
      </c>
      <c r="C2889" s="43">
        <v>2</v>
      </c>
      <c r="D2889" s="43" t="s">
        <v>191</v>
      </c>
      <c r="E2889" s="55">
        <f>45-41</f>
        <v>4</v>
      </c>
      <c r="F2889" s="43" t="s">
        <v>363</v>
      </c>
      <c r="G2889" s="43" t="s">
        <v>374</v>
      </c>
      <c r="I2889" s="43" t="s">
        <v>367</v>
      </c>
      <c r="J2889" s="44">
        <v>44931</v>
      </c>
    </row>
    <row r="2890" spans="1:11" s="43" customFormat="1" x14ac:dyDescent="0.75">
      <c r="A2890" s="43" t="s">
        <v>69</v>
      </c>
      <c r="B2890" s="44">
        <v>44875</v>
      </c>
      <c r="C2890" s="43">
        <v>2</v>
      </c>
      <c r="D2890" s="43" t="s">
        <v>172</v>
      </c>
      <c r="E2890" s="55">
        <f>41-40</f>
        <v>1</v>
      </c>
      <c r="F2890" s="43" t="s">
        <v>363</v>
      </c>
      <c r="G2890" s="43" t="s">
        <v>374</v>
      </c>
      <c r="I2890" s="43" t="s">
        <v>367</v>
      </c>
      <c r="J2890" s="44">
        <v>44931</v>
      </c>
    </row>
    <row r="2891" spans="1:11" s="43" customFormat="1" x14ac:dyDescent="0.75">
      <c r="A2891" s="43" t="s">
        <v>69</v>
      </c>
      <c r="B2891" s="44">
        <v>44875</v>
      </c>
      <c r="C2891" s="43">
        <v>2</v>
      </c>
      <c r="D2891" s="43" t="s">
        <v>168</v>
      </c>
      <c r="E2891" s="55">
        <f>40-32</f>
        <v>8</v>
      </c>
      <c r="F2891" s="43" t="s">
        <v>363</v>
      </c>
      <c r="G2891" s="43" t="s">
        <v>374</v>
      </c>
      <c r="I2891" s="43" t="s">
        <v>367</v>
      </c>
      <c r="J2891" s="44">
        <v>44931</v>
      </c>
    </row>
    <row r="2892" spans="1:11" s="43" customFormat="1" x14ac:dyDescent="0.75">
      <c r="A2892" s="43" t="s">
        <v>69</v>
      </c>
      <c r="B2892" s="44">
        <v>44875</v>
      </c>
      <c r="C2892" s="43">
        <v>2</v>
      </c>
      <c r="D2892" s="43" t="s">
        <v>197</v>
      </c>
      <c r="E2892" s="55">
        <f>32-30</f>
        <v>2</v>
      </c>
      <c r="F2892" s="43" t="s">
        <v>363</v>
      </c>
      <c r="G2892" s="43" t="s">
        <v>374</v>
      </c>
      <c r="I2892" s="43" t="s">
        <v>367</v>
      </c>
      <c r="J2892" s="44">
        <v>44931</v>
      </c>
    </row>
    <row r="2893" spans="1:11" s="43" customFormat="1" x14ac:dyDescent="0.75">
      <c r="A2893" s="43" t="s">
        <v>69</v>
      </c>
      <c r="B2893" s="44">
        <v>44875</v>
      </c>
      <c r="C2893" s="43">
        <v>2</v>
      </c>
      <c r="D2893" s="43" t="s">
        <v>197</v>
      </c>
      <c r="E2893" s="55">
        <f>30-20</f>
        <v>10</v>
      </c>
      <c r="F2893" s="43" t="s">
        <v>363</v>
      </c>
      <c r="G2893" s="43" t="s">
        <v>374</v>
      </c>
      <c r="I2893" s="43" t="s">
        <v>367</v>
      </c>
      <c r="J2893" s="44">
        <v>44931</v>
      </c>
    </row>
    <row r="2894" spans="1:11" s="43" customFormat="1" x14ac:dyDescent="0.75">
      <c r="A2894" s="43" t="s">
        <v>69</v>
      </c>
      <c r="B2894" s="44">
        <v>44875</v>
      </c>
      <c r="C2894" s="43">
        <v>2</v>
      </c>
      <c r="D2894" s="43" t="s">
        <v>207</v>
      </c>
      <c r="E2894" s="68" t="s">
        <v>363</v>
      </c>
      <c r="F2894" s="43" t="s">
        <v>363</v>
      </c>
      <c r="G2894" s="43" t="s">
        <v>374</v>
      </c>
      <c r="I2894" s="43" t="s">
        <v>367</v>
      </c>
      <c r="J2894" s="44">
        <v>44931</v>
      </c>
      <c r="K2894" s="43" t="s">
        <v>804</v>
      </c>
    </row>
    <row r="2895" spans="1:11" s="43" customFormat="1" x14ac:dyDescent="0.75">
      <c r="A2895" s="43" t="s">
        <v>69</v>
      </c>
      <c r="B2895" s="44">
        <v>44875</v>
      </c>
      <c r="C2895" s="43">
        <v>2</v>
      </c>
      <c r="D2895" s="43" t="s">
        <v>168</v>
      </c>
      <c r="E2895" s="55">
        <f>10</f>
        <v>10</v>
      </c>
      <c r="F2895" s="43" t="s">
        <v>363</v>
      </c>
      <c r="G2895" s="43" t="s">
        <v>367</v>
      </c>
      <c r="I2895" s="43" t="s">
        <v>367</v>
      </c>
      <c r="J2895" s="44">
        <v>44931</v>
      </c>
      <c r="K2895" s="43" t="s">
        <v>863</v>
      </c>
    </row>
    <row r="2896" spans="1:11" x14ac:dyDescent="0.75">
      <c r="A2896" t="s">
        <v>69</v>
      </c>
      <c r="B2896" s="3">
        <v>44875</v>
      </c>
      <c r="C2896">
        <v>3</v>
      </c>
      <c r="D2896" t="s">
        <v>168</v>
      </c>
      <c r="E2896" s="22">
        <f>40-32</f>
        <v>8</v>
      </c>
      <c r="F2896" t="s">
        <v>363</v>
      </c>
      <c r="G2896" t="s">
        <v>374</v>
      </c>
      <c r="I2896" t="s">
        <v>367</v>
      </c>
      <c r="J2896" s="3">
        <v>44931</v>
      </c>
    </row>
    <row r="2897" spans="1:11" x14ac:dyDescent="0.75">
      <c r="A2897" t="s">
        <v>69</v>
      </c>
      <c r="B2897" s="3">
        <v>44875</v>
      </c>
      <c r="C2897">
        <v>3</v>
      </c>
      <c r="D2897" t="s">
        <v>207</v>
      </c>
      <c r="E2897" s="22">
        <f>32-30</f>
        <v>2</v>
      </c>
      <c r="F2897" t="s">
        <v>363</v>
      </c>
      <c r="G2897" t="s">
        <v>374</v>
      </c>
      <c r="I2897" t="s">
        <v>367</v>
      </c>
      <c r="J2897" s="3">
        <v>44931</v>
      </c>
    </row>
    <row r="2898" spans="1:11" x14ac:dyDescent="0.75">
      <c r="A2898" t="s">
        <v>69</v>
      </c>
      <c r="B2898" s="3">
        <v>44875</v>
      </c>
      <c r="C2898">
        <v>3</v>
      </c>
      <c r="D2898" t="s">
        <v>207</v>
      </c>
      <c r="E2898" s="22">
        <f>1</f>
        <v>1</v>
      </c>
      <c r="F2898">
        <v>906</v>
      </c>
      <c r="G2898" t="s">
        <v>374</v>
      </c>
      <c r="I2898" t="s">
        <v>367</v>
      </c>
      <c r="J2898" s="3">
        <v>44931</v>
      </c>
    </row>
    <row r="2899" spans="1:11" x14ac:dyDescent="0.75">
      <c r="A2899" t="s">
        <v>69</v>
      </c>
      <c r="B2899" s="3">
        <v>44875</v>
      </c>
      <c r="C2899">
        <v>3</v>
      </c>
      <c r="D2899" t="s">
        <v>207</v>
      </c>
      <c r="E2899" s="22">
        <f>20-15</f>
        <v>5</v>
      </c>
      <c r="F2899" t="s">
        <v>363</v>
      </c>
      <c r="G2899" t="s">
        <v>374</v>
      </c>
      <c r="I2899" t="s">
        <v>367</v>
      </c>
      <c r="J2899" s="3">
        <v>44931</v>
      </c>
    </row>
    <row r="2900" spans="1:11" x14ac:dyDescent="0.75">
      <c r="A2900" t="s">
        <v>69</v>
      </c>
      <c r="B2900" s="3">
        <v>44875</v>
      </c>
      <c r="C2900">
        <v>3</v>
      </c>
      <c r="D2900" t="s">
        <v>207</v>
      </c>
      <c r="E2900" s="22">
        <f>15-13</f>
        <v>2</v>
      </c>
      <c r="F2900" t="s">
        <v>363</v>
      </c>
      <c r="G2900" t="s">
        <v>374</v>
      </c>
      <c r="I2900" t="s">
        <v>367</v>
      </c>
      <c r="J2900" s="3">
        <v>44931</v>
      </c>
    </row>
    <row r="2901" spans="1:11" x14ac:dyDescent="0.75">
      <c r="A2901" t="s">
        <v>69</v>
      </c>
      <c r="B2901" s="3">
        <v>44875</v>
      </c>
      <c r="C2901">
        <v>3</v>
      </c>
      <c r="D2901" t="s">
        <v>168</v>
      </c>
      <c r="E2901" s="22">
        <f>13-9</f>
        <v>4</v>
      </c>
      <c r="F2901" t="s">
        <v>363</v>
      </c>
      <c r="G2901" t="s">
        <v>374</v>
      </c>
      <c r="I2901" t="s">
        <v>367</v>
      </c>
      <c r="J2901" s="3">
        <v>44931</v>
      </c>
    </row>
    <row r="2902" spans="1:11" x14ac:dyDescent="0.75">
      <c r="A2902" t="s">
        <v>69</v>
      </c>
      <c r="B2902" s="3">
        <v>44875</v>
      </c>
      <c r="C2902">
        <v>3</v>
      </c>
      <c r="D2902" t="s">
        <v>191</v>
      </c>
      <c r="E2902" s="22">
        <f>6</f>
        <v>6</v>
      </c>
      <c r="F2902" t="s">
        <v>363</v>
      </c>
      <c r="G2902" t="s">
        <v>367</v>
      </c>
      <c r="I2902" t="s">
        <v>367</v>
      </c>
      <c r="J2902" s="3">
        <v>44931</v>
      </c>
      <c r="K2902" t="s">
        <v>863</v>
      </c>
    </row>
    <row r="2903" spans="1:11" s="43" customFormat="1" x14ac:dyDescent="0.75">
      <c r="A2903" s="43" t="s">
        <v>69</v>
      </c>
      <c r="B2903" s="44">
        <v>44875</v>
      </c>
      <c r="C2903" s="43">
        <v>4</v>
      </c>
      <c r="D2903" s="43" t="s">
        <v>207</v>
      </c>
      <c r="E2903" s="55">
        <f>9-7</f>
        <v>2</v>
      </c>
      <c r="F2903" s="43" t="s">
        <v>363</v>
      </c>
      <c r="G2903" s="43" t="s">
        <v>374</v>
      </c>
      <c r="I2903" s="43" t="s">
        <v>367</v>
      </c>
      <c r="J2903" s="44">
        <v>44931</v>
      </c>
    </row>
    <row r="2904" spans="1:11" x14ac:dyDescent="0.75">
      <c r="A2904" t="s">
        <v>39</v>
      </c>
      <c r="B2904" s="3">
        <v>44880</v>
      </c>
      <c r="C2904">
        <v>1</v>
      </c>
      <c r="D2904" t="s">
        <v>201</v>
      </c>
      <c r="E2904" s="22">
        <f>45-40</f>
        <v>5</v>
      </c>
      <c r="F2904" t="s">
        <v>363</v>
      </c>
      <c r="G2904" t="s">
        <v>733</v>
      </c>
      <c r="I2904" t="s">
        <v>367</v>
      </c>
      <c r="J2904" s="3">
        <v>44931</v>
      </c>
    </row>
    <row r="2905" spans="1:11" x14ac:dyDescent="0.75">
      <c r="A2905" t="s">
        <v>39</v>
      </c>
      <c r="B2905" s="3">
        <v>44880</v>
      </c>
      <c r="C2905">
        <v>1</v>
      </c>
      <c r="D2905" t="s">
        <v>199</v>
      </c>
      <c r="E2905" s="22">
        <f>40-39</f>
        <v>1</v>
      </c>
      <c r="F2905" t="s">
        <v>363</v>
      </c>
      <c r="G2905" t="s">
        <v>733</v>
      </c>
      <c r="I2905" t="s">
        <v>367</v>
      </c>
      <c r="J2905" s="3">
        <v>44931</v>
      </c>
    </row>
    <row r="2906" spans="1:11" x14ac:dyDescent="0.75">
      <c r="A2906" t="s">
        <v>39</v>
      </c>
      <c r="B2906" s="3">
        <v>44880</v>
      </c>
      <c r="C2906">
        <v>1</v>
      </c>
      <c r="D2906" t="s">
        <v>207</v>
      </c>
      <c r="E2906" s="22">
        <f>39-38</f>
        <v>1</v>
      </c>
      <c r="F2906" t="s">
        <v>363</v>
      </c>
      <c r="G2906" t="s">
        <v>733</v>
      </c>
      <c r="I2906" t="s">
        <v>367</v>
      </c>
      <c r="J2906" s="3">
        <v>44931</v>
      </c>
    </row>
    <row r="2907" spans="1:11" x14ac:dyDescent="0.75">
      <c r="A2907" t="s">
        <v>39</v>
      </c>
      <c r="B2907" s="3">
        <v>44880</v>
      </c>
      <c r="C2907">
        <v>1</v>
      </c>
      <c r="D2907" t="s">
        <v>197</v>
      </c>
      <c r="E2907" s="22">
        <f>38-33</f>
        <v>5</v>
      </c>
      <c r="F2907" t="s">
        <v>363</v>
      </c>
      <c r="G2907" t="s">
        <v>733</v>
      </c>
      <c r="I2907" t="s">
        <v>367</v>
      </c>
      <c r="J2907" s="3">
        <v>44931</v>
      </c>
    </row>
    <row r="2908" spans="1:11" x14ac:dyDescent="0.75">
      <c r="A2908" t="s">
        <v>39</v>
      </c>
      <c r="B2908" s="3">
        <v>44880</v>
      </c>
      <c r="C2908">
        <v>1</v>
      </c>
      <c r="D2908" t="s">
        <v>197</v>
      </c>
      <c r="E2908" s="22">
        <f>33-27</f>
        <v>6</v>
      </c>
      <c r="F2908" t="s">
        <v>363</v>
      </c>
      <c r="G2908" t="s">
        <v>733</v>
      </c>
      <c r="I2908" t="s">
        <v>367</v>
      </c>
      <c r="J2908" s="3">
        <v>44931</v>
      </c>
    </row>
    <row r="2909" spans="1:11" x14ac:dyDescent="0.75">
      <c r="A2909" t="s">
        <v>39</v>
      </c>
      <c r="B2909" s="3">
        <v>44880</v>
      </c>
      <c r="C2909">
        <v>1</v>
      </c>
      <c r="D2909" t="s">
        <v>205</v>
      </c>
      <c r="E2909" s="22">
        <f>27-26</f>
        <v>1</v>
      </c>
      <c r="F2909" t="s">
        <v>363</v>
      </c>
      <c r="G2909" t="s">
        <v>733</v>
      </c>
      <c r="I2909" t="s">
        <v>367</v>
      </c>
      <c r="J2909" s="3">
        <v>44931</v>
      </c>
    </row>
    <row r="2910" spans="1:11" x14ac:dyDescent="0.75">
      <c r="A2910" t="s">
        <v>39</v>
      </c>
      <c r="B2910" s="3">
        <v>44880</v>
      </c>
      <c r="C2910">
        <v>1</v>
      </c>
      <c r="D2910" t="s">
        <v>207</v>
      </c>
      <c r="E2910" s="22">
        <f>1</f>
        <v>1</v>
      </c>
      <c r="F2910" t="s">
        <v>363</v>
      </c>
      <c r="G2910" t="s">
        <v>733</v>
      </c>
      <c r="I2910" t="s">
        <v>367</v>
      </c>
      <c r="J2910" s="3">
        <v>44931</v>
      </c>
    </row>
    <row r="2911" spans="1:11" x14ac:dyDescent="0.75">
      <c r="A2911" t="s">
        <v>39</v>
      </c>
      <c r="B2911" s="3">
        <v>44880</v>
      </c>
      <c r="C2911">
        <v>1</v>
      </c>
      <c r="D2911" t="s">
        <v>164</v>
      </c>
      <c r="E2911" s="22">
        <f>57-47</f>
        <v>10</v>
      </c>
      <c r="F2911">
        <v>3535</v>
      </c>
      <c r="G2911" t="s">
        <v>361</v>
      </c>
      <c r="I2911" t="s">
        <v>367</v>
      </c>
      <c r="J2911" s="3">
        <v>44931</v>
      </c>
    </row>
    <row r="2912" spans="1:11" s="43" customFormat="1" x14ac:dyDescent="0.75">
      <c r="A2912" s="43" t="s">
        <v>39</v>
      </c>
      <c r="B2912" s="44">
        <v>44880</v>
      </c>
      <c r="C2912" s="43">
        <v>2</v>
      </c>
      <c r="D2912" s="43" t="s">
        <v>197</v>
      </c>
      <c r="E2912" s="55">
        <f>26-16</f>
        <v>10</v>
      </c>
      <c r="F2912" s="43" t="s">
        <v>363</v>
      </c>
      <c r="G2912" s="43" t="s">
        <v>733</v>
      </c>
      <c r="I2912" s="43" t="s">
        <v>367</v>
      </c>
      <c r="J2912" s="44">
        <v>44931</v>
      </c>
    </row>
    <row r="2913" spans="1:11" s="43" customFormat="1" x14ac:dyDescent="0.75">
      <c r="A2913" s="43" t="s">
        <v>39</v>
      </c>
      <c r="B2913" s="44">
        <v>44880</v>
      </c>
      <c r="C2913" s="43">
        <v>2</v>
      </c>
      <c r="D2913" s="43" t="s">
        <v>207</v>
      </c>
      <c r="E2913" s="55">
        <f>16-11</f>
        <v>5</v>
      </c>
      <c r="F2913" s="43" t="s">
        <v>363</v>
      </c>
      <c r="G2913" s="43" t="s">
        <v>733</v>
      </c>
      <c r="I2913" s="43" t="s">
        <v>367</v>
      </c>
      <c r="J2913" s="44">
        <v>44931</v>
      </c>
    </row>
    <row r="2914" spans="1:11" s="43" customFormat="1" x14ac:dyDescent="0.75">
      <c r="A2914" s="43" t="s">
        <v>39</v>
      </c>
      <c r="B2914" s="44">
        <v>44880</v>
      </c>
      <c r="C2914" s="43">
        <v>2</v>
      </c>
      <c r="D2914" s="43" t="s">
        <v>201</v>
      </c>
      <c r="E2914" s="55">
        <f>11+45-25</f>
        <v>31</v>
      </c>
      <c r="F2914" s="43" t="s">
        <v>363</v>
      </c>
      <c r="G2914" s="43" t="s">
        <v>733</v>
      </c>
      <c r="I2914" s="43" t="s">
        <v>367</v>
      </c>
      <c r="J2914" s="44">
        <v>44931</v>
      </c>
    </row>
    <row r="2915" spans="1:11" s="43" customFormat="1" x14ac:dyDescent="0.75">
      <c r="A2915" s="43" t="s">
        <v>39</v>
      </c>
      <c r="B2915" s="44">
        <v>44880</v>
      </c>
      <c r="C2915" s="43">
        <v>2</v>
      </c>
      <c r="D2915" s="43" t="s">
        <v>168</v>
      </c>
      <c r="E2915" s="55">
        <f>25-21</f>
        <v>4</v>
      </c>
      <c r="F2915" s="43" t="s">
        <v>363</v>
      </c>
      <c r="G2915" s="43" t="s">
        <v>733</v>
      </c>
      <c r="I2915" s="43" t="s">
        <v>367</v>
      </c>
      <c r="J2915" s="44">
        <v>44931</v>
      </c>
    </row>
    <row r="2916" spans="1:11" s="43" customFormat="1" x14ac:dyDescent="0.75">
      <c r="A2916" s="43" t="s">
        <v>39</v>
      </c>
      <c r="B2916" s="44">
        <v>44880</v>
      </c>
      <c r="C2916" s="43">
        <v>2</v>
      </c>
      <c r="D2916" s="43" t="s">
        <v>168</v>
      </c>
      <c r="E2916" s="55">
        <f>21-19</f>
        <v>2</v>
      </c>
      <c r="F2916" s="43" t="s">
        <v>363</v>
      </c>
      <c r="G2916" s="43" t="s">
        <v>733</v>
      </c>
      <c r="I2916" s="43" t="s">
        <v>367</v>
      </c>
      <c r="J2916" s="44">
        <v>44931</v>
      </c>
    </row>
    <row r="2917" spans="1:11" s="43" customFormat="1" x14ac:dyDescent="0.75">
      <c r="A2917" s="43" t="s">
        <v>39</v>
      </c>
      <c r="B2917" s="44">
        <v>44880</v>
      </c>
      <c r="C2917" s="43">
        <v>2</v>
      </c>
      <c r="D2917" s="43" t="s">
        <v>201</v>
      </c>
      <c r="E2917" s="55">
        <f>48-42</f>
        <v>6</v>
      </c>
      <c r="F2917" s="43" t="s">
        <v>363</v>
      </c>
      <c r="G2917" s="43" t="s">
        <v>361</v>
      </c>
      <c r="I2917" s="43" t="s">
        <v>367</v>
      </c>
      <c r="J2917" s="44">
        <v>44931</v>
      </c>
    </row>
    <row r="2918" spans="1:11" s="43" customFormat="1" x14ac:dyDescent="0.75">
      <c r="A2918" s="43" t="s">
        <v>39</v>
      </c>
      <c r="B2918" s="44">
        <v>44880</v>
      </c>
      <c r="C2918" s="43">
        <v>2</v>
      </c>
      <c r="D2918" s="43" t="s">
        <v>172</v>
      </c>
      <c r="E2918" s="43" t="s">
        <v>363</v>
      </c>
      <c r="F2918" s="43">
        <v>913</v>
      </c>
      <c r="G2918" s="43" t="s">
        <v>361</v>
      </c>
      <c r="I2918" s="43" t="s">
        <v>367</v>
      </c>
      <c r="J2918" s="44">
        <v>44931</v>
      </c>
      <c r="K2918" s="43" t="s">
        <v>804</v>
      </c>
    </row>
    <row r="2919" spans="1:11" s="43" customFormat="1" x14ac:dyDescent="0.75">
      <c r="A2919" s="43" t="s">
        <v>39</v>
      </c>
      <c r="B2919" s="44">
        <v>44880</v>
      </c>
      <c r="C2919" s="43">
        <v>2</v>
      </c>
      <c r="D2919" s="43" t="s">
        <v>201</v>
      </c>
      <c r="E2919" s="55">
        <f>56-50</f>
        <v>6</v>
      </c>
      <c r="F2919" s="43" t="s">
        <v>363</v>
      </c>
      <c r="G2919" s="43" t="s">
        <v>367</v>
      </c>
      <c r="I2919" s="43" t="s">
        <v>367</v>
      </c>
      <c r="J2919" s="44">
        <v>44931</v>
      </c>
    </row>
    <row r="2920" spans="1:11" s="43" customFormat="1" x14ac:dyDescent="0.75">
      <c r="A2920" s="43" t="s">
        <v>39</v>
      </c>
      <c r="B2920" s="44">
        <v>44880</v>
      </c>
      <c r="C2920" s="43">
        <v>2</v>
      </c>
      <c r="D2920" s="43" t="s">
        <v>201</v>
      </c>
      <c r="E2920" s="55">
        <f>43-35</f>
        <v>8</v>
      </c>
      <c r="F2920" s="43" t="s">
        <v>363</v>
      </c>
      <c r="G2920" s="43" t="s">
        <v>367</v>
      </c>
      <c r="I2920" s="43" t="s">
        <v>367</v>
      </c>
      <c r="J2920" s="44">
        <v>44931</v>
      </c>
    </row>
    <row r="2921" spans="1:11" s="43" customFormat="1" x14ac:dyDescent="0.75">
      <c r="A2921" s="43" t="s">
        <v>39</v>
      </c>
      <c r="B2921" s="44">
        <v>44880</v>
      </c>
      <c r="C2921" s="43">
        <v>2</v>
      </c>
      <c r="D2921" s="43" t="s">
        <v>201</v>
      </c>
      <c r="E2921" s="55">
        <f>35-25</f>
        <v>10</v>
      </c>
      <c r="F2921" s="43" t="s">
        <v>363</v>
      </c>
      <c r="G2921" s="43" t="s">
        <v>367</v>
      </c>
      <c r="I2921" s="43" t="s">
        <v>367</v>
      </c>
      <c r="J2921" s="44">
        <v>44931</v>
      </c>
    </row>
    <row r="2922" spans="1:11" x14ac:dyDescent="0.75">
      <c r="A2922" t="s">
        <v>64</v>
      </c>
      <c r="B2922" s="3">
        <v>44880</v>
      </c>
      <c r="C2922">
        <v>1</v>
      </c>
      <c r="D2922" t="s">
        <v>207</v>
      </c>
      <c r="E2922" s="22">
        <f>19+55+59-20</f>
        <v>113</v>
      </c>
      <c r="F2922" t="s">
        <v>363</v>
      </c>
      <c r="G2922" t="s">
        <v>733</v>
      </c>
      <c r="I2922" t="s">
        <v>367</v>
      </c>
      <c r="J2922" s="3">
        <v>44931</v>
      </c>
    </row>
    <row r="2923" spans="1:11" x14ac:dyDescent="0.75">
      <c r="A2923" t="s">
        <v>64</v>
      </c>
      <c r="B2923" s="3">
        <v>44880</v>
      </c>
      <c r="C2923">
        <v>1</v>
      </c>
      <c r="D2923" t="s">
        <v>153</v>
      </c>
      <c r="E2923" s="22">
        <f>20-19</f>
        <v>1</v>
      </c>
      <c r="F2923" t="s">
        <v>363</v>
      </c>
      <c r="G2923" t="s">
        <v>733</v>
      </c>
      <c r="I2923" t="s">
        <v>367</v>
      </c>
      <c r="J2923" s="3">
        <v>44931</v>
      </c>
    </row>
    <row r="2924" spans="1:11" s="43" customFormat="1" x14ac:dyDescent="0.75">
      <c r="A2924" s="43" t="s">
        <v>96</v>
      </c>
      <c r="B2924" s="44">
        <v>44881</v>
      </c>
      <c r="C2924" s="43">
        <v>2</v>
      </c>
      <c r="D2924" s="43" t="s">
        <v>197</v>
      </c>
      <c r="E2924" s="55">
        <f>18-9</f>
        <v>9</v>
      </c>
      <c r="F2924" s="43" t="s">
        <v>363</v>
      </c>
      <c r="G2924" s="43" t="s">
        <v>733</v>
      </c>
      <c r="I2924" s="43" t="s">
        <v>367</v>
      </c>
      <c r="J2924" s="44">
        <v>44931</v>
      </c>
    </row>
    <row r="2925" spans="1:11" s="43" customFormat="1" x14ac:dyDescent="0.75">
      <c r="A2925" s="43" t="s">
        <v>96</v>
      </c>
      <c r="B2925" s="44">
        <v>44881</v>
      </c>
      <c r="C2925" s="43">
        <v>2</v>
      </c>
      <c r="D2925" s="43" t="s">
        <v>197</v>
      </c>
      <c r="E2925" s="55">
        <f>9+48-46</f>
        <v>11</v>
      </c>
      <c r="F2925" s="43" t="s">
        <v>363</v>
      </c>
      <c r="G2925" s="43" t="s">
        <v>733</v>
      </c>
      <c r="I2925" s="43" t="s">
        <v>367</v>
      </c>
      <c r="J2925" s="44">
        <v>44931</v>
      </c>
    </row>
    <row r="2926" spans="1:11" s="43" customFormat="1" x14ac:dyDescent="0.75">
      <c r="A2926" s="43" t="s">
        <v>96</v>
      </c>
      <c r="B2926" s="44">
        <v>44881</v>
      </c>
      <c r="C2926" s="43">
        <v>2</v>
      </c>
      <c r="D2926" s="43" t="s">
        <v>197</v>
      </c>
      <c r="E2926" s="55">
        <f>46-40</f>
        <v>6</v>
      </c>
      <c r="F2926" s="43" t="s">
        <v>363</v>
      </c>
      <c r="G2926" s="43" t="s">
        <v>733</v>
      </c>
      <c r="I2926" s="43" t="s">
        <v>367</v>
      </c>
      <c r="J2926" s="44">
        <v>44931</v>
      </c>
    </row>
    <row r="2927" spans="1:11" s="43" customFormat="1" x14ac:dyDescent="0.75">
      <c r="A2927" s="43" t="s">
        <v>96</v>
      </c>
      <c r="B2927" s="44">
        <v>44881</v>
      </c>
      <c r="C2927" s="43">
        <v>2</v>
      </c>
      <c r="D2927" s="43" t="s">
        <v>191</v>
      </c>
      <c r="E2927" s="55">
        <f>40-30</f>
        <v>10</v>
      </c>
      <c r="F2927" s="43" t="s">
        <v>363</v>
      </c>
      <c r="G2927" s="43" t="s">
        <v>733</v>
      </c>
      <c r="I2927" s="43" t="s">
        <v>367</v>
      </c>
      <c r="J2927" s="44">
        <v>44931</v>
      </c>
    </row>
    <row r="2928" spans="1:11" s="43" customFormat="1" x14ac:dyDescent="0.75">
      <c r="A2928" s="43" t="s">
        <v>96</v>
      </c>
      <c r="B2928" s="44">
        <v>44881</v>
      </c>
      <c r="C2928" s="43">
        <v>2</v>
      </c>
      <c r="D2928" s="43" t="s">
        <v>194</v>
      </c>
      <c r="E2928" s="55">
        <f>30-4</f>
        <v>26</v>
      </c>
      <c r="F2928" s="43" t="s">
        <v>363</v>
      </c>
      <c r="G2928" s="43" t="s">
        <v>733</v>
      </c>
      <c r="I2928" s="43" t="s">
        <v>367</v>
      </c>
      <c r="J2928" s="44">
        <v>44931</v>
      </c>
    </row>
    <row r="2929" spans="1:10" s="43" customFormat="1" x14ac:dyDescent="0.75">
      <c r="A2929" s="43" t="s">
        <v>96</v>
      </c>
      <c r="B2929" s="44">
        <v>44881</v>
      </c>
      <c r="C2929" s="43">
        <v>2</v>
      </c>
      <c r="D2929" s="43" t="s">
        <v>194</v>
      </c>
      <c r="E2929" s="55">
        <f>4+45-43</f>
        <v>6</v>
      </c>
      <c r="F2929" s="43" t="s">
        <v>363</v>
      </c>
      <c r="G2929" s="43" t="s">
        <v>733</v>
      </c>
      <c r="I2929" s="43" t="s">
        <v>367</v>
      </c>
      <c r="J2929" s="44">
        <v>44931</v>
      </c>
    </row>
    <row r="2930" spans="1:10" s="43" customFormat="1" x14ac:dyDescent="0.75">
      <c r="A2930" s="43" t="s">
        <v>96</v>
      </c>
      <c r="B2930" s="44">
        <v>44881</v>
      </c>
      <c r="C2930" s="43">
        <v>2</v>
      </c>
      <c r="D2930" s="43" t="s">
        <v>194</v>
      </c>
      <c r="E2930" s="55">
        <f>43-20</f>
        <v>23</v>
      </c>
      <c r="F2930" s="43" t="s">
        <v>363</v>
      </c>
      <c r="G2930" s="43" t="s">
        <v>733</v>
      </c>
      <c r="I2930" s="43" t="s">
        <v>367</v>
      </c>
      <c r="J2930" s="44">
        <v>44931</v>
      </c>
    </row>
    <row r="2931" spans="1:10" s="43" customFormat="1" x14ac:dyDescent="0.75">
      <c r="A2931" s="43" t="s">
        <v>96</v>
      </c>
      <c r="B2931" s="44">
        <v>44881</v>
      </c>
      <c r="C2931" s="43">
        <v>2</v>
      </c>
      <c r="D2931" s="43" t="s">
        <v>197</v>
      </c>
      <c r="E2931" s="55">
        <f>20-14</f>
        <v>6</v>
      </c>
      <c r="F2931" s="43" t="s">
        <v>363</v>
      </c>
      <c r="G2931" s="43" t="s">
        <v>733</v>
      </c>
      <c r="I2931" s="43" t="s">
        <v>367</v>
      </c>
      <c r="J2931" s="44">
        <v>44931</v>
      </c>
    </row>
    <row r="2932" spans="1:10" s="43" customFormat="1" x14ac:dyDescent="0.75">
      <c r="A2932" s="43" t="s">
        <v>96</v>
      </c>
      <c r="B2932" s="44">
        <v>44881</v>
      </c>
      <c r="C2932" s="43">
        <v>2</v>
      </c>
      <c r="D2932" s="43" t="s">
        <v>194</v>
      </c>
      <c r="E2932" s="55">
        <f>14+55-40</f>
        <v>29</v>
      </c>
      <c r="F2932" s="43" t="s">
        <v>363</v>
      </c>
      <c r="G2932" s="43" t="s">
        <v>733</v>
      </c>
      <c r="I2932" s="43" t="s">
        <v>367</v>
      </c>
      <c r="J2932" s="44">
        <v>44931</v>
      </c>
    </row>
    <row r="2933" spans="1:10" s="43" customFormat="1" x14ac:dyDescent="0.75">
      <c r="A2933" s="43" t="s">
        <v>96</v>
      </c>
      <c r="B2933" s="44">
        <v>44881</v>
      </c>
      <c r="C2933" s="43">
        <v>2</v>
      </c>
      <c r="D2933" s="43" t="s">
        <v>187</v>
      </c>
      <c r="E2933" s="55">
        <f>40-27</f>
        <v>13</v>
      </c>
      <c r="F2933" s="43" t="s">
        <v>363</v>
      </c>
      <c r="G2933" s="43" t="s">
        <v>733</v>
      </c>
      <c r="I2933" s="43" t="s">
        <v>367</v>
      </c>
      <c r="J2933" s="44">
        <v>44931</v>
      </c>
    </row>
    <row r="2934" spans="1:10" s="43" customFormat="1" x14ac:dyDescent="0.75">
      <c r="A2934" s="43" t="s">
        <v>96</v>
      </c>
      <c r="B2934" s="44">
        <v>44881</v>
      </c>
      <c r="C2934" s="43">
        <v>2</v>
      </c>
      <c r="D2934" s="43" t="s">
        <v>215</v>
      </c>
      <c r="E2934" s="55">
        <f>27-23</f>
        <v>4</v>
      </c>
      <c r="F2934" s="43" t="s">
        <v>363</v>
      </c>
      <c r="G2934" s="43" t="s">
        <v>733</v>
      </c>
      <c r="I2934" s="43" t="s">
        <v>367</v>
      </c>
      <c r="J2934" s="44">
        <v>44931</v>
      </c>
    </row>
    <row r="2935" spans="1:10" s="43" customFormat="1" x14ac:dyDescent="0.75">
      <c r="A2935" s="43" t="s">
        <v>96</v>
      </c>
      <c r="B2935" s="44">
        <v>44881</v>
      </c>
      <c r="C2935" s="43">
        <v>2</v>
      </c>
      <c r="D2935" s="43" t="s">
        <v>197</v>
      </c>
      <c r="E2935" s="55">
        <f>25-19</f>
        <v>6</v>
      </c>
      <c r="F2935" s="43" t="s">
        <v>363</v>
      </c>
      <c r="G2935" s="43" t="s">
        <v>367</v>
      </c>
      <c r="I2935" s="43" t="s">
        <v>367</v>
      </c>
      <c r="J2935" s="44">
        <v>44931</v>
      </c>
    </row>
    <row r="2936" spans="1:10" s="43" customFormat="1" x14ac:dyDescent="0.75">
      <c r="A2936" s="43" t="s">
        <v>96</v>
      </c>
      <c r="B2936" s="44">
        <v>44881</v>
      </c>
      <c r="C2936" s="43">
        <v>2</v>
      </c>
      <c r="D2936" s="43" t="s">
        <v>197</v>
      </c>
      <c r="E2936" s="55">
        <f>19-12</f>
        <v>7</v>
      </c>
      <c r="F2936" s="43" t="s">
        <v>363</v>
      </c>
      <c r="G2936" s="43" t="s">
        <v>367</v>
      </c>
      <c r="I2936" s="43" t="s">
        <v>367</v>
      </c>
      <c r="J2936" s="44">
        <v>44931</v>
      </c>
    </row>
    <row r="2937" spans="1:10" s="43" customFormat="1" x14ac:dyDescent="0.75">
      <c r="A2937" s="43" t="s">
        <v>96</v>
      </c>
      <c r="B2937" s="44">
        <v>44881</v>
      </c>
      <c r="C2937" s="43">
        <v>2</v>
      </c>
      <c r="D2937" s="43" t="s">
        <v>197</v>
      </c>
      <c r="E2937" s="55">
        <f>12-9</f>
        <v>3</v>
      </c>
      <c r="F2937" s="43" t="s">
        <v>363</v>
      </c>
      <c r="G2937" s="43" t="s">
        <v>367</v>
      </c>
      <c r="I2937" s="43" t="s">
        <v>367</v>
      </c>
      <c r="J2937" s="44">
        <v>44931</v>
      </c>
    </row>
    <row r="2938" spans="1:10" s="43" customFormat="1" x14ac:dyDescent="0.75">
      <c r="A2938" s="43" t="s">
        <v>96</v>
      </c>
      <c r="B2938" s="44">
        <v>44881</v>
      </c>
      <c r="C2938" s="43">
        <v>2</v>
      </c>
      <c r="D2938" s="43" t="s">
        <v>194</v>
      </c>
      <c r="E2938" s="55">
        <f>54-42</f>
        <v>12</v>
      </c>
      <c r="F2938" s="43" t="s">
        <v>363</v>
      </c>
      <c r="G2938" s="43" t="s">
        <v>361</v>
      </c>
      <c r="I2938" s="43" t="s">
        <v>367</v>
      </c>
      <c r="J2938" s="44">
        <v>44931</v>
      </c>
    </row>
    <row r="2939" spans="1:10" s="43" customFormat="1" x14ac:dyDescent="0.75">
      <c r="A2939" s="43" t="s">
        <v>96</v>
      </c>
      <c r="B2939" s="44">
        <v>44881</v>
      </c>
      <c r="C2939" s="43">
        <v>2</v>
      </c>
      <c r="D2939" s="43" t="s">
        <v>197</v>
      </c>
      <c r="E2939" s="55">
        <f>42-40</f>
        <v>2</v>
      </c>
      <c r="F2939" s="43" t="s">
        <v>363</v>
      </c>
      <c r="G2939" s="43" t="s">
        <v>361</v>
      </c>
      <c r="I2939" s="43" t="s">
        <v>367</v>
      </c>
      <c r="J2939" s="44">
        <v>44931</v>
      </c>
    </row>
    <row r="2940" spans="1:10" s="43" customFormat="1" x14ac:dyDescent="0.75">
      <c r="A2940" s="43" t="s">
        <v>96</v>
      </c>
      <c r="B2940" s="44">
        <v>44881</v>
      </c>
      <c r="C2940" s="43">
        <v>2</v>
      </c>
      <c r="D2940" s="43" t="s">
        <v>194</v>
      </c>
      <c r="E2940" s="55">
        <f>40-35</f>
        <v>5</v>
      </c>
      <c r="F2940" s="43" t="s">
        <v>363</v>
      </c>
      <c r="G2940" s="43" t="s">
        <v>361</v>
      </c>
      <c r="I2940" s="43" t="s">
        <v>367</v>
      </c>
      <c r="J2940" s="44">
        <v>44931</v>
      </c>
    </row>
    <row r="2941" spans="1:10" s="43" customFormat="1" x14ac:dyDescent="0.75">
      <c r="A2941" s="43" t="s">
        <v>96</v>
      </c>
      <c r="B2941" s="44">
        <v>44881</v>
      </c>
      <c r="C2941" s="43">
        <v>2</v>
      </c>
      <c r="D2941" s="43" t="s">
        <v>197</v>
      </c>
      <c r="E2941" s="55">
        <f>35-30</f>
        <v>5</v>
      </c>
      <c r="F2941" s="43" t="s">
        <v>363</v>
      </c>
      <c r="G2941" s="43" t="s">
        <v>361</v>
      </c>
      <c r="I2941" s="43" t="s">
        <v>367</v>
      </c>
      <c r="J2941" s="44">
        <v>44931</v>
      </c>
    </row>
    <row r="2942" spans="1:10" s="43" customFormat="1" x14ac:dyDescent="0.75">
      <c r="A2942" s="43" t="s">
        <v>96</v>
      </c>
      <c r="B2942" s="44">
        <v>44881</v>
      </c>
      <c r="C2942" s="43">
        <v>2</v>
      </c>
      <c r="D2942" s="43" t="s">
        <v>194</v>
      </c>
      <c r="E2942" s="55">
        <f>30-23</f>
        <v>7</v>
      </c>
      <c r="F2942" s="43" t="s">
        <v>363</v>
      </c>
      <c r="G2942" s="43" t="s">
        <v>361</v>
      </c>
      <c r="I2942" s="43" t="s">
        <v>367</v>
      </c>
      <c r="J2942" s="44">
        <v>44931</v>
      </c>
    </row>
    <row r="2943" spans="1:10" s="43" customFormat="1" x14ac:dyDescent="0.75">
      <c r="A2943" s="43" t="s">
        <v>96</v>
      </c>
      <c r="B2943" s="44">
        <v>44881</v>
      </c>
      <c r="C2943" s="43">
        <v>2</v>
      </c>
      <c r="D2943" s="43" t="s">
        <v>197</v>
      </c>
      <c r="E2943" s="55">
        <f>23-12</f>
        <v>11</v>
      </c>
      <c r="F2943" s="43" t="s">
        <v>363</v>
      </c>
      <c r="G2943" s="43" t="s">
        <v>361</v>
      </c>
      <c r="I2943" s="43" t="s">
        <v>367</v>
      </c>
      <c r="J2943" s="44">
        <v>44931</v>
      </c>
    </row>
    <row r="2944" spans="1:10" s="43" customFormat="1" x14ac:dyDescent="0.75">
      <c r="A2944" s="43" t="s">
        <v>96</v>
      </c>
      <c r="B2944" s="44">
        <v>44881</v>
      </c>
      <c r="C2944" s="43">
        <v>2</v>
      </c>
      <c r="D2944" s="43" t="s">
        <v>194</v>
      </c>
      <c r="E2944" s="55">
        <f>12-8</f>
        <v>4</v>
      </c>
      <c r="F2944" s="43" t="s">
        <v>363</v>
      </c>
      <c r="G2944" s="43" t="s">
        <v>361</v>
      </c>
      <c r="I2944" s="43" t="s">
        <v>367</v>
      </c>
      <c r="J2944" s="44">
        <v>44931</v>
      </c>
    </row>
    <row r="2945" spans="1:10" s="43" customFormat="1" x14ac:dyDescent="0.75">
      <c r="A2945" s="43" t="s">
        <v>96</v>
      </c>
      <c r="B2945" s="44">
        <v>44881</v>
      </c>
      <c r="C2945" s="43">
        <v>2</v>
      </c>
      <c r="D2945" s="43" t="s">
        <v>194</v>
      </c>
      <c r="E2945" s="55">
        <f>8</f>
        <v>8</v>
      </c>
      <c r="F2945" s="43" t="s">
        <v>363</v>
      </c>
      <c r="G2945" s="43" t="s">
        <v>361</v>
      </c>
      <c r="I2945" s="43" t="s">
        <v>367</v>
      </c>
      <c r="J2945" s="44">
        <v>44931</v>
      </c>
    </row>
    <row r="2946" spans="1:10" s="43" customFormat="1" x14ac:dyDescent="0.75">
      <c r="A2946" s="43" t="s">
        <v>96</v>
      </c>
      <c r="B2946" s="44">
        <v>44881</v>
      </c>
      <c r="C2946" s="43">
        <v>2</v>
      </c>
      <c r="D2946" s="43" t="s">
        <v>197</v>
      </c>
      <c r="E2946" s="55">
        <f>26-12</f>
        <v>14</v>
      </c>
      <c r="F2946" s="43" t="s">
        <v>363</v>
      </c>
      <c r="G2946" s="43" t="s">
        <v>361</v>
      </c>
      <c r="I2946" s="43" t="s">
        <v>367</v>
      </c>
      <c r="J2946" s="44">
        <v>44931</v>
      </c>
    </row>
    <row r="2947" spans="1:10" x14ac:dyDescent="0.75">
      <c r="A2947" t="s">
        <v>96</v>
      </c>
      <c r="B2947" s="3">
        <v>44881</v>
      </c>
      <c r="C2947">
        <v>3</v>
      </c>
      <c r="D2947" t="s">
        <v>197</v>
      </c>
      <c r="E2947" s="22">
        <f>23-18</f>
        <v>5</v>
      </c>
      <c r="F2947" t="s">
        <v>363</v>
      </c>
      <c r="G2947" t="s">
        <v>733</v>
      </c>
      <c r="I2947" t="s">
        <v>367</v>
      </c>
      <c r="J2947" s="3">
        <v>44931</v>
      </c>
    </row>
    <row r="2948" spans="1:10" x14ac:dyDescent="0.75">
      <c r="A2948" t="s">
        <v>96</v>
      </c>
      <c r="B2948" s="3">
        <v>44881</v>
      </c>
      <c r="C2948">
        <v>3</v>
      </c>
      <c r="D2948" t="s">
        <v>194</v>
      </c>
      <c r="E2948" s="22">
        <f>18-16</f>
        <v>2</v>
      </c>
      <c r="F2948" t="s">
        <v>363</v>
      </c>
      <c r="G2948" t="s">
        <v>733</v>
      </c>
      <c r="I2948" t="s">
        <v>367</v>
      </c>
      <c r="J2948" s="3">
        <v>44931</v>
      </c>
    </row>
    <row r="2949" spans="1:10" x14ac:dyDescent="0.75">
      <c r="A2949" t="s">
        <v>96</v>
      </c>
      <c r="B2949" s="3">
        <v>44881</v>
      </c>
      <c r="C2949">
        <v>3</v>
      </c>
      <c r="D2949" t="s">
        <v>191</v>
      </c>
      <c r="E2949" s="22">
        <f>16+47-42</f>
        <v>21</v>
      </c>
      <c r="F2949" t="s">
        <v>363</v>
      </c>
      <c r="G2949" t="s">
        <v>733</v>
      </c>
      <c r="I2949" t="s">
        <v>367</v>
      </c>
      <c r="J2949" s="3">
        <v>44931</v>
      </c>
    </row>
    <row r="2950" spans="1:10" x14ac:dyDescent="0.75">
      <c r="A2950" t="s">
        <v>96</v>
      </c>
      <c r="B2950" s="3">
        <v>44881</v>
      </c>
      <c r="C2950">
        <v>3</v>
      </c>
      <c r="D2950" t="s">
        <v>191</v>
      </c>
      <c r="E2950" s="22">
        <f>42-34</f>
        <v>8</v>
      </c>
      <c r="F2950" t="s">
        <v>363</v>
      </c>
      <c r="G2950" t="s">
        <v>733</v>
      </c>
      <c r="I2950" t="s">
        <v>367</v>
      </c>
      <c r="J2950" s="3">
        <v>44931</v>
      </c>
    </row>
    <row r="2951" spans="1:10" x14ac:dyDescent="0.75">
      <c r="A2951" t="s">
        <v>96</v>
      </c>
      <c r="B2951" s="3">
        <v>44881</v>
      </c>
      <c r="C2951">
        <v>3</v>
      </c>
      <c r="D2951" t="s">
        <v>191</v>
      </c>
      <c r="E2951" s="22">
        <f>34-20</f>
        <v>14</v>
      </c>
      <c r="F2951" t="s">
        <v>363</v>
      </c>
      <c r="G2951" t="s">
        <v>733</v>
      </c>
      <c r="I2951" t="s">
        <v>367</v>
      </c>
      <c r="J2951" s="3">
        <v>44931</v>
      </c>
    </row>
    <row r="2952" spans="1:10" x14ac:dyDescent="0.75">
      <c r="A2952" t="s">
        <v>96</v>
      </c>
      <c r="B2952" s="3">
        <v>44881</v>
      </c>
      <c r="C2952">
        <v>3</v>
      </c>
      <c r="D2952" t="s">
        <v>191</v>
      </c>
      <c r="E2952" s="22">
        <f>20-9</f>
        <v>11</v>
      </c>
      <c r="F2952" t="s">
        <v>363</v>
      </c>
      <c r="G2952" t="s">
        <v>733</v>
      </c>
      <c r="I2952" t="s">
        <v>367</v>
      </c>
      <c r="J2952" s="3">
        <v>44931</v>
      </c>
    </row>
    <row r="2953" spans="1:10" x14ac:dyDescent="0.75">
      <c r="A2953" t="s">
        <v>96</v>
      </c>
      <c r="B2953" s="3">
        <v>44881</v>
      </c>
      <c r="C2953">
        <v>3</v>
      </c>
      <c r="D2953" t="s">
        <v>191</v>
      </c>
      <c r="E2953" s="22">
        <f>9-5</f>
        <v>4</v>
      </c>
      <c r="F2953" t="s">
        <v>363</v>
      </c>
      <c r="G2953" t="s">
        <v>733</v>
      </c>
      <c r="I2953" t="s">
        <v>367</v>
      </c>
      <c r="J2953" s="3">
        <v>44931</v>
      </c>
    </row>
    <row r="2954" spans="1:10" x14ac:dyDescent="0.75">
      <c r="A2954" t="s">
        <v>96</v>
      </c>
      <c r="B2954" s="3">
        <v>44881</v>
      </c>
      <c r="C2954">
        <v>3</v>
      </c>
      <c r="D2954" t="s">
        <v>191</v>
      </c>
      <c r="E2954" s="22">
        <f>5</f>
        <v>5</v>
      </c>
      <c r="F2954" t="s">
        <v>363</v>
      </c>
      <c r="G2954" t="s">
        <v>733</v>
      </c>
      <c r="I2954" t="s">
        <v>367</v>
      </c>
      <c r="J2954" s="3">
        <v>44931</v>
      </c>
    </row>
    <row r="2955" spans="1:10" x14ac:dyDescent="0.75">
      <c r="A2955" t="s">
        <v>96</v>
      </c>
      <c r="B2955" s="3">
        <v>44881</v>
      </c>
      <c r="C2955">
        <v>3</v>
      </c>
      <c r="D2955" t="s">
        <v>197</v>
      </c>
      <c r="E2955" s="22">
        <f>48-40</f>
        <v>8</v>
      </c>
      <c r="F2955" t="s">
        <v>363</v>
      </c>
      <c r="G2955" t="s">
        <v>733</v>
      </c>
      <c r="I2955" t="s">
        <v>367</v>
      </c>
      <c r="J2955" s="3">
        <v>44931</v>
      </c>
    </row>
    <row r="2956" spans="1:10" x14ac:dyDescent="0.75">
      <c r="A2956" t="s">
        <v>96</v>
      </c>
      <c r="B2956" s="3">
        <v>44881</v>
      </c>
      <c r="C2956">
        <v>3</v>
      </c>
      <c r="D2956" t="s">
        <v>194</v>
      </c>
      <c r="E2956" s="22">
        <f>40-29</f>
        <v>11</v>
      </c>
      <c r="F2956" t="s">
        <v>363</v>
      </c>
      <c r="G2956" t="s">
        <v>733</v>
      </c>
      <c r="I2956" t="s">
        <v>367</v>
      </c>
      <c r="J2956" s="3">
        <v>44931</v>
      </c>
    </row>
    <row r="2957" spans="1:10" x14ac:dyDescent="0.75">
      <c r="A2957" t="s">
        <v>96</v>
      </c>
      <c r="B2957" s="3">
        <v>44881</v>
      </c>
      <c r="C2957">
        <v>3</v>
      </c>
      <c r="D2957" t="s">
        <v>197</v>
      </c>
      <c r="E2957" s="22">
        <f>29-27</f>
        <v>2</v>
      </c>
      <c r="F2957" t="s">
        <v>363</v>
      </c>
      <c r="G2957" t="s">
        <v>733</v>
      </c>
      <c r="I2957" t="s">
        <v>367</v>
      </c>
      <c r="J2957" s="3">
        <v>44931</v>
      </c>
    </row>
    <row r="2958" spans="1:10" x14ac:dyDescent="0.75">
      <c r="A2958" t="s">
        <v>96</v>
      </c>
      <c r="B2958" s="3">
        <v>44881</v>
      </c>
      <c r="C2958">
        <v>3</v>
      </c>
      <c r="D2958" t="s">
        <v>197</v>
      </c>
      <c r="E2958" s="22">
        <f>27-23</f>
        <v>4</v>
      </c>
      <c r="F2958" t="s">
        <v>363</v>
      </c>
      <c r="G2958" t="s">
        <v>733</v>
      </c>
      <c r="I2958" t="s">
        <v>367</v>
      </c>
      <c r="J2958" s="3">
        <v>44931</v>
      </c>
    </row>
    <row r="2959" spans="1:10" x14ac:dyDescent="0.75">
      <c r="A2959" t="s">
        <v>96</v>
      </c>
      <c r="B2959" s="3">
        <v>44881</v>
      </c>
      <c r="C2959">
        <v>3</v>
      </c>
      <c r="D2959" t="s">
        <v>194</v>
      </c>
      <c r="E2959" s="22">
        <f>23-20</f>
        <v>3</v>
      </c>
      <c r="F2959" t="s">
        <v>363</v>
      </c>
      <c r="G2959" t="s">
        <v>733</v>
      </c>
      <c r="I2959" t="s">
        <v>367</v>
      </c>
      <c r="J2959" s="3">
        <v>44931</v>
      </c>
    </row>
    <row r="2960" spans="1:10" x14ac:dyDescent="0.75">
      <c r="A2960" t="s">
        <v>96</v>
      </c>
      <c r="B2960" s="3">
        <v>44881</v>
      </c>
      <c r="C2960">
        <v>3</v>
      </c>
      <c r="D2960" t="s">
        <v>194</v>
      </c>
      <c r="E2960" s="22">
        <f>20-15</f>
        <v>5</v>
      </c>
      <c r="F2960" t="s">
        <v>363</v>
      </c>
      <c r="G2960" t="s">
        <v>733</v>
      </c>
      <c r="I2960" t="s">
        <v>367</v>
      </c>
      <c r="J2960" s="3">
        <v>44931</v>
      </c>
    </row>
    <row r="2961" spans="1:11" x14ac:dyDescent="0.75">
      <c r="A2961" t="s">
        <v>96</v>
      </c>
      <c r="B2961" s="3">
        <v>44881</v>
      </c>
      <c r="C2961">
        <v>3</v>
      </c>
      <c r="D2961" t="s">
        <v>197</v>
      </c>
      <c r="E2961" s="22">
        <f>47-44</f>
        <v>3</v>
      </c>
      <c r="F2961" t="s">
        <v>363</v>
      </c>
      <c r="G2961" t="s">
        <v>367</v>
      </c>
      <c r="I2961" t="s">
        <v>367</v>
      </c>
      <c r="J2961" s="3">
        <v>44931</v>
      </c>
    </row>
    <row r="2962" spans="1:11" x14ac:dyDescent="0.75">
      <c r="A2962" t="s">
        <v>96</v>
      </c>
      <c r="B2962" s="3">
        <v>44881</v>
      </c>
      <c r="C2962">
        <v>3</v>
      </c>
      <c r="D2962" t="s">
        <v>153</v>
      </c>
      <c r="E2962" s="22">
        <f>44-38</f>
        <v>6</v>
      </c>
      <c r="F2962" t="s">
        <v>363</v>
      </c>
      <c r="G2962" t="s">
        <v>367</v>
      </c>
      <c r="I2962" t="s">
        <v>367</v>
      </c>
      <c r="J2962" s="3">
        <v>44931</v>
      </c>
    </row>
    <row r="2963" spans="1:11" x14ac:dyDescent="0.75">
      <c r="A2963" t="s">
        <v>96</v>
      </c>
      <c r="B2963" s="3">
        <v>44881</v>
      </c>
      <c r="C2963">
        <v>3</v>
      </c>
      <c r="D2963" t="s">
        <v>194</v>
      </c>
      <c r="E2963" s="22">
        <f>38-35</f>
        <v>3</v>
      </c>
      <c r="F2963" t="s">
        <v>363</v>
      </c>
      <c r="G2963" t="s">
        <v>367</v>
      </c>
      <c r="I2963" t="s">
        <v>367</v>
      </c>
      <c r="J2963" s="3">
        <v>44931</v>
      </c>
    </row>
    <row r="2964" spans="1:11" x14ac:dyDescent="0.75">
      <c r="A2964" t="s">
        <v>96</v>
      </c>
      <c r="B2964" s="3">
        <v>44881</v>
      </c>
      <c r="C2964">
        <v>3</v>
      </c>
      <c r="D2964" t="s">
        <v>194</v>
      </c>
      <c r="E2964" s="22">
        <f>35-27</f>
        <v>8</v>
      </c>
      <c r="F2964">
        <v>937</v>
      </c>
      <c r="G2964" t="s">
        <v>367</v>
      </c>
      <c r="I2964" t="s">
        <v>367</v>
      </c>
      <c r="J2964" s="3">
        <v>44931</v>
      </c>
    </row>
    <row r="2965" spans="1:11" x14ac:dyDescent="0.75">
      <c r="A2965" t="s">
        <v>96</v>
      </c>
      <c r="B2965" s="3">
        <v>44881</v>
      </c>
      <c r="C2965">
        <v>3</v>
      </c>
      <c r="D2965" t="s">
        <v>197</v>
      </c>
      <c r="E2965" s="22">
        <f>45-39</f>
        <v>6</v>
      </c>
      <c r="F2965" t="s">
        <v>363</v>
      </c>
      <c r="G2965" t="s">
        <v>361</v>
      </c>
      <c r="I2965" t="s">
        <v>367</v>
      </c>
      <c r="J2965" s="3">
        <v>44931</v>
      </c>
    </row>
    <row r="2966" spans="1:11" x14ac:dyDescent="0.75">
      <c r="A2966" t="s">
        <v>96</v>
      </c>
      <c r="B2966" s="3">
        <v>44881</v>
      </c>
      <c r="C2966">
        <v>3</v>
      </c>
      <c r="D2966" t="s">
        <v>191</v>
      </c>
      <c r="E2966" s="22">
        <f>39-37</f>
        <v>2</v>
      </c>
      <c r="F2966" t="s">
        <v>363</v>
      </c>
      <c r="G2966" t="s">
        <v>361</v>
      </c>
      <c r="I2966" t="s">
        <v>367</v>
      </c>
      <c r="J2966" s="3">
        <v>44931</v>
      </c>
    </row>
    <row r="2967" spans="1:11" x14ac:dyDescent="0.75">
      <c r="A2967" t="s">
        <v>96</v>
      </c>
      <c r="B2967" s="3">
        <v>44881</v>
      </c>
      <c r="C2967">
        <v>3</v>
      </c>
      <c r="D2967" t="s">
        <v>191</v>
      </c>
      <c r="E2967" s="22">
        <f>37-31</f>
        <v>6</v>
      </c>
      <c r="F2967" t="s">
        <v>363</v>
      </c>
      <c r="G2967" t="s">
        <v>361</v>
      </c>
      <c r="I2967" t="s">
        <v>367</v>
      </c>
      <c r="J2967" s="3">
        <v>44931</v>
      </c>
    </row>
    <row r="2968" spans="1:11" x14ac:dyDescent="0.75">
      <c r="A2968" t="s">
        <v>96</v>
      </c>
      <c r="B2968" s="3">
        <v>44881</v>
      </c>
      <c r="C2968">
        <v>3</v>
      </c>
      <c r="D2968" t="s">
        <v>191</v>
      </c>
      <c r="E2968" s="22">
        <f>31-29</f>
        <v>2</v>
      </c>
      <c r="F2968" t="s">
        <v>363</v>
      </c>
      <c r="G2968" t="s">
        <v>361</v>
      </c>
      <c r="I2968" t="s">
        <v>367</v>
      </c>
      <c r="J2968" s="3">
        <v>44931</v>
      </c>
    </row>
    <row r="2969" spans="1:11" x14ac:dyDescent="0.75">
      <c r="A2969" t="s">
        <v>96</v>
      </c>
      <c r="B2969" s="3">
        <v>44881</v>
      </c>
      <c r="C2969">
        <v>3</v>
      </c>
      <c r="D2969" t="s">
        <v>191</v>
      </c>
      <c r="E2969" s="22">
        <f>29-24</f>
        <v>5</v>
      </c>
      <c r="F2969" t="s">
        <v>363</v>
      </c>
      <c r="G2969" t="s">
        <v>361</v>
      </c>
      <c r="I2969" t="s">
        <v>367</v>
      </c>
      <c r="J2969" s="3">
        <v>44931</v>
      </c>
    </row>
    <row r="2970" spans="1:11" x14ac:dyDescent="0.75">
      <c r="A2970" t="s">
        <v>96</v>
      </c>
      <c r="B2970" s="3">
        <v>44881</v>
      </c>
      <c r="C2970">
        <v>3</v>
      </c>
      <c r="D2970" t="s">
        <v>194</v>
      </c>
      <c r="E2970" s="22">
        <f>24-18</f>
        <v>6</v>
      </c>
      <c r="F2970" t="s">
        <v>363</v>
      </c>
      <c r="G2970" t="s">
        <v>361</v>
      </c>
      <c r="I2970" t="s">
        <v>367</v>
      </c>
      <c r="J2970" s="3">
        <v>44931</v>
      </c>
    </row>
    <row r="2971" spans="1:11" x14ac:dyDescent="0.75">
      <c r="A2971" t="s">
        <v>96</v>
      </c>
      <c r="B2971" s="3">
        <v>44881</v>
      </c>
      <c r="C2971">
        <v>3</v>
      </c>
      <c r="D2971" t="s">
        <v>194</v>
      </c>
      <c r="E2971" s="22">
        <f>18-16</f>
        <v>2</v>
      </c>
      <c r="F2971" t="s">
        <v>363</v>
      </c>
      <c r="G2971" t="s">
        <v>361</v>
      </c>
      <c r="I2971" t="s">
        <v>367</v>
      </c>
      <c r="J2971" s="3">
        <v>44931</v>
      </c>
    </row>
    <row r="2972" spans="1:11" x14ac:dyDescent="0.75">
      <c r="A2972" t="s">
        <v>96</v>
      </c>
      <c r="B2972" s="3">
        <v>44881</v>
      </c>
      <c r="C2972">
        <v>3</v>
      </c>
      <c r="D2972" t="s">
        <v>194</v>
      </c>
      <c r="E2972" s="22">
        <f>16-10</f>
        <v>6</v>
      </c>
      <c r="F2972" t="s">
        <v>363</v>
      </c>
      <c r="G2972" t="s">
        <v>361</v>
      </c>
      <c r="I2972" t="s">
        <v>367</v>
      </c>
      <c r="J2972" s="3">
        <v>44931</v>
      </c>
    </row>
    <row r="2973" spans="1:11" x14ac:dyDescent="0.75">
      <c r="A2973" t="s">
        <v>96</v>
      </c>
      <c r="B2973" s="3">
        <v>44881</v>
      </c>
      <c r="C2973">
        <v>3</v>
      </c>
      <c r="D2973" t="s">
        <v>194</v>
      </c>
      <c r="E2973" s="22">
        <f>10-8</f>
        <v>2</v>
      </c>
      <c r="F2973" t="s">
        <v>363</v>
      </c>
      <c r="G2973" t="s">
        <v>361</v>
      </c>
      <c r="I2973" t="s">
        <v>367</v>
      </c>
      <c r="J2973" s="3">
        <v>44931</v>
      </c>
    </row>
    <row r="2974" spans="1:11" s="43" customFormat="1" x14ac:dyDescent="0.75">
      <c r="A2974" s="43" t="s">
        <v>91</v>
      </c>
      <c r="B2974" s="44">
        <v>44881</v>
      </c>
      <c r="C2974" s="43">
        <v>1</v>
      </c>
      <c r="D2974" s="43" t="s">
        <v>201</v>
      </c>
      <c r="E2974" s="55">
        <f>8-6</f>
        <v>2</v>
      </c>
      <c r="F2974" s="43" t="s">
        <v>363</v>
      </c>
      <c r="G2974" s="43" t="s">
        <v>733</v>
      </c>
      <c r="I2974" s="43" t="s">
        <v>367</v>
      </c>
      <c r="J2974" s="44">
        <v>44931</v>
      </c>
    </row>
    <row r="2975" spans="1:11" s="43" customFormat="1" x14ac:dyDescent="0.75">
      <c r="A2975" s="43" t="s">
        <v>91</v>
      </c>
      <c r="B2975" s="44">
        <v>44881</v>
      </c>
      <c r="C2975" s="43">
        <v>1</v>
      </c>
      <c r="D2975" s="43" t="s">
        <v>197</v>
      </c>
      <c r="E2975" s="55">
        <f>6+15+27-19</f>
        <v>29</v>
      </c>
      <c r="F2975" s="43" t="s">
        <v>363</v>
      </c>
      <c r="G2975" s="43" t="s">
        <v>733</v>
      </c>
      <c r="I2975" s="43" t="s">
        <v>367</v>
      </c>
      <c r="J2975" s="44">
        <v>44931</v>
      </c>
      <c r="K2975" s="43" t="s">
        <v>865</v>
      </c>
    </row>
    <row r="2976" spans="1:11" s="43" customFormat="1" x14ac:dyDescent="0.75">
      <c r="A2976" s="43" t="s">
        <v>91</v>
      </c>
      <c r="B2976" s="44">
        <v>44881</v>
      </c>
      <c r="C2976" s="43">
        <v>1</v>
      </c>
      <c r="D2976" s="43" t="s">
        <v>197</v>
      </c>
      <c r="E2976" s="55">
        <f>19+48-36</f>
        <v>31</v>
      </c>
      <c r="F2976" s="43" t="s">
        <v>363</v>
      </c>
      <c r="G2976" s="43" t="s">
        <v>733</v>
      </c>
      <c r="I2976" s="43" t="s">
        <v>367</v>
      </c>
      <c r="J2976" s="44">
        <v>44931</v>
      </c>
    </row>
    <row r="2977" spans="1:10" s="43" customFormat="1" x14ac:dyDescent="0.75">
      <c r="A2977" s="43" t="s">
        <v>91</v>
      </c>
      <c r="B2977" s="44">
        <v>44881</v>
      </c>
      <c r="C2977" s="43">
        <v>1</v>
      </c>
      <c r="D2977" s="43" t="s">
        <v>197</v>
      </c>
      <c r="E2977" s="55">
        <f>52-45</f>
        <v>7</v>
      </c>
      <c r="F2977" s="43" t="s">
        <v>363</v>
      </c>
      <c r="G2977" s="43" t="s">
        <v>361</v>
      </c>
      <c r="I2977" s="43" t="s">
        <v>367</v>
      </c>
      <c r="J2977" s="44">
        <v>44931</v>
      </c>
    </row>
    <row r="2978" spans="1:10" s="43" customFormat="1" x14ac:dyDescent="0.75">
      <c r="A2978" s="43" t="s">
        <v>91</v>
      </c>
      <c r="B2978" s="44">
        <v>44881</v>
      </c>
      <c r="C2978" s="43">
        <v>1</v>
      </c>
      <c r="D2978" s="43" t="s">
        <v>197</v>
      </c>
      <c r="E2978" s="55">
        <f>45-26</f>
        <v>19</v>
      </c>
      <c r="F2978" s="43" t="s">
        <v>363</v>
      </c>
      <c r="G2978" s="43" t="s">
        <v>361</v>
      </c>
      <c r="I2978" s="43" t="s">
        <v>367</v>
      </c>
      <c r="J2978" s="44">
        <v>44931</v>
      </c>
    </row>
    <row r="2979" spans="1:10" s="43" customFormat="1" x14ac:dyDescent="0.75">
      <c r="A2979" s="43" t="s">
        <v>91</v>
      </c>
      <c r="B2979" s="44">
        <v>44881</v>
      </c>
      <c r="C2979" s="43">
        <v>1</v>
      </c>
      <c r="D2979" s="43" t="s">
        <v>197</v>
      </c>
      <c r="E2979" s="55">
        <f>26-20</f>
        <v>6</v>
      </c>
      <c r="F2979" s="43" t="s">
        <v>363</v>
      </c>
      <c r="G2979" s="43" t="s">
        <v>361</v>
      </c>
      <c r="I2979" s="43" t="s">
        <v>367</v>
      </c>
      <c r="J2979" s="44">
        <v>44931</v>
      </c>
    </row>
    <row r="2980" spans="1:10" x14ac:dyDescent="0.75">
      <c r="A2980" t="s">
        <v>28</v>
      </c>
      <c r="B2980" s="3">
        <v>44882</v>
      </c>
      <c r="C2980">
        <v>1</v>
      </c>
      <c r="D2980" t="s">
        <v>197</v>
      </c>
      <c r="E2980" s="22">
        <f>57-44</f>
        <v>13</v>
      </c>
      <c r="F2980" t="s">
        <v>363</v>
      </c>
      <c r="G2980" t="s">
        <v>367</v>
      </c>
      <c r="I2980" t="s">
        <v>367</v>
      </c>
      <c r="J2980" s="3">
        <v>44931</v>
      </c>
    </row>
    <row r="2981" spans="1:10" s="43" customFormat="1" x14ac:dyDescent="0.75">
      <c r="A2981" s="43" t="s">
        <v>28</v>
      </c>
      <c r="B2981" s="44">
        <v>44882</v>
      </c>
      <c r="C2981" s="43">
        <v>2</v>
      </c>
      <c r="D2981" s="43" t="s">
        <v>197</v>
      </c>
      <c r="E2981" s="55">
        <f>41-33</f>
        <v>8</v>
      </c>
      <c r="F2981" s="43" t="s">
        <v>363</v>
      </c>
      <c r="G2981" s="43" t="s">
        <v>367</v>
      </c>
      <c r="I2981" s="43" t="s">
        <v>367</v>
      </c>
      <c r="J2981" s="44">
        <v>44931</v>
      </c>
    </row>
    <row r="2982" spans="1:10" s="43" customFormat="1" x14ac:dyDescent="0.75">
      <c r="A2982" s="43" t="s">
        <v>28</v>
      </c>
      <c r="B2982" s="44">
        <v>44882</v>
      </c>
      <c r="C2982" s="43">
        <v>2</v>
      </c>
      <c r="D2982" s="43" t="s">
        <v>197</v>
      </c>
      <c r="E2982" s="55">
        <f>48-44</f>
        <v>4</v>
      </c>
      <c r="F2982" s="43" t="s">
        <v>363</v>
      </c>
      <c r="G2982" s="43" t="s">
        <v>361</v>
      </c>
      <c r="I2982" s="43" t="s">
        <v>367</v>
      </c>
      <c r="J2982" s="44">
        <v>44931</v>
      </c>
    </row>
    <row r="2983" spans="1:10" x14ac:dyDescent="0.75">
      <c r="A2983" t="s">
        <v>96</v>
      </c>
      <c r="B2983" s="3">
        <v>44882</v>
      </c>
      <c r="C2983">
        <v>1</v>
      </c>
      <c r="D2983" t="s">
        <v>197</v>
      </c>
      <c r="E2983" s="22">
        <f>59-38</f>
        <v>21</v>
      </c>
      <c r="F2983" t="s">
        <v>363</v>
      </c>
      <c r="G2983" t="s">
        <v>361</v>
      </c>
      <c r="I2983" t="s">
        <v>367</v>
      </c>
      <c r="J2983" s="3">
        <v>44931</v>
      </c>
    </row>
    <row r="2984" spans="1:10" x14ac:dyDescent="0.75">
      <c r="A2984" t="s">
        <v>96</v>
      </c>
      <c r="B2984" s="3">
        <v>44882</v>
      </c>
      <c r="C2984">
        <v>1</v>
      </c>
      <c r="D2984" t="s">
        <v>197</v>
      </c>
      <c r="E2984" s="22">
        <f>38-32</f>
        <v>6</v>
      </c>
      <c r="F2984" t="s">
        <v>363</v>
      </c>
      <c r="G2984" t="s">
        <v>361</v>
      </c>
      <c r="I2984" t="s">
        <v>367</v>
      </c>
      <c r="J2984" s="3">
        <v>44931</v>
      </c>
    </row>
    <row r="2985" spans="1:10" x14ac:dyDescent="0.75">
      <c r="A2985" t="s">
        <v>96</v>
      </c>
      <c r="B2985" s="3">
        <v>44882</v>
      </c>
      <c r="C2985">
        <v>1</v>
      </c>
      <c r="D2985" t="s">
        <v>197</v>
      </c>
      <c r="E2985" s="22">
        <f>45-27</f>
        <v>18</v>
      </c>
      <c r="F2985" t="s">
        <v>363</v>
      </c>
      <c r="G2985" t="s">
        <v>367</v>
      </c>
      <c r="I2985" t="s">
        <v>367</v>
      </c>
      <c r="J2985" s="3">
        <v>44931</v>
      </c>
    </row>
    <row r="2986" spans="1:10" s="43" customFormat="1" x14ac:dyDescent="0.75">
      <c r="A2986" s="43" t="s">
        <v>23</v>
      </c>
      <c r="B2986" s="44">
        <v>44894</v>
      </c>
      <c r="C2986" s="43">
        <v>1</v>
      </c>
      <c r="D2986" s="43" t="s">
        <v>197</v>
      </c>
      <c r="E2986" s="55">
        <f>49-38</f>
        <v>11</v>
      </c>
      <c r="F2986" s="43" t="s">
        <v>363</v>
      </c>
      <c r="G2986" s="43" t="s">
        <v>361</v>
      </c>
      <c r="I2986" s="43" t="s">
        <v>367</v>
      </c>
      <c r="J2986" s="44">
        <v>44931</v>
      </c>
    </row>
    <row r="2987" spans="1:10" s="43" customFormat="1" x14ac:dyDescent="0.75">
      <c r="A2987" s="43" t="s">
        <v>23</v>
      </c>
      <c r="B2987" s="44">
        <v>44894</v>
      </c>
      <c r="C2987" s="43">
        <v>1</v>
      </c>
      <c r="D2987" s="43" t="s">
        <v>225</v>
      </c>
      <c r="E2987" s="55">
        <f>45-41</f>
        <v>4</v>
      </c>
      <c r="F2987" s="43" t="s">
        <v>363</v>
      </c>
      <c r="G2987" s="43" t="s">
        <v>367</v>
      </c>
      <c r="I2987" s="43" t="s">
        <v>367</v>
      </c>
      <c r="J2987" s="44">
        <v>44931</v>
      </c>
    </row>
    <row r="2988" spans="1:10" s="43" customFormat="1" x14ac:dyDescent="0.75">
      <c r="A2988" s="43" t="s">
        <v>23</v>
      </c>
      <c r="B2988" s="44">
        <v>44894</v>
      </c>
      <c r="C2988" s="43">
        <v>1</v>
      </c>
      <c r="D2988" s="43" t="s">
        <v>153</v>
      </c>
      <c r="E2988" s="55">
        <f>51-48</f>
        <v>3</v>
      </c>
      <c r="F2988" s="43" t="s">
        <v>363</v>
      </c>
      <c r="G2988" s="43" t="s">
        <v>374</v>
      </c>
      <c r="I2988" s="43" t="s">
        <v>367</v>
      </c>
      <c r="J2988" s="44">
        <v>44931</v>
      </c>
    </row>
    <row r="2989" spans="1:10" s="43" customFormat="1" x14ac:dyDescent="0.75">
      <c r="A2989" s="43" t="s">
        <v>23</v>
      </c>
      <c r="B2989" s="44">
        <v>44894</v>
      </c>
      <c r="C2989" s="43">
        <v>1</v>
      </c>
      <c r="D2989" s="43" t="s">
        <v>197</v>
      </c>
      <c r="E2989" s="55">
        <f>48-40</f>
        <v>8</v>
      </c>
      <c r="F2989" s="43" t="s">
        <v>363</v>
      </c>
      <c r="G2989" s="43" t="s">
        <v>374</v>
      </c>
      <c r="I2989" s="43" t="s">
        <v>367</v>
      </c>
      <c r="J2989" s="44">
        <v>44931</v>
      </c>
    </row>
    <row r="2990" spans="1:10" s="43" customFormat="1" x14ac:dyDescent="0.75">
      <c r="A2990" s="43" t="s">
        <v>23</v>
      </c>
      <c r="B2990" s="44">
        <v>44894</v>
      </c>
      <c r="C2990" s="43">
        <v>1</v>
      </c>
      <c r="D2990" s="43" t="s">
        <v>197</v>
      </c>
      <c r="E2990" s="55">
        <f>40-38</f>
        <v>2</v>
      </c>
      <c r="F2990" s="43" t="s">
        <v>363</v>
      </c>
      <c r="G2990" s="43" t="s">
        <v>374</v>
      </c>
      <c r="I2990" s="43" t="s">
        <v>367</v>
      </c>
      <c r="J2990" s="44">
        <v>44931</v>
      </c>
    </row>
    <row r="2991" spans="1:10" s="43" customFormat="1" x14ac:dyDescent="0.75">
      <c r="A2991" s="43" t="s">
        <v>23</v>
      </c>
      <c r="B2991" s="44">
        <v>44894</v>
      </c>
      <c r="C2991" s="43">
        <v>1</v>
      </c>
      <c r="D2991" s="43" t="s">
        <v>197</v>
      </c>
      <c r="E2991" s="55">
        <f>38-37</f>
        <v>1</v>
      </c>
      <c r="F2991" s="43" t="s">
        <v>363</v>
      </c>
      <c r="G2991" s="43" t="s">
        <v>374</v>
      </c>
      <c r="I2991" s="43" t="s">
        <v>367</v>
      </c>
      <c r="J2991" s="44">
        <v>44931</v>
      </c>
    </row>
    <row r="2992" spans="1:10" s="43" customFormat="1" x14ac:dyDescent="0.75">
      <c r="A2992" s="43" t="s">
        <v>23</v>
      </c>
      <c r="B2992" s="44">
        <v>44894</v>
      </c>
      <c r="C2992" s="43">
        <v>1</v>
      </c>
      <c r="D2992" s="43" t="s">
        <v>197</v>
      </c>
      <c r="E2992" s="55">
        <f>37-36</f>
        <v>1</v>
      </c>
      <c r="F2992" s="43" t="s">
        <v>363</v>
      </c>
      <c r="G2992" s="43" t="s">
        <v>374</v>
      </c>
      <c r="I2992" s="43" t="s">
        <v>367</v>
      </c>
      <c r="J2992" s="44">
        <v>44931</v>
      </c>
    </row>
    <row r="2993" spans="1:11" x14ac:dyDescent="0.75">
      <c r="A2993" t="s">
        <v>23</v>
      </c>
      <c r="B2993" s="3">
        <v>44894</v>
      </c>
      <c r="C2993">
        <v>2</v>
      </c>
      <c r="D2993" t="s">
        <v>201</v>
      </c>
      <c r="E2993" s="22">
        <f>39-37</f>
        <v>2</v>
      </c>
      <c r="F2993" t="s">
        <v>363</v>
      </c>
      <c r="G2993" t="s">
        <v>361</v>
      </c>
      <c r="I2993" t="s">
        <v>367</v>
      </c>
      <c r="J2993" s="3">
        <v>44931</v>
      </c>
    </row>
    <row r="2994" spans="1:11" x14ac:dyDescent="0.75">
      <c r="A2994" t="s">
        <v>23</v>
      </c>
      <c r="B2994" s="3">
        <v>44894</v>
      </c>
      <c r="C2994">
        <v>2</v>
      </c>
      <c r="D2994" t="s">
        <v>153</v>
      </c>
      <c r="E2994" s="22">
        <f>43-38</f>
        <v>5</v>
      </c>
      <c r="F2994" t="s">
        <v>363</v>
      </c>
      <c r="G2994" t="s">
        <v>367</v>
      </c>
      <c r="I2994" t="s">
        <v>367</v>
      </c>
      <c r="J2994" s="3">
        <v>44931</v>
      </c>
    </row>
    <row r="2995" spans="1:11" x14ac:dyDescent="0.75">
      <c r="A2995" t="s">
        <v>23</v>
      </c>
      <c r="B2995" s="3">
        <v>44894</v>
      </c>
      <c r="C2995">
        <v>2</v>
      </c>
      <c r="D2995" t="s">
        <v>197</v>
      </c>
      <c r="E2995" s="22">
        <f>38-34</f>
        <v>4</v>
      </c>
      <c r="F2995" t="s">
        <v>363</v>
      </c>
      <c r="G2995" t="s">
        <v>367</v>
      </c>
      <c r="I2995" t="s">
        <v>367</v>
      </c>
      <c r="J2995" s="3">
        <v>44931</v>
      </c>
    </row>
    <row r="2996" spans="1:11" x14ac:dyDescent="0.75">
      <c r="A2996" t="s">
        <v>23</v>
      </c>
      <c r="B2996" s="3">
        <v>44894</v>
      </c>
      <c r="C2996">
        <v>2</v>
      </c>
      <c r="D2996" t="s">
        <v>194</v>
      </c>
      <c r="E2996" s="22">
        <f>51-49</f>
        <v>2</v>
      </c>
      <c r="F2996" t="s">
        <v>363</v>
      </c>
      <c r="G2996" t="s">
        <v>374</v>
      </c>
      <c r="I2996" t="s">
        <v>367</v>
      </c>
      <c r="J2996" s="3">
        <v>44931</v>
      </c>
      <c r="K2996" t="s">
        <v>866</v>
      </c>
    </row>
    <row r="2997" spans="1:11" x14ac:dyDescent="0.75">
      <c r="A2997" t="s">
        <v>23</v>
      </c>
      <c r="B2997" s="3">
        <v>44894</v>
      </c>
      <c r="C2997">
        <v>2</v>
      </c>
      <c r="D2997" t="s">
        <v>197</v>
      </c>
      <c r="E2997" s="22">
        <f>49-47</f>
        <v>2</v>
      </c>
      <c r="F2997" t="s">
        <v>363</v>
      </c>
      <c r="G2997" t="s">
        <v>374</v>
      </c>
      <c r="I2997" t="s">
        <v>367</v>
      </c>
      <c r="J2997" s="3">
        <v>44931</v>
      </c>
    </row>
    <row r="2998" spans="1:11" x14ac:dyDescent="0.75">
      <c r="A2998" t="s">
        <v>23</v>
      </c>
      <c r="B2998" s="3">
        <v>44894</v>
      </c>
      <c r="C2998">
        <v>2</v>
      </c>
      <c r="D2998" t="s">
        <v>215</v>
      </c>
      <c r="E2998" s="22">
        <f>47-40</f>
        <v>7</v>
      </c>
      <c r="F2998" t="s">
        <v>363</v>
      </c>
      <c r="G2998" t="s">
        <v>374</v>
      </c>
      <c r="I2998" t="s">
        <v>367</v>
      </c>
      <c r="J2998" s="3">
        <v>44931</v>
      </c>
    </row>
    <row r="2999" spans="1:11" x14ac:dyDescent="0.75">
      <c r="A2999" t="s">
        <v>23</v>
      </c>
      <c r="B2999" s="3">
        <v>44894</v>
      </c>
      <c r="C2999">
        <v>2</v>
      </c>
      <c r="D2999" t="s">
        <v>194</v>
      </c>
      <c r="E2999" s="22">
        <f>40-36</f>
        <v>4</v>
      </c>
      <c r="F2999" t="s">
        <v>363</v>
      </c>
      <c r="G2999" t="s">
        <v>374</v>
      </c>
      <c r="I2999" t="s">
        <v>367</v>
      </c>
      <c r="J2999" s="3">
        <v>44931</v>
      </c>
    </row>
    <row r="3000" spans="1:11" x14ac:dyDescent="0.75">
      <c r="A3000" t="s">
        <v>23</v>
      </c>
      <c r="B3000" s="3">
        <v>44894</v>
      </c>
      <c r="C3000">
        <v>2</v>
      </c>
      <c r="D3000" t="s">
        <v>153</v>
      </c>
      <c r="E3000" s="22">
        <f>36-34</f>
        <v>2</v>
      </c>
      <c r="F3000" t="s">
        <v>363</v>
      </c>
      <c r="G3000" t="s">
        <v>374</v>
      </c>
      <c r="I3000" t="s">
        <v>367</v>
      </c>
      <c r="J3000" s="3">
        <v>44931</v>
      </c>
    </row>
    <row r="3001" spans="1:11" x14ac:dyDescent="0.75">
      <c r="A3001" t="s">
        <v>23</v>
      </c>
      <c r="B3001" s="3">
        <v>44894</v>
      </c>
      <c r="C3001">
        <v>2</v>
      </c>
      <c r="D3001" t="s">
        <v>153</v>
      </c>
      <c r="E3001" s="22">
        <f>34-33</f>
        <v>1</v>
      </c>
      <c r="F3001" t="s">
        <v>363</v>
      </c>
      <c r="G3001" t="s">
        <v>374</v>
      </c>
      <c r="I3001" t="s">
        <v>367</v>
      </c>
      <c r="J3001" s="3">
        <v>44931</v>
      </c>
    </row>
    <row r="3002" spans="1:11" x14ac:dyDescent="0.75">
      <c r="A3002" t="s">
        <v>23</v>
      </c>
      <c r="B3002" s="3">
        <v>44894</v>
      </c>
      <c r="C3002">
        <v>2</v>
      </c>
      <c r="D3002" t="s">
        <v>197</v>
      </c>
      <c r="E3002" s="22">
        <f>33-30</f>
        <v>3</v>
      </c>
      <c r="F3002" t="s">
        <v>363</v>
      </c>
      <c r="G3002" t="s">
        <v>374</v>
      </c>
      <c r="I3002" t="s">
        <v>367</v>
      </c>
      <c r="J3002" s="3">
        <v>44931</v>
      </c>
    </row>
    <row r="3003" spans="1:11" x14ac:dyDescent="0.75">
      <c r="A3003" t="s">
        <v>23</v>
      </c>
      <c r="B3003" s="3">
        <v>44894</v>
      </c>
      <c r="C3003">
        <v>2</v>
      </c>
      <c r="D3003" t="s">
        <v>197</v>
      </c>
      <c r="E3003" s="22">
        <f>30-26</f>
        <v>4</v>
      </c>
      <c r="F3003" t="s">
        <v>363</v>
      </c>
      <c r="G3003" t="s">
        <v>374</v>
      </c>
      <c r="I3003" t="s">
        <v>367</v>
      </c>
      <c r="J3003" s="3">
        <v>44931</v>
      </c>
      <c r="K3003" t="s">
        <v>867</v>
      </c>
    </row>
    <row r="3004" spans="1:11" x14ac:dyDescent="0.75">
      <c r="A3004" t="s">
        <v>23</v>
      </c>
      <c r="B3004" s="3">
        <v>44894</v>
      </c>
      <c r="C3004">
        <v>2</v>
      </c>
      <c r="D3004" t="s">
        <v>207</v>
      </c>
      <c r="E3004" s="22">
        <f>26-14</f>
        <v>12</v>
      </c>
      <c r="F3004" t="s">
        <v>363</v>
      </c>
      <c r="G3004" t="s">
        <v>374</v>
      </c>
      <c r="I3004" t="s">
        <v>367</v>
      </c>
      <c r="J3004" s="3">
        <v>44931</v>
      </c>
    </row>
    <row r="3005" spans="1:11" x14ac:dyDescent="0.75">
      <c r="A3005" t="s">
        <v>69</v>
      </c>
      <c r="B3005" s="3">
        <v>44895</v>
      </c>
      <c r="C3005">
        <v>1</v>
      </c>
      <c r="D3005" t="s">
        <v>191</v>
      </c>
      <c r="E3005" s="22">
        <f>45-40</f>
        <v>5</v>
      </c>
      <c r="F3005">
        <v>958</v>
      </c>
      <c r="G3005" t="s">
        <v>733</v>
      </c>
      <c r="I3005" t="s">
        <v>668</v>
      </c>
      <c r="J3005" s="3">
        <v>44939</v>
      </c>
    </row>
    <row r="3006" spans="1:11" x14ac:dyDescent="0.75">
      <c r="A3006" t="s">
        <v>69</v>
      </c>
      <c r="B3006" s="3">
        <v>44895</v>
      </c>
      <c r="C3006">
        <v>1</v>
      </c>
      <c r="D3006" t="s">
        <v>197</v>
      </c>
      <c r="E3006" s="22">
        <f>40-37</f>
        <v>3</v>
      </c>
      <c r="F3006" t="s">
        <v>363</v>
      </c>
      <c r="G3006" t="s">
        <v>733</v>
      </c>
      <c r="I3006" t="s">
        <v>668</v>
      </c>
      <c r="J3006" s="3">
        <v>44939</v>
      </c>
    </row>
    <row r="3007" spans="1:11" x14ac:dyDescent="0.75">
      <c r="A3007" t="s">
        <v>69</v>
      </c>
      <c r="B3007" s="3">
        <v>44895</v>
      </c>
      <c r="C3007">
        <v>1</v>
      </c>
      <c r="D3007" t="s">
        <v>197</v>
      </c>
      <c r="E3007" s="22">
        <f>37-28</f>
        <v>9</v>
      </c>
      <c r="F3007" t="s">
        <v>363</v>
      </c>
      <c r="G3007" t="s">
        <v>733</v>
      </c>
      <c r="I3007" t="s">
        <v>668</v>
      </c>
      <c r="J3007" s="3">
        <v>44939</v>
      </c>
      <c r="K3007" t="s">
        <v>868</v>
      </c>
    </row>
    <row r="3008" spans="1:11" x14ac:dyDescent="0.75">
      <c r="A3008" t="s">
        <v>69</v>
      </c>
      <c r="B3008" s="3">
        <v>44895</v>
      </c>
      <c r="C3008">
        <v>1</v>
      </c>
      <c r="D3008" t="s">
        <v>191</v>
      </c>
      <c r="E3008" s="22">
        <f>28-19</f>
        <v>9</v>
      </c>
      <c r="F3008">
        <v>963</v>
      </c>
      <c r="G3008" t="s">
        <v>733</v>
      </c>
      <c r="I3008" t="s">
        <v>668</v>
      </c>
      <c r="J3008" s="3">
        <v>44939</v>
      </c>
    </row>
    <row r="3009" spans="1:11" x14ac:dyDescent="0.75">
      <c r="A3009" t="s">
        <v>69</v>
      </c>
      <c r="B3009" s="3">
        <v>44895</v>
      </c>
      <c r="C3009">
        <v>1</v>
      </c>
      <c r="D3009" t="s">
        <v>191</v>
      </c>
      <c r="E3009" s="22">
        <f>19-6</f>
        <v>13</v>
      </c>
      <c r="F3009" t="s">
        <v>363</v>
      </c>
      <c r="G3009" t="s">
        <v>733</v>
      </c>
      <c r="I3009" t="s">
        <v>668</v>
      </c>
      <c r="J3009" s="3">
        <v>44939</v>
      </c>
    </row>
    <row r="3010" spans="1:11" x14ac:dyDescent="0.75">
      <c r="A3010" t="s">
        <v>69</v>
      </c>
      <c r="B3010" s="3">
        <v>44895</v>
      </c>
      <c r="C3010">
        <v>1</v>
      </c>
      <c r="D3010" t="s">
        <v>191</v>
      </c>
      <c r="E3010" s="22">
        <f>6+42-30</f>
        <v>18</v>
      </c>
      <c r="F3010" t="s">
        <v>363</v>
      </c>
      <c r="G3010" t="s">
        <v>733</v>
      </c>
      <c r="I3010" t="s">
        <v>668</v>
      </c>
      <c r="J3010" s="3">
        <v>44939</v>
      </c>
    </row>
    <row r="3011" spans="1:11" x14ac:dyDescent="0.75">
      <c r="A3011" t="s">
        <v>69</v>
      </c>
      <c r="B3011" s="3">
        <v>44895</v>
      </c>
      <c r="C3011">
        <v>1</v>
      </c>
      <c r="D3011" t="s">
        <v>197</v>
      </c>
      <c r="E3011" s="22">
        <f>37-32</f>
        <v>5</v>
      </c>
      <c r="F3011" t="s">
        <v>363</v>
      </c>
      <c r="G3011" t="s">
        <v>367</v>
      </c>
      <c r="I3011" t="s">
        <v>668</v>
      </c>
      <c r="J3011" s="3">
        <v>44939</v>
      </c>
      <c r="K3011" t="s">
        <v>825</v>
      </c>
    </row>
    <row r="3012" spans="1:11" x14ac:dyDescent="0.75">
      <c r="A3012" t="s">
        <v>69</v>
      </c>
      <c r="B3012" s="3">
        <v>44895</v>
      </c>
      <c r="C3012">
        <v>1</v>
      </c>
      <c r="D3012" t="s">
        <v>197</v>
      </c>
      <c r="E3012" s="22">
        <f>50-38</f>
        <v>12</v>
      </c>
      <c r="F3012" t="s">
        <v>363</v>
      </c>
      <c r="G3012" t="s">
        <v>367</v>
      </c>
      <c r="I3012" t="s">
        <v>668</v>
      </c>
      <c r="J3012" s="3">
        <v>44939</v>
      </c>
    </row>
    <row r="3013" spans="1:11" x14ac:dyDescent="0.75">
      <c r="A3013" t="s">
        <v>69</v>
      </c>
      <c r="B3013" s="3">
        <v>44895</v>
      </c>
      <c r="C3013">
        <v>1</v>
      </c>
      <c r="D3013" t="s">
        <v>197</v>
      </c>
      <c r="E3013" s="22">
        <f>38-34</f>
        <v>4</v>
      </c>
      <c r="F3013" t="s">
        <v>363</v>
      </c>
      <c r="G3013" t="s">
        <v>367</v>
      </c>
      <c r="I3013" t="s">
        <v>668</v>
      </c>
      <c r="J3013" s="3">
        <v>44939</v>
      </c>
    </row>
    <row r="3014" spans="1:11" x14ac:dyDescent="0.75">
      <c r="A3014" t="s">
        <v>69</v>
      </c>
      <c r="B3014" s="3">
        <v>44895</v>
      </c>
      <c r="C3014">
        <v>1</v>
      </c>
      <c r="D3014" t="s">
        <v>197</v>
      </c>
      <c r="E3014" s="22">
        <f>48-44</f>
        <v>4</v>
      </c>
      <c r="F3014" t="s">
        <v>363</v>
      </c>
      <c r="G3014" t="s">
        <v>869</v>
      </c>
      <c r="I3014" t="s">
        <v>668</v>
      </c>
      <c r="J3014" s="3">
        <v>44939</v>
      </c>
    </row>
    <row r="3015" spans="1:11" x14ac:dyDescent="0.75">
      <c r="A3015" t="s">
        <v>69</v>
      </c>
      <c r="B3015" s="3">
        <v>44895</v>
      </c>
      <c r="C3015">
        <v>1</v>
      </c>
      <c r="D3015" t="s">
        <v>191</v>
      </c>
      <c r="E3015" s="22">
        <f>44-42</f>
        <v>2</v>
      </c>
      <c r="F3015" t="s">
        <v>363</v>
      </c>
      <c r="G3015" t="s">
        <v>869</v>
      </c>
      <c r="I3015" t="s">
        <v>668</v>
      </c>
      <c r="J3015" s="3">
        <v>44939</v>
      </c>
    </row>
    <row r="3016" spans="1:11" x14ac:dyDescent="0.75">
      <c r="A3016" t="s">
        <v>69</v>
      </c>
      <c r="B3016" s="3">
        <v>44895</v>
      </c>
      <c r="C3016">
        <v>1</v>
      </c>
      <c r="D3016" t="s">
        <v>197</v>
      </c>
      <c r="E3016" s="22">
        <f>1</f>
        <v>1</v>
      </c>
      <c r="F3016" t="s">
        <v>363</v>
      </c>
      <c r="G3016" t="s">
        <v>869</v>
      </c>
      <c r="I3016" t="s">
        <v>668</v>
      </c>
      <c r="J3016" s="3">
        <v>44939</v>
      </c>
    </row>
    <row r="3017" spans="1:11" x14ac:dyDescent="0.75">
      <c r="A3017" t="s">
        <v>69</v>
      </c>
      <c r="B3017" s="3">
        <v>44895</v>
      </c>
      <c r="C3017">
        <v>1</v>
      </c>
      <c r="D3017" t="s">
        <v>197</v>
      </c>
      <c r="E3017" s="22">
        <f>42-40</f>
        <v>2</v>
      </c>
      <c r="F3017" t="s">
        <v>363</v>
      </c>
      <c r="G3017" t="s">
        <v>869</v>
      </c>
      <c r="I3017" t="s">
        <v>668</v>
      </c>
      <c r="J3017" s="3">
        <v>44939</v>
      </c>
    </row>
    <row r="3018" spans="1:11" x14ac:dyDescent="0.75">
      <c r="A3018" t="s">
        <v>69</v>
      </c>
      <c r="B3018" s="3">
        <v>44895</v>
      </c>
      <c r="C3018">
        <v>1</v>
      </c>
      <c r="D3018" t="s">
        <v>197</v>
      </c>
      <c r="E3018" s="22">
        <f>40-30</f>
        <v>10</v>
      </c>
      <c r="F3018" t="s">
        <v>363</v>
      </c>
      <c r="G3018" t="s">
        <v>869</v>
      </c>
      <c r="I3018" t="s">
        <v>668</v>
      </c>
      <c r="J3018" s="3">
        <v>44939</v>
      </c>
    </row>
    <row r="3019" spans="1:11" x14ac:dyDescent="0.75">
      <c r="A3019" t="s">
        <v>69</v>
      </c>
      <c r="B3019" s="3">
        <v>44895</v>
      </c>
      <c r="C3019">
        <v>1</v>
      </c>
      <c r="D3019" t="s">
        <v>205</v>
      </c>
      <c r="E3019" s="22">
        <f>29-28</f>
        <v>1</v>
      </c>
      <c r="F3019" t="s">
        <v>363</v>
      </c>
      <c r="G3019" t="s">
        <v>869</v>
      </c>
      <c r="I3019" t="s">
        <v>668</v>
      </c>
      <c r="J3019" s="3">
        <v>44939</v>
      </c>
    </row>
    <row r="3020" spans="1:11" x14ac:dyDescent="0.75">
      <c r="A3020" t="s">
        <v>69</v>
      </c>
      <c r="B3020" s="3">
        <v>44895</v>
      </c>
      <c r="C3020">
        <v>1</v>
      </c>
      <c r="D3020" t="s">
        <v>207</v>
      </c>
      <c r="E3020" s="22">
        <f>28-26</f>
        <v>2</v>
      </c>
      <c r="F3020" t="s">
        <v>363</v>
      </c>
      <c r="G3020" t="s">
        <v>869</v>
      </c>
      <c r="I3020" t="s">
        <v>668</v>
      </c>
      <c r="J3020" s="3">
        <v>44939</v>
      </c>
    </row>
    <row r="3021" spans="1:11" x14ac:dyDescent="0.75">
      <c r="A3021" t="s">
        <v>69</v>
      </c>
      <c r="B3021" s="3">
        <v>44895</v>
      </c>
      <c r="C3021">
        <v>1</v>
      </c>
      <c r="D3021" t="s">
        <v>191</v>
      </c>
      <c r="E3021" s="22">
        <f>26-22</f>
        <v>4</v>
      </c>
      <c r="F3021" t="s">
        <v>363</v>
      </c>
      <c r="G3021" t="s">
        <v>869</v>
      </c>
      <c r="I3021" t="s">
        <v>668</v>
      </c>
      <c r="J3021" s="3">
        <v>44939</v>
      </c>
    </row>
    <row r="3022" spans="1:11" x14ac:dyDescent="0.75">
      <c r="A3022" t="s">
        <v>69</v>
      </c>
      <c r="B3022" s="3">
        <v>44895</v>
      </c>
      <c r="C3022">
        <v>1</v>
      </c>
      <c r="D3022" t="s">
        <v>194</v>
      </c>
      <c r="E3022" s="22">
        <f>22-19</f>
        <v>3</v>
      </c>
      <c r="F3022" t="s">
        <v>363</v>
      </c>
      <c r="G3022" t="s">
        <v>869</v>
      </c>
      <c r="I3022" t="s">
        <v>668</v>
      </c>
      <c r="J3022" s="3">
        <v>44939</v>
      </c>
    </row>
    <row r="3023" spans="1:11" x14ac:dyDescent="0.75">
      <c r="A3023" t="s">
        <v>69</v>
      </c>
      <c r="B3023" s="3">
        <v>44895</v>
      </c>
      <c r="C3023">
        <v>1</v>
      </c>
      <c r="D3023" t="s">
        <v>191</v>
      </c>
      <c r="E3023" s="22">
        <f>19-16</f>
        <v>3</v>
      </c>
      <c r="F3023" t="s">
        <v>363</v>
      </c>
      <c r="G3023" t="s">
        <v>869</v>
      </c>
      <c r="I3023" t="s">
        <v>668</v>
      </c>
      <c r="J3023" s="3">
        <v>44939</v>
      </c>
    </row>
    <row r="3024" spans="1:11" x14ac:dyDescent="0.75">
      <c r="A3024" t="s">
        <v>69</v>
      </c>
      <c r="B3024" s="3">
        <v>44895</v>
      </c>
      <c r="C3024">
        <v>1</v>
      </c>
      <c r="D3024" t="s">
        <v>191</v>
      </c>
      <c r="E3024" s="22">
        <f>1</f>
        <v>1</v>
      </c>
      <c r="F3024" t="s">
        <v>363</v>
      </c>
      <c r="G3024" t="s">
        <v>869</v>
      </c>
      <c r="I3024" t="s">
        <v>668</v>
      </c>
      <c r="J3024" s="3">
        <v>44939</v>
      </c>
    </row>
    <row r="3025" spans="1:11" x14ac:dyDescent="0.75">
      <c r="A3025" t="s">
        <v>69</v>
      </c>
      <c r="B3025" s="3">
        <v>44895</v>
      </c>
      <c r="C3025">
        <v>1</v>
      </c>
      <c r="D3025" t="s">
        <v>197</v>
      </c>
      <c r="E3025" s="22">
        <f>19-16</f>
        <v>3</v>
      </c>
      <c r="F3025" t="s">
        <v>363</v>
      </c>
      <c r="G3025" t="s">
        <v>869</v>
      </c>
      <c r="I3025" t="s">
        <v>668</v>
      </c>
      <c r="J3025" s="3">
        <v>44939</v>
      </c>
    </row>
    <row r="3026" spans="1:11" x14ac:dyDescent="0.75">
      <c r="A3026" t="s">
        <v>69</v>
      </c>
      <c r="B3026" s="3">
        <v>44895</v>
      </c>
      <c r="C3026">
        <v>1</v>
      </c>
      <c r="D3026" t="s">
        <v>191</v>
      </c>
      <c r="E3026" s="22">
        <f>10-9</f>
        <v>1</v>
      </c>
      <c r="F3026" t="s">
        <v>363</v>
      </c>
      <c r="G3026" t="s">
        <v>869</v>
      </c>
      <c r="I3026" t="s">
        <v>668</v>
      </c>
      <c r="J3026" s="3">
        <v>44939</v>
      </c>
    </row>
    <row r="3027" spans="1:11" x14ac:dyDescent="0.75">
      <c r="A3027" t="s">
        <v>69</v>
      </c>
      <c r="B3027" s="3">
        <v>44895</v>
      </c>
      <c r="C3027">
        <v>1</v>
      </c>
      <c r="D3027" t="s">
        <v>191</v>
      </c>
      <c r="E3027" s="22">
        <f>9-6</f>
        <v>3</v>
      </c>
      <c r="F3027" t="s">
        <v>363</v>
      </c>
      <c r="G3027" t="s">
        <v>869</v>
      </c>
      <c r="I3027" t="s">
        <v>668</v>
      </c>
      <c r="J3027" s="3">
        <v>44939</v>
      </c>
    </row>
    <row r="3028" spans="1:11" x14ac:dyDescent="0.75">
      <c r="A3028" t="s">
        <v>69</v>
      </c>
      <c r="B3028" s="3">
        <v>44895</v>
      </c>
      <c r="C3028">
        <v>1</v>
      </c>
      <c r="D3028" t="s">
        <v>207</v>
      </c>
      <c r="E3028" s="22">
        <f>6-4</f>
        <v>2</v>
      </c>
      <c r="F3028" t="s">
        <v>363</v>
      </c>
      <c r="G3028" t="s">
        <v>869</v>
      </c>
      <c r="I3028" t="s">
        <v>668</v>
      </c>
      <c r="J3028" s="3">
        <v>44939</v>
      </c>
    </row>
    <row r="3029" spans="1:11" x14ac:dyDescent="0.75">
      <c r="A3029" t="s">
        <v>69</v>
      </c>
      <c r="B3029" s="3">
        <v>44895</v>
      </c>
      <c r="C3029">
        <v>1</v>
      </c>
      <c r="D3029" t="s">
        <v>194</v>
      </c>
      <c r="E3029" s="22">
        <f>4</f>
        <v>4</v>
      </c>
      <c r="F3029" t="s">
        <v>363</v>
      </c>
      <c r="G3029" t="s">
        <v>869</v>
      </c>
      <c r="I3029" t="s">
        <v>668</v>
      </c>
      <c r="J3029" s="3">
        <v>44939</v>
      </c>
    </row>
    <row r="3030" spans="1:11" x14ac:dyDescent="0.75">
      <c r="A3030" t="s">
        <v>69</v>
      </c>
      <c r="B3030" s="3">
        <v>44895</v>
      </c>
      <c r="C3030">
        <v>1</v>
      </c>
      <c r="D3030" t="s">
        <v>197</v>
      </c>
      <c r="E3030" s="22">
        <f>52-48</f>
        <v>4</v>
      </c>
      <c r="F3030" t="s">
        <v>363</v>
      </c>
      <c r="G3030" t="s">
        <v>869</v>
      </c>
      <c r="I3030" t="s">
        <v>668</v>
      </c>
      <c r="J3030" s="3">
        <v>44939</v>
      </c>
    </row>
    <row r="3031" spans="1:11" x14ac:dyDescent="0.75">
      <c r="A3031" t="s">
        <v>69</v>
      </c>
      <c r="B3031" s="3">
        <v>44895</v>
      </c>
      <c r="C3031">
        <v>1</v>
      </c>
      <c r="D3031" t="s">
        <v>197</v>
      </c>
      <c r="E3031" s="22">
        <f>48-40</f>
        <v>8</v>
      </c>
      <c r="F3031" t="s">
        <v>363</v>
      </c>
      <c r="G3031" t="s">
        <v>869</v>
      </c>
      <c r="I3031" t="s">
        <v>668</v>
      </c>
      <c r="J3031" s="3">
        <v>44939</v>
      </c>
    </row>
    <row r="3032" spans="1:11" x14ac:dyDescent="0.75">
      <c r="A3032" t="s">
        <v>69</v>
      </c>
      <c r="B3032" s="3">
        <v>44895</v>
      </c>
      <c r="C3032">
        <v>2</v>
      </c>
      <c r="D3032" t="s">
        <v>194</v>
      </c>
      <c r="E3032" s="22">
        <f>29-18</f>
        <v>11</v>
      </c>
      <c r="F3032" t="s">
        <v>363</v>
      </c>
      <c r="G3032" t="s">
        <v>733</v>
      </c>
      <c r="I3032" t="s">
        <v>668</v>
      </c>
      <c r="J3032" s="3">
        <v>44939</v>
      </c>
    </row>
    <row r="3033" spans="1:11" x14ac:dyDescent="0.75">
      <c r="A3033" t="s">
        <v>69</v>
      </c>
      <c r="B3033" s="3">
        <v>44895</v>
      </c>
      <c r="C3033">
        <v>2</v>
      </c>
      <c r="D3033" t="s">
        <v>197</v>
      </c>
      <c r="E3033" s="22">
        <f>18-10</f>
        <v>8</v>
      </c>
      <c r="F3033" t="s">
        <v>363</v>
      </c>
      <c r="G3033" t="s">
        <v>733</v>
      </c>
      <c r="I3033" t="s">
        <v>668</v>
      </c>
      <c r="J3033" s="3">
        <v>44939</v>
      </c>
    </row>
    <row r="3034" spans="1:11" x14ac:dyDescent="0.75">
      <c r="A3034" t="s">
        <v>69</v>
      </c>
      <c r="B3034" s="3">
        <v>44895</v>
      </c>
      <c r="C3034">
        <v>2</v>
      </c>
      <c r="D3034" t="s">
        <v>197</v>
      </c>
      <c r="E3034" s="22">
        <f>10-4</f>
        <v>6</v>
      </c>
      <c r="F3034" t="s">
        <v>363</v>
      </c>
      <c r="G3034" t="s">
        <v>733</v>
      </c>
      <c r="I3034" t="s">
        <v>668</v>
      </c>
      <c r="J3034" s="3">
        <v>44939</v>
      </c>
    </row>
    <row r="3035" spans="1:11" x14ac:dyDescent="0.75">
      <c r="A3035" t="s">
        <v>69</v>
      </c>
      <c r="B3035" s="3">
        <v>44895</v>
      </c>
      <c r="C3035">
        <v>2</v>
      </c>
      <c r="D3035" t="s">
        <v>197</v>
      </c>
      <c r="E3035" s="22">
        <f>4+50-48</f>
        <v>6</v>
      </c>
      <c r="F3035" t="s">
        <v>363</v>
      </c>
      <c r="G3035" t="s">
        <v>733</v>
      </c>
      <c r="I3035" t="s">
        <v>668</v>
      </c>
      <c r="J3035" s="3">
        <v>44939</v>
      </c>
    </row>
    <row r="3036" spans="1:11" x14ac:dyDescent="0.75">
      <c r="A3036" t="s">
        <v>69</v>
      </c>
      <c r="B3036" s="3">
        <v>44895</v>
      </c>
      <c r="C3036">
        <v>2</v>
      </c>
      <c r="D3036" t="s">
        <v>194</v>
      </c>
      <c r="E3036" s="22">
        <f>48-46</f>
        <v>2</v>
      </c>
      <c r="F3036" t="s">
        <v>363</v>
      </c>
      <c r="G3036" t="s">
        <v>733</v>
      </c>
      <c r="I3036" t="s">
        <v>668</v>
      </c>
      <c r="J3036" s="3">
        <v>44939</v>
      </c>
    </row>
    <row r="3037" spans="1:11" x14ac:dyDescent="0.75">
      <c r="A3037" t="s">
        <v>69</v>
      </c>
      <c r="B3037" s="3">
        <v>44895</v>
      </c>
      <c r="C3037">
        <v>2</v>
      </c>
      <c r="D3037" t="s">
        <v>187</v>
      </c>
      <c r="E3037" s="22">
        <f>46-39+34-30</f>
        <v>11</v>
      </c>
      <c r="F3037" t="s">
        <v>363</v>
      </c>
      <c r="G3037" t="s">
        <v>870</v>
      </c>
      <c r="H3037" t="s">
        <v>390</v>
      </c>
      <c r="I3037" t="s">
        <v>668</v>
      </c>
      <c r="J3037" s="3">
        <v>44939</v>
      </c>
      <c r="K3037" t="s">
        <v>780</v>
      </c>
    </row>
    <row r="3038" spans="1:11" x14ac:dyDescent="0.75">
      <c r="A3038" t="s">
        <v>69</v>
      </c>
      <c r="B3038" s="3">
        <v>44895</v>
      </c>
      <c r="C3038">
        <v>2</v>
      </c>
      <c r="D3038" t="s">
        <v>199</v>
      </c>
      <c r="E3038" s="22">
        <f>39-37</f>
        <v>2</v>
      </c>
      <c r="F3038" t="s">
        <v>363</v>
      </c>
      <c r="G3038" t="s">
        <v>733</v>
      </c>
      <c r="I3038" t="s">
        <v>668</v>
      </c>
      <c r="J3038" s="3">
        <v>44939</v>
      </c>
    </row>
    <row r="3039" spans="1:11" x14ac:dyDescent="0.75">
      <c r="A3039" t="s">
        <v>69</v>
      </c>
      <c r="B3039" s="3">
        <v>44895</v>
      </c>
      <c r="C3039">
        <v>2</v>
      </c>
      <c r="D3039" t="s">
        <v>215</v>
      </c>
      <c r="E3039" s="22">
        <f>40-34</f>
        <v>6</v>
      </c>
      <c r="F3039" t="s">
        <v>363</v>
      </c>
      <c r="G3039" t="s">
        <v>367</v>
      </c>
      <c r="I3039" t="s">
        <v>668</v>
      </c>
      <c r="J3039" s="3">
        <v>44939</v>
      </c>
    </row>
    <row r="3040" spans="1:11" x14ac:dyDescent="0.75">
      <c r="A3040" t="s">
        <v>69</v>
      </c>
      <c r="B3040" s="3">
        <v>44895</v>
      </c>
      <c r="C3040">
        <v>2</v>
      </c>
      <c r="D3040" t="s">
        <v>191</v>
      </c>
      <c r="E3040" s="22">
        <f>34-30</f>
        <v>4</v>
      </c>
      <c r="F3040" t="s">
        <v>363</v>
      </c>
      <c r="G3040" t="s">
        <v>367</v>
      </c>
      <c r="I3040" t="s">
        <v>668</v>
      </c>
      <c r="J3040" s="3">
        <v>44939</v>
      </c>
    </row>
    <row r="3041" spans="1:11" x14ac:dyDescent="0.75">
      <c r="A3041" t="s">
        <v>69</v>
      </c>
      <c r="B3041" s="3">
        <v>44895</v>
      </c>
      <c r="C3041">
        <v>2</v>
      </c>
      <c r="D3041" t="s">
        <v>197</v>
      </c>
      <c r="E3041" s="22">
        <f>16+34-30</f>
        <v>20</v>
      </c>
      <c r="F3041" t="s">
        <v>363</v>
      </c>
      <c r="G3041" t="s">
        <v>367</v>
      </c>
      <c r="I3041" t="s">
        <v>668</v>
      </c>
      <c r="J3041" s="3">
        <v>44939</v>
      </c>
    </row>
    <row r="3042" spans="1:11" x14ac:dyDescent="0.75">
      <c r="A3042" t="s">
        <v>69</v>
      </c>
      <c r="B3042" s="3">
        <v>44895</v>
      </c>
      <c r="C3042">
        <v>2</v>
      </c>
      <c r="D3042" t="s">
        <v>191</v>
      </c>
      <c r="E3042" s="22">
        <f>46-44</f>
        <v>2</v>
      </c>
      <c r="F3042" t="s">
        <v>363</v>
      </c>
      <c r="G3042" t="s">
        <v>869</v>
      </c>
      <c r="I3042" t="s">
        <v>668</v>
      </c>
      <c r="J3042" s="3">
        <v>44939</v>
      </c>
    </row>
    <row r="3043" spans="1:11" x14ac:dyDescent="0.75">
      <c r="A3043" t="s">
        <v>69</v>
      </c>
      <c r="B3043" s="3">
        <v>44895</v>
      </c>
      <c r="C3043">
        <v>2</v>
      </c>
      <c r="D3043" t="s">
        <v>191</v>
      </c>
      <c r="E3043" s="22">
        <f>44-42</f>
        <v>2</v>
      </c>
      <c r="F3043" t="s">
        <v>363</v>
      </c>
      <c r="G3043" t="s">
        <v>869</v>
      </c>
      <c r="I3043" t="s">
        <v>668</v>
      </c>
      <c r="J3043" s="3">
        <v>44939</v>
      </c>
    </row>
    <row r="3044" spans="1:11" x14ac:dyDescent="0.75">
      <c r="A3044" t="s">
        <v>69</v>
      </c>
      <c r="B3044" s="3">
        <v>44895</v>
      </c>
      <c r="C3044">
        <v>2</v>
      </c>
      <c r="D3044" t="s">
        <v>194</v>
      </c>
      <c r="E3044" s="22">
        <f>42-39</f>
        <v>3</v>
      </c>
      <c r="F3044" t="s">
        <v>363</v>
      </c>
      <c r="G3044" t="s">
        <v>869</v>
      </c>
      <c r="I3044" t="s">
        <v>668</v>
      </c>
      <c r="J3044" s="3">
        <v>44939</v>
      </c>
    </row>
    <row r="3045" spans="1:11" x14ac:dyDescent="0.75">
      <c r="A3045" t="s">
        <v>69</v>
      </c>
      <c r="B3045" s="3">
        <v>44895</v>
      </c>
      <c r="C3045">
        <v>2</v>
      </c>
      <c r="D3045" t="s">
        <v>191</v>
      </c>
      <c r="E3045" s="22">
        <f>39-35</f>
        <v>4</v>
      </c>
      <c r="F3045" t="s">
        <v>363</v>
      </c>
      <c r="G3045" t="s">
        <v>869</v>
      </c>
      <c r="I3045" t="s">
        <v>668</v>
      </c>
      <c r="J3045" s="3">
        <v>44939</v>
      </c>
    </row>
    <row r="3046" spans="1:11" x14ac:dyDescent="0.75">
      <c r="A3046" t="s">
        <v>69</v>
      </c>
      <c r="B3046" s="3">
        <v>44895</v>
      </c>
      <c r="C3046">
        <v>2</v>
      </c>
      <c r="D3046" t="s">
        <v>164</v>
      </c>
      <c r="E3046" s="22">
        <f>35-21</f>
        <v>14</v>
      </c>
      <c r="F3046" t="s">
        <v>363</v>
      </c>
      <c r="G3046" t="s">
        <v>869</v>
      </c>
      <c r="H3046" t="s">
        <v>390</v>
      </c>
      <c r="I3046" t="s">
        <v>668</v>
      </c>
      <c r="J3046" s="3">
        <v>44939</v>
      </c>
      <c r="K3046" t="s">
        <v>871</v>
      </c>
    </row>
    <row r="3047" spans="1:11" x14ac:dyDescent="0.75">
      <c r="A3047" t="s">
        <v>69</v>
      </c>
      <c r="B3047" s="3">
        <v>44895</v>
      </c>
      <c r="C3047">
        <v>2</v>
      </c>
      <c r="D3047" t="s">
        <v>201</v>
      </c>
      <c r="E3047" s="22">
        <f>21-15</f>
        <v>6</v>
      </c>
      <c r="F3047" t="s">
        <v>363</v>
      </c>
      <c r="G3047" t="s">
        <v>869</v>
      </c>
      <c r="I3047" t="s">
        <v>668</v>
      </c>
      <c r="J3047" s="3">
        <v>44939</v>
      </c>
    </row>
    <row r="3048" spans="1:11" x14ac:dyDescent="0.75">
      <c r="A3048" t="s">
        <v>69</v>
      </c>
      <c r="B3048" s="3">
        <v>44895</v>
      </c>
      <c r="C3048">
        <v>2</v>
      </c>
      <c r="D3048" t="s">
        <v>207</v>
      </c>
      <c r="E3048" s="22">
        <f>15-8</f>
        <v>7</v>
      </c>
      <c r="F3048" t="s">
        <v>363</v>
      </c>
      <c r="G3048" t="s">
        <v>869</v>
      </c>
      <c r="I3048" t="s">
        <v>668</v>
      </c>
      <c r="J3048" s="3">
        <v>44939</v>
      </c>
    </row>
    <row r="3049" spans="1:11" x14ac:dyDescent="0.75">
      <c r="A3049" t="s">
        <v>69</v>
      </c>
      <c r="B3049" s="3">
        <v>44895</v>
      </c>
      <c r="C3049">
        <v>2</v>
      </c>
      <c r="D3049" t="s">
        <v>191</v>
      </c>
      <c r="E3049" s="22">
        <f>8-3</f>
        <v>5</v>
      </c>
      <c r="F3049" t="s">
        <v>363</v>
      </c>
      <c r="G3049" t="s">
        <v>869</v>
      </c>
      <c r="I3049" t="s">
        <v>668</v>
      </c>
      <c r="J3049" s="3">
        <v>44939</v>
      </c>
    </row>
    <row r="3050" spans="1:11" x14ac:dyDescent="0.75">
      <c r="A3050" t="s">
        <v>69</v>
      </c>
      <c r="B3050" s="3">
        <v>44895</v>
      </c>
      <c r="C3050">
        <v>2</v>
      </c>
      <c r="D3050" t="s">
        <v>197</v>
      </c>
      <c r="E3050" s="22">
        <f>2</f>
        <v>2</v>
      </c>
      <c r="F3050" t="s">
        <v>363</v>
      </c>
      <c r="G3050" t="s">
        <v>869</v>
      </c>
      <c r="H3050" t="s">
        <v>390</v>
      </c>
      <c r="I3050" t="s">
        <v>668</v>
      </c>
      <c r="J3050" s="3">
        <v>44939</v>
      </c>
      <c r="K3050" t="s">
        <v>871</v>
      </c>
    </row>
    <row r="3051" spans="1:11" x14ac:dyDescent="0.75">
      <c r="A3051" t="s">
        <v>69</v>
      </c>
      <c r="B3051" s="3">
        <v>44895</v>
      </c>
      <c r="C3051">
        <v>2</v>
      </c>
      <c r="D3051" t="s">
        <v>197</v>
      </c>
      <c r="E3051" s="22">
        <f>41-39</f>
        <v>2</v>
      </c>
      <c r="F3051" t="s">
        <v>363</v>
      </c>
      <c r="G3051" t="s">
        <v>869</v>
      </c>
      <c r="I3051" t="s">
        <v>668</v>
      </c>
      <c r="J3051" s="3">
        <v>44939</v>
      </c>
    </row>
    <row r="3052" spans="1:11" x14ac:dyDescent="0.75">
      <c r="A3052" t="s">
        <v>69</v>
      </c>
      <c r="B3052" s="3">
        <v>44895</v>
      </c>
      <c r="C3052">
        <v>2</v>
      </c>
      <c r="D3052" t="s">
        <v>205</v>
      </c>
      <c r="E3052" s="22">
        <f>39-31</f>
        <v>8</v>
      </c>
      <c r="F3052" t="s">
        <v>363</v>
      </c>
      <c r="G3052" t="s">
        <v>869</v>
      </c>
      <c r="I3052" t="s">
        <v>668</v>
      </c>
      <c r="J3052" s="3">
        <v>44939</v>
      </c>
    </row>
    <row r="3053" spans="1:11" x14ac:dyDescent="0.75">
      <c r="A3053" t="s">
        <v>69</v>
      </c>
      <c r="B3053" s="3">
        <v>44895</v>
      </c>
      <c r="C3053">
        <v>2</v>
      </c>
      <c r="D3053" t="s">
        <v>207</v>
      </c>
      <c r="E3053" s="22">
        <f>31-25</f>
        <v>6</v>
      </c>
      <c r="F3053" t="s">
        <v>363</v>
      </c>
      <c r="G3053" t="s">
        <v>869</v>
      </c>
      <c r="I3053" t="s">
        <v>668</v>
      </c>
      <c r="J3053" s="3">
        <v>44939</v>
      </c>
    </row>
    <row r="3054" spans="1:11" x14ac:dyDescent="0.75">
      <c r="A3054" t="s">
        <v>69</v>
      </c>
      <c r="B3054" s="3">
        <v>44895</v>
      </c>
      <c r="C3054">
        <v>2</v>
      </c>
      <c r="D3054" t="s">
        <v>197</v>
      </c>
      <c r="E3054" s="22">
        <f>25-18</f>
        <v>7</v>
      </c>
      <c r="F3054" t="s">
        <v>363</v>
      </c>
      <c r="G3054" t="s">
        <v>869</v>
      </c>
      <c r="I3054" t="s">
        <v>668</v>
      </c>
      <c r="J3054" s="3">
        <v>44939</v>
      </c>
    </row>
    <row r="3055" spans="1:11" x14ac:dyDescent="0.75">
      <c r="A3055" t="s">
        <v>69</v>
      </c>
      <c r="B3055" s="3">
        <v>44895</v>
      </c>
      <c r="C3055">
        <v>2</v>
      </c>
      <c r="D3055" t="s">
        <v>191</v>
      </c>
      <c r="E3055" s="22">
        <f>18-17</f>
        <v>1</v>
      </c>
      <c r="F3055" t="s">
        <v>363</v>
      </c>
      <c r="G3055" t="s">
        <v>869</v>
      </c>
      <c r="I3055" t="s">
        <v>668</v>
      </c>
      <c r="J3055" s="3">
        <v>44939</v>
      </c>
    </row>
    <row r="3056" spans="1:11" x14ac:dyDescent="0.75">
      <c r="A3056" t="s">
        <v>69</v>
      </c>
      <c r="B3056" s="3">
        <v>44895</v>
      </c>
      <c r="C3056">
        <v>2</v>
      </c>
      <c r="D3056" t="s">
        <v>194</v>
      </c>
      <c r="E3056" s="22">
        <f>17-16</f>
        <v>1</v>
      </c>
      <c r="F3056" t="s">
        <v>363</v>
      </c>
      <c r="G3056" t="s">
        <v>869</v>
      </c>
      <c r="I3056" t="s">
        <v>668</v>
      </c>
      <c r="J3056" s="3">
        <v>44939</v>
      </c>
    </row>
    <row r="3057" spans="1:10" x14ac:dyDescent="0.75">
      <c r="A3057" t="s">
        <v>69</v>
      </c>
      <c r="B3057" s="3">
        <v>44895</v>
      </c>
      <c r="C3057">
        <v>2</v>
      </c>
      <c r="D3057" t="s">
        <v>191</v>
      </c>
      <c r="E3057" s="22">
        <f>15-4</f>
        <v>11</v>
      </c>
      <c r="F3057" t="s">
        <v>363</v>
      </c>
      <c r="G3057" t="s">
        <v>869</v>
      </c>
      <c r="I3057" t="s">
        <v>668</v>
      </c>
      <c r="J3057" s="3">
        <v>44939</v>
      </c>
    </row>
    <row r="3058" spans="1:10" x14ac:dyDescent="0.75">
      <c r="A3058" t="s">
        <v>69</v>
      </c>
      <c r="B3058" s="3">
        <v>44895</v>
      </c>
      <c r="C3058">
        <v>2</v>
      </c>
      <c r="D3058" t="s">
        <v>191</v>
      </c>
      <c r="E3058" s="22">
        <f>4-3</f>
        <v>1</v>
      </c>
      <c r="F3058" t="s">
        <v>363</v>
      </c>
      <c r="G3058" t="s">
        <v>869</v>
      </c>
      <c r="I3058" t="s">
        <v>668</v>
      </c>
      <c r="J3058" s="3">
        <v>44939</v>
      </c>
    </row>
    <row r="3059" spans="1:10" x14ac:dyDescent="0.75">
      <c r="A3059" t="s">
        <v>69</v>
      </c>
      <c r="B3059" s="3">
        <v>44895</v>
      </c>
      <c r="C3059">
        <v>2</v>
      </c>
      <c r="D3059" t="s">
        <v>215</v>
      </c>
      <c r="E3059" s="22">
        <f>1</f>
        <v>1</v>
      </c>
      <c r="F3059" t="s">
        <v>363</v>
      </c>
      <c r="G3059" t="s">
        <v>869</v>
      </c>
      <c r="I3059" t="s">
        <v>668</v>
      </c>
      <c r="J3059" s="3">
        <v>44939</v>
      </c>
    </row>
    <row r="3060" spans="1:10" x14ac:dyDescent="0.75">
      <c r="A3060" t="s">
        <v>69</v>
      </c>
      <c r="B3060" s="3">
        <v>44895</v>
      </c>
      <c r="C3060">
        <v>2</v>
      </c>
      <c r="D3060" t="s">
        <v>191</v>
      </c>
      <c r="E3060" s="22">
        <f>3-2</f>
        <v>1</v>
      </c>
      <c r="F3060" t="s">
        <v>363</v>
      </c>
      <c r="G3060" t="s">
        <v>869</v>
      </c>
      <c r="I3060" t="s">
        <v>668</v>
      </c>
      <c r="J3060" s="3">
        <v>44939</v>
      </c>
    </row>
    <row r="3061" spans="1:10" x14ac:dyDescent="0.75">
      <c r="A3061" t="s">
        <v>69</v>
      </c>
      <c r="B3061" s="3">
        <v>44895</v>
      </c>
      <c r="C3061">
        <v>2</v>
      </c>
      <c r="D3061" t="s">
        <v>215</v>
      </c>
      <c r="E3061" s="22">
        <f>48-43</f>
        <v>5</v>
      </c>
      <c r="F3061" t="s">
        <v>363</v>
      </c>
      <c r="G3061" t="s">
        <v>869</v>
      </c>
      <c r="I3061" t="s">
        <v>668</v>
      </c>
      <c r="J3061" s="3">
        <v>44939</v>
      </c>
    </row>
    <row r="3062" spans="1:10" x14ac:dyDescent="0.75">
      <c r="A3062" t="s">
        <v>69</v>
      </c>
      <c r="B3062" s="3">
        <v>44895</v>
      </c>
      <c r="C3062">
        <v>2</v>
      </c>
      <c r="D3062" t="s">
        <v>191</v>
      </c>
      <c r="E3062" s="22">
        <f>43-34</f>
        <v>9</v>
      </c>
      <c r="F3062" t="s">
        <v>363</v>
      </c>
      <c r="G3062" t="s">
        <v>869</v>
      </c>
      <c r="I3062" t="s">
        <v>668</v>
      </c>
      <c r="J3062" s="3">
        <v>44939</v>
      </c>
    </row>
    <row r="3063" spans="1:10" x14ac:dyDescent="0.75">
      <c r="A3063" t="s">
        <v>69</v>
      </c>
      <c r="B3063" s="3">
        <v>44895</v>
      </c>
      <c r="C3063">
        <v>2</v>
      </c>
      <c r="D3063" t="s">
        <v>191</v>
      </c>
      <c r="E3063" s="22">
        <f>34-29</f>
        <v>5</v>
      </c>
      <c r="F3063" t="s">
        <v>363</v>
      </c>
      <c r="G3063" t="s">
        <v>869</v>
      </c>
      <c r="I3063" t="s">
        <v>668</v>
      </c>
      <c r="J3063" s="3">
        <v>44939</v>
      </c>
    </row>
    <row r="3064" spans="1:10" x14ac:dyDescent="0.75">
      <c r="A3064" t="s">
        <v>69</v>
      </c>
      <c r="B3064" s="3">
        <v>44895</v>
      </c>
      <c r="C3064">
        <v>2</v>
      </c>
      <c r="D3064" t="s">
        <v>197</v>
      </c>
      <c r="E3064" s="22">
        <f>2</f>
        <v>2</v>
      </c>
      <c r="F3064" t="s">
        <v>363</v>
      </c>
      <c r="G3064" t="s">
        <v>869</v>
      </c>
      <c r="I3064" t="s">
        <v>668</v>
      </c>
      <c r="J3064" s="3">
        <v>44939</v>
      </c>
    </row>
    <row r="3065" spans="1:10" x14ac:dyDescent="0.75">
      <c r="A3065" t="s">
        <v>69</v>
      </c>
      <c r="B3065" s="3">
        <v>44895</v>
      </c>
      <c r="C3065">
        <v>3</v>
      </c>
      <c r="D3065" t="s">
        <v>153</v>
      </c>
      <c r="E3065" s="22">
        <f>44-35</f>
        <v>9</v>
      </c>
      <c r="F3065" t="s">
        <v>363</v>
      </c>
      <c r="G3065" t="s">
        <v>733</v>
      </c>
      <c r="I3065" t="s">
        <v>668</v>
      </c>
      <c r="J3065" s="3">
        <v>44939</v>
      </c>
    </row>
    <row r="3066" spans="1:10" x14ac:dyDescent="0.75">
      <c r="A3066" t="s">
        <v>69</v>
      </c>
      <c r="B3066" s="3">
        <v>44895</v>
      </c>
      <c r="C3066">
        <v>3</v>
      </c>
      <c r="D3066" t="s">
        <v>194</v>
      </c>
      <c r="E3066" s="22">
        <f>35-27</f>
        <v>8</v>
      </c>
      <c r="F3066" t="s">
        <v>363</v>
      </c>
      <c r="G3066" t="s">
        <v>733</v>
      </c>
      <c r="I3066" t="s">
        <v>668</v>
      </c>
      <c r="J3066" s="3">
        <v>44939</v>
      </c>
    </row>
    <row r="3067" spans="1:10" x14ac:dyDescent="0.75">
      <c r="A3067" t="s">
        <v>69</v>
      </c>
      <c r="B3067" s="3">
        <v>44895</v>
      </c>
      <c r="C3067">
        <v>3</v>
      </c>
      <c r="D3067" t="s">
        <v>191</v>
      </c>
      <c r="E3067" s="22">
        <f>27-19</f>
        <v>8</v>
      </c>
      <c r="F3067" t="s">
        <v>363</v>
      </c>
      <c r="G3067" t="s">
        <v>733</v>
      </c>
      <c r="I3067" t="s">
        <v>668</v>
      </c>
      <c r="J3067" s="3">
        <v>44939</v>
      </c>
    </row>
    <row r="3068" spans="1:10" x14ac:dyDescent="0.75">
      <c r="A3068" t="s">
        <v>69</v>
      </c>
      <c r="B3068" s="3">
        <v>44895</v>
      </c>
      <c r="C3068">
        <v>3</v>
      </c>
      <c r="D3068" t="s">
        <v>164</v>
      </c>
      <c r="E3068" s="22">
        <f>19-16</f>
        <v>3</v>
      </c>
      <c r="F3068" t="s">
        <v>363</v>
      </c>
      <c r="G3068" t="s">
        <v>733</v>
      </c>
      <c r="I3068" t="s">
        <v>668</v>
      </c>
      <c r="J3068" s="3">
        <v>44939</v>
      </c>
    </row>
    <row r="3069" spans="1:10" x14ac:dyDescent="0.75">
      <c r="A3069" t="s">
        <v>69</v>
      </c>
      <c r="B3069" s="3">
        <v>44895</v>
      </c>
      <c r="C3069">
        <v>3</v>
      </c>
      <c r="D3069" t="s">
        <v>215</v>
      </c>
      <c r="E3069" s="22">
        <f>16-9</f>
        <v>7</v>
      </c>
      <c r="F3069" t="s">
        <v>363</v>
      </c>
      <c r="G3069" t="s">
        <v>733</v>
      </c>
      <c r="I3069" t="s">
        <v>668</v>
      </c>
      <c r="J3069" s="3">
        <v>44939</v>
      </c>
    </row>
    <row r="3070" spans="1:10" x14ac:dyDescent="0.75">
      <c r="A3070" t="s">
        <v>69</v>
      </c>
      <c r="B3070" s="3">
        <v>44895</v>
      </c>
      <c r="C3070">
        <v>3</v>
      </c>
      <c r="D3070" t="s">
        <v>197</v>
      </c>
      <c r="E3070" s="22">
        <f>9-4</f>
        <v>5</v>
      </c>
      <c r="F3070" t="s">
        <v>363</v>
      </c>
      <c r="G3070" t="s">
        <v>733</v>
      </c>
      <c r="I3070" t="s">
        <v>668</v>
      </c>
      <c r="J3070" s="3">
        <v>44939</v>
      </c>
    </row>
    <row r="3071" spans="1:10" x14ac:dyDescent="0.75">
      <c r="A3071" t="s">
        <v>69</v>
      </c>
      <c r="B3071" s="3">
        <v>44895</v>
      </c>
      <c r="C3071">
        <v>3</v>
      </c>
      <c r="D3071" t="s">
        <v>191</v>
      </c>
      <c r="E3071" s="22">
        <f>4+37-33</f>
        <v>8</v>
      </c>
      <c r="F3071" t="s">
        <v>363</v>
      </c>
      <c r="G3071" t="s">
        <v>733</v>
      </c>
      <c r="I3071" t="s">
        <v>668</v>
      </c>
      <c r="J3071" s="3">
        <v>44939</v>
      </c>
    </row>
    <row r="3072" spans="1:10" x14ac:dyDescent="0.75">
      <c r="A3072" t="s">
        <v>69</v>
      </c>
      <c r="B3072" s="3">
        <v>44895</v>
      </c>
      <c r="C3072">
        <v>3</v>
      </c>
      <c r="D3072" t="s">
        <v>194</v>
      </c>
      <c r="E3072" s="22">
        <f>33-27</f>
        <v>6</v>
      </c>
      <c r="F3072" t="s">
        <v>363</v>
      </c>
      <c r="G3072" t="s">
        <v>733</v>
      </c>
      <c r="I3072" t="s">
        <v>668</v>
      </c>
      <c r="J3072" s="3">
        <v>44939</v>
      </c>
    </row>
    <row r="3073" spans="1:11" x14ac:dyDescent="0.75">
      <c r="A3073" t="s">
        <v>69</v>
      </c>
      <c r="B3073" s="3">
        <v>44895</v>
      </c>
      <c r="C3073">
        <v>3</v>
      </c>
      <c r="D3073" t="s">
        <v>191</v>
      </c>
      <c r="E3073" s="22">
        <f>27+57-40</f>
        <v>44</v>
      </c>
      <c r="F3073" t="s">
        <v>363</v>
      </c>
      <c r="G3073" t="s">
        <v>733</v>
      </c>
      <c r="I3073" t="s">
        <v>668</v>
      </c>
      <c r="J3073" s="3">
        <v>44939</v>
      </c>
    </row>
    <row r="3074" spans="1:11" x14ac:dyDescent="0.75">
      <c r="A3074" t="s">
        <v>69</v>
      </c>
      <c r="B3074" s="3">
        <v>44895</v>
      </c>
      <c r="C3074">
        <v>3</v>
      </c>
      <c r="D3074" t="s">
        <v>194</v>
      </c>
      <c r="E3074" s="22">
        <f>40-36</f>
        <v>4</v>
      </c>
      <c r="F3074" t="s">
        <v>363</v>
      </c>
      <c r="G3074" t="s">
        <v>733</v>
      </c>
      <c r="I3074" t="s">
        <v>668</v>
      </c>
      <c r="J3074" s="3">
        <v>44939</v>
      </c>
    </row>
    <row r="3075" spans="1:11" x14ac:dyDescent="0.75">
      <c r="A3075" t="s">
        <v>69</v>
      </c>
      <c r="B3075" s="3">
        <v>44895</v>
      </c>
      <c r="C3075">
        <v>3</v>
      </c>
      <c r="D3075" t="s">
        <v>191</v>
      </c>
      <c r="E3075" s="22">
        <f>36-29</f>
        <v>7</v>
      </c>
      <c r="F3075" t="s">
        <v>363</v>
      </c>
      <c r="G3075" t="s">
        <v>733</v>
      </c>
      <c r="I3075" t="s">
        <v>668</v>
      </c>
      <c r="J3075" s="3">
        <v>44939</v>
      </c>
    </row>
    <row r="3076" spans="1:11" x14ac:dyDescent="0.75">
      <c r="A3076" t="s">
        <v>69</v>
      </c>
      <c r="B3076" s="3">
        <v>44895</v>
      </c>
      <c r="C3076">
        <v>3</v>
      </c>
      <c r="D3076" t="s">
        <v>191</v>
      </c>
      <c r="E3076" s="22">
        <f>29-22</f>
        <v>7</v>
      </c>
      <c r="F3076" t="s">
        <v>363</v>
      </c>
      <c r="G3076" t="s">
        <v>733</v>
      </c>
      <c r="I3076" t="s">
        <v>668</v>
      </c>
      <c r="J3076" s="3">
        <v>44939</v>
      </c>
    </row>
    <row r="3077" spans="1:11" x14ac:dyDescent="0.75">
      <c r="A3077" t="s">
        <v>69</v>
      </c>
      <c r="B3077" s="3">
        <v>44895</v>
      </c>
      <c r="C3077">
        <v>3</v>
      </c>
      <c r="D3077" t="s">
        <v>191</v>
      </c>
      <c r="E3077" s="22">
        <f>22-6</f>
        <v>16</v>
      </c>
      <c r="F3077" t="s">
        <v>363</v>
      </c>
      <c r="G3077" t="s">
        <v>733</v>
      </c>
      <c r="I3077" t="s">
        <v>668</v>
      </c>
      <c r="J3077" s="3">
        <v>44939</v>
      </c>
    </row>
    <row r="3078" spans="1:11" x14ac:dyDescent="0.75">
      <c r="A3078" t="s">
        <v>69</v>
      </c>
      <c r="B3078" s="3">
        <v>44895</v>
      </c>
      <c r="C3078">
        <v>3</v>
      </c>
      <c r="D3078" t="s">
        <v>191</v>
      </c>
      <c r="E3078" s="22">
        <f>6+26-20</f>
        <v>12</v>
      </c>
      <c r="F3078" t="s">
        <v>363</v>
      </c>
      <c r="G3078" t="s">
        <v>733</v>
      </c>
      <c r="I3078" t="s">
        <v>668</v>
      </c>
      <c r="J3078" s="3">
        <v>44939</v>
      </c>
    </row>
    <row r="3079" spans="1:11" x14ac:dyDescent="0.75">
      <c r="A3079" t="s">
        <v>69</v>
      </c>
      <c r="B3079" s="3">
        <v>44895</v>
      </c>
      <c r="C3079">
        <v>3</v>
      </c>
      <c r="D3079" t="s">
        <v>199</v>
      </c>
      <c r="E3079" s="22">
        <f>20-14</f>
        <v>6</v>
      </c>
      <c r="F3079" t="s">
        <v>363</v>
      </c>
      <c r="G3079" t="s">
        <v>733</v>
      </c>
      <c r="I3079" t="s">
        <v>668</v>
      </c>
      <c r="J3079" s="3">
        <v>44939</v>
      </c>
    </row>
    <row r="3080" spans="1:11" x14ac:dyDescent="0.75">
      <c r="A3080" t="s">
        <v>69</v>
      </c>
      <c r="B3080" s="3">
        <v>44895</v>
      </c>
      <c r="C3080">
        <v>3</v>
      </c>
      <c r="D3080" t="s">
        <v>191</v>
      </c>
      <c r="E3080" s="22">
        <f>14-11</f>
        <v>3</v>
      </c>
      <c r="F3080" t="s">
        <v>363</v>
      </c>
      <c r="G3080" t="s">
        <v>792</v>
      </c>
      <c r="I3080" t="s">
        <v>668</v>
      </c>
      <c r="J3080" s="3">
        <v>44939</v>
      </c>
      <c r="K3080" t="s">
        <v>872</v>
      </c>
    </row>
    <row r="3081" spans="1:11" x14ac:dyDescent="0.75">
      <c r="A3081" t="s">
        <v>69</v>
      </c>
      <c r="B3081" s="3">
        <v>44895</v>
      </c>
      <c r="C3081">
        <v>3</v>
      </c>
      <c r="D3081" t="s">
        <v>191</v>
      </c>
      <c r="E3081" s="22">
        <f>11-6+3</f>
        <v>8</v>
      </c>
      <c r="F3081" t="s">
        <v>363</v>
      </c>
      <c r="G3081" t="s">
        <v>733</v>
      </c>
      <c r="I3081" t="s">
        <v>668</v>
      </c>
      <c r="J3081" s="3">
        <v>44939</v>
      </c>
    </row>
    <row r="3082" spans="1:11" x14ac:dyDescent="0.75">
      <c r="A3082" t="s">
        <v>69</v>
      </c>
      <c r="B3082" s="3">
        <v>44895</v>
      </c>
      <c r="C3082">
        <v>3</v>
      </c>
      <c r="D3082" t="s">
        <v>197</v>
      </c>
      <c r="E3082" s="22">
        <f>44-4</f>
        <v>40</v>
      </c>
      <c r="F3082" t="s">
        <v>363</v>
      </c>
      <c r="G3082" t="s">
        <v>869</v>
      </c>
      <c r="I3082" t="s">
        <v>668</v>
      </c>
      <c r="J3082" s="3">
        <v>44939</v>
      </c>
    </row>
    <row r="3083" spans="1:11" x14ac:dyDescent="0.75">
      <c r="A3083" t="s">
        <v>69</v>
      </c>
      <c r="B3083" s="3">
        <v>44895</v>
      </c>
      <c r="C3083">
        <v>3</v>
      </c>
      <c r="D3083" t="s">
        <v>197</v>
      </c>
      <c r="E3083" s="22">
        <f>4-3</f>
        <v>1</v>
      </c>
      <c r="F3083" t="s">
        <v>363</v>
      </c>
      <c r="G3083" t="s">
        <v>869</v>
      </c>
      <c r="I3083" t="s">
        <v>668</v>
      </c>
      <c r="J3083" s="3">
        <v>44939</v>
      </c>
    </row>
    <row r="3084" spans="1:11" x14ac:dyDescent="0.75">
      <c r="A3084" t="s">
        <v>69</v>
      </c>
      <c r="B3084" s="3">
        <v>44895</v>
      </c>
      <c r="C3084">
        <v>3</v>
      </c>
      <c r="D3084" t="s">
        <v>191</v>
      </c>
      <c r="E3084" s="22">
        <f>1</f>
        <v>1</v>
      </c>
      <c r="F3084" t="s">
        <v>363</v>
      </c>
      <c r="G3084" t="s">
        <v>869</v>
      </c>
      <c r="I3084" t="s">
        <v>668</v>
      </c>
      <c r="J3084" s="3">
        <v>44939</v>
      </c>
    </row>
    <row r="3085" spans="1:11" x14ac:dyDescent="0.75">
      <c r="A3085" t="s">
        <v>69</v>
      </c>
      <c r="B3085" s="3">
        <v>44895</v>
      </c>
      <c r="C3085">
        <v>3</v>
      </c>
      <c r="D3085" t="s">
        <v>197</v>
      </c>
      <c r="E3085" s="22">
        <f>48-38</f>
        <v>10</v>
      </c>
      <c r="F3085" t="s">
        <v>363</v>
      </c>
      <c r="G3085" t="s">
        <v>869</v>
      </c>
      <c r="I3085" t="s">
        <v>668</v>
      </c>
      <c r="J3085" s="3">
        <v>44939</v>
      </c>
    </row>
    <row r="3086" spans="1:11" x14ac:dyDescent="0.75">
      <c r="A3086" t="s">
        <v>69</v>
      </c>
      <c r="B3086" s="3">
        <v>44895</v>
      </c>
      <c r="C3086">
        <v>3</v>
      </c>
      <c r="D3086" t="s">
        <v>191</v>
      </c>
      <c r="E3086" s="22">
        <f>38-36</f>
        <v>2</v>
      </c>
      <c r="F3086" t="s">
        <v>363</v>
      </c>
      <c r="G3086" t="s">
        <v>869</v>
      </c>
      <c r="I3086" t="s">
        <v>668</v>
      </c>
      <c r="J3086" s="3">
        <v>44939</v>
      </c>
    </row>
    <row r="3087" spans="1:11" x14ac:dyDescent="0.75">
      <c r="A3087" t="s">
        <v>69</v>
      </c>
      <c r="B3087" s="3">
        <v>44895</v>
      </c>
      <c r="C3087">
        <v>3</v>
      </c>
      <c r="D3087" t="s">
        <v>191</v>
      </c>
      <c r="E3087" s="22">
        <f>36-34</f>
        <v>2</v>
      </c>
      <c r="F3087" t="s">
        <v>363</v>
      </c>
      <c r="G3087" t="s">
        <v>869</v>
      </c>
      <c r="I3087" t="s">
        <v>668</v>
      </c>
      <c r="J3087" s="3">
        <v>44939</v>
      </c>
      <c r="K3087" t="s">
        <v>825</v>
      </c>
    </row>
    <row r="3088" spans="1:11" x14ac:dyDescent="0.75">
      <c r="A3088" t="s">
        <v>69</v>
      </c>
      <c r="B3088" s="3">
        <v>44895</v>
      </c>
      <c r="C3088">
        <v>3</v>
      </c>
      <c r="D3088" t="s">
        <v>191</v>
      </c>
      <c r="E3088" s="22">
        <f>34-31</f>
        <v>3</v>
      </c>
      <c r="F3088" t="s">
        <v>363</v>
      </c>
      <c r="G3088" t="s">
        <v>869</v>
      </c>
      <c r="I3088" t="s">
        <v>668</v>
      </c>
      <c r="J3088" s="3">
        <v>44939</v>
      </c>
    </row>
    <row r="3089" spans="1:10" x14ac:dyDescent="0.75">
      <c r="A3089" t="s">
        <v>69</v>
      </c>
      <c r="B3089" s="3">
        <v>44895</v>
      </c>
      <c r="C3089">
        <v>3</v>
      </c>
      <c r="D3089" t="s">
        <v>191</v>
      </c>
      <c r="E3089" s="22">
        <f>31-28</f>
        <v>3</v>
      </c>
      <c r="F3089" t="s">
        <v>363</v>
      </c>
      <c r="G3089" t="s">
        <v>869</v>
      </c>
      <c r="I3089" t="s">
        <v>668</v>
      </c>
      <c r="J3089" s="3">
        <v>44939</v>
      </c>
    </row>
    <row r="3090" spans="1:10" x14ac:dyDescent="0.75">
      <c r="A3090" t="s">
        <v>69</v>
      </c>
      <c r="B3090" s="3">
        <v>44895</v>
      </c>
      <c r="C3090">
        <v>3</v>
      </c>
      <c r="D3090" t="s">
        <v>197</v>
      </c>
      <c r="E3090" s="22">
        <f>28-23</f>
        <v>5</v>
      </c>
      <c r="F3090" t="s">
        <v>363</v>
      </c>
      <c r="G3090" t="s">
        <v>869</v>
      </c>
      <c r="I3090" t="s">
        <v>668</v>
      </c>
      <c r="J3090" s="3">
        <v>44939</v>
      </c>
    </row>
    <row r="3091" spans="1:10" x14ac:dyDescent="0.75">
      <c r="A3091" t="s">
        <v>69</v>
      </c>
      <c r="B3091" s="3">
        <v>44895</v>
      </c>
      <c r="C3091">
        <v>3</v>
      </c>
      <c r="D3091" t="s">
        <v>205</v>
      </c>
      <c r="E3091" s="22">
        <f>23-18</f>
        <v>5</v>
      </c>
      <c r="F3091" t="s">
        <v>363</v>
      </c>
      <c r="G3091" t="s">
        <v>869</v>
      </c>
      <c r="I3091" t="s">
        <v>668</v>
      </c>
      <c r="J3091" s="3">
        <v>44939</v>
      </c>
    </row>
    <row r="3092" spans="1:10" x14ac:dyDescent="0.75">
      <c r="A3092" t="s">
        <v>69</v>
      </c>
      <c r="B3092" s="3">
        <v>44895</v>
      </c>
      <c r="C3092">
        <v>3</v>
      </c>
      <c r="D3092" t="s">
        <v>191</v>
      </c>
      <c r="E3092" s="22">
        <f>18-15</f>
        <v>3</v>
      </c>
      <c r="F3092" t="s">
        <v>363</v>
      </c>
      <c r="G3092" t="s">
        <v>869</v>
      </c>
      <c r="I3092" t="s">
        <v>668</v>
      </c>
      <c r="J3092" s="3">
        <v>44939</v>
      </c>
    </row>
    <row r="3093" spans="1:10" x14ac:dyDescent="0.75">
      <c r="A3093" t="s">
        <v>69</v>
      </c>
      <c r="B3093" s="3">
        <v>44895</v>
      </c>
      <c r="C3093">
        <v>3</v>
      </c>
      <c r="D3093" t="s">
        <v>197</v>
      </c>
      <c r="E3093" s="22">
        <f>15-6</f>
        <v>9</v>
      </c>
      <c r="F3093" t="s">
        <v>363</v>
      </c>
      <c r="G3093" t="s">
        <v>869</v>
      </c>
      <c r="I3093" t="s">
        <v>668</v>
      </c>
      <c r="J3093" s="3">
        <v>44939</v>
      </c>
    </row>
    <row r="3094" spans="1:10" x14ac:dyDescent="0.75">
      <c r="A3094" t="s">
        <v>69</v>
      </c>
      <c r="B3094" s="3">
        <v>44895</v>
      </c>
      <c r="C3094">
        <v>3</v>
      </c>
      <c r="D3094" t="s">
        <v>197</v>
      </c>
      <c r="E3094" s="22">
        <f>6-2</f>
        <v>4</v>
      </c>
      <c r="F3094" t="s">
        <v>363</v>
      </c>
      <c r="G3094" t="s">
        <v>869</v>
      </c>
      <c r="I3094" t="s">
        <v>668</v>
      </c>
      <c r="J3094" s="3">
        <v>44939</v>
      </c>
    </row>
    <row r="3095" spans="1:10" x14ac:dyDescent="0.75">
      <c r="A3095" t="s">
        <v>69</v>
      </c>
      <c r="B3095" s="3">
        <v>44895</v>
      </c>
      <c r="C3095">
        <v>3</v>
      </c>
      <c r="D3095" t="s">
        <v>191</v>
      </c>
      <c r="E3095" s="22">
        <f>28-26</f>
        <v>2</v>
      </c>
      <c r="F3095" t="s">
        <v>363</v>
      </c>
      <c r="G3095" t="s">
        <v>869</v>
      </c>
      <c r="I3095" t="s">
        <v>668</v>
      </c>
      <c r="J3095" s="3">
        <v>44939</v>
      </c>
    </row>
    <row r="3096" spans="1:10" x14ac:dyDescent="0.75">
      <c r="A3096" t="s">
        <v>69</v>
      </c>
      <c r="B3096" s="3">
        <v>44895</v>
      </c>
      <c r="C3096">
        <v>3</v>
      </c>
      <c r="D3096" t="s">
        <v>199</v>
      </c>
      <c r="E3096" s="22">
        <f>2</f>
        <v>2</v>
      </c>
      <c r="F3096" t="s">
        <v>363</v>
      </c>
      <c r="G3096" t="s">
        <v>869</v>
      </c>
      <c r="I3096" t="s">
        <v>668</v>
      </c>
      <c r="J3096" s="3">
        <v>44939</v>
      </c>
    </row>
    <row r="3097" spans="1:10" x14ac:dyDescent="0.75">
      <c r="A3097" t="s">
        <v>69</v>
      </c>
      <c r="B3097" s="3">
        <v>44895</v>
      </c>
      <c r="C3097">
        <v>3</v>
      </c>
      <c r="D3097" t="s">
        <v>153</v>
      </c>
      <c r="E3097" s="22">
        <f>1</f>
        <v>1</v>
      </c>
      <c r="F3097" t="s">
        <v>363</v>
      </c>
      <c r="G3097" t="s">
        <v>869</v>
      </c>
      <c r="I3097" t="s">
        <v>668</v>
      </c>
      <c r="J3097" s="3">
        <v>44939</v>
      </c>
    </row>
    <row r="3098" spans="1:10" x14ac:dyDescent="0.75">
      <c r="A3098" t="s">
        <v>69</v>
      </c>
      <c r="B3098" s="3">
        <v>44895</v>
      </c>
      <c r="C3098">
        <v>3</v>
      </c>
      <c r="D3098" t="s">
        <v>191</v>
      </c>
      <c r="E3098" s="22">
        <f>1+6-4</f>
        <v>3</v>
      </c>
      <c r="F3098" t="s">
        <v>363</v>
      </c>
      <c r="G3098" t="s">
        <v>869</v>
      </c>
      <c r="I3098" t="s">
        <v>668</v>
      </c>
      <c r="J3098" s="3">
        <v>44939</v>
      </c>
    </row>
    <row r="3099" spans="1:10" x14ac:dyDescent="0.75">
      <c r="A3099" t="s">
        <v>69</v>
      </c>
      <c r="B3099" s="3">
        <v>44895</v>
      </c>
      <c r="C3099">
        <v>3</v>
      </c>
      <c r="D3099" t="s">
        <v>197</v>
      </c>
      <c r="E3099" s="22">
        <f>4-0</f>
        <v>4</v>
      </c>
      <c r="F3099" t="s">
        <v>363</v>
      </c>
      <c r="G3099" t="s">
        <v>869</v>
      </c>
      <c r="I3099" t="s">
        <v>668</v>
      </c>
      <c r="J3099" s="3">
        <v>44939</v>
      </c>
    </row>
    <row r="3100" spans="1:10" x14ac:dyDescent="0.75">
      <c r="A3100" t="s">
        <v>69</v>
      </c>
      <c r="B3100" s="3">
        <v>44895</v>
      </c>
      <c r="C3100">
        <v>3</v>
      </c>
      <c r="D3100" t="s">
        <v>164</v>
      </c>
      <c r="E3100" s="22">
        <f>32-28</f>
        <v>4</v>
      </c>
      <c r="F3100" t="s">
        <v>363</v>
      </c>
      <c r="G3100" t="s">
        <v>367</v>
      </c>
      <c r="I3100" t="s">
        <v>668</v>
      </c>
      <c r="J3100" s="3">
        <v>44939</v>
      </c>
    </row>
    <row r="3101" spans="1:10" x14ac:dyDescent="0.75">
      <c r="A3101" t="s">
        <v>69</v>
      </c>
      <c r="B3101" s="3">
        <v>44895</v>
      </c>
      <c r="C3101">
        <v>3</v>
      </c>
      <c r="D3101" t="s">
        <v>197</v>
      </c>
      <c r="E3101" s="22">
        <f>28-18</f>
        <v>10</v>
      </c>
      <c r="F3101" t="s">
        <v>363</v>
      </c>
      <c r="G3101" t="s">
        <v>367</v>
      </c>
      <c r="I3101" t="s">
        <v>668</v>
      </c>
      <c r="J3101" s="3">
        <v>44939</v>
      </c>
    </row>
    <row r="3102" spans="1:10" x14ac:dyDescent="0.75">
      <c r="A3102" t="s">
        <v>69</v>
      </c>
      <c r="B3102" s="3">
        <v>44895</v>
      </c>
      <c r="C3102">
        <v>3</v>
      </c>
      <c r="D3102" t="s">
        <v>191</v>
      </c>
      <c r="E3102" s="22">
        <f>18-15</f>
        <v>3</v>
      </c>
      <c r="F3102" t="s">
        <v>363</v>
      </c>
      <c r="G3102" t="s">
        <v>367</v>
      </c>
      <c r="I3102" t="s">
        <v>668</v>
      </c>
      <c r="J3102" s="3">
        <v>44939</v>
      </c>
    </row>
    <row r="3103" spans="1:10" x14ac:dyDescent="0.75">
      <c r="A3103" t="s">
        <v>69</v>
      </c>
      <c r="B3103" s="3">
        <v>44895</v>
      </c>
      <c r="C3103">
        <v>3</v>
      </c>
      <c r="D3103" t="s">
        <v>199</v>
      </c>
      <c r="E3103" s="22">
        <f>15-10</f>
        <v>5</v>
      </c>
      <c r="F3103" t="s">
        <v>363</v>
      </c>
      <c r="G3103" t="s">
        <v>367</v>
      </c>
      <c r="I3103" t="s">
        <v>668</v>
      </c>
      <c r="J3103" s="3">
        <v>44939</v>
      </c>
    </row>
    <row r="3104" spans="1:10" x14ac:dyDescent="0.75">
      <c r="A3104" t="s">
        <v>69</v>
      </c>
      <c r="B3104" s="3">
        <v>44895</v>
      </c>
      <c r="C3104">
        <v>3</v>
      </c>
      <c r="D3104" t="s">
        <v>197</v>
      </c>
      <c r="E3104" s="22">
        <f>10-4</f>
        <v>6</v>
      </c>
      <c r="F3104" t="s">
        <v>363</v>
      </c>
      <c r="G3104" t="s">
        <v>367</v>
      </c>
      <c r="I3104" t="s">
        <v>668</v>
      </c>
      <c r="J3104" s="3">
        <v>44939</v>
      </c>
    </row>
    <row r="3105" spans="1:10" x14ac:dyDescent="0.75">
      <c r="A3105" t="s">
        <v>69</v>
      </c>
      <c r="B3105" s="3">
        <v>44895</v>
      </c>
      <c r="C3105">
        <v>3</v>
      </c>
      <c r="D3105" t="s">
        <v>197</v>
      </c>
      <c r="E3105" s="22">
        <f>4</f>
        <v>4</v>
      </c>
      <c r="F3105" t="s">
        <v>363</v>
      </c>
      <c r="G3105" t="s">
        <v>367</v>
      </c>
      <c r="I3105" t="s">
        <v>668</v>
      </c>
      <c r="J3105" s="3">
        <v>44939</v>
      </c>
    </row>
    <row r="3106" spans="1:10" x14ac:dyDescent="0.75">
      <c r="A3106" t="s">
        <v>69</v>
      </c>
      <c r="B3106" s="3">
        <v>44895</v>
      </c>
      <c r="C3106">
        <v>3</v>
      </c>
      <c r="D3106" t="s">
        <v>194</v>
      </c>
      <c r="E3106" s="22">
        <f>30-15</f>
        <v>15</v>
      </c>
      <c r="F3106" t="s">
        <v>363</v>
      </c>
      <c r="G3106" t="s">
        <v>367</v>
      </c>
      <c r="I3106" t="s">
        <v>668</v>
      </c>
      <c r="J3106" s="3">
        <v>44939</v>
      </c>
    </row>
    <row r="3107" spans="1:10" x14ac:dyDescent="0.75">
      <c r="A3107" t="s">
        <v>69</v>
      </c>
      <c r="B3107" s="3">
        <v>44895</v>
      </c>
      <c r="C3107">
        <v>3</v>
      </c>
      <c r="D3107" t="s">
        <v>197</v>
      </c>
      <c r="E3107" s="22">
        <f>15+35-17</f>
        <v>33</v>
      </c>
      <c r="F3107" t="s">
        <v>363</v>
      </c>
      <c r="G3107" t="s">
        <v>367</v>
      </c>
      <c r="I3107" t="s">
        <v>668</v>
      </c>
      <c r="J3107" s="3">
        <v>44939</v>
      </c>
    </row>
    <row r="3108" spans="1:10" x14ac:dyDescent="0.75">
      <c r="A3108" t="s">
        <v>69</v>
      </c>
      <c r="B3108" s="3">
        <v>44895</v>
      </c>
      <c r="C3108">
        <v>3</v>
      </c>
      <c r="D3108" t="s">
        <v>197</v>
      </c>
      <c r="E3108" s="22">
        <f>17-4</f>
        <v>13</v>
      </c>
      <c r="F3108" t="s">
        <v>363</v>
      </c>
      <c r="G3108" t="s">
        <v>367</v>
      </c>
      <c r="I3108" t="s">
        <v>668</v>
      </c>
      <c r="J3108" s="3">
        <v>44939</v>
      </c>
    </row>
    <row r="3109" spans="1:10" x14ac:dyDescent="0.75">
      <c r="A3109" t="s">
        <v>69</v>
      </c>
      <c r="B3109" s="3">
        <v>44895</v>
      </c>
      <c r="C3109">
        <v>3</v>
      </c>
      <c r="D3109" t="s">
        <v>197</v>
      </c>
      <c r="E3109" s="22">
        <f>4+40-34</f>
        <v>10</v>
      </c>
      <c r="F3109" t="s">
        <v>363</v>
      </c>
      <c r="G3109" t="s">
        <v>367</v>
      </c>
      <c r="I3109" t="s">
        <v>668</v>
      </c>
      <c r="J3109" s="3">
        <v>44939</v>
      </c>
    </row>
    <row r="3110" spans="1:10" x14ac:dyDescent="0.75">
      <c r="A3110" t="s">
        <v>69</v>
      </c>
      <c r="B3110" s="3">
        <v>44895</v>
      </c>
      <c r="C3110">
        <v>3</v>
      </c>
      <c r="D3110" t="s">
        <v>197</v>
      </c>
      <c r="E3110" s="22">
        <f>34-30</f>
        <v>4</v>
      </c>
      <c r="F3110" t="s">
        <v>363</v>
      </c>
      <c r="G3110" t="s">
        <v>367</v>
      </c>
      <c r="I3110" t="s">
        <v>668</v>
      </c>
      <c r="J3110" s="3">
        <v>44939</v>
      </c>
    </row>
    <row r="3111" spans="1:10" x14ac:dyDescent="0.75">
      <c r="A3111" t="s">
        <v>69</v>
      </c>
      <c r="B3111" s="3">
        <v>44895</v>
      </c>
      <c r="C3111">
        <v>3</v>
      </c>
      <c r="D3111" t="s">
        <v>201</v>
      </c>
      <c r="E3111" s="22">
        <f>30-25</f>
        <v>5</v>
      </c>
      <c r="F3111" t="s">
        <v>363</v>
      </c>
      <c r="G3111" t="s">
        <v>367</v>
      </c>
      <c r="I3111" t="s">
        <v>668</v>
      </c>
      <c r="J3111" s="3">
        <v>44939</v>
      </c>
    </row>
    <row r="3112" spans="1:10" x14ac:dyDescent="0.75">
      <c r="A3112" t="s">
        <v>69</v>
      </c>
      <c r="B3112" s="3">
        <v>44895</v>
      </c>
      <c r="C3112">
        <v>3</v>
      </c>
      <c r="D3112" t="s">
        <v>197</v>
      </c>
      <c r="E3112" s="22">
        <f>25-18</f>
        <v>7</v>
      </c>
      <c r="F3112" t="s">
        <v>363</v>
      </c>
      <c r="G3112" t="s">
        <v>367</v>
      </c>
      <c r="I3112" t="s">
        <v>668</v>
      </c>
      <c r="J3112" s="3">
        <v>44939</v>
      </c>
    </row>
    <row r="3113" spans="1:10" x14ac:dyDescent="0.75">
      <c r="A3113" t="s">
        <v>69</v>
      </c>
      <c r="B3113" s="3">
        <v>44895</v>
      </c>
      <c r="C3113">
        <v>3</v>
      </c>
      <c r="D3113" t="s">
        <v>197</v>
      </c>
      <c r="E3113" s="22">
        <f>18-10</f>
        <v>8</v>
      </c>
      <c r="F3113" t="s">
        <v>363</v>
      </c>
      <c r="G3113" t="s">
        <v>367</v>
      </c>
      <c r="I3113" t="s">
        <v>668</v>
      </c>
      <c r="J3113" s="3">
        <v>44939</v>
      </c>
    </row>
    <row r="3114" spans="1:10" x14ac:dyDescent="0.75">
      <c r="A3114" t="s">
        <v>69</v>
      </c>
      <c r="B3114" s="3">
        <v>44895</v>
      </c>
      <c r="C3114">
        <v>3</v>
      </c>
      <c r="D3114" t="s">
        <v>201</v>
      </c>
      <c r="E3114" s="22">
        <f>10-5</f>
        <v>5</v>
      </c>
      <c r="F3114" t="s">
        <v>363</v>
      </c>
      <c r="G3114" t="s">
        <v>367</v>
      </c>
      <c r="I3114" t="s">
        <v>668</v>
      </c>
      <c r="J3114" s="3">
        <v>44939</v>
      </c>
    </row>
    <row r="3115" spans="1:10" x14ac:dyDescent="0.75">
      <c r="A3115" t="s">
        <v>69</v>
      </c>
      <c r="B3115" s="3">
        <v>44895</v>
      </c>
      <c r="C3115">
        <v>3</v>
      </c>
      <c r="D3115" t="s">
        <v>191</v>
      </c>
      <c r="E3115" s="22">
        <f>5-2</f>
        <v>3</v>
      </c>
      <c r="F3115" t="s">
        <v>363</v>
      </c>
      <c r="G3115" t="s">
        <v>367</v>
      </c>
      <c r="I3115" t="s">
        <v>668</v>
      </c>
      <c r="J3115" s="3">
        <v>44939</v>
      </c>
    </row>
    <row r="3116" spans="1:10" x14ac:dyDescent="0.75">
      <c r="A3116" t="s">
        <v>69</v>
      </c>
      <c r="B3116" s="3">
        <v>44896</v>
      </c>
      <c r="C3116">
        <v>1</v>
      </c>
      <c r="D3116" t="s">
        <v>191</v>
      </c>
      <c r="E3116" s="22">
        <f>51-30</f>
        <v>21</v>
      </c>
      <c r="F3116" t="s">
        <v>363</v>
      </c>
      <c r="G3116" t="s">
        <v>733</v>
      </c>
      <c r="I3116" t="s">
        <v>668</v>
      </c>
      <c r="J3116" s="3">
        <v>44939</v>
      </c>
    </row>
    <row r="3117" spans="1:10" x14ac:dyDescent="0.75">
      <c r="A3117" t="s">
        <v>69</v>
      </c>
      <c r="B3117" s="3">
        <v>44896</v>
      </c>
      <c r="C3117">
        <v>1</v>
      </c>
      <c r="D3117" t="s">
        <v>207</v>
      </c>
      <c r="E3117" s="22">
        <f>30-16</f>
        <v>14</v>
      </c>
      <c r="F3117" t="s">
        <v>363</v>
      </c>
      <c r="G3117" t="s">
        <v>733</v>
      </c>
      <c r="I3117" t="s">
        <v>668</v>
      </c>
      <c r="J3117" s="3">
        <v>44939</v>
      </c>
    </row>
    <row r="3118" spans="1:10" x14ac:dyDescent="0.75">
      <c r="A3118" t="s">
        <v>69</v>
      </c>
      <c r="B3118" s="3">
        <v>44896</v>
      </c>
      <c r="C3118">
        <v>1</v>
      </c>
      <c r="D3118" t="s">
        <v>168</v>
      </c>
      <c r="E3118" s="22">
        <f>16+48-44</f>
        <v>20</v>
      </c>
      <c r="F3118" t="s">
        <v>363</v>
      </c>
      <c r="G3118" t="s">
        <v>733</v>
      </c>
      <c r="I3118" t="s">
        <v>668</v>
      </c>
      <c r="J3118" s="3">
        <v>44939</v>
      </c>
    </row>
    <row r="3119" spans="1:10" x14ac:dyDescent="0.75">
      <c r="A3119" t="s">
        <v>69</v>
      </c>
      <c r="B3119" s="3">
        <v>44896</v>
      </c>
      <c r="C3119">
        <v>1</v>
      </c>
      <c r="D3119" t="s">
        <v>168</v>
      </c>
      <c r="E3119" s="22">
        <f>44-39</f>
        <v>5</v>
      </c>
      <c r="F3119" t="s">
        <v>363</v>
      </c>
      <c r="G3119" t="s">
        <v>733</v>
      </c>
      <c r="I3119" t="s">
        <v>668</v>
      </c>
      <c r="J3119" s="3">
        <v>44939</v>
      </c>
    </row>
    <row r="3120" spans="1:10" x14ac:dyDescent="0.75">
      <c r="A3120" t="s">
        <v>69</v>
      </c>
      <c r="B3120" s="3">
        <v>44896</v>
      </c>
      <c r="C3120">
        <v>1</v>
      </c>
      <c r="D3120" t="s">
        <v>207</v>
      </c>
      <c r="E3120" s="22">
        <f>39-36</f>
        <v>3</v>
      </c>
      <c r="F3120" t="s">
        <v>363</v>
      </c>
      <c r="G3120" t="s">
        <v>733</v>
      </c>
      <c r="I3120" t="s">
        <v>668</v>
      </c>
      <c r="J3120" s="3">
        <v>44939</v>
      </c>
    </row>
    <row r="3121" spans="1:10" x14ac:dyDescent="0.75">
      <c r="A3121" t="s">
        <v>69</v>
      </c>
      <c r="B3121" s="3">
        <v>44896</v>
      </c>
      <c r="C3121">
        <v>1</v>
      </c>
      <c r="D3121" t="s">
        <v>207</v>
      </c>
      <c r="E3121" s="22">
        <f>36-35</f>
        <v>1</v>
      </c>
      <c r="F3121" t="s">
        <v>363</v>
      </c>
      <c r="G3121" t="s">
        <v>733</v>
      </c>
      <c r="I3121" t="s">
        <v>668</v>
      </c>
      <c r="J3121" s="3">
        <v>44939</v>
      </c>
    </row>
    <row r="3122" spans="1:10" x14ac:dyDescent="0.75">
      <c r="A3122" t="s">
        <v>69</v>
      </c>
      <c r="B3122" s="3">
        <v>44896</v>
      </c>
      <c r="C3122">
        <v>1</v>
      </c>
      <c r="D3122" t="s">
        <v>191</v>
      </c>
      <c r="E3122" s="22">
        <f>35-32</f>
        <v>3</v>
      </c>
      <c r="F3122" t="s">
        <v>363</v>
      </c>
      <c r="G3122" t="s">
        <v>733</v>
      </c>
      <c r="I3122" t="s">
        <v>668</v>
      </c>
      <c r="J3122" s="3">
        <v>44939</v>
      </c>
    </row>
    <row r="3123" spans="1:10" x14ac:dyDescent="0.75">
      <c r="A3123" t="s">
        <v>69</v>
      </c>
      <c r="B3123" s="3">
        <v>44896</v>
      </c>
      <c r="C3123">
        <v>1</v>
      </c>
      <c r="D3123" t="s">
        <v>207</v>
      </c>
      <c r="E3123" s="22">
        <f>32-31</f>
        <v>1</v>
      </c>
      <c r="F3123" t="s">
        <v>363</v>
      </c>
      <c r="G3123" t="s">
        <v>733</v>
      </c>
      <c r="I3123" t="s">
        <v>668</v>
      </c>
      <c r="J3123" s="3">
        <v>44939</v>
      </c>
    </row>
    <row r="3124" spans="1:10" x14ac:dyDescent="0.75">
      <c r="A3124" t="s">
        <v>69</v>
      </c>
      <c r="B3124" s="3">
        <v>44896</v>
      </c>
      <c r="C3124">
        <v>1</v>
      </c>
      <c r="D3124" t="s">
        <v>201</v>
      </c>
      <c r="E3124" s="22">
        <f>31-25</f>
        <v>6</v>
      </c>
      <c r="F3124" t="s">
        <v>363</v>
      </c>
      <c r="G3124" t="s">
        <v>733</v>
      </c>
      <c r="I3124" t="s">
        <v>668</v>
      </c>
      <c r="J3124" s="3">
        <v>44939</v>
      </c>
    </row>
    <row r="3125" spans="1:10" x14ac:dyDescent="0.75">
      <c r="A3125" t="s">
        <v>69</v>
      </c>
      <c r="B3125" s="3">
        <v>44896</v>
      </c>
      <c r="C3125">
        <v>1</v>
      </c>
      <c r="D3125" t="s">
        <v>191</v>
      </c>
      <c r="E3125" s="22">
        <f>25-20</f>
        <v>5</v>
      </c>
      <c r="F3125">
        <v>3993</v>
      </c>
      <c r="G3125" t="s">
        <v>733</v>
      </c>
      <c r="I3125" t="s">
        <v>668</v>
      </c>
      <c r="J3125" s="3">
        <v>44939</v>
      </c>
    </row>
    <row r="3126" spans="1:10" x14ac:dyDescent="0.75">
      <c r="A3126" t="s">
        <v>69</v>
      </c>
      <c r="B3126" s="3">
        <v>44896</v>
      </c>
      <c r="C3126">
        <v>1</v>
      </c>
      <c r="D3126" t="s">
        <v>197</v>
      </c>
      <c r="E3126" s="22">
        <f>20-19</f>
        <v>1</v>
      </c>
      <c r="F3126" t="s">
        <v>363</v>
      </c>
      <c r="G3126" t="s">
        <v>733</v>
      </c>
      <c r="I3126" t="s">
        <v>668</v>
      </c>
      <c r="J3126" s="3">
        <v>44939</v>
      </c>
    </row>
    <row r="3127" spans="1:10" x14ac:dyDescent="0.75">
      <c r="A3127" t="s">
        <v>69</v>
      </c>
      <c r="B3127" s="3">
        <v>44896</v>
      </c>
      <c r="C3127">
        <v>1</v>
      </c>
      <c r="D3127" t="s">
        <v>172</v>
      </c>
      <c r="E3127" s="22">
        <f>19-14</f>
        <v>5</v>
      </c>
      <c r="F3127" t="s">
        <v>363</v>
      </c>
      <c r="G3127" t="s">
        <v>733</v>
      </c>
      <c r="I3127" t="s">
        <v>668</v>
      </c>
      <c r="J3127" s="3">
        <v>44939</v>
      </c>
    </row>
    <row r="3128" spans="1:10" x14ac:dyDescent="0.75">
      <c r="A3128" t="s">
        <v>69</v>
      </c>
      <c r="B3128" s="3">
        <v>44896</v>
      </c>
      <c r="C3128">
        <v>1</v>
      </c>
      <c r="D3128" t="s">
        <v>199</v>
      </c>
      <c r="E3128" s="22">
        <f>13-2</f>
        <v>11</v>
      </c>
      <c r="F3128" t="s">
        <v>363</v>
      </c>
      <c r="G3128" t="s">
        <v>733</v>
      </c>
      <c r="I3128" t="s">
        <v>668</v>
      </c>
      <c r="J3128" s="3">
        <v>44939</v>
      </c>
    </row>
    <row r="3129" spans="1:10" x14ac:dyDescent="0.75">
      <c r="A3129" t="s">
        <v>69</v>
      </c>
      <c r="B3129" s="3">
        <v>44896</v>
      </c>
      <c r="C3129">
        <v>1</v>
      </c>
      <c r="D3129" t="s">
        <v>207</v>
      </c>
      <c r="E3129" s="22">
        <f>57-56</f>
        <v>1</v>
      </c>
      <c r="F3129" t="s">
        <v>363</v>
      </c>
      <c r="G3129" t="s">
        <v>869</v>
      </c>
      <c r="I3129" t="s">
        <v>668</v>
      </c>
      <c r="J3129" s="3">
        <v>44939</v>
      </c>
    </row>
    <row r="3130" spans="1:10" x14ac:dyDescent="0.75">
      <c r="A3130" t="s">
        <v>69</v>
      </c>
      <c r="B3130" s="3">
        <v>44896</v>
      </c>
      <c r="C3130">
        <v>1</v>
      </c>
      <c r="D3130" t="s">
        <v>168</v>
      </c>
      <c r="E3130" s="22">
        <f>57-20</f>
        <v>37</v>
      </c>
      <c r="F3130" t="s">
        <v>363</v>
      </c>
      <c r="G3130" t="s">
        <v>869</v>
      </c>
      <c r="I3130" t="s">
        <v>668</v>
      </c>
      <c r="J3130" s="3">
        <v>44939</v>
      </c>
    </row>
    <row r="3131" spans="1:10" x14ac:dyDescent="0.75">
      <c r="A3131" t="s">
        <v>69</v>
      </c>
      <c r="B3131" s="3">
        <v>44896</v>
      </c>
      <c r="C3131">
        <v>1</v>
      </c>
      <c r="D3131" t="s">
        <v>207</v>
      </c>
      <c r="E3131" s="22">
        <f>21-11</f>
        <v>10</v>
      </c>
      <c r="F3131" t="s">
        <v>363</v>
      </c>
      <c r="G3131" t="s">
        <v>869</v>
      </c>
      <c r="I3131" t="s">
        <v>668</v>
      </c>
      <c r="J3131" s="3">
        <v>44939</v>
      </c>
    </row>
    <row r="3132" spans="1:10" x14ac:dyDescent="0.75">
      <c r="A3132" t="s">
        <v>69</v>
      </c>
      <c r="B3132" s="3">
        <v>44896</v>
      </c>
      <c r="C3132">
        <v>1</v>
      </c>
      <c r="D3132" t="s">
        <v>172</v>
      </c>
      <c r="E3132" s="22">
        <f>11-8</f>
        <v>3</v>
      </c>
      <c r="F3132" t="s">
        <v>363</v>
      </c>
      <c r="G3132" t="s">
        <v>869</v>
      </c>
      <c r="I3132" t="s">
        <v>668</v>
      </c>
      <c r="J3132" s="3">
        <v>44939</v>
      </c>
    </row>
    <row r="3133" spans="1:10" x14ac:dyDescent="0.75">
      <c r="A3133" t="s">
        <v>69</v>
      </c>
      <c r="B3133" s="3">
        <v>44896</v>
      </c>
      <c r="C3133">
        <v>1</v>
      </c>
      <c r="D3133" t="s">
        <v>172</v>
      </c>
      <c r="E3133" s="22">
        <f>8-5</f>
        <v>3</v>
      </c>
      <c r="F3133" t="s">
        <v>363</v>
      </c>
      <c r="G3133" t="s">
        <v>869</v>
      </c>
      <c r="I3133" t="s">
        <v>668</v>
      </c>
      <c r="J3133" s="3">
        <v>44939</v>
      </c>
    </row>
    <row r="3134" spans="1:10" x14ac:dyDescent="0.75">
      <c r="A3134" t="s">
        <v>69</v>
      </c>
      <c r="B3134" s="3">
        <v>44896</v>
      </c>
      <c r="C3134">
        <v>1</v>
      </c>
      <c r="D3134" t="s">
        <v>191</v>
      </c>
      <c r="E3134" s="22">
        <f>5-3</f>
        <v>2</v>
      </c>
      <c r="F3134" t="s">
        <v>363</v>
      </c>
      <c r="G3134" t="s">
        <v>869</v>
      </c>
      <c r="I3134" t="s">
        <v>668</v>
      </c>
      <c r="J3134" s="3">
        <v>44939</v>
      </c>
    </row>
    <row r="3135" spans="1:10" x14ac:dyDescent="0.75">
      <c r="A3135" t="s">
        <v>69</v>
      </c>
      <c r="B3135" s="3">
        <v>44896</v>
      </c>
      <c r="C3135">
        <v>1</v>
      </c>
      <c r="D3135" t="s">
        <v>168</v>
      </c>
      <c r="E3135" s="22">
        <f>47-40</f>
        <v>7</v>
      </c>
      <c r="F3135" t="s">
        <v>363</v>
      </c>
      <c r="G3135" t="s">
        <v>869</v>
      </c>
      <c r="I3135" t="s">
        <v>668</v>
      </c>
      <c r="J3135" s="3">
        <v>44939</v>
      </c>
    </row>
    <row r="3136" spans="1:10" x14ac:dyDescent="0.75">
      <c r="A3136" t="s">
        <v>69</v>
      </c>
      <c r="B3136" s="3">
        <v>44896</v>
      </c>
      <c r="C3136">
        <v>1</v>
      </c>
      <c r="D3136" t="s">
        <v>207</v>
      </c>
      <c r="E3136" s="22">
        <f>40-11</f>
        <v>29</v>
      </c>
      <c r="F3136" t="s">
        <v>363</v>
      </c>
      <c r="G3136" t="s">
        <v>869</v>
      </c>
      <c r="I3136" t="s">
        <v>668</v>
      </c>
      <c r="J3136" s="3">
        <v>44939</v>
      </c>
    </row>
    <row r="3137" spans="1:10" x14ac:dyDescent="0.75">
      <c r="A3137" t="s">
        <v>69</v>
      </c>
      <c r="B3137" s="3">
        <v>44896</v>
      </c>
      <c r="C3137">
        <v>1</v>
      </c>
      <c r="D3137" t="s">
        <v>207</v>
      </c>
      <c r="E3137" s="22">
        <f>11-10</f>
        <v>1</v>
      </c>
      <c r="F3137" t="s">
        <v>363</v>
      </c>
      <c r="G3137" t="s">
        <v>869</v>
      </c>
      <c r="I3137" t="s">
        <v>668</v>
      </c>
      <c r="J3137" s="3">
        <v>44939</v>
      </c>
    </row>
    <row r="3138" spans="1:10" x14ac:dyDescent="0.75">
      <c r="A3138" t="s">
        <v>69</v>
      </c>
      <c r="B3138" s="3">
        <v>44896</v>
      </c>
      <c r="C3138">
        <v>1</v>
      </c>
      <c r="D3138" t="s">
        <v>191</v>
      </c>
      <c r="E3138" s="22">
        <f>1</f>
        <v>1</v>
      </c>
      <c r="F3138" t="s">
        <v>363</v>
      </c>
      <c r="G3138" t="s">
        <v>869</v>
      </c>
      <c r="I3138" t="s">
        <v>668</v>
      </c>
      <c r="J3138" s="3">
        <v>44939</v>
      </c>
    </row>
    <row r="3139" spans="1:10" x14ac:dyDescent="0.75">
      <c r="A3139" t="s">
        <v>69</v>
      </c>
      <c r="B3139" s="3">
        <v>44896</v>
      </c>
      <c r="C3139">
        <v>1</v>
      </c>
      <c r="D3139" t="s">
        <v>172</v>
      </c>
      <c r="E3139" s="22">
        <f>10-3</f>
        <v>7</v>
      </c>
      <c r="F3139" t="s">
        <v>363</v>
      </c>
      <c r="G3139" t="s">
        <v>869</v>
      </c>
      <c r="I3139" t="s">
        <v>668</v>
      </c>
      <c r="J3139" s="3">
        <v>44939</v>
      </c>
    </row>
    <row r="3140" spans="1:10" x14ac:dyDescent="0.75">
      <c r="A3140" t="s">
        <v>69</v>
      </c>
      <c r="B3140" s="3">
        <v>44896</v>
      </c>
      <c r="C3140">
        <v>1</v>
      </c>
      <c r="D3140" t="s">
        <v>172</v>
      </c>
      <c r="E3140" s="22">
        <f>49-41</f>
        <v>8</v>
      </c>
      <c r="F3140" t="s">
        <v>363</v>
      </c>
      <c r="G3140" t="s">
        <v>869</v>
      </c>
      <c r="I3140" t="s">
        <v>668</v>
      </c>
      <c r="J3140" s="3">
        <v>44939</v>
      </c>
    </row>
    <row r="3141" spans="1:10" x14ac:dyDescent="0.75">
      <c r="A3141" t="s">
        <v>69</v>
      </c>
      <c r="B3141" s="3">
        <v>44896</v>
      </c>
      <c r="C3141">
        <v>1</v>
      </c>
      <c r="D3141" t="s">
        <v>197</v>
      </c>
      <c r="E3141" s="22">
        <f>41-25</f>
        <v>16</v>
      </c>
      <c r="F3141" t="s">
        <v>363</v>
      </c>
      <c r="G3141" t="s">
        <v>869</v>
      </c>
      <c r="I3141" t="s">
        <v>668</v>
      </c>
      <c r="J3141" s="3">
        <v>44939</v>
      </c>
    </row>
    <row r="3142" spans="1:10" x14ac:dyDescent="0.75">
      <c r="A3142" t="s">
        <v>69</v>
      </c>
      <c r="B3142" s="3">
        <v>44896</v>
      </c>
      <c r="C3142">
        <v>1</v>
      </c>
      <c r="D3142" t="s">
        <v>207</v>
      </c>
      <c r="E3142">
        <f>25-23</f>
        <v>2</v>
      </c>
      <c r="F3142" t="s">
        <v>363</v>
      </c>
      <c r="G3142" t="s">
        <v>869</v>
      </c>
      <c r="I3142" t="s">
        <v>668</v>
      </c>
      <c r="J3142" s="3">
        <v>44939</v>
      </c>
    </row>
    <row r="3143" spans="1:10" x14ac:dyDescent="0.75">
      <c r="A3143" t="s">
        <v>69</v>
      </c>
      <c r="B3143" s="3">
        <v>44896</v>
      </c>
      <c r="C3143">
        <v>1</v>
      </c>
      <c r="D3143" t="s">
        <v>207</v>
      </c>
      <c r="E3143">
        <f>23-20</f>
        <v>3</v>
      </c>
      <c r="F3143" t="s">
        <v>363</v>
      </c>
      <c r="G3143" t="s">
        <v>869</v>
      </c>
      <c r="I3143" t="s">
        <v>668</v>
      </c>
      <c r="J3143" s="3">
        <v>44939</v>
      </c>
    </row>
    <row r="3144" spans="1:10" x14ac:dyDescent="0.75">
      <c r="A3144" t="s">
        <v>69</v>
      </c>
      <c r="B3144" s="3">
        <v>44896</v>
      </c>
      <c r="C3144">
        <v>1</v>
      </c>
      <c r="D3144" t="s">
        <v>207</v>
      </c>
      <c r="E3144">
        <f>1</f>
        <v>1</v>
      </c>
      <c r="F3144" t="s">
        <v>363</v>
      </c>
      <c r="G3144" t="s">
        <v>869</v>
      </c>
      <c r="I3144" t="s">
        <v>668</v>
      </c>
      <c r="J3144" s="3">
        <v>44939</v>
      </c>
    </row>
    <row r="3145" spans="1:10" x14ac:dyDescent="0.75">
      <c r="A3145" t="s">
        <v>69</v>
      </c>
      <c r="B3145" s="3">
        <v>44896</v>
      </c>
      <c r="C3145">
        <v>1</v>
      </c>
      <c r="D3145" t="s">
        <v>168</v>
      </c>
      <c r="E3145">
        <f>20-11</f>
        <v>9</v>
      </c>
      <c r="F3145" t="s">
        <v>363</v>
      </c>
      <c r="G3145" t="s">
        <v>869</v>
      </c>
      <c r="I3145" t="s">
        <v>668</v>
      </c>
      <c r="J3145" s="3">
        <v>44939</v>
      </c>
    </row>
    <row r="3146" spans="1:10" x14ac:dyDescent="0.75">
      <c r="A3146" t="s">
        <v>69</v>
      </c>
      <c r="B3146" s="3">
        <v>44896</v>
      </c>
      <c r="C3146">
        <v>1</v>
      </c>
      <c r="D3146" t="s">
        <v>168</v>
      </c>
      <c r="E3146">
        <f>11-7</f>
        <v>4</v>
      </c>
      <c r="F3146" t="s">
        <v>363</v>
      </c>
      <c r="G3146" t="s">
        <v>869</v>
      </c>
      <c r="I3146" t="s">
        <v>668</v>
      </c>
      <c r="J3146" s="3">
        <v>44939</v>
      </c>
    </row>
    <row r="3147" spans="1:10" x14ac:dyDescent="0.75">
      <c r="A3147" t="s">
        <v>69</v>
      </c>
      <c r="B3147" s="3">
        <v>44896</v>
      </c>
      <c r="C3147">
        <v>1</v>
      </c>
      <c r="D3147" t="s">
        <v>168</v>
      </c>
      <c r="E3147">
        <f>7-3</f>
        <v>4</v>
      </c>
      <c r="F3147" t="s">
        <v>363</v>
      </c>
      <c r="G3147" t="s">
        <v>869</v>
      </c>
      <c r="I3147" t="s">
        <v>668</v>
      </c>
      <c r="J3147" s="3">
        <v>44939</v>
      </c>
    </row>
    <row r="3148" spans="1:10" x14ac:dyDescent="0.75">
      <c r="A3148" t="s">
        <v>69</v>
      </c>
      <c r="B3148" s="3">
        <v>44896</v>
      </c>
      <c r="C3148">
        <v>1</v>
      </c>
      <c r="D3148" t="s">
        <v>168</v>
      </c>
      <c r="E3148">
        <f>2</f>
        <v>2</v>
      </c>
      <c r="F3148" t="s">
        <v>363</v>
      </c>
      <c r="G3148" t="s">
        <v>869</v>
      </c>
      <c r="I3148" t="s">
        <v>668</v>
      </c>
      <c r="J3148" s="3">
        <v>44939</v>
      </c>
    </row>
    <row r="3149" spans="1:10" x14ac:dyDescent="0.75">
      <c r="A3149" t="s">
        <v>69</v>
      </c>
      <c r="B3149" s="3">
        <v>44896</v>
      </c>
      <c r="C3149">
        <v>1</v>
      </c>
      <c r="D3149" t="s">
        <v>172</v>
      </c>
      <c r="E3149">
        <f>1</f>
        <v>1</v>
      </c>
      <c r="F3149" t="s">
        <v>363</v>
      </c>
      <c r="G3149" t="s">
        <v>869</v>
      </c>
      <c r="I3149" t="s">
        <v>668</v>
      </c>
      <c r="J3149" s="3">
        <v>44939</v>
      </c>
    </row>
    <row r="3150" spans="1:10" x14ac:dyDescent="0.75">
      <c r="A3150" t="s">
        <v>69</v>
      </c>
      <c r="B3150" s="3">
        <v>44896</v>
      </c>
      <c r="C3150">
        <v>1</v>
      </c>
      <c r="D3150" t="s">
        <v>172</v>
      </c>
      <c r="E3150">
        <f>56-46</f>
        <v>10</v>
      </c>
      <c r="F3150" t="s">
        <v>363</v>
      </c>
      <c r="G3150" t="s">
        <v>869</v>
      </c>
      <c r="I3150" t="s">
        <v>668</v>
      </c>
      <c r="J3150" s="3">
        <v>44939</v>
      </c>
    </row>
    <row r="3151" spans="1:10" x14ac:dyDescent="0.75">
      <c r="A3151" t="s">
        <v>69</v>
      </c>
      <c r="B3151" s="3">
        <v>44896</v>
      </c>
      <c r="C3151">
        <v>1</v>
      </c>
      <c r="D3151" t="s">
        <v>199</v>
      </c>
      <c r="E3151" s="22">
        <f>46-44</f>
        <v>2</v>
      </c>
      <c r="F3151" t="s">
        <v>363</v>
      </c>
      <c r="G3151" t="s">
        <v>869</v>
      </c>
      <c r="I3151" t="s">
        <v>668</v>
      </c>
      <c r="J3151" s="3">
        <v>44939</v>
      </c>
    </row>
    <row r="3152" spans="1:10" x14ac:dyDescent="0.75">
      <c r="A3152" t="s">
        <v>69</v>
      </c>
      <c r="B3152" s="3">
        <v>44896</v>
      </c>
      <c r="C3152">
        <v>1</v>
      </c>
      <c r="D3152" t="s">
        <v>207</v>
      </c>
      <c r="E3152" s="22">
        <f>44-42</f>
        <v>2</v>
      </c>
      <c r="F3152" t="s">
        <v>363</v>
      </c>
      <c r="G3152" t="s">
        <v>869</v>
      </c>
      <c r="I3152" t="s">
        <v>668</v>
      </c>
      <c r="J3152" s="3">
        <v>44939</v>
      </c>
    </row>
    <row r="3153" spans="1:10" x14ac:dyDescent="0.75">
      <c r="A3153" t="s">
        <v>69</v>
      </c>
      <c r="B3153" s="3">
        <v>44896</v>
      </c>
      <c r="C3153">
        <v>2</v>
      </c>
      <c r="D3153" t="s">
        <v>191</v>
      </c>
      <c r="E3153" s="22">
        <f>55-42</f>
        <v>13</v>
      </c>
      <c r="F3153" t="s">
        <v>363</v>
      </c>
      <c r="G3153" t="s">
        <v>733</v>
      </c>
      <c r="I3153" t="s">
        <v>668</v>
      </c>
      <c r="J3153" s="3">
        <v>44939</v>
      </c>
    </row>
    <row r="3154" spans="1:10" x14ac:dyDescent="0.75">
      <c r="A3154" t="s">
        <v>69</v>
      </c>
      <c r="B3154" s="3">
        <v>44896</v>
      </c>
      <c r="C3154">
        <v>2</v>
      </c>
      <c r="D3154" t="s">
        <v>207</v>
      </c>
      <c r="E3154" s="22">
        <f>42-39</f>
        <v>3</v>
      </c>
      <c r="F3154" t="s">
        <v>363</v>
      </c>
      <c r="G3154" t="s">
        <v>733</v>
      </c>
      <c r="I3154" t="s">
        <v>668</v>
      </c>
      <c r="J3154" s="3">
        <v>44939</v>
      </c>
    </row>
    <row r="3155" spans="1:10" x14ac:dyDescent="0.75">
      <c r="A3155" t="s">
        <v>69</v>
      </c>
      <c r="B3155" s="3">
        <v>44896</v>
      </c>
      <c r="C3155">
        <v>2</v>
      </c>
      <c r="D3155" t="s">
        <v>207</v>
      </c>
      <c r="E3155" s="22">
        <f>39-36</f>
        <v>3</v>
      </c>
      <c r="F3155" t="s">
        <v>363</v>
      </c>
      <c r="G3155" t="s">
        <v>733</v>
      </c>
      <c r="I3155" t="s">
        <v>668</v>
      </c>
      <c r="J3155" s="3">
        <v>44939</v>
      </c>
    </row>
    <row r="3156" spans="1:10" x14ac:dyDescent="0.75">
      <c r="A3156" t="s">
        <v>69</v>
      </c>
      <c r="B3156" s="3">
        <v>44896</v>
      </c>
      <c r="C3156">
        <v>2</v>
      </c>
      <c r="D3156" t="s">
        <v>207</v>
      </c>
      <c r="E3156" s="22">
        <f>36-34</f>
        <v>2</v>
      </c>
      <c r="F3156" t="s">
        <v>363</v>
      </c>
      <c r="G3156" t="s">
        <v>733</v>
      </c>
      <c r="I3156" t="s">
        <v>668</v>
      </c>
      <c r="J3156" s="3">
        <v>44939</v>
      </c>
    </row>
    <row r="3157" spans="1:10" x14ac:dyDescent="0.75">
      <c r="A3157" t="s">
        <v>69</v>
      </c>
      <c r="B3157" s="3">
        <v>44896</v>
      </c>
      <c r="C3157">
        <v>2</v>
      </c>
      <c r="D3157" t="s">
        <v>168</v>
      </c>
      <c r="E3157" s="22">
        <f>34-25</f>
        <v>9</v>
      </c>
      <c r="F3157" t="s">
        <v>363</v>
      </c>
      <c r="G3157" t="s">
        <v>733</v>
      </c>
      <c r="I3157" t="s">
        <v>668</v>
      </c>
      <c r="J3157" s="3">
        <v>44939</v>
      </c>
    </row>
    <row r="3158" spans="1:10" x14ac:dyDescent="0.75">
      <c r="A3158" t="s">
        <v>69</v>
      </c>
      <c r="B3158" s="3">
        <v>44896</v>
      </c>
      <c r="C3158">
        <v>2</v>
      </c>
      <c r="D3158" t="s">
        <v>191</v>
      </c>
      <c r="E3158" s="22">
        <f>25-14</f>
        <v>11</v>
      </c>
      <c r="F3158" t="s">
        <v>363</v>
      </c>
      <c r="G3158" t="s">
        <v>733</v>
      </c>
      <c r="I3158" t="s">
        <v>668</v>
      </c>
      <c r="J3158" s="3">
        <v>44939</v>
      </c>
    </row>
    <row r="3159" spans="1:10" x14ac:dyDescent="0.75">
      <c r="A3159" t="s">
        <v>69</v>
      </c>
      <c r="B3159" s="3">
        <v>44896</v>
      </c>
      <c r="C3159">
        <v>2</v>
      </c>
      <c r="D3159" t="s">
        <v>172</v>
      </c>
      <c r="E3159" s="22">
        <f>14</f>
        <v>14</v>
      </c>
      <c r="F3159" t="s">
        <v>363</v>
      </c>
      <c r="G3159" t="s">
        <v>733</v>
      </c>
      <c r="I3159" t="s">
        <v>668</v>
      </c>
      <c r="J3159" s="3">
        <v>44939</v>
      </c>
    </row>
    <row r="3160" spans="1:10" x14ac:dyDescent="0.75">
      <c r="A3160" t="s">
        <v>69</v>
      </c>
      <c r="B3160" s="3">
        <v>44896</v>
      </c>
      <c r="C3160">
        <v>2</v>
      </c>
      <c r="D3160" t="s">
        <v>176</v>
      </c>
      <c r="E3160" s="22">
        <f>50-44</f>
        <v>6</v>
      </c>
      <c r="F3160" t="s">
        <v>363</v>
      </c>
      <c r="G3160" t="s">
        <v>733</v>
      </c>
      <c r="I3160" t="s">
        <v>668</v>
      </c>
      <c r="J3160" s="3">
        <v>44939</v>
      </c>
    </row>
    <row r="3161" spans="1:10" x14ac:dyDescent="0.75">
      <c r="A3161" t="s">
        <v>69</v>
      </c>
      <c r="B3161" s="3">
        <v>44896</v>
      </c>
      <c r="C3161">
        <v>2</v>
      </c>
      <c r="D3161" t="s">
        <v>172</v>
      </c>
      <c r="E3161" s="22">
        <f>44-30</f>
        <v>14</v>
      </c>
      <c r="F3161" t="s">
        <v>363</v>
      </c>
      <c r="G3161" t="s">
        <v>733</v>
      </c>
      <c r="I3161" t="s">
        <v>668</v>
      </c>
      <c r="J3161" s="3">
        <v>44939</v>
      </c>
    </row>
    <row r="3162" spans="1:10" x14ac:dyDescent="0.75">
      <c r="A3162" t="s">
        <v>69</v>
      </c>
      <c r="B3162" s="3">
        <v>44896</v>
      </c>
      <c r="C3162">
        <v>2</v>
      </c>
      <c r="D3162" t="s">
        <v>168</v>
      </c>
      <c r="E3162" s="22">
        <f>30-6</f>
        <v>24</v>
      </c>
      <c r="F3162" t="s">
        <v>363</v>
      </c>
      <c r="G3162" t="s">
        <v>733</v>
      </c>
      <c r="I3162" t="s">
        <v>668</v>
      </c>
      <c r="J3162" s="3">
        <v>44939</v>
      </c>
    </row>
    <row r="3163" spans="1:10" x14ac:dyDescent="0.75">
      <c r="A3163" t="s">
        <v>69</v>
      </c>
      <c r="B3163" s="3">
        <v>44896</v>
      </c>
      <c r="C3163">
        <v>2</v>
      </c>
      <c r="D3163" t="s">
        <v>172</v>
      </c>
      <c r="E3163" s="22">
        <f>6</f>
        <v>6</v>
      </c>
      <c r="F3163" t="s">
        <v>363</v>
      </c>
      <c r="G3163" t="s">
        <v>733</v>
      </c>
      <c r="I3163" t="s">
        <v>668</v>
      </c>
      <c r="J3163" s="3">
        <v>44939</v>
      </c>
    </row>
    <row r="3164" spans="1:10" x14ac:dyDescent="0.75">
      <c r="A3164" t="s">
        <v>69</v>
      </c>
      <c r="B3164" s="3">
        <v>44896</v>
      </c>
      <c r="C3164">
        <v>2</v>
      </c>
      <c r="D3164" t="s">
        <v>207</v>
      </c>
      <c r="E3164" s="22">
        <f>54-42</f>
        <v>12</v>
      </c>
      <c r="F3164" t="s">
        <v>363</v>
      </c>
      <c r="G3164" t="s">
        <v>733</v>
      </c>
      <c r="I3164" t="s">
        <v>668</v>
      </c>
      <c r="J3164" s="3">
        <v>44939</v>
      </c>
    </row>
    <row r="3165" spans="1:10" x14ac:dyDescent="0.75">
      <c r="A3165" t="s">
        <v>69</v>
      </c>
      <c r="B3165" s="3">
        <v>44896</v>
      </c>
      <c r="C3165">
        <v>2</v>
      </c>
      <c r="D3165" t="s">
        <v>191</v>
      </c>
      <c r="E3165" s="22">
        <f>42-34</f>
        <v>8</v>
      </c>
      <c r="F3165" t="s">
        <v>363</v>
      </c>
      <c r="G3165" t="s">
        <v>733</v>
      </c>
      <c r="I3165" t="s">
        <v>668</v>
      </c>
      <c r="J3165" s="3">
        <v>44939</v>
      </c>
    </row>
    <row r="3166" spans="1:10" x14ac:dyDescent="0.75">
      <c r="A3166" t="s">
        <v>69</v>
      </c>
      <c r="B3166" s="3">
        <v>44896</v>
      </c>
      <c r="C3166">
        <v>2</v>
      </c>
      <c r="D3166" t="s">
        <v>191</v>
      </c>
      <c r="E3166" s="22">
        <f>34-9</f>
        <v>25</v>
      </c>
      <c r="F3166" t="s">
        <v>363</v>
      </c>
      <c r="G3166" t="s">
        <v>733</v>
      </c>
      <c r="I3166" t="s">
        <v>668</v>
      </c>
      <c r="J3166" s="3">
        <v>44939</v>
      </c>
    </row>
    <row r="3167" spans="1:10" x14ac:dyDescent="0.75">
      <c r="A3167" t="s">
        <v>69</v>
      </c>
      <c r="B3167" s="3">
        <v>44896</v>
      </c>
      <c r="C3167">
        <v>2</v>
      </c>
      <c r="D3167" t="s">
        <v>207</v>
      </c>
      <c r="E3167" s="22">
        <f>4-2</f>
        <v>2</v>
      </c>
      <c r="F3167" t="s">
        <v>363</v>
      </c>
      <c r="G3167" t="s">
        <v>869</v>
      </c>
      <c r="I3167" t="s">
        <v>668</v>
      </c>
      <c r="J3167" s="3">
        <v>44939</v>
      </c>
    </row>
    <row r="3168" spans="1:10" x14ac:dyDescent="0.75">
      <c r="A3168" t="s">
        <v>69</v>
      </c>
      <c r="B3168" s="3">
        <v>44896</v>
      </c>
      <c r="C3168">
        <v>2</v>
      </c>
      <c r="D3168" t="s">
        <v>199</v>
      </c>
      <c r="E3168" s="22">
        <f>40-34</f>
        <v>6</v>
      </c>
      <c r="F3168" t="s">
        <v>363</v>
      </c>
      <c r="G3168" t="s">
        <v>869</v>
      </c>
      <c r="I3168" t="s">
        <v>668</v>
      </c>
      <c r="J3168" s="3">
        <v>44939</v>
      </c>
    </row>
    <row r="3169" spans="1:11" x14ac:dyDescent="0.75">
      <c r="A3169" t="s">
        <v>69</v>
      </c>
      <c r="B3169" s="3">
        <v>44896</v>
      </c>
      <c r="C3169">
        <v>2</v>
      </c>
      <c r="D3169" t="s">
        <v>168</v>
      </c>
      <c r="E3169" s="22">
        <f>34-29</f>
        <v>5</v>
      </c>
      <c r="F3169" t="s">
        <v>363</v>
      </c>
      <c r="G3169" t="s">
        <v>869</v>
      </c>
      <c r="I3169" t="s">
        <v>668</v>
      </c>
      <c r="J3169" s="3">
        <v>44939</v>
      </c>
    </row>
    <row r="3170" spans="1:11" x14ac:dyDescent="0.75">
      <c r="A3170" t="s">
        <v>69</v>
      </c>
      <c r="B3170" s="3">
        <v>44896</v>
      </c>
      <c r="C3170">
        <v>2</v>
      </c>
      <c r="D3170" t="s">
        <v>197</v>
      </c>
      <c r="E3170" s="22">
        <f>28-26</f>
        <v>2</v>
      </c>
      <c r="F3170" t="s">
        <v>363</v>
      </c>
      <c r="G3170" t="s">
        <v>869</v>
      </c>
      <c r="I3170" t="s">
        <v>668</v>
      </c>
      <c r="J3170" s="3">
        <v>44939</v>
      </c>
    </row>
    <row r="3171" spans="1:11" x14ac:dyDescent="0.75">
      <c r="A3171" t="s">
        <v>69</v>
      </c>
      <c r="B3171" s="3">
        <v>44896</v>
      </c>
      <c r="C3171">
        <v>2</v>
      </c>
      <c r="D3171" t="s">
        <v>207</v>
      </c>
      <c r="E3171" s="22">
        <f>26-25</f>
        <v>1</v>
      </c>
      <c r="F3171" t="s">
        <v>363</v>
      </c>
      <c r="G3171" t="s">
        <v>869</v>
      </c>
      <c r="I3171" t="s">
        <v>668</v>
      </c>
      <c r="J3171" s="3">
        <v>44939</v>
      </c>
    </row>
    <row r="3172" spans="1:11" x14ac:dyDescent="0.75">
      <c r="A3172" t="s">
        <v>69</v>
      </c>
      <c r="B3172" s="3">
        <v>44896</v>
      </c>
      <c r="C3172">
        <v>2</v>
      </c>
      <c r="D3172" t="s">
        <v>207</v>
      </c>
      <c r="E3172" s="22">
        <f>2-1</f>
        <v>1</v>
      </c>
      <c r="F3172">
        <v>908</v>
      </c>
      <c r="G3172" t="s">
        <v>869</v>
      </c>
      <c r="I3172" t="s">
        <v>668</v>
      </c>
      <c r="J3172" s="3">
        <v>44939</v>
      </c>
    </row>
    <row r="3173" spans="1:11" x14ac:dyDescent="0.75">
      <c r="A3173" t="s">
        <v>69</v>
      </c>
      <c r="B3173" s="3">
        <v>44896</v>
      </c>
      <c r="C3173">
        <v>2</v>
      </c>
      <c r="D3173" t="s">
        <v>207</v>
      </c>
      <c r="E3173" s="22">
        <f>3</f>
        <v>3</v>
      </c>
      <c r="F3173">
        <v>906</v>
      </c>
      <c r="G3173" t="s">
        <v>869</v>
      </c>
      <c r="I3173" t="s">
        <v>668</v>
      </c>
      <c r="J3173" s="3">
        <v>44939</v>
      </c>
    </row>
    <row r="3174" spans="1:11" x14ac:dyDescent="0.75">
      <c r="A3174" t="s">
        <v>69</v>
      </c>
      <c r="B3174" s="3">
        <v>44896</v>
      </c>
      <c r="C3174">
        <v>2</v>
      </c>
      <c r="D3174" t="s">
        <v>168</v>
      </c>
      <c r="E3174" s="22">
        <f>51-38</f>
        <v>13</v>
      </c>
      <c r="F3174" t="s">
        <v>363</v>
      </c>
      <c r="G3174" t="s">
        <v>869</v>
      </c>
      <c r="I3174" t="s">
        <v>668</v>
      </c>
      <c r="J3174" s="3">
        <v>44939</v>
      </c>
    </row>
    <row r="3175" spans="1:11" x14ac:dyDescent="0.75">
      <c r="A3175" t="s">
        <v>69</v>
      </c>
      <c r="B3175" s="3">
        <v>44896</v>
      </c>
      <c r="C3175">
        <v>2</v>
      </c>
      <c r="D3175" t="s">
        <v>168</v>
      </c>
      <c r="E3175" s="22">
        <f>38-28</f>
        <v>10</v>
      </c>
      <c r="F3175" t="s">
        <v>363</v>
      </c>
      <c r="G3175" t="s">
        <v>869</v>
      </c>
      <c r="I3175" t="s">
        <v>668</v>
      </c>
      <c r="J3175" s="3">
        <v>44939</v>
      </c>
    </row>
    <row r="3176" spans="1:11" x14ac:dyDescent="0.75">
      <c r="A3176" t="s">
        <v>69</v>
      </c>
      <c r="B3176" s="3">
        <v>44896</v>
      </c>
      <c r="C3176">
        <v>2</v>
      </c>
      <c r="D3176" t="s">
        <v>207</v>
      </c>
      <c r="E3176" s="22">
        <f>28-23</f>
        <v>5</v>
      </c>
      <c r="F3176" t="s">
        <v>363</v>
      </c>
      <c r="G3176" t="s">
        <v>869</v>
      </c>
      <c r="I3176" t="s">
        <v>668</v>
      </c>
      <c r="J3176" s="3">
        <v>44939</v>
      </c>
    </row>
    <row r="3177" spans="1:11" x14ac:dyDescent="0.75">
      <c r="A3177" t="s">
        <v>69</v>
      </c>
      <c r="B3177" s="3">
        <v>44896</v>
      </c>
      <c r="C3177">
        <v>2</v>
      </c>
      <c r="D3177" t="s">
        <v>207</v>
      </c>
      <c r="E3177" s="22">
        <f>23-19</f>
        <v>4</v>
      </c>
      <c r="F3177" t="s">
        <v>363</v>
      </c>
      <c r="G3177" t="s">
        <v>869</v>
      </c>
      <c r="I3177" t="s">
        <v>668</v>
      </c>
      <c r="J3177" s="3">
        <v>44939</v>
      </c>
    </row>
    <row r="3178" spans="1:11" x14ac:dyDescent="0.75">
      <c r="A3178" t="s">
        <v>69</v>
      </c>
      <c r="B3178" s="3">
        <v>44896</v>
      </c>
      <c r="C3178">
        <v>2</v>
      </c>
      <c r="D3178" t="s">
        <v>199</v>
      </c>
      <c r="E3178" s="22">
        <f>19-10</f>
        <v>9</v>
      </c>
      <c r="F3178" t="s">
        <v>363</v>
      </c>
      <c r="G3178" t="s">
        <v>869</v>
      </c>
      <c r="I3178" t="s">
        <v>668</v>
      </c>
      <c r="J3178" s="3">
        <v>44939</v>
      </c>
    </row>
    <row r="3179" spans="1:11" x14ac:dyDescent="0.75">
      <c r="A3179" t="s">
        <v>69</v>
      </c>
      <c r="B3179" s="3">
        <v>44896</v>
      </c>
      <c r="C3179">
        <v>2</v>
      </c>
      <c r="D3179" t="s">
        <v>172</v>
      </c>
      <c r="E3179" s="22">
        <f>10-3</f>
        <v>7</v>
      </c>
      <c r="F3179" t="s">
        <v>363</v>
      </c>
      <c r="G3179" t="s">
        <v>869</v>
      </c>
      <c r="I3179" t="s">
        <v>668</v>
      </c>
      <c r="J3179" s="3">
        <v>44939</v>
      </c>
    </row>
    <row r="3180" spans="1:11" x14ac:dyDescent="0.75">
      <c r="A3180" t="s">
        <v>69</v>
      </c>
      <c r="B3180" s="3">
        <v>44896</v>
      </c>
      <c r="C3180">
        <v>2</v>
      </c>
      <c r="D3180" t="s">
        <v>172</v>
      </c>
      <c r="E3180" s="22">
        <f>43-33</f>
        <v>10</v>
      </c>
      <c r="F3180" t="s">
        <v>363</v>
      </c>
      <c r="G3180" t="s">
        <v>869</v>
      </c>
      <c r="I3180" t="s">
        <v>668</v>
      </c>
      <c r="J3180" s="3">
        <v>44939</v>
      </c>
    </row>
    <row r="3181" spans="1:11" x14ac:dyDescent="0.75">
      <c r="A3181" t="s">
        <v>69</v>
      </c>
      <c r="B3181" s="3">
        <v>44896</v>
      </c>
      <c r="C3181">
        <v>2</v>
      </c>
      <c r="D3181" t="s">
        <v>207</v>
      </c>
      <c r="E3181" s="22">
        <f>33-28</f>
        <v>5</v>
      </c>
      <c r="F3181" t="s">
        <v>363</v>
      </c>
      <c r="G3181" t="s">
        <v>869</v>
      </c>
      <c r="I3181" t="s">
        <v>668</v>
      </c>
      <c r="J3181" s="3">
        <v>44939</v>
      </c>
    </row>
    <row r="3182" spans="1:11" x14ac:dyDescent="0.75">
      <c r="A3182" t="s">
        <v>69</v>
      </c>
      <c r="B3182" s="3">
        <v>44896</v>
      </c>
      <c r="C3182">
        <v>2</v>
      </c>
      <c r="D3182" t="s">
        <v>191</v>
      </c>
      <c r="E3182" s="22">
        <f>28-12</f>
        <v>16</v>
      </c>
      <c r="F3182" t="s">
        <v>363</v>
      </c>
      <c r="G3182" t="s">
        <v>869</v>
      </c>
      <c r="I3182" t="s">
        <v>668</v>
      </c>
      <c r="J3182" s="3">
        <v>44939</v>
      </c>
    </row>
    <row r="3183" spans="1:11" x14ac:dyDescent="0.75">
      <c r="A3183" t="s">
        <v>74</v>
      </c>
      <c r="B3183" s="3">
        <v>44896</v>
      </c>
      <c r="C3183">
        <v>1</v>
      </c>
      <c r="D3183" t="s">
        <v>160</v>
      </c>
      <c r="E3183" s="22">
        <f>9+14+55+54</f>
        <v>132</v>
      </c>
      <c r="F3183" t="s">
        <v>363</v>
      </c>
      <c r="G3183" t="s">
        <v>733</v>
      </c>
      <c r="H3183" t="s">
        <v>390</v>
      </c>
      <c r="I3183" t="s">
        <v>668</v>
      </c>
      <c r="J3183" s="3">
        <v>44939</v>
      </c>
      <c r="K3183" t="s">
        <v>780</v>
      </c>
    </row>
    <row r="3184" spans="1:11" x14ac:dyDescent="0.75">
      <c r="A3184" t="s">
        <v>74</v>
      </c>
      <c r="B3184" s="3">
        <v>44896</v>
      </c>
      <c r="C3184">
        <v>1</v>
      </c>
      <c r="D3184" t="s">
        <v>176</v>
      </c>
      <c r="E3184" s="22">
        <f>26-17</f>
        <v>9</v>
      </c>
      <c r="F3184" t="s">
        <v>363</v>
      </c>
      <c r="G3184" t="s">
        <v>869</v>
      </c>
      <c r="I3184" t="s">
        <v>668</v>
      </c>
      <c r="J3184" s="3">
        <v>44939</v>
      </c>
    </row>
    <row r="3185" spans="1:10" x14ac:dyDescent="0.75">
      <c r="A3185" t="s">
        <v>74</v>
      </c>
      <c r="B3185" s="3">
        <v>44896</v>
      </c>
      <c r="C3185">
        <v>1</v>
      </c>
      <c r="D3185" t="s">
        <v>176</v>
      </c>
      <c r="E3185" s="22">
        <f>17</f>
        <v>17</v>
      </c>
      <c r="F3185" t="s">
        <v>363</v>
      </c>
      <c r="G3185" t="s">
        <v>869</v>
      </c>
      <c r="I3185" t="s">
        <v>668</v>
      </c>
      <c r="J3185" s="3">
        <v>44939</v>
      </c>
    </row>
    <row r="3186" spans="1:10" x14ac:dyDescent="0.75">
      <c r="A3186" t="s">
        <v>74</v>
      </c>
      <c r="B3186" s="3">
        <v>44896</v>
      </c>
      <c r="C3186">
        <v>1</v>
      </c>
      <c r="D3186" t="s">
        <v>201</v>
      </c>
      <c r="E3186" s="22">
        <f>48-34</f>
        <v>14</v>
      </c>
      <c r="F3186" t="s">
        <v>363</v>
      </c>
      <c r="G3186" t="s">
        <v>869</v>
      </c>
      <c r="I3186" t="s">
        <v>668</v>
      </c>
      <c r="J3186" s="3">
        <v>44939</v>
      </c>
    </row>
    <row r="3187" spans="1:10" x14ac:dyDescent="0.75">
      <c r="A3187" t="s">
        <v>74</v>
      </c>
      <c r="B3187" s="3">
        <v>44896</v>
      </c>
      <c r="C3187">
        <v>1</v>
      </c>
      <c r="D3187" t="s">
        <v>160</v>
      </c>
      <c r="E3187" s="22">
        <f>34-10</f>
        <v>24</v>
      </c>
      <c r="F3187" t="s">
        <v>363</v>
      </c>
      <c r="G3187" t="s">
        <v>869</v>
      </c>
      <c r="I3187" t="s">
        <v>668</v>
      </c>
      <c r="J3187" s="3">
        <v>44939</v>
      </c>
    </row>
    <row r="3188" spans="1:10" x14ac:dyDescent="0.75">
      <c r="A3188" t="s">
        <v>74</v>
      </c>
      <c r="B3188" s="3">
        <v>44896</v>
      </c>
      <c r="C3188">
        <v>1</v>
      </c>
      <c r="D3188" t="s">
        <v>176</v>
      </c>
      <c r="E3188" s="22">
        <f>10-3</f>
        <v>7</v>
      </c>
      <c r="F3188" t="s">
        <v>363</v>
      </c>
      <c r="G3188" t="s">
        <v>869</v>
      </c>
      <c r="I3188" t="s">
        <v>668</v>
      </c>
      <c r="J3188" s="3">
        <v>44939</v>
      </c>
    </row>
    <row r="3189" spans="1:10" x14ac:dyDescent="0.75">
      <c r="A3189" t="s">
        <v>74</v>
      </c>
      <c r="B3189" s="3">
        <v>44896</v>
      </c>
      <c r="C3189">
        <v>1</v>
      </c>
      <c r="D3189" t="s">
        <v>176</v>
      </c>
      <c r="E3189" s="22">
        <f>3</f>
        <v>3</v>
      </c>
      <c r="F3189" t="s">
        <v>363</v>
      </c>
      <c r="G3189" t="s">
        <v>869</v>
      </c>
      <c r="I3189" t="s">
        <v>668</v>
      </c>
      <c r="J3189" s="3">
        <v>44939</v>
      </c>
    </row>
    <row r="3190" spans="1:10" x14ac:dyDescent="0.75">
      <c r="A3190" t="s">
        <v>74</v>
      </c>
      <c r="B3190" s="3">
        <v>44896</v>
      </c>
      <c r="C3190">
        <v>1</v>
      </c>
      <c r="D3190" t="s">
        <v>176</v>
      </c>
      <c r="E3190" s="22">
        <f>5</f>
        <v>5</v>
      </c>
      <c r="F3190" t="s">
        <v>363</v>
      </c>
      <c r="G3190" t="s">
        <v>869</v>
      </c>
      <c r="I3190" t="s">
        <v>668</v>
      </c>
      <c r="J3190" s="3">
        <v>44939</v>
      </c>
    </row>
    <row r="3191" spans="1:10" x14ac:dyDescent="0.75">
      <c r="A3191" t="s">
        <v>74</v>
      </c>
      <c r="B3191" s="3">
        <v>44896</v>
      </c>
      <c r="C3191">
        <v>1</v>
      </c>
      <c r="D3191" t="s">
        <v>201</v>
      </c>
      <c r="E3191" s="22">
        <f>2</f>
        <v>2</v>
      </c>
      <c r="F3191" t="s">
        <v>363</v>
      </c>
      <c r="G3191" t="s">
        <v>869</v>
      </c>
      <c r="I3191" t="s">
        <v>668</v>
      </c>
      <c r="J3191" s="3">
        <v>44939</v>
      </c>
    </row>
    <row r="3192" spans="1:10" x14ac:dyDescent="0.75">
      <c r="A3192" t="s">
        <v>96</v>
      </c>
      <c r="B3192" s="3">
        <v>44901</v>
      </c>
      <c r="C3192">
        <v>1</v>
      </c>
      <c r="D3192" t="s">
        <v>191</v>
      </c>
      <c r="E3192" s="22">
        <f>56-54</f>
        <v>2</v>
      </c>
      <c r="F3192" t="s">
        <v>363</v>
      </c>
      <c r="G3192" t="s">
        <v>869</v>
      </c>
      <c r="I3192" t="s">
        <v>668</v>
      </c>
      <c r="J3192" s="3">
        <v>44939</v>
      </c>
    </row>
    <row r="3193" spans="1:10" x14ac:dyDescent="0.75">
      <c r="A3193" t="s">
        <v>96</v>
      </c>
      <c r="B3193" s="3">
        <v>44901</v>
      </c>
      <c r="C3193">
        <v>1</v>
      </c>
      <c r="D3193" t="s">
        <v>194</v>
      </c>
      <c r="E3193" s="22">
        <f>54-53</f>
        <v>1</v>
      </c>
      <c r="F3193" t="s">
        <v>363</v>
      </c>
      <c r="G3193" t="s">
        <v>869</v>
      </c>
      <c r="I3193" t="s">
        <v>668</v>
      </c>
      <c r="J3193" s="3">
        <v>44939</v>
      </c>
    </row>
    <row r="3194" spans="1:10" x14ac:dyDescent="0.75">
      <c r="A3194" t="s">
        <v>96</v>
      </c>
      <c r="B3194" s="3">
        <v>44901</v>
      </c>
      <c r="C3194">
        <v>1</v>
      </c>
      <c r="D3194" t="s">
        <v>191</v>
      </c>
      <c r="E3194" s="22">
        <f>53-50</f>
        <v>3</v>
      </c>
      <c r="F3194" t="s">
        <v>363</v>
      </c>
      <c r="G3194" t="s">
        <v>869</v>
      </c>
      <c r="I3194" t="s">
        <v>668</v>
      </c>
      <c r="J3194" s="3">
        <v>44939</v>
      </c>
    </row>
    <row r="3195" spans="1:10" x14ac:dyDescent="0.75">
      <c r="A3195" t="s">
        <v>96</v>
      </c>
      <c r="B3195" s="3">
        <v>44901</v>
      </c>
      <c r="C3195">
        <v>1</v>
      </c>
      <c r="D3195" t="s">
        <v>191</v>
      </c>
      <c r="E3195" s="22">
        <f>50-48</f>
        <v>2</v>
      </c>
      <c r="F3195" t="s">
        <v>363</v>
      </c>
      <c r="G3195" t="s">
        <v>869</v>
      </c>
      <c r="I3195" t="s">
        <v>668</v>
      </c>
      <c r="J3195" s="3">
        <v>44939</v>
      </c>
    </row>
    <row r="3196" spans="1:10" x14ac:dyDescent="0.75">
      <c r="A3196" t="s">
        <v>96</v>
      </c>
      <c r="B3196" s="3">
        <v>44901</v>
      </c>
      <c r="C3196">
        <v>1</v>
      </c>
      <c r="D3196" t="s">
        <v>191</v>
      </c>
      <c r="E3196" s="22">
        <f>48-46</f>
        <v>2</v>
      </c>
      <c r="F3196" t="s">
        <v>363</v>
      </c>
      <c r="G3196" t="s">
        <v>869</v>
      </c>
      <c r="I3196" t="s">
        <v>668</v>
      </c>
      <c r="J3196" s="3">
        <v>44939</v>
      </c>
    </row>
    <row r="3197" spans="1:10" x14ac:dyDescent="0.75">
      <c r="A3197" t="s">
        <v>96</v>
      </c>
      <c r="B3197" s="3">
        <v>44901</v>
      </c>
      <c r="C3197">
        <v>1</v>
      </c>
      <c r="D3197" t="s">
        <v>191</v>
      </c>
      <c r="E3197" s="22">
        <f>46-44</f>
        <v>2</v>
      </c>
      <c r="F3197" t="s">
        <v>363</v>
      </c>
      <c r="G3197" t="s">
        <v>869</v>
      </c>
      <c r="I3197" t="s">
        <v>668</v>
      </c>
      <c r="J3197" s="3">
        <v>44939</v>
      </c>
    </row>
    <row r="3198" spans="1:10" x14ac:dyDescent="0.75">
      <c r="A3198" t="s">
        <v>96</v>
      </c>
      <c r="B3198" s="3">
        <v>44901</v>
      </c>
      <c r="C3198">
        <v>1</v>
      </c>
      <c r="D3198" t="s">
        <v>191</v>
      </c>
      <c r="E3198" s="22">
        <f>44-42</f>
        <v>2</v>
      </c>
      <c r="F3198" t="s">
        <v>363</v>
      </c>
      <c r="G3198" t="s">
        <v>869</v>
      </c>
      <c r="I3198" t="s">
        <v>668</v>
      </c>
      <c r="J3198" s="3">
        <v>44939</v>
      </c>
    </row>
    <row r="3199" spans="1:10" x14ac:dyDescent="0.75">
      <c r="A3199" t="s">
        <v>96</v>
      </c>
      <c r="B3199" s="3">
        <v>44901</v>
      </c>
      <c r="C3199">
        <v>1</v>
      </c>
      <c r="D3199" t="s">
        <v>215</v>
      </c>
      <c r="E3199" s="22">
        <f>42-41</f>
        <v>1</v>
      </c>
      <c r="F3199" t="s">
        <v>363</v>
      </c>
      <c r="G3199" t="s">
        <v>869</v>
      </c>
      <c r="I3199" t="s">
        <v>668</v>
      </c>
      <c r="J3199" s="3">
        <v>44939</v>
      </c>
    </row>
    <row r="3200" spans="1:10" x14ac:dyDescent="0.75">
      <c r="A3200" t="s">
        <v>96</v>
      </c>
      <c r="B3200" s="3">
        <v>44901</v>
      </c>
      <c r="C3200">
        <v>1</v>
      </c>
      <c r="D3200" t="s">
        <v>191</v>
      </c>
      <c r="E3200" s="22">
        <f>41-38</f>
        <v>3</v>
      </c>
      <c r="F3200" t="s">
        <v>363</v>
      </c>
      <c r="G3200" t="s">
        <v>869</v>
      </c>
      <c r="I3200" t="s">
        <v>668</v>
      </c>
      <c r="J3200" s="3">
        <v>44939</v>
      </c>
    </row>
    <row r="3201" spans="1:10" x14ac:dyDescent="0.75">
      <c r="A3201" t="s">
        <v>96</v>
      </c>
      <c r="B3201" s="3">
        <v>44901</v>
      </c>
      <c r="C3201">
        <v>1</v>
      </c>
      <c r="D3201" t="s">
        <v>194</v>
      </c>
      <c r="E3201" s="22">
        <f>38-35</f>
        <v>3</v>
      </c>
      <c r="F3201" t="s">
        <v>363</v>
      </c>
      <c r="G3201" t="s">
        <v>869</v>
      </c>
      <c r="I3201" t="s">
        <v>668</v>
      </c>
      <c r="J3201" s="3">
        <v>44939</v>
      </c>
    </row>
    <row r="3202" spans="1:10" x14ac:dyDescent="0.75">
      <c r="A3202" t="s">
        <v>96</v>
      </c>
      <c r="B3202" s="3">
        <v>44901</v>
      </c>
      <c r="C3202">
        <v>1</v>
      </c>
      <c r="D3202" t="s">
        <v>199</v>
      </c>
      <c r="E3202" s="22">
        <f>35-34</f>
        <v>1</v>
      </c>
      <c r="F3202" t="s">
        <v>363</v>
      </c>
      <c r="G3202" t="s">
        <v>869</v>
      </c>
      <c r="I3202" t="s">
        <v>668</v>
      </c>
      <c r="J3202" s="3">
        <v>44939</v>
      </c>
    </row>
    <row r="3203" spans="1:10" x14ac:dyDescent="0.75">
      <c r="A3203" t="s">
        <v>96</v>
      </c>
      <c r="B3203" s="3">
        <v>44901</v>
      </c>
      <c r="C3203">
        <v>1</v>
      </c>
      <c r="D3203" t="s">
        <v>194</v>
      </c>
      <c r="E3203" s="22">
        <f>34-33</f>
        <v>1</v>
      </c>
      <c r="F3203" t="s">
        <v>363</v>
      </c>
      <c r="G3203" t="s">
        <v>869</v>
      </c>
      <c r="I3203" t="s">
        <v>668</v>
      </c>
      <c r="J3203" s="3">
        <v>44939</v>
      </c>
    </row>
    <row r="3204" spans="1:10" x14ac:dyDescent="0.75">
      <c r="A3204" t="s">
        <v>96</v>
      </c>
      <c r="B3204" s="3">
        <v>44901</v>
      </c>
      <c r="C3204">
        <v>1</v>
      </c>
      <c r="D3204" t="s">
        <v>191</v>
      </c>
      <c r="E3204" s="22">
        <f>33-30</f>
        <v>3</v>
      </c>
      <c r="F3204" t="s">
        <v>363</v>
      </c>
      <c r="G3204" t="s">
        <v>869</v>
      </c>
      <c r="I3204" t="s">
        <v>668</v>
      </c>
      <c r="J3204" s="3">
        <v>44939</v>
      </c>
    </row>
    <row r="3205" spans="1:10" x14ac:dyDescent="0.75">
      <c r="A3205" t="s">
        <v>96</v>
      </c>
      <c r="B3205" s="3">
        <v>44901</v>
      </c>
      <c r="C3205">
        <v>1</v>
      </c>
      <c r="D3205" t="s">
        <v>191</v>
      </c>
      <c r="E3205" s="22">
        <f>30-28</f>
        <v>2</v>
      </c>
      <c r="F3205" t="s">
        <v>363</v>
      </c>
      <c r="G3205" t="s">
        <v>869</v>
      </c>
      <c r="I3205" t="s">
        <v>668</v>
      </c>
      <c r="J3205" s="3">
        <v>44939</v>
      </c>
    </row>
    <row r="3206" spans="1:10" x14ac:dyDescent="0.75">
      <c r="A3206" t="s">
        <v>96</v>
      </c>
      <c r="B3206" s="3">
        <v>44901</v>
      </c>
      <c r="C3206">
        <v>1</v>
      </c>
      <c r="D3206" t="s">
        <v>194</v>
      </c>
      <c r="E3206" s="22">
        <f>28-22</f>
        <v>6</v>
      </c>
      <c r="F3206" t="s">
        <v>363</v>
      </c>
      <c r="G3206" t="s">
        <v>869</v>
      </c>
      <c r="I3206" t="s">
        <v>668</v>
      </c>
      <c r="J3206" s="3">
        <v>44939</v>
      </c>
    </row>
    <row r="3207" spans="1:10" x14ac:dyDescent="0.75">
      <c r="A3207" t="s">
        <v>96</v>
      </c>
      <c r="B3207" s="3">
        <v>44901</v>
      </c>
      <c r="C3207">
        <v>1</v>
      </c>
      <c r="D3207" t="s">
        <v>191</v>
      </c>
      <c r="E3207" s="22">
        <f>22-21</f>
        <v>1</v>
      </c>
      <c r="F3207" t="s">
        <v>363</v>
      </c>
      <c r="G3207" t="s">
        <v>869</v>
      </c>
      <c r="I3207" t="s">
        <v>668</v>
      </c>
      <c r="J3207" s="3">
        <v>44939</v>
      </c>
    </row>
    <row r="3208" spans="1:10" x14ac:dyDescent="0.75">
      <c r="A3208" t="s">
        <v>96</v>
      </c>
      <c r="B3208" s="3">
        <v>44901</v>
      </c>
      <c r="C3208">
        <v>1</v>
      </c>
      <c r="D3208" t="s">
        <v>191</v>
      </c>
      <c r="E3208" s="22">
        <f>21-16</f>
        <v>5</v>
      </c>
      <c r="F3208" t="s">
        <v>363</v>
      </c>
      <c r="G3208" t="s">
        <v>869</v>
      </c>
      <c r="I3208" t="s">
        <v>668</v>
      </c>
      <c r="J3208" s="3">
        <v>44939</v>
      </c>
    </row>
    <row r="3209" spans="1:10" x14ac:dyDescent="0.75">
      <c r="A3209" t="s">
        <v>96</v>
      </c>
      <c r="B3209" s="3">
        <v>44901</v>
      </c>
      <c r="C3209">
        <v>1</v>
      </c>
      <c r="D3209" t="s">
        <v>197</v>
      </c>
      <c r="E3209" s="22">
        <f>16-14</f>
        <v>2</v>
      </c>
      <c r="F3209" t="s">
        <v>363</v>
      </c>
      <c r="G3209" t="s">
        <v>869</v>
      </c>
      <c r="I3209" t="s">
        <v>668</v>
      </c>
      <c r="J3209" s="3">
        <v>44939</v>
      </c>
    </row>
    <row r="3210" spans="1:10" x14ac:dyDescent="0.75">
      <c r="A3210" t="s">
        <v>96</v>
      </c>
      <c r="B3210" s="3">
        <v>44901</v>
      </c>
      <c r="C3210">
        <v>1</v>
      </c>
      <c r="D3210" t="s">
        <v>191</v>
      </c>
      <c r="E3210" s="22">
        <f>14-12</f>
        <v>2</v>
      </c>
      <c r="F3210" t="s">
        <v>363</v>
      </c>
      <c r="G3210" t="s">
        <v>869</v>
      </c>
      <c r="I3210" t="s">
        <v>668</v>
      </c>
      <c r="J3210" s="3">
        <v>44939</v>
      </c>
    </row>
    <row r="3211" spans="1:10" x14ac:dyDescent="0.75">
      <c r="A3211" t="s">
        <v>96</v>
      </c>
      <c r="B3211" s="3">
        <v>44901</v>
      </c>
      <c r="C3211">
        <v>1</v>
      </c>
      <c r="D3211" t="s">
        <v>194</v>
      </c>
      <c r="E3211" s="22">
        <f>12-10</f>
        <v>2</v>
      </c>
      <c r="F3211" t="s">
        <v>363</v>
      </c>
      <c r="G3211" t="s">
        <v>869</v>
      </c>
      <c r="I3211" t="s">
        <v>668</v>
      </c>
      <c r="J3211" s="3">
        <v>44939</v>
      </c>
    </row>
    <row r="3212" spans="1:10" x14ac:dyDescent="0.75">
      <c r="A3212" t="s">
        <v>96</v>
      </c>
      <c r="B3212" s="3">
        <v>44901</v>
      </c>
      <c r="C3212">
        <v>1</v>
      </c>
      <c r="D3212" t="s">
        <v>197</v>
      </c>
      <c r="E3212" s="22">
        <f>10-8</f>
        <v>2</v>
      </c>
      <c r="F3212" t="s">
        <v>363</v>
      </c>
      <c r="G3212" t="s">
        <v>869</v>
      </c>
      <c r="I3212" t="s">
        <v>668</v>
      </c>
      <c r="J3212" s="3">
        <v>44939</v>
      </c>
    </row>
    <row r="3213" spans="1:10" x14ac:dyDescent="0.75">
      <c r="A3213" t="s">
        <v>96</v>
      </c>
      <c r="B3213" s="3">
        <v>44901</v>
      </c>
      <c r="C3213">
        <v>1</v>
      </c>
      <c r="D3213" t="s">
        <v>191</v>
      </c>
      <c r="E3213" s="22">
        <f>8-7</f>
        <v>1</v>
      </c>
      <c r="F3213" t="s">
        <v>363</v>
      </c>
      <c r="G3213" t="s">
        <v>869</v>
      </c>
      <c r="I3213" t="s">
        <v>668</v>
      </c>
      <c r="J3213" s="3">
        <v>44939</v>
      </c>
    </row>
    <row r="3214" spans="1:10" x14ac:dyDescent="0.75">
      <c r="A3214" t="s">
        <v>96</v>
      </c>
      <c r="B3214" s="3">
        <v>44901</v>
      </c>
      <c r="C3214">
        <v>1</v>
      </c>
      <c r="D3214" t="s">
        <v>191</v>
      </c>
      <c r="E3214" s="22">
        <f>7-6</f>
        <v>1</v>
      </c>
      <c r="F3214" t="s">
        <v>363</v>
      </c>
      <c r="G3214" t="s">
        <v>869</v>
      </c>
      <c r="I3214" t="s">
        <v>668</v>
      </c>
      <c r="J3214" s="3">
        <v>44939</v>
      </c>
    </row>
    <row r="3215" spans="1:10" x14ac:dyDescent="0.75">
      <c r="A3215" t="s">
        <v>96</v>
      </c>
      <c r="B3215" s="3">
        <v>44901</v>
      </c>
      <c r="C3215">
        <v>1</v>
      </c>
      <c r="D3215" t="s">
        <v>194</v>
      </c>
      <c r="E3215" s="22">
        <f>6-3</f>
        <v>3</v>
      </c>
      <c r="F3215" t="s">
        <v>363</v>
      </c>
      <c r="G3215" t="s">
        <v>869</v>
      </c>
      <c r="I3215" t="s">
        <v>668</v>
      </c>
      <c r="J3215" s="3">
        <v>44939</v>
      </c>
    </row>
    <row r="3216" spans="1:10" x14ac:dyDescent="0.75">
      <c r="A3216" t="s">
        <v>96</v>
      </c>
      <c r="B3216" s="3">
        <v>44901</v>
      </c>
      <c r="C3216">
        <v>1</v>
      </c>
      <c r="D3216" t="s">
        <v>191</v>
      </c>
      <c r="E3216" s="22">
        <f>49-46</f>
        <v>3</v>
      </c>
      <c r="F3216" t="s">
        <v>363</v>
      </c>
      <c r="G3216" t="s">
        <v>869</v>
      </c>
      <c r="I3216" t="s">
        <v>668</v>
      </c>
      <c r="J3216" s="3">
        <v>44939</v>
      </c>
    </row>
    <row r="3217" spans="1:10" x14ac:dyDescent="0.75">
      <c r="A3217" t="s">
        <v>96</v>
      </c>
      <c r="B3217" s="3">
        <v>44901</v>
      </c>
      <c r="C3217">
        <v>1</v>
      </c>
      <c r="D3217" t="s">
        <v>191</v>
      </c>
      <c r="E3217" s="22">
        <f>46-41</f>
        <v>5</v>
      </c>
      <c r="F3217" t="s">
        <v>363</v>
      </c>
      <c r="G3217" t="s">
        <v>869</v>
      </c>
      <c r="I3217" t="s">
        <v>668</v>
      </c>
      <c r="J3217" s="3">
        <v>44939</v>
      </c>
    </row>
    <row r="3218" spans="1:10" x14ac:dyDescent="0.75">
      <c r="A3218" t="s">
        <v>96</v>
      </c>
      <c r="B3218" s="3">
        <v>44901</v>
      </c>
      <c r="C3218">
        <v>1</v>
      </c>
      <c r="D3218" t="s">
        <v>191</v>
      </c>
      <c r="E3218" s="22">
        <f>50-48</f>
        <v>2</v>
      </c>
      <c r="F3218" t="s">
        <v>363</v>
      </c>
      <c r="G3218" t="s">
        <v>367</v>
      </c>
      <c r="I3218" t="s">
        <v>668</v>
      </c>
      <c r="J3218" s="3">
        <v>44939</v>
      </c>
    </row>
    <row r="3219" spans="1:10" x14ac:dyDescent="0.75">
      <c r="A3219" t="s">
        <v>96</v>
      </c>
      <c r="B3219" s="3">
        <v>44901</v>
      </c>
      <c r="C3219">
        <v>1</v>
      </c>
      <c r="D3219" t="s">
        <v>199</v>
      </c>
      <c r="E3219" s="22">
        <f>1</f>
        <v>1</v>
      </c>
      <c r="F3219" t="s">
        <v>363</v>
      </c>
      <c r="G3219" t="s">
        <v>367</v>
      </c>
      <c r="I3219" t="s">
        <v>668</v>
      </c>
      <c r="J3219" s="3">
        <v>44939</v>
      </c>
    </row>
    <row r="3220" spans="1:10" x14ac:dyDescent="0.75">
      <c r="A3220" t="s">
        <v>96</v>
      </c>
      <c r="B3220" s="3">
        <v>44901</v>
      </c>
      <c r="C3220">
        <v>1</v>
      </c>
      <c r="D3220" t="s">
        <v>194</v>
      </c>
      <c r="E3220" s="22">
        <f>48-46</f>
        <v>2</v>
      </c>
      <c r="F3220" t="s">
        <v>363</v>
      </c>
      <c r="G3220" t="s">
        <v>367</v>
      </c>
      <c r="I3220" t="s">
        <v>668</v>
      </c>
      <c r="J3220" s="3">
        <v>44939</v>
      </c>
    </row>
    <row r="3221" spans="1:10" x14ac:dyDescent="0.75">
      <c r="A3221" t="s">
        <v>96</v>
      </c>
      <c r="B3221" s="3">
        <v>44901</v>
      </c>
      <c r="C3221">
        <v>1</v>
      </c>
      <c r="D3221" t="s">
        <v>191</v>
      </c>
      <c r="E3221" s="22">
        <f>46-44</f>
        <v>2</v>
      </c>
      <c r="F3221" t="s">
        <v>363</v>
      </c>
      <c r="G3221" t="s">
        <v>367</v>
      </c>
      <c r="I3221" t="s">
        <v>668</v>
      </c>
      <c r="J3221" s="3">
        <v>44939</v>
      </c>
    </row>
    <row r="3222" spans="1:10" x14ac:dyDescent="0.75">
      <c r="A3222" t="s">
        <v>96</v>
      </c>
      <c r="B3222" s="3">
        <v>44901</v>
      </c>
      <c r="C3222">
        <v>1</v>
      </c>
      <c r="D3222" t="s">
        <v>199</v>
      </c>
      <c r="E3222" s="22">
        <f>44-42</f>
        <v>2</v>
      </c>
      <c r="F3222" t="s">
        <v>363</v>
      </c>
      <c r="G3222" t="s">
        <v>367</v>
      </c>
      <c r="I3222" t="s">
        <v>668</v>
      </c>
      <c r="J3222" s="3">
        <v>44939</v>
      </c>
    </row>
    <row r="3223" spans="1:10" x14ac:dyDescent="0.75">
      <c r="A3223" t="s">
        <v>96</v>
      </c>
      <c r="B3223" s="3">
        <v>44901</v>
      </c>
      <c r="C3223">
        <v>1</v>
      </c>
      <c r="D3223" t="s">
        <v>191</v>
      </c>
      <c r="E3223" s="22">
        <f>42-40</f>
        <v>2</v>
      </c>
      <c r="F3223" t="s">
        <v>363</v>
      </c>
      <c r="G3223" t="s">
        <v>367</v>
      </c>
      <c r="I3223" t="s">
        <v>668</v>
      </c>
      <c r="J3223" s="3">
        <v>44939</v>
      </c>
    </row>
    <row r="3224" spans="1:10" x14ac:dyDescent="0.75">
      <c r="A3224" t="s">
        <v>96</v>
      </c>
      <c r="B3224" s="3">
        <v>44901</v>
      </c>
      <c r="C3224">
        <v>1</v>
      </c>
      <c r="D3224" t="s">
        <v>197</v>
      </c>
      <c r="E3224" s="22">
        <f>40-35</f>
        <v>5</v>
      </c>
      <c r="F3224" t="s">
        <v>363</v>
      </c>
      <c r="G3224" t="s">
        <v>367</v>
      </c>
      <c r="I3224" t="s">
        <v>668</v>
      </c>
      <c r="J3224" s="3">
        <v>44939</v>
      </c>
    </row>
    <row r="3225" spans="1:10" x14ac:dyDescent="0.75">
      <c r="A3225" t="s">
        <v>96</v>
      </c>
      <c r="B3225" s="3">
        <v>44901</v>
      </c>
      <c r="C3225">
        <v>1</v>
      </c>
      <c r="D3225" t="s">
        <v>197</v>
      </c>
      <c r="E3225" s="22">
        <f>35-29</f>
        <v>6</v>
      </c>
      <c r="F3225" t="s">
        <v>363</v>
      </c>
      <c r="G3225" t="s">
        <v>367</v>
      </c>
      <c r="I3225" t="s">
        <v>668</v>
      </c>
      <c r="J3225" s="3">
        <v>44939</v>
      </c>
    </row>
    <row r="3226" spans="1:10" x14ac:dyDescent="0.75">
      <c r="A3226" t="s">
        <v>96</v>
      </c>
      <c r="B3226" s="3">
        <v>44901</v>
      </c>
      <c r="C3226">
        <v>1</v>
      </c>
      <c r="D3226" t="s">
        <v>191</v>
      </c>
      <c r="E3226" s="22">
        <f>29-26</f>
        <v>3</v>
      </c>
      <c r="F3226" t="s">
        <v>363</v>
      </c>
      <c r="G3226" t="s">
        <v>367</v>
      </c>
      <c r="I3226" t="s">
        <v>668</v>
      </c>
      <c r="J3226" s="3">
        <v>44939</v>
      </c>
    </row>
    <row r="3227" spans="1:10" x14ac:dyDescent="0.75">
      <c r="A3227" t="s">
        <v>96</v>
      </c>
      <c r="B3227" s="3">
        <v>44901</v>
      </c>
      <c r="C3227">
        <v>1</v>
      </c>
      <c r="D3227" t="s">
        <v>191</v>
      </c>
      <c r="E3227" s="22">
        <f>26-19</f>
        <v>7</v>
      </c>
      <c r="F3227" t="s">
        <v>363</v>
      </c>
      <c r="G3227" t="s">
        <v>367</v>
      </c>
      <c r="I3227" t="s">
        <v>668</v>
      </c>
      <c r="J3227" s="3">
        <v>44939</v>
      </c>
    </row>
    <row r="3228" spans="1:10" x14ac:dyDescent="0.75">
      <c r="A3228" t="s">
        <v>96</v>
      </c>
      <c r="B3228" s="3">
        <v>44901</v>
      </c>
      <c r="C3228">
        <v>2</v>
      </c>
      <c r="D3228" t="s">
        <v>194</v>
      </c>
      <c r="E3228" s="22">
        <f>52-40</f>
        <v>12</v>
      </c>
      <c r="F3228" t="s">
        <v>363</v>
      </c>
      <c r="G3228" t="s">
        <v>869</v>
      </c>
      <c r="I3228" t="s">
        <v>668</v>
      </c>
      <c r="J3228" s="3">
        <v>44939</v>
      </c>
    </row>
    <row r="3229" spans="1:10" x14ac:dyDescent="0.75">
      <c r="A3229" t="s">
        <v>96</v>
      </c>
      <c r="B3229" s="3">
        <v>44901</v>
      </c>
      <c r="C3229">
        <v>2</v>
      </c>
      <c r="D3229" t="s">
        <v>191</v>
      </c>
      <c r="E3229" s="22">
        <f>40-33</f>
        <v>7</v>
      </c>
      <c r="F3229" t="s">
        <v>363</v>
      </c>
      <c r="G3229" t="s">
        <v>869</v>
      </c>
      <c r="I3229" t="s">
        <v>668</v>
      </c>
      <c r="J3229" s="3">
        <v>44939</v>
      </c>
    </row>
    <row r="3230" spans="1:10" x14ac:dyDescent="0.75">
      <c r="A3230" t="s">
        <v>96</v>
      </c>
      <c r="B3230" s="3">
        <v>44901</v>
      </c>
      <c r="C3230">
        <v>2</v>
      </c>
      <c r="D3230" t="s">
        <v>197</v>
      </c>
      <c r="E3230" s="22">
        <f>33-29</f>
        <v>4</v>
      </c>
      <c r="F3230" t="s">
        <v>363</v>
      </c>
      <c r="G3230" t="s">
        <v>869</v>
      </c>
      <c r="I3230" t="s">
        <v>668</v>
      </c>
      <c r="J3230" s="3">
        <v>44939</v>
      </c>
    </row>
    <row r="3231" spans="1:10" x14ac:dyDescent="0.75">
      <c r="A3231" t="s">
        <v>96</v>
      </c>
      <c r="B3231" s="3">
        <v>44901</v>
      </c>
      <c r="C3231">
        <v>2</v>
      </c>
      <c r="D3231" t="s">
        <v>197</v>
      </c>
      <c r="E3231" s="22">
        <f>29-11</f>
        <v>18</v>
      </c>
      <c r="F3231" t="s">
        <v>363</v>
      </c>
      <c r="G3231" t="s">
        <v>869</v>
      </c>
      <c r="I3231" t="s">
        <v>668</v>
      </c>
      <c r="J3231" s="3">
        <v>44939</v>
      </c>
    </row>
    <row r="3232" spans="1:10" x14ac:dyDescent="0.75">
      <c r="A3232" t="s">
        <v>96</v>
      </c>
      <c r="B3232" s="3">
        <v>44901</v>
      </c>
      <c r="C3232">
        <v>2</v>
      </c>
      <c r="D3232" t="s">
        <v>197</v>
      </c>
      <c r="E3232" s="22">
        <f>11-10</f>
        <v>1</v>
      </c>
      <c r="F3232" t="s">
        <v>363</v>
      </c>
      <c r="G3232" t="s">
        <v>869</v>
      </c>
      <c r="I3232" t="s">
        <v>668</v>
      </c>
      <c r="J3232" s="3">
        <v>44939</v>
      </c>
    </row>
    <row r="3233" spans="1:10" x14ac:dyDescent="0.75">
      <c r="A3233" t="s">
        <v>96</v>
      </c>
      <c r="B3233" s="3">
        <v>44901</v>
      </c>
      <c r="C3233">
        <v>2</v>
      </c>
      <c r="D3233" t="s">
        <v>197</v>
      </c>
      <c r="E3233" s="22">
        <f>1</f>
        <v>1</v>
      </c>
      <c r="F3233" t="s">
        <v>363</v>
      </c>
      <c r="G3233" t="s">
        <v>869</v>
      </c>
      <c r="I3233" t="s">
        <v>668</v>
      </c>
      <c r="J3233" s="3">
        <v>44939</v>
      </c>
    </row>
    <row r="3234" spans="1:10" x14ac:dyDescent="0.75">
      <c r="A3234" t="s">
        <v>96</v>
      </c>
      <c r="B3234" s="3">
        <v>44901</v>
      </c>
      <c r="C3234">
        <v>2</v>
      </c>
      <c r="D3234" t="s">
        <v>197</v>
      </c>
      <c r="E3234" s="22">
        <f>10-9</f>
        <v>1</v>
      </c>
      <c r="F3234" t="s">
        <v>363</v>
      </c>
      <c r="G3234" t="s">
        <v>869</v>
      </c>
      <c r="I3234" t="s">
        <v>668</v>
      </c>
      <c r="J3234" s="3">
        <v>44939</v>
      </c>
    </row>
    <row r="3235" spans="1:10" x14ac:dyDescent="0.75">
      <c r="A3235" t="s">
        <v>96</v>
      </c>
      <c r="B3235" s="3">
        <v>44901</v>
      </c>
      <c r="C3235">
        <v>2</v>
      </c>
      <c r="D3235" t="s">
        <v>191</v>
      </c>
      <c r="E3235" s="22">
        <f>41-35</f>
        <v>6</v>
      </c>
      <c r="F3235" t="s">
        <v>363</v>
      </c>
      <c r="G3235" t="s">
        <v>869</v>
      </c>
      <c r="I3235" t="s">
        <v>668</v>
      </c>
      <c r="J3235" s="3">
        <v>44939</v>
      </c>
    </row>
    <row r="3236" spans="1:10" x14ac:dyDescent="0.75">
      <c r="A3236" t="s">
        <v>96</v>
      </c>
      <c r="B3236" s="3">
        <v>44901</v>
      </c>
      <c r="C3236">
        <v>2</v>
      </c>
      <c r="D3236" t="s">
        <v>215</v>
      </c>
      <c r="E3236" s="22">
        <f>35-34</f>
        <v>1</v>
      </c>
      <c r="F3236" t="s">
        <v>363</v>
      </c>
      <c r="G3236" t="s">
        <v>869</v>
      </c>
      <c r="I3236" t="s">
        <v>668</v>
      </c>
      <c r="J3236" s="3">
        <v>44939</v>
      </c>
    </row>
    <row r="3237" spans="1:10" x14ac:dyDescent="0.75">
      <c r="A3237" t="s">
        <v>96</v>
      </c>
      <c r="B3237" s="3">
        <v>44901</v>
      </c>
      <c r="C3237">
        <v>2</v>
      </c>
      <c r="D3237" t="s">
        <v>199</v>
      </c>
      <c r="E3237" s="22">
        <f>34-33</f>
        <v>1</v>
      </c>
      <c r="F3237" t="s">
        <v>363</v>
      </c>
      <c r="G3237" t="s">
        <v>869</v>
      </c>
      <c r="I3237" t="s">
        <v>668</v>
      </c>
      <c r="J3237" s="3">
        <v>44939</v>
      </c>
    </row>
    <row r="3238" spans="1:10" x14ac:dyDescent="0.75">
      <c r="A3238" t="s">
        <v>96</v>
      </c>
      <c r="B3238" s="3">
        <v>44901</v>
      </c>
      <c r="C3238">
        <v>2</v>
      </c>
      <c r="D3238" t="s">
        <v>153</v>
      </c>
      <c r="E3238" s="22">
        <f>33-10</f>
        <v>23</v>
      </c>
      <c r="F3238" t="s">
        <v>363</v>
      </c>
      <c r="G3238" t="s">
        <v>869</v>
      </c>
      <c r="I3238" t="s">
        <v>668</v>
      </c>
      <c r="J3238" s="3">
        <v>44939</v>
      </c>
    </row>
    <row r="3239" spans="1:10" x14ac:dyDescent="0.75">
      <c r="A3239" t="s">
        <v>96</v>
      </c>
      <c r="B3239" s="3">
        <v>44901</v>
      </c>
      <c r="C3239">
        <v>2</v>
      </c>
      <c r="D3239" t="s">
        <v>197</v>
      </c>
      <c r="E3239" s="22">
        <f>10-3</f>
        <v>7</v>
      </c>
      <c r="F3239" t="s">
        <v>363</v>
      </c>
      <c r="G3239" t="s">
        <v>869</v>
      </c>
      <c r="I3239" t="s">
        <v>668</v>
      </c>
      <c r="J3239" s="3">
        <v>44939</v>
      </c>
    </row>
    <row r="3240" spans="1:10" x14ac:dyDescent="0.75">
      <c r="A3240" t="s">
        <v>96</v>
      </c>
      <c r="B3240" s="3">
        <v>44901</v>
      </c>
      <c r="C3240">
        <v>2</v>
      </c>
      <c r="D3240" t="s">
        <v>194</v>
      </c>
      <c r="E3240" s="22">
        <f>51-44</f>
        <v>7</v>
      </c>
      <c r="F3240" t="s">
        <v>363</v>
      </c>
      <c r="G3240" t="s">
        <v>869</v>
      </c>
      <c r="I3240" t="s">
        <v>668</v>
      </c>
      <c r="J3240" s="3">
        <v>44939</v>
      </c>
    </row>
    <row r="3241" spans="1:10" x14ac:dyDescent="0.75">
      <c r="A3241" t="s">
        <v>96</v>
      </c>
      <c r="B3241" s="3">
        <v>44901</v>
      </c>
      <c r="C3241">
        <v>2</v>
      </c>
      <c r="D3241" t="s">
        <v>197</v>
      </c>
      <c r="E3241" s="22">
        <f>44-29</f>
        <v>15</v>
      </c>
      <c r="F3241" t="s">
        <v>363</v>
      </c>
      <c r="G3241" t="s">
        <v>869</v>
      </c>
      <c r="I3241" t="s">
        <v>668</v>
      </c>
      <c r="J3241" s="3">
        <v>44939</v>
      </c>
    </row>
    <row r="3242" spans="1:10" x14ac:dyDescent="0.75">
      <c r="A3242" t="s">
        <v>96</v>
      </c>
      <c r="B3242" s="3">
        <v>44901</v>
      </c>
      <c r="C3242">
        <v>2</v>
      </c>
      <c r="D3242" t="s">
        <v>197</v>
      </c>
      <c r="E3242" s="22">
        <f>29-25</f>
        <v>4</v>
      </c>
      <c r="F3242" t="s">
        <v>363</v>
      </c>
      <c r="G3242" t="s">
        <v>869</v>
      </c>
      <c r="I3242" t="s">
        <v>668</v>
      </c>
      <c r="J3242" s="3">
        <v>44939</v>
      </c>
    </row>
    <row r="3243" spans="1:10" x14ac:dyDescent="0.75">
      <c r="A3243" t="s">
        <v>96</v>
      </c>
      <c r="B3243" s="3">
        <v>44901</v>
      </c>
      <c r="C3243">
        <v>2</v>
      </c>
      <c r="D3243" t="s">
        <v>197</v>
      </c>
      <c r="E3243" s="22">
        <f>25-17</f>
        <v>8</v>
      </c>
      <c r="F3243" t="s">
        <v>363</v>
      </c>
      <c r="G3243" t="s">
        <v>869</v>
      </c>
      <c r="I3243" t="s">
        <v>668</v>
      </c>
      <c r="J3243" s="3">
        <v>44939</v>
      </c>
    </row>
    <row r="3244" spans="1:10" x14ac:dyDescent="0.75">
      <c r="A3244" t="s">
        <v>96</v>
      </c>
      <c r="B3244" s="3">
        <v>44901</v>
      </c>
      <c r="C3244">
        <v>2</v>
      </c>
      <c r="D3244" t="s">
        <v>215</v>
      </c>
      <c r="E3244" s="22">
        <f>16-13</f>
        <v>3</v>
      </c>
      <c r="F3244" t="s">
        <v>363</v>
      </c>
      <c r="G3244" t="s">
        <v>869</v>
      </c>
      <c r="I3244" t="s">
        <v>668</v>
      </c>
      <c r="J3244" s="3">
        <v>44939</v>
      </c>
    </row>
    <row r="3245" spans="1:10" x14ac:dyDescent="0.75">
      <c r="A3245" t="s">
        <v>96</v>
      </c>
      <c r="B3245" s="3">
        <v>44901</v>
      </c>
      <c r="C3245">
        <v>2</v>
      </c>
      <c r="D3245" t="s">
        <v>197</v>
      </c>
      <c r="E3245" s="22">
        <f>13-9</f>
        <v>4</v>
      </c>
      <c r="F3245" t="s">
        <v>363</v>
      </c>
      <c r="G3245" t="s">
        <v>869</v>
      </c>
      <c r="I3245" t="s">
        <v>668</v>
      </c>
      <c r="J3245" s="3">
        <v>44939</v>
      </c>
    </row>
    <row r="3246" spans="1:10" x14ac:dyDescent="0.75">
      <c r="A3246" t="s">
        <v>96</v>
      </c>
      <c r="B3246" s="3">
        <v>44901</v>
      </c>
      <c r="C3246">
        <v>2</v>
      </c>
      <c r="D3246" t="s">
        <v>197</v>
      </c>
      <c r="E3246" s="22">
        <f>9-4</f>
        <v>5</v>
      </c>
      <c r="F3246" t="s">
        <v>363</v>
      </c>
      <c r="G3246" t="s">
        <v>869</v>
      </c>
      <c r="I3246" t="s">
        <v>668</v>
      </c>
      <c r="J3246" s="3">
        <v>44939</v>
      </c>
    </row>
    <row r="3247" spans="1:10" x14ac:dyDescent="0.75">
      <c r="A3247" t="s">
        <v>96</v>
      </c>
      <c r="B3247" s="3">
        <v>44901</v>
      </c>
      <c r="C3247">
        <v>2</v>
      </c>
      <c r="D3247" t="s">
        <v>194</v>
      </c>
      <c r="E3247" s="22">
        <f>49-34</f>
        <v>15</v>
      </c>
      <c r="F3247" t="s">
        <v>363</v>
      </c>
      <c r="G3247" t="s">
        <v>869</v>
      </c>
      <c r="I3247" t="s">
        <v>668</v>
      </c>
      <c r="J3247" s="3">
        <v>44939</v>
      </c>
    </row>
    <row r="3248" spans="1:10" x14ac:dyDescent="0.75">
      <c r="A3248" t="s">
        <v>96</v>
      </c>
      <c r="B3248" s="3">
        <v>44901</v>
      </c>
      <c r="C3248">
        <v>2</v>
      </c>
      <c r="D3248" t="s">
        <v>191</v>
      </c>
      <c r="E3248" s="22">
        <f>34-32</f>
        <v>2</v>
      </c>
      <c r="F3248" t="s">
        <v>363</v>
      </c>
      <c r="G3248" t="s">
        <v>869</v>
      </c>
      <c r="I3248" t="s">
        <v>668</v>
      </c>
      <c r="J3248" s="3">
        <v>44939</v>
      </c>
    </row>
    <row r="3249" spans="1:10" x14ac:dyDescent="0.75">
      <c r="A3249" t="s">
        <v>96</v>
      </c>
      <c r="B3249" s="3">
        <v>44901</v>
      </c>
      <c r="C3249">
        <v>2</v>
      </c>
      <c r="D3249" t="s">
        <v>194</v>
      </c>
      <c r="E3249" s="22">
        <f>32-28</f>
        <v>4</v>
      </c>
      <c r="F3249" t="s">
        <v>363</v>
      </c>
      <c r="G3249" t="s">
        <v>869</v>
      </c>
      <c r="I3249" t="s">
        <v>668</v>
      </c>
      <c r="J3249" s="3">
        <v>44939</v>
      </c>
    </row>
    <row r="3250" spans="1:10" x14ac:dyDescent="0.75">
      <c r="A3250" t="s">
        <v>96</v>
      </c>
      <c r="B3250" s="3">
        <v>44901</v>
      </c>
      <c r="C3250">
        <v>2</v>
      </c>
      <c r="D3250" t="s">
        <v>191</v>
      </c>
      <c r="E3250" s="22">
        <f>28-26</f>
        <v>2</v>
      </c>
      <c r="F3250" t="s">
        <v>363</v>
      </c>
      <c r="G3250" t="s">
        <v>869</v>
      </c>
      <c r="I3250" t="s">
        <v>668</v>
      </c>
      <c r="J3250" s="3">
        <v>44939</v>
      </c>
    </row>
    <row r="3251" spans="1:10" x14ac:dyDescent="0.75">
      <c r="A3251" t="s">
        <v>96</v>
      </c>
      <c r="B3251" s="3">
        <v>44901</v>
      </c>
      <c r="C3251">
        <v>2</v>
      </c>
      <c r="D3251" t="s">
        <v>191</v>
      </c>
      <c r="E3251" s="22">
        <f>26-24</f>
        <v>2</v>
      </c>
      <c r="F3251" t="s">
        <v>363</v>
      </c>
      <c r="G3251" t="s">
        <v>869</v>
      </c>
      <c r="I3251" t="s">
        <v>668</v>
      </c>
      <c r="J3251" s="3">
        <v>44939</v>
      </c>
    </row>
    <row r="3252" spans="1:10" x14ac:dyDescent="0.75">
      <c r="A3252" t="s">
        <v>96</v>
      </c>
      <c r="B3252" s="3">
        <v>44901</v>
      </c>
      <c r="C3252">
        <v>2</v>
      </c>
      <c r="D3252" t="s">
        <v>207</v>
      </c>
      <c r="E3252" s="22">
        <f>24-17</f>
        <v>7</v>
      </c>
      <c r="F3252" t="s">
        <v>363</v>
      </c>
      <c r="G3252" t="s">
        <v>869</v>
      </c>
      <c r="I3252" t="s">
        <v>668</v>
      </c>
      <c r="J3252" s="3">
        <v>44939</v>
      </c>
    </row>
    <row r="3253" spans="1:10" x14ac:dyDescent="0.75">
      <c r="A3253" t="s">
        <v>96</v>
      </c>
      <c r="B3253" s="3">
        <v>44901</v>
      </c>
      <c r="C3253">
        <v>2</v>
      </c>
      <c r="D3253" t="s">
        <v>197</v>
      </c>
      <c r="E3253" s="22">
        <f>17-14</f>
        <v>3</v>
      </c>
      <c r="F3253" t="s">
        <v>363</v>
      </c>
      <c r="G3253" t="s">
        <v>869</v>
      </c>
      <c r="I3253" t="s">
        <v>668</v>
      </c>
      <c r="J3253" s="3">
        <v>44939</v>
      </c>
    </row>
    <row r="3254" spans="1:10" x14ac:dyDescent="0.75">
      <c r="A3254" t="s">
        <v>96</v>
      </c>
      <c r="B3254" s="3">
        <v>44901</v>
      </c>
      <c r="C3254">
        <v>2</v>
      </c>
      <c r="D3254" t="s">
        <v>197</v>
      </c>
      <c r="E3254" s="22">
        <f>20-14</f>
        <v>6</v>
      </c>
      <c r="F3254" t="s">
        <v>363</v>
      </c>
      <c r="G3254" t="s">
        <v>367</v>
      </c>
      <c r="I3254" t="s">
        <v>668</v>
      </c>
      <c r="J3254" s="3">
        <v>44939</v>
      </c>
    </row>
    <row r="3255" spans="1:10" x14ac:dyDescent="0.75">
      <c r="A3255" t="s">
        <v>96</v>
      </c>
      <c r="B3255" s="3">
        <v>44901</v>
      </c>
      <c r="C3255">
        <v>2</v>
      </c>
      <c r="D3255" t="s">
        <v>207</v>
      </c>
      <c r="E3255" s="22">
        <f>14-12</f>
        <v>2</v>
      </c>
      <c r="F3255" t="s">
        <v>363</v>
      </c>
      <c r="G3255" t="s">
        <v>367</v>
      </c>
      <c r="I3255" t="s">
        <v>668</v>
      </c>
      <c r="J3255" s="3">
        <v>44939</v>
      </c>
    </row>
    <row r="3256" spans="1:10" x14ac:dyDescent="0.75">
      <c r="A3256" t="s">
        <v>96</v>
      </c>
      <c r="B3256" s="3">
        <v>44901</v>
      </c>
      <c r="C3256">
        <v>2</v>
      </c>
      <c r="D3256" t="s">
        <v>199</v>
      </c>
      <c r="E3256" s="22">
        <f>12-10</f>
        <v>2</v>
      </c>
      <c r="F3256" t="s">
        <v>363</v>
      </c>
      <c r="G3256" t="s">
        <v>367</v>
      </c>
      <c r="I3256" t="s">
        <v>668</v>
      </c>
      <c r="J3256" s="3">
        <v>44939</v>
      </c>
    </row>
    <row r="3257" spans="1:10" x14ac:dyDescent="0.75">
      <c r="A3257" t="s">
        <v>96</v>
      </c>
      <c r="B3257" s="3">
        <v>44901</v>
      </c>
      <c r="C3257">
        <v>2</v>
      </c>
      <c r="D3257" t="s">
        <v>197</v>
      </c>
      <c r="E3257" s="22">
        <f>10-9</f>
        <v>1</v>
      </c>
      <c r="F3257" t="s">
        <v>363</v>
      </c>
      <c r="G3257" t="s">
        <v>367</v>
      </c>
      <c r="I3257" t="s">
        <v>668</v>
      </c>
      <c r="J3257" s="3">
        <v>44939</v>
      </c>
    </row>
    <row r="3258" spans="1:10" x14ac:dyDescent="0.75">
      <c r="A3258" t="s">
        <v>96</v>
      </c>
      <c r="B3258" s="3">
        <v>44901</v>
      </c>
      <c r="C3258">
        <v>2</v>
      </c>
      <c r="D3258" t="s">
        <v>207</v>
      </c>
      <c r="E3258" s="22">
        <f>9</f>
        <v>9</v>
      </c>
      <c r="F3258" t="s">
        <v>363</v>
      </c>
      <c r="G3258" t="s">
        <v>367</v>
      </c>
      <c r="I3258" t="s">
        <v>668</v>
      </c>
      <c r="J3258" s="3">
        <v>44939</v>
      </c>
    </row>
    <row r="3259" spans="1:10" x14ac:dyDescent="0.75">
      <c r="A3259" t="s">
        <v>96</v>
      </c>
      <c r="B3259" s="3">
        <v>44901</v>
      </c>
      <c r="C3259">
        <v>3</v>
      </c>
      <c r="D3259" t="s">
        <v>194</v>
      </c>
      <c r="E3259" s="22">
        <f>15-5</f>
        <v>10</v>
      </c>
      <c r="F3259" t="s">
        <v>363</v>
      </c>
      <c r="G3259" t="s">
        <v>869</v>
      </c>
      <c r="I3259" t="s">
        <v>668</v>
      </c>
      <c r="J3259" s="3">
        <v>44939</v>
      </c>
    </row>
    <row r="3260" spans="1:10" x14ac:dyDescent="0.75">
      <c r="A3260" t="s">
        <v>96</v>
      </c>
      <c r="B3260" s="3">
        <v>44901</v>
      </c>
      <c r="C3260">
        <v>3</v>
      </c>
      <c r="D3260" t="s">
        <v>199</v>
      </c>
      <c r="E3260" s="22">
        <f>5-1</f>
        <v>4</v>
      </c>
      <c r="F3260" t="s">
        <v>363</v>
      </c>
      <c r="G3260" t="s">
        <v>869</v>
      </c>
      <c r="I3260" t="s">
        <v>668</v>
      </c>
      <c r="J3260" s="3">
        <v>44939</v>
      </c>
    </row>
    <row r="3261" spans="1:10" x14ac:dyDescent="0.75">
      <c r="A3261" t="s">
        <v>96</v>
      </c>
      <c r="B3261" s="3">
        <v>44901</v>
      </c>
      <c r="C3261">
        <v>3</v>
      </c>
      <c r="D3261" t="s">
        <v>197</v>
      </c>
      <c r="E3261" s="22">
        <f>8-1</f>
        <v>7</v>
      </c>
      <c r="F3261" t="s">
        <v>363</v>
      </c>
      <c r="G3261" t="s">
        <v>869</v>
      </c>
      <c r="I3261" t="s">
        <v>668</v>
      </c>
      <c r="J3261" s="3">
        <v>44939</v>
      </c>
    </row>
    <row r="3262" spans="1:10" x14ac:dyDescent="0.75">
      <c r="A3262" t="s">
        <v>96</v>
      </c>
      <c r="B3262" s="3">
        <v>44901</v>
      </c>
      <c r="C3262">
        <v>3</v>
      </c>
      <c r="D3262" t="s">
        <v>197</v>
      </c>
      <c r="E3262" s="22">
        <f>1</f>
        <v>1</v>
      </c>
      <c r="F3262" t="s">
        <v>363</v>
      </c>
      <c r="G3262" t="s">
        <v>869</v>
      </c>
      <c r="I3262" t="s">
        <v>668</v>
      </c>
      <c r="J3262" s="3">
        <v>44939</v>
      </c>
    </row>
    <row r="3263" spans="1:10" x14ac:dyDescent="0.75">
      <c r="A3263" t="s">
        <v>96</v>
      </c>
      <c r="B3263" s="3">
        <v>44901</v>
      </c>
      <c r="C3263">
        <v>3</v>
      </c>
      <c r="D3263" t="s">
        <v>197</v>
      </c>
      <c r="E3263" s="22">
        <f>3+4</f>
        <v>7</v>
      </c>
      <c r="F3263" t="s">
        <v>363</v>
      </c>
      <c r="G3263" t="s">
        <v>869</v>
      </c>
      <c r="I3263" t="s">
        <v>668</v>
      </c>
      <c r="J3263" s="3">
        <v>44939</v>
      </c>
    </row>
    <row r="3264" spans="1:10" x14ac:dyDescent="0.75">
      <c r="A3264" t="s">
        <v>96</v>
      </c>
      <c r="B3264" s="3">
        <v>44901</v>
      </c>
      <c r="C3264">
        <v>3</v>
      </c>
      <c r="D3264" t="s">
        <v>194</v>
      </c>
      <c r="E3264" s="22">
        <f>46-44</f>
        <v>2</v>
      </c>
      <c r="F3264" t="s">
        <v>363</v>
      </c>
      <c r="G3264" t="s">
        <v>869</v>
      </c>
      <c r="I3264" t="s">
        <v>668</v>
      </c>
      <c r="J3264" s="3">
        <v>44939</v>
      </c>
    </row>
    <row r="3265" spans="1:11" x14ac:dyDescent="0.75">
      <c r="A3265" t="s">
        <v>96</v>
      </c>
      <c r="B3265" s="3">
        <v>44901</v>
      </c>
      <c r="C3265">
        <v>3</v>
      </c>
      <c r="D3265" t="s">
        <v>194</v>
      </c>
      <c r="E3265" s="22">
        <f>44-43</f>
        <v>1</v>
      </c>
      <c r="F3265" t="s">
        <v>363</v>
      </c>
      <c r="G3265" t="s">
        <v>869</v>
      </c>
      <c r="I3265" t="s">
        <v>668</v>
      </c>
      <c r="J3265" s="3">
        <v>44939</v>
      </c>
    </row>
    <row r="3266" spans="1:11" x14ac:dyDescent="0.75">
      <c r="A3266" t="s">
        <v>96</v>
      </c>
      <c r="B3266" s="3">
        <v>44901</v>
      </c>
      <c r="C3266">
        <v>3</v>
      </c>
      <c r="D3266" t="s">
        <v>197</v>
      </c>
      <c r="E3266" s="22">
        <f>43-32</f>
        <v>11</v>
      </c>
      <c r="F3266" t="s">
        <v>363</v>
      </c>
      <c r="G3266" t="s">
        <v>869</v>
      </c>
      <c r="I3266" t="s">
        <v>668</v>
      </c>
      <c r="J3266" s="3">
        <v>44939</v>
      </c>
    </row>
    <row r="3267" spans="1:11" x14ac:dyDescent="0.75">
      <c r="A3267" t="s">
        <v>96</v>
      </c>
      <c r="B3267" s="3">
        <v>44901</v>
      </c>
      <c r="C3267">
        <v>3</v>
      </c>
      <c r="D3267" t="s">
        <v>194</v>
      </c>
      <c r="E3267" s="22">
        <f>32-20</f>
        <v>12</v>
      </c>
      <c r="F3267" t="s">
        <v>363</v>
      </c>
      <c r="G3267" t="s">
        <v>869</v>
      </c>
      <c r="I3267" t="s">
        <v>668</v>
      </c>
      <c r="J3267" s="3">
        <v>44939</v>
      </c>
      <c r="K3267" t="s">
        <v>873</v>
      </c>
    </row>
    <row r="3268" spans="1:11" x14ac:dyDescent="0.75">
      <c r="A3268" t="s">
        <v>96</v>
      </c>
      <c r="B3268" s="3">
        <v>44901</v>
      </c>
      <c r="C3268">
        <v>3</v>
      </c>
      <c r="D3268" t="s">
        <v>194</v>
      </c>
      <c r="E3268" s="22">
        <f>20-14</f>
        <v>6</v>
      </c>
      <c r="F3268" t="s">
        <v>363</v>
      </c>
      <c r="G3268" t="s">
        <v>869</v>
      </c>
      <c r="I3268" t="s">
        <v>668</v>
      </c>
      <c r="J3268" s="3">
        <v>44939</v>
      </c>
    </row>
    <row r="3269" spans="1:11" x14ac:dyDescent="0.75">
      <c r="A3269" t="s">
        <v>96</v>
      </c>
      <c r="B3269" s="3">
        <v>44901</v>
      </c>
      <c r="C3269">
        <v>3</v>
      </c>
      <c r="D3269" t="s">
        <v>194</v>
      </c>
      <c r="E3269" s="22">
        <f>50-46</f>
        <v>4</v>
      </c>
      <c r="F3269" t="s">
        <v>363</v>
      </c>
      <c r="G3269" t="s">
        <v>367</v>
      </c>
      <c r="I3269" t="s">
        <v>668</v>
      </c>
      <c r="J3269" s="3">
        <v>44939</v>
      </c>
    </row>
    <row r="3270" spans="1:11" x14ac:dyDescent="0.75">
      <c r="A3270" t="s">
        <v>96</v>
      </c>
      <c r="B3270" s="3">
        <v>44901</v>
      </c>
      <c r="C3270">
        <v>3</v>
      </c>
      <c r="D3270" t="s">
        <v>191</v>
      </c>
      <c r="E3270" s="22">
        <f>40-38</f>
        <v>2</v>
      </c>
      <c r="F3270" t="s">
        <v>363</v>
      </c>
      <c r="G3270" t="s">
        <v>367</v>
      </c>
      <c r="I3270" t="s">
        <v>668</v>
      </c>
      <c r="J3270" s="3">
        <v>44939</v>
      </c>
    </row>
    <row r="3271" spans="1:11" x14ac:dyDescent="0.75">
      <c r="A3271" t="s">
        <v>74</v>
      </c>
      <c r="B3271" s="3">
        <v>44903</v>
      </c>
      <c r="C3271">
        <v>1</v>
      </c>
      <c r="D3271" t="s">
        <v>215</v>
      </c>
      <c r="E3271" s="22">
        <f>55-52</f>
        <v>3</v>
      </c>
      <c r="F3271" t="s">
        <v>363</v>
      </c>
      <c r="G3271" t="s">
        <v>869</v>
      </c>
      <c r="I3271" t="s">
        <v>668</v>
      </c>
      <c r="J3271" s="3">
        <v>44939</v>
      </c>
    </row>
    <row r="3272" spans="1:11" x14ac:dyDescent="0.75">
      <c r="A3272" t="s">
        <v>74</v>
      </c>
      <c r="B3272" s="3">
        <v>44903</v>
      </c>
      <c r="C3272">
        <v>1</v>
      </c>
      <c r="D3272" t="s">
        <v>168</v>
      </c>
      <c r="E3272" s="22">
        <f>52-46</f>
        <v>6</v>
      </c>
      <c r="F3272" t="s">
        <v>363</v>
      </c>
      <c r="G3272" t="s">
        <v>869</v>
      </c>
      <c r="I3272" t="s">
        <v>668</v>
      </c>
      <c r="J3272" s="3">
        <v>44939</v>
      </c>
    </row>
    <row r="3273" spans="1:11" x14ac:dyDescent="0.75">
      <c r="A3273" t="s">
        <v>74</v>
      </c>
      <c r="B3273" s="3">
        <v>44903</v>
      </c>
      <c r="C3273">
        <v>1</v>
      </c>
      <c r="D3273" t="s">
        <v>205</v>
      </c>
      <c r="E3273" s="22">
        <f>46-44</f>
        <v>2</v>
      </c>
      <c r="F3273" t="s">
        <v>363</v>
      </c>
      <c r="G3273" t="s">
        <v>869</v>
      </c>
      <c r="I3273" t="s">
        <v>668</v>
      </c>
      <c r="J3273" s="3">
        <v>44939</v>
      </c>
    </row>
    <row r="3274" spans="1:11" x14ac:dyDescent="0.75">
      <c r="A3274" t="s">
        <v>74</v>
      </c>
      <c r="B3274" s="3">
        <v>44903</v>
      </c>
      <c r="C3274">
        <v>1</v>
      </c>
      <c r="D3274" t="s">
        <v>160</v>
      </c>
      <c r="E3274" s="22">
        <f>44-3</f>
        <v>41</v>
      </c>
      <c r="F3274" t="s">
        <v>363</v>
      </c>
      <c r="G3274" t="s">
        <v>869</v>
      </c>
      <c r="I3274" t="s">
        <v>668</v>
      </c>
      <c r="J3274" s="3">
        <v>44939</v>
      </c>
    </row>
    <row r="3275" spans="1:11" x14ac:dyDescent="0.75">
      <c r="A3275" t="s">
        <v>74</v>
      </c>
      <c r="B3275" s="3">
        <v>44903</v>
      </c>
      <c r="C3275">
        <v>1</v>
      </c>
      <c r="D3275" t="s">
        <v>176</v>
      </c>
      <c r="E3275" s="22">
        <f>56-49</f>
        <v>7</v>
      </c>
      <c r="F3275" t="s">
        <v>363</v>
      </c>
      <c r="G3275" t="s">
        <v>869</v>
      </c>
      <c r="I3275" t="s">
        <v>668</v>
      </c>
      <c r="J3275" s="3">
        <v>44939</v>
      </c>
    </row>
    <row r="3276" spans="1:11" x14ac:dyDescent="0.75">
      <c r="A3276" t="s">
        <v>74</v>
      </c>
      <c r="B3276" s="3">
        <v>44903</v>
      </c>
      <c r="C3276">
        <v>1</v>
      </c>
      <c r="D3276" t="s">
        <v>168</v>
      </c>
      <c r="E3276" s="22">
        <f>49-43</f>
        <v>6</v>
      </c>
      <c r="F3276" t="s">
        <v>363</v>
      </c>
      <c r="G3276" t="s">
        <v>869</v>
      </c>
      <c r="I3276" t="s">
        <v>668</v>
      </c>
      <c r="J3276" s="3">
        <v>44939</v>
      </c>
    </row>
    <row r="3277" spans="1:11" x14ac:dyDescent="0.75">
      <c r="A3277" t="s">
        <v>74</v>
      </c>
      <c r="B3277" s="3">
        <v>44903</v>
      </c>
      <c r="C3277">
        <v>1</v>
      </c>
      <c r="D3277" t="s">
        <v>176</v>
      </c>
      <c r="E3277" s="22">
        <f>43-39</f>
        <v>4</v>
      </c>
      <c r="F3277" t="s">
        <v>363</v>
      </c>
      <c r="G3277" t="s">
        <v>869</v>
      </c>
      <c r="I3277" t="s">
        <v>668</v>
      </c>
      <c r="J3277" s="3">
        <v>44939</v>
      </c>
      <c r="K3277" t="s">
        <v>874</v>
      </c>
    </row>
    <row r="3278" spans="1:11" x14ac:dyDescent="0.75">
      <c r="A3278" t="s">
        <v>74</v>
      </c>
      <c r="B3278" s="3">
        <v>44903</v>
      </c>
      <c r="C3278">
        <v>1</v>
      </c>
      <c r="D3278" t="s">
        <v>160</v>
      </c>
      <c r="E3278" s="22">
        <f>39-26</f>
        <v>13</v>
      </c>
      <c r="F3278" t="s">
        <v>363</v>
      </c>
      <c r="G3278" t="s">
        <v>869</v>
      </c>
      <c r="H3278" t="s">
        <v>390</v>
      </c>
      <c r="I3278" t="s">
        <v>668</v>
      </c>
      <c r="J3278" s="3">
        <v>44939</v>
      </c>
    </row>
    <row r="3279" spans="1:11" x14ac:dyDescent="0.75">
      <c r="A3279" t="s">
        <v>74</v>
      </c>
      <c r="B3279" s="3">
        <v>44903</v>
      </c>
      <c r="C3279">
        <v>1</v>
      </c>
      <c r="D3279" t="s">
        <v>176</v>
      </c>
      <c r="E3279" s="22">
        <f>26-19</f>
        <v>7</v>
      </c>
      <c r="F3279" t="s">
        <v>363</v>
      </c>
      <c r="G3279" t="s">
        <v>869</v>
      </c>
      <c r="H3279" t="s">
        <v>390</v>
      </c>
      <c r="I3279" t="s">
        <v>668</v>
      </c>
      <c r="J3279" s="3">
        <v>44939</v>
      </c>
    </row>
    <row r="3280" spans="1:11" x14ac:dyDescent="0.75">
      <c r="A3280" t="s">
        <v>74</v>
      </c>
      <c r="B3280" s="3">
        <v>44903</v>
      </c>
      <c r="C3280">
        <v>1</v>
      </c>
      <c r="D3280" t="s">
        <v>176</v>
      </c>
      <c r="E3280" s="22">
        <f>19-7</f>
        <v>12</v>
      </c>
      <c r="F3280" t="s">
        <v>363</v>
      </c>
      <c r="G3280" t="s">
        <v>869</v>
      </c>
      <c r="H3280" t="s">
        <v>390</v>
      </c>
      <c r="I3280" t="s">
        <v>668</v>
      </c>
      <c r="J3280" s="3">
        <v>44939</v>
      </c>
    </row>
    <row r="3281" spans="1:11" x14ac:dyDescent="0.75">
      <c r="A3281" t="s">
        <v>74</v>
      </c>
      <c r="B3281" s="3">
        <v>44903</v>
      </c>
      <c r="C3281">
        <v>1</v>
      </c>
      <c r="D3281" t="s">
        <v>191</v>
      </c>
      <c r="E3281" s="22">
        <f>7</f>
        <v>7</v>
      </c>
      <c r="F3281" t="s">
        <v>363</v>
      </c>
      <c r="G3281" t="s">
        <v>869</v>
      </c>
      <c r="I3281" t="s">
        <v>668</v>
      </c>
      <c r="J3281" s="3">
        <v>44939</v>
      </c>
    </row>
    <row r="3282" spans="1:11" x14ac:dyDescent="0.75">
      <c r="A3282" t="s">
        <v>74</v>
      </c>
      <c r="B3282" s="3">
        <v>44903</v>
      </c>
      <c r="C3282">
        <v>1</v>
      </c>
      <c r="D3282" t="s">
        <v>197</v>
      </c>
      <c r="E3282" s="22">
        <f>55-25</f>
        <v>30</v>
      </c>
      <c r="F3282" t="s">
        <v>363</v>
      </c>
      <c r="G3282" t="s">
        <v>869</v>
      </c>
      <c r="I3282" t="s">
        <v>668</v>
      </c>
      <c r="J3282" s="3">
        <v>44939</v>
      </c>
    </row>
    <row r="3283" spans="1:11" x14ac:dyDescent="0.75">
      <c r="A3283" t="s">
        <v>74</v>
      </c>
      <c r="B3283" s="3">
        <v>44903</v>
      </c>
      <c r="C3283">
        <v>1</v>
      </c>
      <c r="D3283" t="s">
        <v>168</v>
      </c>
      <c r="E3283" s="22">
        <f>25-19</f>
        <v>6</v>
      </c>
      <c r="F3283" t="s">
        <v>363</v>
      </c>
      <c r="G3283" t="s">
        <v>869</v>
      </c>
      <c r="I3283" t="s">
        <v>668</v>
      </c>
      <c r="J3283" s="3">
        <v>44939</v>
      </c>
    </row>
    <row r="3284" spans="1:11" x14ac:dyDescent="0.75">
      <c r="A3284" t="s">
        <v>74</v>
      </c>
      <c r="B3284" s="3">
        <v>44903</v>
      </c>
      <c r="C3284">
        <v>1</v>
      </c>
      <c r="D3284" t="s">
        <v>197</v>
      </c>
      <c r="E3284" s="22">
        <f>53-23</f>
        <v>30</v>
      </c>
      <c r="F3284" t="s">
        <v>363</v>
      </c>
      <c r="G3284" t="s">
        <v>869</v>
      </c>
      <c r="I3284" t="s">
        <v>668</v>
      </c>
      <c r="J3284" s="3">
        <v>44939</v>
      </c>
    </row>
    <row r="3285" spans="1:11" x14ac:dyDescent="0.75">
      <c r="A3285" t="s">
        <v>74</v>
      </c>
      <c r="B3285" s="3">
        <v>44903</v>
      </c>
      <c r="C3285">
        <v>1</v>
      </c>
      <c r="D3285" t="s">
        <v>176</v>
      </c>
      <c r="E3285" s="22">
        <f>23-20</f>
        <v>3</v>
      </c>
      <c r="F3285" t="s">
        <v>363</v>
      </c>
      <c r="G3285" t="s">
        <v>869</v>
      </c>
      <c r="I3285" t="s">
        <v>668</v>
      </c>
      <c r="J3285" s="3">
        <v>44939</v>
      </c>
    </row>
    <row r="3286" spans="1:11" x14ac:dyDescent="0.75">
      <c r="A3286" t="s">
        <v>74</v>
      </c>
      <c r="B3286" s="3">
        <v>44903</v>
      </c>
      <c r="C3286">
        <v>1</v>
      </c>
      <c r="D3286" t="s">
        <v>191</v>
      </c>
      <c r="E3286" s="22">
        <f>20-4</f>
        <v>16</v>
      </c>
      <c r="F3286" t="s">
        <v>363</v>
      </c>
      <c r="G3286" t="s">
        <v>869</v>
      </c>
      <c r="I3286" t="s">
        <v>668</v>
      </c>
      <c r="J3286" s="3">
        <v>44939</v>
      </c>
      <c r="K3286" t="s">
        <v>875</v>
      </c>
    </row>
    <row r="3287" spans="1:11" x14ac:dyDescent="0.75">
      <c r="A3287" t="s">
        <v>74</v>
      </c>
      <c r="B3287" s="3">
        <v>44903</v>
      </c>
      <c r="C3287">
        <v>1</v>
      </c>
      <c r="D3287" t="s">
        <v>191</v>
      </c>
      <c r="E3287" s="22">
        <f>4</f>
        <v>4</v>
      </c>
      <c r="F3287" t="s">
        <v>363</v>
      </c>
      <c r="G3287" t="s">
        <v>869</v>
      </c>
      <c r="I3287" t="s">
        <v>668</v>
      </c>
      <c r="J3287" s="3">
        <v>44939</v>
      </c>
    </row>
    <row r="3288" spans="1:11" x14ac:dyDescent="0.75">
      <c r="A3288" t="s">
        <v>74</v>
      </c>
      <c r="B3288" s="3">
        <v>44903</v>
      </c>
      <c r="C3288">
        <v>1</v>
      </c>
      <c r="D3288" t="s">
        <v>160</v>
      </c>
      <c r="E3288" s="22">
        <f>50+50+50-34</f>
        <v>116</v>
      </c>
      <c r="F3288" t="s">
        <v>363</v>
      </c>
      <c r="G3288" t="s">
        <v>367</v>
      </c>
      <c r="H3288" t="s">
        <v>390</v>
      </c>
      <c r="I3288" t="s">
        <v>668</v>
      </c>
      <c r="J3288" s="3">
        <v>44939</v>
      </c>
    </row>
    <row r="3289" spans="1:11" x14ac:dyDescent="0.75">
      <c r="A3289" t="s">
        <v>74</v>
      </c>
      <c r="B3289" s="3">
        <v>44903</v>
      </c>
      <c r="C3289">
        <v>1</v>
      </c>
      <c r="D3289" t="s">
        <v>160</v>
      </c>
      <c r="E3289" s="22">
        <f>34-15</f>
        <v>19</v>
      </c>
      <c r="F3289" t="s">
        <v>363</v>
      </c>
      <c r="G3289" t="s">
        <v>367</v>
      </c>
      <c r="I3289" t="s">
        <v>668</v>
      </c>
      <c r="J3289" s="3">
        <v>44939</v>
      </c>
    </row>
    <row r="3290" spans="1:11" x14ac:dyDescent="0.75">
      <c r="A3290" t="s">
        <v>87</v>
      </c>
      <c r="B3290" s="3">
        <v>44903</v>
      </c>
      <c r="C3290">
        <v>1</v>
      </c>
      <c r="D3290" t="s">
        <v>191</v>
      </c>
      <c r="E3290" s="22">
        <f>59-52</f>
        <v>7</v>
      </c>
      <c r="F3290" t="s">
        <v>363</v>
      </c>
      <c r="G3290" t="s">
        <v>869</v>
      </c>
      <c r="I3290" t="s">
        <v>668</v>
      </c>
      <c r="J3290" s="3">
        <v>44939</v>
      </c>
    </row>
    <row r="3291" spans="1:11" x14ac:dyDescent="0.75">
      <c r="A3291" t="s">
        <v>87</v>
      </c>
      <c r="B3291" s="3">
        <v>44903</v>
      </c>
      <c r="C3291">
        <v>1</v>
      </c>
      <c r="D3291" t="s">
        <v>191</v>
      </c>
      <c r="E3291" s="22">
        <f>52-47</f>
        <v>5</v>
      </c>
      <c r="F3291" t="s">
        <v>363</v>
      </c>
      <c r="G3291" t="s">
        <v>869</v>
      </c>
      <c r="I3291" t="s">
        <v>668</v>
      </c>
      <c r="J3291" s="3">
        <v>44939</v>
      </c>
    </row>
    <row r="3292" spans="1:11" x14ac:dyDescent="0.75">
      <c r="A3292" t="s">
        <v>87</v>
      </c>
      <c r="B3292" s="3">
        <v>44903</v>
      </c>
      <c r="C3292">
        <v>1</v>
      </c>
      <c r="D3292" t="s">
        <v>168</v>
      </c>
      <c r="E3292" s="22">
        <f>47-38</f>
        <v>9</v>
      </c>
      <c r="F3292" t="s">
        <v>363</v>
      </c>
      <c r="G3292" t="s">
        <v>869</v>
      </c>
      <c r="I3292" t="s">
        <v>668</v>
      </c>
      <c r="J3292" s="3">
        <v>44939</v>
      </c>
    </row>
    <row r="3293" spans="1:11" x14ac:dyDescent="0.75">
      <c r="A3293" t="s">
        <v>87</v>
      </c>
      <c r="B3293" s="3">
        <v>44903</v>
      </c>
      <c r="C3293">
        <v>1</v>
      </c>
      <c r="D3293" t="s">
        <v>191</v>
      </c>
      <c r="E3293" s="22">
        <f>38-29</f>
        <v>9</v>
      </c>
      <c r="F3293" t="s">
        <v>363</v>
      </c>
      <c r="G3293" t="s">
        <v>869</v>
      </c>
      <c r="I3293" t="s">
        <v>668</v>
      </c>
      <c r="J3293" s="3">
        <v>44939</v>
      </c>
      <c r="K3293" t="s">
        <v>876</v>
      </c>
    </row>
    <row r="3294" spans="1:11" x14ac:dyDescent="0.75">
      <c r="A3294" t="s">
        <v>87</v>
      </c>
      <c r="B3294" s="3">
        <v>44903</v>
      </c>
      <c r="C3294">
        <v>1</v>
      </c>
      <c r="D3294" t="s">
        <v>191</v>
      </c>
      <c r="E3294" s="22">
        <f>29-19</f>
        <v>10</v>
      </c>
      <c r="F3294" t="s">
        <v>363</v>
      </c>
      <c r="G3294" t="s">
        <v>869</v>
      </c>
      <c r="I3294" t="s">
        <v>668</v>
      </c>
      <c r="J3294" s="3">
        <v>44939</v>
      </c>
    </row>
    <row r="3295" spans="1:11" x14ac:dyDescent="0.75">
      <c r="A3295" t="s">
        <v>87</v>
      </c>
      <c r="B3295" s="3">
        <v>44903</v>
      </c>
      <c r="C3295">
        <v>1</v>
      </c>
      <c r="D3295" t="s">
        <v>207</v>
      </c>
      <c r="E3295" s="22">
        <f>19-17</f>
        <v>2</v>
      </c>
      <c r="F3295" t="s">
        <v>363</v>
      </c>
      <c r="G3295" t="s">
        <v>869</v>
      </c>
      <c r="I3295" t="s">
        <v>668</v>
      </c>
      <c r="J3295" s="3">
        <v>44939</v>
      </c>
    </row>
    <row r="3296" spans="1:11" x14ac:dyDescent="0.75">
      <c r="A3296" t="s">
        <v>87</v>
      </c>
      <c r="B3296" s="3">
        <v>44903</v>
      </c>
      <c r="C3296">
        <v>1</v>
      </c>
      <c r="D3296" t="s">
        <v>207</v>
      </c>
      <c r="E3296" s="22">
        <f>17-15</f>
        <v>2</v>
      </c>
      <c r="F3296" t="s">
        <v>363</v>
      </c>
      <c r="G3296" t="s">
        <v>869</v>
      </c>
      <c r="I3296" t="s">
        <v>668</v>
      </c>
      <c r="J3296" s="3">
        <v>44939</v>
      </c>
    </row>
    <row r="3297" spans="1:11" x14ac:dyDescent="0.75">
      <c r="A3297" t="s">
        <v>87</v>
      </c>
      <c r="B3297" s="3">
        <v>44903</v>
      </c>
      <c r="C3297">
        <v>1</v>
      </c>
      <c r="D3297" t="s">
        <v>215</v>
      </c>
      <c r="E3297" s="22">
        <f>15-14</f>
        <v>1</v>
      </c>
      <c r="F3297" t="s">
        <v>363</v>
      </c>
      <c r="G3297" t="s">
        <v>869</v>
      </c>
      <c r="I3297" t="s">
        <v>668</v>
      </c>
      <c r="J3297" s="3">
        <v>44939</v>
      </c>
    </row>
    <row r="3298" spans="1:11" x14ac:dyDescent="0.75">
      <c r="A3298" t="s">
        <v>87</v>
      </c>
      <c r="B3298" s="3">
        <v>44903</v>
      </c>
      <c r="C3298">
        <v>1</v>
      </c>
      <c r="D3298" t="s">
        <v>160</v>
      </c>
      <c r="E3298" s="22">
        <f>15+15+52-46</f>
        <v>36</v>
      </c>
      <c r="F3298" t="s">
        <v>363</v>
      </c>
      <c r="G3298" t="s">
        <v>367</v>
      </c>
      <c r="I3298" t="s">
        <v>668</v>
      </c>
      <c r="J3298" s="3">
        <v>44939</v>
      </c>
    </row>
    <row r="3299" spans="1:11" x14ac:dyDescent="0.75">
      <c r="A3299" t="s">
        <v>87</v>
      </c>
      <c r="B3299" s="3">
        <v>44903</v>
      </c>
      <c r="C3299">
        <v>1</v>
      </c>
      <c r="D3299" t="s">
        <v>191</v>
      </c>
      <c r="E3299" s="22">
        <f>46-33</f>
        <v>13</v>
      </c>
      <c r="F3299" t="s">
        <v>363</v>
      </c>
      <c r="G3299" t="s">
        <v>367</v>
      </c>
      <c r="I3299" t="s">
        <v>668</v>
      </c>
      <c r="J3299" s="3">
        <v>44939</v>
      </c>
    </row>
    <row r="3300" spans="1:11" x14ac:dyDescent="0.75">
      <c r="A3300" t="s">
        <v>87</v>
      </c>
      <c r="B3300" s="3">
        <v>44903</v>
      </c>
      <c r="C3300">
        <v>1</v>
      </c>
      <c r="D3300" t="s">
        <v>168</v>
      </c>
      <c r="E3300" s="22">
        <f>33-28</f>
        <v>5</v>
      </c>
      <c r="F3300" t="s">
        <v>363</v>
      </c>
      <c r="G3300" t="s">
        <v>367</v>
      </c>
      <c r="I3300" t="s">
        <v>668</v>
      </c>
      <c r="J3300" s="3">
        <v>44939</v>
      </c>
    </row>
    <row r="3301" spans="1:11" x14ac:dyDescent="0.75">
      <c r="A3301" t="s">
        <v>28</v>
      </c>
      <c r="B3301" s="3">
        <v>44903</v>
      </c>
      <c r="C3301">
        <v>1</v>
      </c>
      <c r="D3301" t="s">
        <v>197</v>
      </c>
      <c r="E3301" s="22">
        <f>53-52</f>
        <v>1</v>
      </c>
      <c r="F3301" t="s">
        <v>363</v>
      </c>
      <c r="G3301" t="s">
        <v>869</v>
      </c>
      <c r="I3301" t="s">
        <v>668</v>
      </c>
      <c r="J3301" s="3">
        <v>44939</v>
      </c>
    </row>
    <row r="3302" spans="1:11" x14ac:dyDescent="0.75">
      <c r="A3302" t="s">
        <v>28</v>
      </c>
      <c r="B3302" s="3">
        <v>44903</v>
      </c>
      <c r="C3302">
        <v>1</v>
      </c>
      <c r="D3302" t="s">
        <v>168</v>
      </c>
      <c r="E3302" s="22">
        <f>52-39</f>
        <v>13</v>
      </c>
      <c r="F3302" t="s">
        <v>363</v>
      </c>
      <c r="G3302" t="s">
        <v>869</v>
      </c>
      <c r="I3302" t="s">
        <v>668</v>
      </c>
      <c r="J3302" s="3">
        <v>44939</v>
      </c>
    </row>
    <row r="3303" spans="1:11" x14ac:dyDescent="0.75">
      <c r="A3303" t="s">
        <v>28</v>
      </c>
      <c r="B3303" s="3">
        <v>44903</v>
      </c>
      <c r="C3303">
        <v>1</v>
      </c>
      <c r="D3303" t="s">
        <v>194</v>
      </c>
      <c r="E3303" s="22">
        <f>38-36</f>
        <v>2</v>
      </c>
      <c r="F3303" t="s">
        <v>363</v>
      </c>
      <c r="G3303" t="s">
        <v>869</v>
      </c>
      <c r="I3303" t="s">
        <v>668</v>
      </c>
      <c r="J3303" s="3">
        <v>44939</v>
      </c>
    </row>
    <row r="3304" spans="1:11" x14ac:dyDescent="0.75">
      <c r="A3304" t="s">
        <v>28</v>
      </c>
      <c r="B3304" s="3">
        <v>44903</v>
      </c>
      <c r="C3304">
        <v>1</v>
      </c>
      <c r="D3304" t="s">
        <v>201</v>
      </c>
      <c r="E3304" s="22">
        <f>36-21</f>
        <v>15</v>
      </c>
      <c r="F3304" t="s">
        <v>363</v>
      </c>
      <c r="G3304" t="s">
        <v>869</v>
      </c>
      <c r="I3304" t="s">
        <v>668</v>
      </c>
      <c r="J3304" s="3">
        <v>44939</v>
      </c>
      <c r="K3304" t="s">
        <v>877</v>
      </c>
    </row>
    <row r="3305" spans="1:11" x14ac:dyDescent="0.75">
      <c r="A3305" t="s">
        <v>28</v>
      </c>
      <c r="B3305" s="3">
        <v>44903</v>
      </c>
      <c r="C3305">
        <v>1</v>
      </c>
      <c r="D3305" t="s">
        <v>153</v>
      </c>
      <c r="E3305" s="22">
        <f>21-18</f>
        <v>3</v>
      </c>
      <c r="F3305" t="s">
        <v>363</v>
      </c>
      <c r="G3305" t="s">
        <v>869</v>
      </c>
      <c r="I3305" t="s">
        <v>668</v>
      </c>
      <c r="J3305" s="3">
        <v>44939</v>
      </c>
    </row>
    <row r="3306" spans="1:11" x14ac:dyDescent="0.75">
      <c r="A3306" t="s">
        <v>28</v>
      </c>
      <c r="B3306" s="3">
        <v>44903</v>
      </c>
      <c r="C3306">
        <v>1</v>
      </c>
      <c r="D3306" t="s">
        <v>207</v>
      </c>
      <c r="E3306" s="22">
        <f>18-17</f>
        <v>1</v>
      </c>
      <c r="F3306" t="s">
        <v>363</v>
      </c>
      <c r="G3306" t="s">
        <v>869</v>
      </c>
      <c r="I3306" t="s">
        <v>668</v>
      </c>
      <c r="J3306" s="3">
        <v>44939</v>
      </c>
    </row>
    <row r="3307" spans="1:11" x14ac:dyDescent="0.75">
      <c r="A3307" t="s">
        <v>28</v>
      </c>
      <c r="B3307" s="3">
        <v>44903</v>
      </c>
      <c r="C3307">
        <v>1</v>
      </c>
      <c r="D3307" t="s">
        <v>207</v>
      </c>
      <c r="E3307" s="22">
        <f>17-16</f>
        <v>1</v>
      </c>
      <c r="F3307" t="s">
        <v>363</v>
      </c>
      <c r="G3307" t="s">
        <v>869</v>
      </c>
      <c r="I3307" t="s">
        <v>668</v>
      </c>
      <c r="J3307" s="3">
        <v>44939</v>
      </c>
    </row>
    <row r="3308" spans="1:11" x14ac:dyDescent="0.75">
      <c r="A3308" t="s">
        <v>28</v>
      </c>
      <c r="B3308" s="3">
        <v>44903</v>
      </c>
      <c r="C3308">
        <v>1</v>
      </c>
      <c r="D3308" t="s">
        <v>191</v>
      </c>
      <c r="E3308" s="22">
        <f>16-14</f>
        <v>2</v>
      </c>
      <c r="F3308" t="s">
        <v>363</v>
      </c>
      <c r="G3308" t="s">
        <v>869</v>
      </c>
      <c r="I3308" t="s">
        <v>668</v>
      </c>
      <c r="J3308" s="3">
        <v>44939</v>
      </c>
    </row>
    <row r="3309" spans="1:11" x14ac:dyDescent="0.75">
      <c r="A3309" t="s">
        <v>28</v>
      </c>
      <c r="B3309" s="3">
        <v>44903</v>
      </c>
      <c r="C3309">
        <v>1</v>
      </c>
      <c r="D3309" t="s">
        <v>191</v>
      </c>
      <c r="E3309" s="22">
        <f>14+13-7</f>
        <v>20</v>
      </c>
      <c r="F3309" t="s">
        <v>363</v>
      </c>
      <c r="G3309" t="s">
        <v>869</v>
      </c>
      <c r="I3309" t="s">
        <v>668</v>
      </c>
      <c r="J3309" s="3">
        <v>44939</v>
      </c>
      <c r="K3309" t="s">
        <v>878</v>
      </c>
    </row>
    <row r="3310" spans="1:11" x14ac:dyDescent="0.75">
      <c r="A3310" t="s">
        <v>28</v>
      </c>
      <c r="B3310" s="3">
        <v>44903</v>
      </c>
      <c r="C3310">
        <v>1</v>
      </c>
      <c r="D3310" t="s">
        <v>168</v>
      </c>
      <c r="E3310" s="22">
        <f>7+22-19</f>
        <v>10</v>
      </c>
      <c r="F3310" t="s">
        <v>363</v>
      </c>
      <c r="G3310" t="s">
        <v>869</v>
      </c>
      <c r="I3310" t="s">
        <v>668</v>
      </c>
      <c r="J3310" s="3">
        <v>44939</v>
      </c>
    </row>
    <row r="3311" spans="1:11" x14ac:dyDescent="0.75">
      <c r="A3311" t="s">
        <v>28</v>
      </c>
      <c r="B3311" s="3">
        <v>44903</v>
      </c>
      <c r="C3311">
        <v>1</v>
      </c>
      <c r="D3311" t="s">
        <v>191</v>
      </c>
      <c r="E3311" s="22">
        <f>28-26</f>
        <v>2</v>
      </c>
      <c r="F3311" t="s">
        <v>363</v>
      </c>
      <c r="G3311" t="s">
        <v>367</v>
      </c>
      <c r="I3311" t="s">
        <v>668</v>
      </c>
      <c r="J3311" s="3">
        <v>44939</v>
      </c>
    </row>
    <row r="3312" spans="1:11" x14ac:dyDescent="0.75">
      <c r="A3312" t="s">
        <v>28</v>
      </c>
      <c r="B3312" s="3">
        <v>44903</v>
      </c>
      <c r="C3312">
        <v>1</v>
      </c>
      <c r="D3312" t="s">
        <v>168</v>
      </c>
      <c r="E3312" s="22">
        <f>26-22</f>
        <v>4</v>
      </c>
      <c r="F3312" t="s">
        <v>363</v>
      </c>
      <c r="G3312" t="s">
        <v>367</v>
      </c>
      <c r="I3312" t="s">
        <v>668</v>
      </c>
      <c r="J3312" s="3">
        <v>44939</v>
      </c>
    </row>
    <row r="3313" spans="1:11" x14ac:dyDescent="0.75">
      <c r="A3313" t="s">
        <v>91</v>
      </c>
      <c r="B3313" s="3">
        <v>44903</v>
      </c>
      <c r="C3313">
        <v>1</v>
      </c>
      <c r="D3313" t="s">
        <v>160</v>
      </c>
      <c r="E3313" s="22">
        <f>22-17</f>
        <v>5</v>
      </c>
      <c r="F3313" t="s">
        <v>363</v>
      </c>
      <c r="G3313" t="s">
        <v>869</v>
      </c>
      <c r="I3313" t="s">
        <v>668</v>
      </c>
      <c r="J3313" s="3">
        <v>44939</v>
      </c>
    </row>
    <row r="3314" spans="1:11" x14ac:dyDescent="0.75">
      <c r="A3314" t="s">
        <v>91</v>
      </c>
      <c r="B3314" s="3">
        <v>44903</v>
      </c>
      <c r="C3314">
        <v>1</v>
      </c>
      <c r="D3314" t="s">
        <v>207</v>
      </c>
      <c r="E3314" s="22">
        <f>17-14</f>
        <v>3</v>
      </c>
      <c r="F3314" t="s">
        <v>363</v>
      </c>
      <c r="G3314" t="s">
        <v>869</v>
      </c>
      <c r="I3314" t="s">
        <v>668</v>
      </c>
      <c r="J3314" s="3">
        <v>44939</v>
      </c>
    </row>
    <row r="3315" spans="1:11" x14ac:dyDescent="0.75">
      <c r="A3315" t="s">
        <v>91</v>
      </c>
      <c r="B3315" s="3">
        <v>44903</v>
      </c>
      <c r="C3315">
        <v>1</v>
      </c>
      <c r="D3315" t="s">
        <v>207</v>
      </c>
      <c r="E3315" s="22">
        <f>14-12</f>
        <v>2</v>
      </c>
      <c r="F3315" t="s">
        <v>363</v>
      </c>
      <c r="G3315" t="s">
        <v>869</v>
      </c>
      <c r="I3315" t="s">
        <v>668</v>
      </c>
      <c r="J3315" s="3">
        <v>44939</v>
      </c>
    </row>
    <row r="3316" spans="1:11" x14ac:dyDescent="0.75">
      <c r="A3316" t="s">
        <v>48</v>
      </c>
      <c r="B3316" s="3">
        <v>44908</v>
      </c>
      <c r="C3316">
        <v>1</v>
      </c>
      <c r="D3316" t="s">
        <v>172</v>
      </c>
      <c r="E3316" s="22">
        <f>49-40</f>
        <v>9</v>
      </c>
      <c r="F3316" t="s">
        <v>363</v>
      </c>
      <c r="G3316" t="s">
        <v>869</v>
      </c>
      <c r="I3316" t="s">
        <v>668</v>
      </c>
      <c r="J3316" s="3">
        <v>44939</v>
      </c>
    </row>
    <row r="3317" spans="1:11" x14ac:dyDescent="0.75">
      <c r="A3317" t="s">
        <v>48</v>
      </c>
      <c r="B3317" s="3">
        <v>44908</v>
      </c>
      <c r="C3317">
        <v>1</v>
      </c>
      <c r="D3317" t="s">
        <v>172</v>
      </c>
      <c r="E3317" s="22">
        <f>40-29</f>
        <v>11</v>
      </c>
      <c r="F3317" t="s">
        <v>363</v>
      </c>
      <c r="G3317" t="s">
        <v>869</v>
      </c>
      <c r="I3317" t="s">
        <v>668</v>
      </c>
      <c r="J3317" s="3">
        <v>44939</v>
      </c>
      <c r="K3317" t="s">
        <v>879</v>
      </c>
    </row>
    <row r="3318" spans="1:11" x14ac:dyDescent="0.75">
      <c r="A3318" t="s">
        <v>48</v>
      </c>
      <c r="B3318" s="3">
        <v>44908</v>
      </c>
      <c r="C3318">
        <v>1</v>
      </c>
      <c r="D3318" t="s">
        <v>191</v>
      </c>
      <c r="E3318" s="22">
        <f>29-16</f>
        <v>13</v>
      </c>
      <c r="F3318" t="s">
        <v>363</v>
      </c>
      <c r="G3318" t="s">
        <v>869</v>
      </c>
      <c r="H3318" t="s">
        <v>390</v>
      </c>
      <c r="I3318" t="s">
        <v>668</v>
      </c>
      <c r="J3318" s="3">
        <v>44939</v>
      </c>
    </row>
    <row r="3319" spans="1:11" x14ac:dyDescent="0.75">
      <c r="A3319" t="s">
        <v>48</v>
      </c>
      <c r="B3319" s="3">
        <v>44908</v>
      </c>
      <c r="C3319">
        <v>1</v>
      </c>
      <c r="D3319" t="s">
        <v>168</v>
      </c>
      <c r="E3319" s="22">
        <f>16-12</f>
        <v>4</v>
      </c>
      <c r="F3319" t="s">
        <v>363</v>
      </c>
      <c r="G3319" t="s">
        <v>869</v>
      </c>
      <c r="I3319" t="s">
        <v>668</v>
      </c>
      <c r="J3319" s="3">
        <v>44939</v>
      </c>
      <c r="K3319" t="s">
        <v>880</v>
      </c>
    </row>
    <row r="3320" spans="1:11" x14ac:dyDescent="0.75">
      <c r="A3320" t="s">
        <v>48</v>
      </c>
      <c r="B3320" s="3">
        <v>44908</v>
      </c>
      <c r="C3320">
        <v>1</v>
      </c>
      <c r="D3320" t="s">
        <v>168</v>
      </c>
      <c r="E3320" s="22">
        <f>59-32</f>
        <v>27</v>
      </c>
      <c r="F3320" t="s">
        <v>363</v>
      </c>
      <c r="G3320" t="s">
        <v>869</v>
      </c>
      <c r="I3320" t="s">
        <v>668</v>
      </c>
      <c r="J3320" s="3">
        <v>44939</v>
      </c>
    </row>
    <row r="3321" spans="1:11" x14ac:dyDescent="0.75">
      <c r="A3321" t="s">
        <v>48</v>
      </c>
      <c r="B3321" s="3">
        <v>44908</v>
      </c>
      <c r="C3321">
        <v>1</v>
      </c>
      <c r="D3321" t="s">
        <v>191</v>
      </c>
      <c r="E3321" s="22">
        <f>32-16</f>
        <v>16</v>
      </c>
      <c r="F3321" t="s">
        <v>363</v>
      </c>
      <c r="G3321" t="s">
        <v>869</v>
      </c>
      <c r="I3321" t="s">
        <v>668</v>
      </c>
      <c r="J3321" s="3">
        <v>44939</v>
      </c>
    </row>
    <row r="3322" spans="1:11" x14ac:dyDescent="0.75">
      <c r="A3322" t="s">
        <v>48</v>
      </c>
      <c r="B3322" s="3">
        <v>44908</v>
      </c>
      <c r="C3322">
        <v>1</v>
      </c>
      <c r="D3322" t="s">
        <v>197</v>
      </c>
      <c r="E3322" s="22">
        <f>16-8</f>
        <v>8</v>
      </c>
      <c r="F3322" t="s">
        <v>363</v>
      </c>
      <c r="G3322" t="s">
        <v>869</v>
      </c>
      <c r="I3322" t="s">
        <v>668</v>
      </c>
      <c r="J3322" s="3">
        <v>44939</v>
      </c>
      <c r="K3322" t="s">
        <v>881</v>
      </c>
    </row>
    <row r="3323" spans="1:11" x14ac:dyDescent="0.75">
      <c r="A3323" t="s">
        <v>48</v>
      </c>
      <c r="B3323" s="3">
        <v>44908</v>
      </c>
      <c r="C3323">
        <v>1</v>
      </c>
      <c r="D3323" t="s">
        <v>197</v>
      </c>
      <c r="E3323" s="22">
        <f>8+41-9</f>
        <v>40</v>
      </c>
      <c r="F3323" t="s">
        <v>363</v>
      </c>
      <c r="G3323" t="s">
        <v>869</v>
      </c>
      <c r="I3323" t="s">
        <v>668</v>
      </c>
      <c r="J3323" s="3">
        <v>44939</v>
      </c>
      <c r="K3323" t="s">
        <v>882</v>
      </c>
    </row>
    <row r="3324" spans="1:11" x14ac:dyDescent="0.75">
      <c r="A3324" t="s">
        <v>48</v>
      </c>
      <c r="B3324" s="3">
        <v>44908</v>
      </c>
      <c r="C3324">
        <v>1</v>
      </c>
      <c r="D3324" t="s">
        <v>207</v>
      </c>
      <c r="E3324" s="22">
        <f>9-8</f>
        <v>1</v>
      </c>
      <c r="F3324" t="s">
        <v>363</v>
      </c>
      <c r="G3324" t="s">
        <v>869</v>
      </c>
      <c r="I3324" t="s">
        <v>668</v>
      </c>
      <c r="J3324" s="3">
        <v>44939</v>
      </c>
    </row>
    <row r="3325" spans="1:11" x14ac:dyDescent="0.75">
      <c r="A3325" t="s">
        <v>48</v>
      </c>
      <c r="B3325" s="3">
        <v>44908</v>
      </c>
      <c r="C3325">
        <v>1</v>
      </c>
      <c r="D3325" t="s">
        <v>197</v>
      </c>
      <c r="E3325" s="22">
        <f>8+12-11</f>
        <v>9</v>
      </c>
      <c r="F3325" t="s">
        <v>363</v>
      </c>
      <c r="G3325" t="s">
        <v>869</v>
      </c>
      <c r="I3325" t="s">
        <v>668</v>
      </c>
      <c r="J3325" s="3">
        <v>44939</v>
      </c>
      <c r="K3325" t="s">
        <v>883</v>
      </c>
    </row>
    <row r="3326" spans="1:11" x14ac:dyDescent="0.75">
      <c r="A3326" t="s">
        <v>48</v>
      </c>
      <c r="B3326" s="3">
        <v>44908</v>
      </c>
      <c r="C3326">
        <v>1</v>
      </c>
      <c r="D3326" t="s">
        <v>197</v>
      </c>
      <c r="E3326" s="22">
        <f>11-10</f>
        <v>1</v>
      </c>
      <c r="F3326" t="s">
        <v>363</v>
      </c>
      <c r="G3326" t="s">
        <v>869</v>
      </c>
      <c r="I3326" t="s">
        <v>668</v>
      </c>
      <c r="J3326" s="3">
        <v>44939</v>
      </c>
    </row>
    <row r="3327" spans="1:11" x14ac:dyDescent="0.75">
      <c r="A3327" t="s">
        <v>48</v>
      </c>
      <c r="B3327" s="3">
        <v>44908</v>
      </c>
      <c r="C3327">
        <v>1</v>
      </c>
      <c r="D3327" t="s">
        <v>191</v>
      </c>
      <c r="E3327" s="22">
        <f>10-6</f>
        <v>4</v>
      </c>
      <c r="F3327" t="s">
        <v>363</v>
      </c>
      <c r="G3327" t="s">
        <v>869</v>
      </c>
      <c r="I3327" t="s">
        <v>668</v>
      </c>
      <c r="J3327" s="3">
        <v>44939</v>
      </c>
    </row>
    <row r="3328" spans="1:11" x14ac:dyDescent="0.75">
      <c r="A3328" t="s">
        <v>44</v>
      </c>
      <c r="B3328" s="3">
        <v>44908</v>
      </c>
      <c r="C3328">
        <v>1</v>
      </c>
      <c r="D3328" t="s">
        <v>201</v>
      </c>
      <c r="E3328" s="22">
        <f>47-38</f>
        <v>9</v>
      </c>
      <c r="F3328" t="s">
        <v>363</v>
      </c>
      <c r="G3328" t="s">
        <v>869</v>
      </c>
      <c r="H3328" t="s">
        <v>390</v>
      </c>
      <c r="I3328" t="s">
        <v>668</v>
      </c>
      <c r="J3328" s="3">
        <v>44939</v>
      </c>
      <c r="K3328" t="s">
        <v>884</v>
      </c>
    </row>
    <row r="3329" spans="1:12" x14ac:dyDescent="0.75">
      <c r="A3329" t="s">
        <v>60</v>
      </c>
      <c r="B3329" s="3">
        <v>44908</v>
      </c>
      <c r="C3329">
        <v>1</v>
      </c>
      <c r="D3329" t="s">
        <v>207</v>
      </c>
      <c r="E3329" s="22">
        <f>6-4</f>
        <v>2</v>
      </c>
      <c r="F3329" t="s">
        <v>363</v>
      </c>
      <c r="G3329" t="s">
        <v>869</v>
      </c>
      <c r="I3329" t="s">
        <v>668</v>
      </c>
      <c r="J3329" s="3">
        <v>44939</v>
      </c>
    </row>
    <row r="3330" spans="1:12" x14ac:dyDescent="0.75">
      <c r="A3330" t="s">
        <v>60</v>
      </c>
      <c r="B3330" s="3">
        <v>44908</v>
      </c>
      <c r="C3330">
        <v>1</v>
      </c>
      <c r="D3330" t="s">
        <v>191</v>
      </c>
      <c r="E3330" s="22">
        <f>1</f>
        <v>1</v>
      </c>
      <c r="F3330" t="s">
        <v>363</v>
      </c>
      <c r="G3330" t="s">
        <v>869</v>
      </c>
      <c r="I3330" t="s">
        <v>668</v>
      </c>
      <c r="J3330" s="3">
        <v>44939</v>
      </c>
    </row>
    <row r="3331" spans="1:12" x14ac:dyDescent="0.75">
      <c r="A3331" t="s">
        <v>60</v>
      </c>
      <c r="B3331" s="3">
        <v>44908</v>
      </c>
      <c r="C3331">
        <v>1</v>
      </c>
      <c r="D3331" t="s">
        <v>191</v>
      </c>
      <c r="E3331" s="22">
        <f>4</f>
        <v>4</v>
      </c>
      <c r="F3331" t="s">
        <v>363</v>
      </c>
      <c r="G3331" t="s">
        <v>869</v>
      </c>
      <c r="I3331" t="s">
        <v>668</v>
      </c>
      <c r="J3331" s="3">
        <v>44939</v>
      </c>
    </row>
    <row r="3332" spans="1:12" x14ac:dyDescent="0.75">
      <c r="A3332" t="s">
        <v>60</v>
      </c>
      <c r="B3332" s="3">
        <v>44908</v>
      </c>
      <c r="C3332">
        <v>1</v>
      </c>
      <c r="D3332" t="s">
        <v>191</v>
      </c>
      <c r="E3332" s="22">
        <f>39-29</f>
        <v>10</v>
      </c>
      <c r="F3332" t="s">
        <v>363</v>
      </c>
      <c r="G3332" t="s">
        <v>869</v>
      </c>
      <c r="I3332" t="s">
        <v>668</v>
      </c>
      <c r="J3332" s="3">
        <v>44939</v>
      </c>
    </row>
    <row r="3333" spans="1:12" x14ac:dyDescent="0.75">
      <c r="A3333" t="s">
        <v>60</v>
      </c>
      <c r="B3333" s="3">
        <v>44908</v>
      </c>
      <c r="C3333">
        <v>1</v>
      </c>
      <c r="D3333" t="s">
        <v>197</v>
      </c>
      <c r="E3333" s="22">
        <f>29-22</f>
        <v>7</v>
      </c>
      <c r="F3333" t="s">
        <v>363</v>
      </c>
      <c r="G3333" t="s">
        <v>869</v>
      </c>
      <c r="I3333" t="s">
        <v>668</v>
      </c>
      <c r="J3333" s="3">
        <v>44939</v>
      </c>
    </row>
    <row r="3334" spans="1:12" x14ac:dyDescent="0.75">
      <c r="A3334" t="s">
        <v>60</v>
      </c>
      <c r="B3334" s="3">
        <v>44908</v>
      </c>
      <c r="C3334">
        <v>1</v>
      </c>
      <c r="D3334" t="s">
        <v>191</v>
      </c>
      <c r="E3334" s="22">
        <f>22-18</f>
        <v>4</v>
      </c>
      <c r="F3334" t="s">
        <v>363</v>
      </c>
      <c r="G3334" t="s">
        <v>869</v>
      </c>
      <c r="I3334" t="s">
        <v>668</v>
      </c>
      <c r="J3334" s="3">
        <v>44939</v>
      </c>
    </row>
    <row r="3335" spans="1:12" x14ac:dyDescent="0.75">
      <c r="A3335" t="s">
        <v>60</v>
      </c>
      <c r="B3335" s="3">
        <v>44908</v>
      </c>
      <c r="C3335">
        <v>1</v>
      </c>
      <c r="D3335" t="s">
        <v>199</v>
      </c>
      <c r="E3335" s="22">
        <f>18-16</f>
        <v>2</v>
      </c>
      <c r="F3335" t="s">
        <v>363</v>
      </c>
      <c r="G3335" t="s">
        <v>869</v>
      </c>
      <c r="I3335" t="s">
        <v>668</v>
      </c>
      <c r="J3335" s="3">
        <v>44939</v>
      </c>
    </row>
    <row r="3336" spans="1:12" x14ac:dyDescent="0.75">
      <c r="A3336" t="s">
        <v>60</v>
      </c>
      <c r="B3336" s="3">
        <v>44908</v>
      </c>
      <c r="C3336">
        <v>1</v>
      </c>
      <c r="D3336" t="s">
        <v>197</v>
      </c>
      <c r="E3336" s="22">
        <f>16</f>
        <v>16</v>
      </c>
      <c r="F3336" t="s">
        <v>363</v>
      </c>
      <c r="G3336" t="s">
        <v>869</v>
      </c>
      <c r="I3336" t="s">
        <v>668</v>
      </c>
      <c r="J3336" s="3">
        <v>44939</v>
      </c>
    </row>
    <row r="3337" spans="1:12" s="65" customFormat="1" x14ac:dyDescent="0.75">
      <c r="A3337" s="65" t="s">
        <v>23</v>
      </c>
      <c r="B3337" s="140">
        <v>44936</v>
      </c>
      <c r="C3337" s="65">
        <v>1</v>
      </c>
      <c r="D3337" s="65" t="s">
        <v>201</v>
      </c>
      <c r="E3337" s="141">
        <f>47-42</f>
        <v>5</v>
      </c>
      <c r="F3337" s="65" t="s">
        <v>363</v>
      </c>
      <c r="G3337" s="65" t="s">
        <v>361</v>
      </c>
      <c r="I3337" s="65" t="s">
        <v>869</v>
      </c>
      <c r="J3337" s="140">
        <v>45012</v>
      </c>
      <c r="L3337" t="s">
        <v>869</v>
      </c>
    </row>
    <row r="3338" spans="1:12" s="65" customFormat="1" x14ac:dyDescent="0.75">
      <c r="A3338" s="65" t="s">
        <v>23</v>
      </c>
      <c r="B3338" s="140">
        <v>44936</v>
      </c>
      <c r="C3338" s="65">
        <v>1</v>
      </c>
      <c r="D3338" s="65" t="s">
        <v>194</v>
      </c>
      <c r="E3338" s="141">
        <f>37-34</f>
        <v>3</v>
      </c>
      <c r="F3338" s="65" t="s">
        <v>363</v>
      </c>
      <c r="G3338" s="65" t="s">
        <v>869</v>
      </c>
      <c r="I3338" s="65" t="s">
        <v>869</v>
      </c>
      <c r="J3338" s="140">
        <v>45012</v>
      </c>
      <c r="L3338" t="s">
        <v>869</v>
      </c>
    </row>
    <row r="3339" spans="1:12" s="65" customFormat="1" x14ac:dyDescent="0.75">
      <c r="A3339" s="65" t="s">
        <v>23</v>
      </c>
      <c r="B3339" s="140">
        <v>44936</v>
      </c>
      <c r="C3339" s="65">
        <v>1</v>
      </c>
      <c r="D3339" s="65" t="s">
        <v>194</v>
      </c>
      <c r="E3339" s="141">
        <f>34-33</f>
        <v>1</v>
      </c>
      <c r="F3339" s="65" t="s">
        <v>363</v>
      </c>
      <c r="G3339" s="65" t="s">
        <v>869</v>
      </c>
      <c r="I3339" s="65" t="s">
        <v>869</v>
      </c>
      <c r="J3339" s="140">
        <v>45012</v>
      </c>
      <c r="L3339" t="s">
        <v>869</v>
      </c>
    </row>
    <row r="3340" spans="1:12" s="65" customFormat="1" x14ac:dyDescent="0.75">
      <c r="A3340" s="65" t="s">
        <v>23</v>
      </c>
      <c r="B3340" s="140">
        <v>44936</v>
      </c>
      <c r="C3340" s="65">
        <v>1</v>
      </c>
      <c r="D3340" s="65" t="s">
        <v>197</v>
      </c>
      <c r="E3340" s="141">
        <f>33-31</f>
        <v>2</v>
      </c>
      <c r="F3340" s="65" t="s">
        <v>363</v>
      </c>
      <c r="G3340" s="65" t="s">
        <v>869</v>
      </c>
      <c r="I3340" s="65" t="s">
        <v>869</v>
      </c>
      <c r="J3340" s="140">
        <v>45012</v>
      </c>
      <c r="L3340" t="s">
        <v>869</v>
      </c>
    </row>
    <row r="3341" spans="1:12" s="65" customFormat="1" x14ac:dyDescent="0.75">
      <c r="A3341" s="65" t="s">
        <v>23</v>
      </c>
      <c r="B3341" s="140">
        <v>44936</v>
      </c>
      <c r="C3341" s="65">
        <v>1</v>
      </c>
      <c r="D3341" s="65" t="s">
        <v>194</v>
      </c>
      <c r="E3341" s="141">
        <f>31-29</f>
        <v>2</v>
      </c>
      <c r="F3341" s="65" t="s">
        <v>363</v>
      </c>
      <c r="G3341" s="65" t="s">
        <v>869</v>
      </c>
      <c r="I3341" s="65" t="s">
        <v>869</v>
      </c>
      <c r="J3341" s="140">
        <v>45012</v>
      </c>
      <c r="L3341" t="s">
        <v>869</v>
      </c>
    </row>
    <row r="3342" spans="1:12" x14ac:dyDescent="0.75">
      <c r="A3342" t="s">
        <v>23</v>
      </c>
      <c r="B3342" s="3">
        <v>44936</v>
      </c>
      <c r="C3342">
        <v>2</v>
      </c>
      <c r="D3342" t="s">
        <v>194</v>
      </c>
      <c r="E3342" s="22">
        <f>40-36</f>
        <v>4</v>
      </c>
      <c r="F3342" t="s">
        <v>363</v>
      </c>
      <c r="G3342" t="s">
        <v>733</v>
      </c>
      <c r="I3342" t="s">
        <v>869</v>
      </c>
      <c r="J3342" s="3">
        <v>45012</v>
      </c>
      <c r="L3342" t="s">
        <v>869</v>
      </c>
    </row>
    <row r="3343" spans="1:12" x14ac:dyDescent="0.75">
      <c r="A3343" t="s">
        <v>23</v>
      </c>
      <c r="B3343" s="3">
        <v>44936</v>
      </c>
      <c r="C3343">
        <v>2</v>
      </c>
      <c r="D3343" t="s">
        <v>164</v>
      </c>
      <c r="E3343" s="22">
        <f>36-33</f>
        <v>3</v>
      </c>
      <c r="F3343" t="s">
        <v>363</v>
      </c>
      <c r="G3343" t="s">
        <v>733</v>
      </c>
      <c r="I3343" t="s">
        <v>869</v>
      </c>
      <c r="J3343" s="3">
        <v>45012</v>
      </c>
      <c r="L3343" t="s">
        <v>869</v>
      </c>
    </row>
    <row r="3344" spans="1:12" x14ac:dyDescent="0.75">
      <c r="A3344" t="s">
        <v>23</v>
      </c>
      <c r="B3344" s="3">
        <v>44936</v>
      </c>
      <c r="C3344">
        <v>2</v>
      </c>
      <c r="D3344" t="s">
        <v>194</v>
      </c>
      <c r="E3344" s="22">
        <f>33-24</f>
        <v>9</v>
      </c>
      <c r="F3344" t="s">
        <v>363</v>
      </c>
      <c r="G3344" t="s">
        <v>733</v>
      </c>
      <c r="I3344" t="s">
        <v>869</v>
      </c>
      <c r="J3344" s="3">
        <v>45012</v>
      </c>
      <c r="L3344" t="s">
        <v>869</v>
      </c>
    </row>
    <row r="3345" spans="1:12" x14ac:dyDescent="0.75">
      <c r="A3345" t="s">
        <v>23</v>
      </c>
      <c r="B3345" s="3">
        <v>44936</v>
      </c>
      <c r="C3345">
        <v>2</v>
      </c>
      <c r="D3345" t="s">
        <v>194</v>
      </c>
      <c r="E3345" s="22">
        <f>24-8</f>
        <v>16</v>
      </c>
      <c r="F3345" t="s">
        <v>363</v>
      </c>
      <c r="G3345" t="s">
        <v>733</v>
      </c>
      <c r="I3345" t="s">
        <v>869</v>
      </c>
      <c r="J3345" s="3">
        <v>45012</v>
      </c>
      <c r="L3345" t="s">
        <v>869</v>
      </c>
    </row>
    <row r="3346" spans="1:12" x14ac:dyDescent="0.75">
      <c r="A3346" t="s">
        <v>23</v>
      </c>
      <c r="B3346" s="3">
        <v>44936</v>
      </c>
      <c r="C3346">
        <v>2</v>
      </c>
      <c r="D3346" t="s">
        <v>197</v>
      </c>
      <c r="E3346" s="22">
        <f>8-1+43-38</f>
        <v>12</v>
      </c>
      <c r="F3346" t="s">
        <v>363</v>
      </c>
      <c r="G3346" t="s">
        <v>733</v>
      </c>
      <c r="I3346" t="s">
        <v>869</v>
      </c>
      <c r="J3346" s="3">
        <v>45012</v>
      </c>
      <c r="L3346" t="s">
        <v>869</v>
      </c>
    </row>
    <row r="3347" spans="1:12" x14ac:dyDescent="0.75">
      <c r="A3347" t="s">
        <v>23</v>
      </c>
      <c r="B3347" s="3">
        <v>44936</v>
      </c>
      <c r="C3347">
        <v>2</v>
      </c>
      <c r="D3347" t="s">
        <v>197</v>
      </c>
      <c r="E3347" s="22">
        <f>38-2</f>
        <v>36</v>
      </c>
      <c r="F3347" t="s">
        <v>363</v>
      </c>
      <c r="G3347" t="s">
        <v>733</v>
      </c>
      <c r="I3347" t="s">
        <v>869</v>
      </c>
      <c r="J3347" s="3">
        <v>45012</v>
      </c>
      <c r="L3347" t="s">
        <v>869</v>
      </c>
    </row>
    <row r="3348" spans="1:12" x14ac:dyDescent="0.75">
      <c r="A3348" t="s">
        <v>23</v>
      </c>
      <c r="B3348" s="3">
        <v>44936</v>
      </c>
      <c r="C3348">
        <v>2</v>
      </c>
      <c r="D3348" t="s">
        <v>197</v>
      </c>
      <c r="E3348" s="22">
        <f>2-0+31-15</f>
        <v>18</v>
      </c>
      <c r="F3348" t="s">
        <v>363</v>
      </c>
      <c r="G3348" t="s">
        <v>733</v>
      </c>
      <c r="I3348" t="s">
        <v>869</v>
      </c>
      <c r="J3348" s="3">
        <v>45012</v>
      </c>
      <c r="L3348" t="s">
        <v>869</v>
      </c>
    </row>
    <row r="3349" spans="1:12" x14ac:dyDescent="0.75">
      <c r="A3349" t="s">
        <v>23</v>
      </c>
      <c r="B3349" s="3">
        <v>44936</v>
      </c>
      <c r="C3349">
        <v>2</v>
      </c>
      <c r="D3349" t="s">
        <v>197</v>
      </c>
      <c r="E3349" s="22">
        <f>42-36</f>
        <v>6</v>
      </c>
      <c r="F3349" t="s">
        <v>363</v>
      </c>
      <c r="G3349" t="s">
        <v>361</v>
      </c>
      <c r="I3349" t="s">
        <v>869</v>
      </c>
      <c r="J3349" s="3">
        <v>45012</v>
      </c>
      <c r="L3349" t="s">
        <v>869</v>
      </c>
    </row>
    <row r="3350" spans="1:12" x14ac:dyDescent="0.75">
      <c r="A3350" t="s">
        <v>23</v>
      </c>
      <c r="B3350" s="3">
        <v>44936</v>
      </c>
      <c r="C3350">
        <v>2</v>
      </c>
      <c r="D3350" t="s">
        <v>197</v>
      </c>
      <c r="E3350" s="22">
        <f>36-26</f>
        <v>10</v>
      </c>
      <c r="F3350" t="s">
        <v>363</v>
      </c>
      <c r="G3350" t="s">
        <v>361</v>
      </c>
      <c r="I3350" t="s">
        <v>869</v>
      </c>
      <c r="J3350" s="3">
        <v>45012</v>
      </c>
      <c r="L3350" t="s">
        <v>869</v>
      </c>
    </row>
    <row r="3351" spans="1:12" x14ac:dyDescent="0.75">
      <c r="A3351" t="s">
        <v>23</v>
      </c>
      <c r="B3351" s="3">
        <v>44936</v>
      </c>
      <c r="C3351">
        <v>2</v>
      </c>
      <c r="D3351" t="s">
        <v>201</v>
      </c>
      <c r="E3351" s="22">
        <f>26-22</f>
        <v>4</v>
      </c>
      <c r="F3351" t="s">
        <v>363</v>
      </c>
      <c r="G3351" t="s">
        <v>361</v>
      </c>
      <c r="I3351" t="s">
        <v>869</v>
      </c>
      <c r="J3351" s="3">
        <v>45012</v>
      </c>
      <c r="L3351" t="s">
        <v>869</v>
      </c>
    </row>
    <row r="3352" spans="1:12" x14ac:dyDescent="0.75">
      <c r="A3352" t="s">
        <v>23</v>
      </c>
      <c r="B3352" s="3">
        <v>44936</v>
      </c>
      <c r="C3352">
        <v>2</v>
      </c>
      <c r="D3352" t="s">
        <v>197</v>
      </c>
      <c r="E3352" s="22">
        <f>22-5</f>
        <v>17</v>
      </c>
      <c r="F3352" t="s">
        <v>363</v>
      </c>
      <c r="G3352" t="s">
        <v>361</v>
      </c>
      <c r="I3352" t="s">
        <v>869</v>
      </c>
      <c r="J3352" s="3">
        <v>45012</v>
      </c>
      <c r="L3352" t="s">
        <v>869</v>
      </c>
    </row>
    <row r="3353" spans="1:12" x14ac:dyDescent="0.75">
      <c r="A3353" t="s">
        <v>23</v>
      </c>
      <c r="B3353" s="3">
        <v>44936</v>
      </c>
      <c r="C3353">
        <v>2</v>
      </c>
      <c r="D3353" t="s">
        <v>197</v>
      </c>
      <c r="E3353" s="22">
        <f>29-22</f>
        <v>7</v>
      </c>
      <c r="F3353" t="s">
        <v>363</v>
      </c>
      <c r="G3353" t="s">
        <v>869</v>
      </c>
      <c r="I3353" t="s">
        <v>869</v>
      </c>
      <c r="J3353" s="3">
        <v>45012</v>
      </c>
      <c r="L3353" t="s">
        <v>869</v>
      </c>
    </row>
    <row r="3354" spans="1:12" x14ac:dyDescent="0.75">
      <c r="A3354" t="s">
        <v>23</v>
      </c>
      <c r="B3354" s="3">
        <v>44936</v>
      </c>
      <c r="C3354">
        <v>2</v>
      </c>
      <c r="D3354" t="s">
        <v>197</v>
      </c>
      <c r="E3354" s="22">
        <f>22-12</f>
        <v>10</v>
      </c>
      <c r="F3354" t="s">
        <v>363</v>
      </c>
      <c r="G3354" t="s">
        <v>869</v>
      </c>
      <c r="I3354" t="s">
        <v>869</v>
      </c>
      <c r="J3354" s="3">
        <v>45012</v>
      </c>
      <c r="L3354" t="s">
        <v>869</v>
      </c>
    </row>
    <row r="3355" spans="1:12" x14ac:dyDescent="0.75">
      <c r="A3355" t="s">
        <v>23</v>
      </c>
      <c r="B3355" s="3">
        <v>44936</v>
      </c>
      <c r="C3355">
        <v>2</v>
      </c>
      <c r="D3355" t="s">
        <v>197</v>
      </c>
      <c r="E3355" s="22">
        <f>12-11</f>
        <v>1</v>
      </c>
      <c r="F3355" t="s">
        <v>363</v>
      </c>
      <c r="G3355" t="s">
        <v>869</v>
      </c>
      <c r="I3355" t="s">
        <v>869</v>
      </c>
      <c r="J3355" s="3">
        <v>45012</v>
      </c>
      <c r="L3355" t="s">
        <v>869</v>
      </c>
    </row>
    <row r="3356" spans="1:12" x14ac:dyDescent="0.75">
      <c r="A3356" t="s">
        <v>23</v>
      </c>
      <c r="B3356" s="3">
        <v>44936</v>
      </c>
      <c r="C3356">
        <v>2</v>
      </c>
      <c r="D3356" t="s">
        <v>194</v>
      </c>
      <c r="E3356" s="22">
        <f>11-8</f>
        <v>3</v>
      </c>
      <c r="F3356" t="s">
        <v>363</v>
      </c>
      <c r="G3356" t="s">
        <v>869</v>
      </c>
      <c r="I3356" t="s">
        <v>869</v>
      </c>
      <c r="J3356" s="3">
        <v>45012</v>
      </c>
      <c r="L3356" t="s">
        <v>869</v>
      </c>
    </row>
    <row r="3357" spans="1:12" x14ac:dyDescent="0.75">
      <c r="A3357" t="s">
        <v>23</v>
      </c>
      <c r="B3357" s="3">
        <v>44936</v>
      </c>
      <c r="C3357">
        <v>2</v>
      </c>
      <c r="D3357" t="s">
        <v>197</v>
      </c>
      <c r="E3357" s="22">
        <f>8-4</f>
        <v>4</v>
      </c>
      <c r="F3357" t="s">
        <v>363</v>
      </c>
      <c r="G3357" t="s">
        <v>869</v>
      </c>
      <c r="I3357" t="s">
        <v>869</v>
      </c>
      <c r="J3357" s="3">
        <v>45012</v>
      </c>
      <c r="L3357" t="s">
        <v>869</v>
      </c>
    </row>
    <row r="3358" spans="1:12" x14ac:dyDescent="0.75">
      <c r="A3358" t="s">
        <v>23</v>
      </c>
      <c r="B3358" s="3">
        <v>44936</v>
      </c>
      <c r="C3358">
        <v>2</v>
      </c>
      <c r="D3358" t="s">
        <v>197</v>
      </c>
      <c r="E3358" s="22">
        <f>4-1</f>
        <v>3</v>
      </c>
      <c r="F3358" t="s">
        <v>363</v>
      </c>
      <c r="G3358" t="s">
        <v>869</v>
      </c>
      <c r="I3358" t="s">
        <v>869</v>
      </c>
      <c r="J3358" s="3">
        <v>45012</v>
      </c>
      <c r="L3358" t="s">
        <v>869</v>
      </c>
    </row>
    <row r="3359" spans="1:12" x14ac:dyDescent="0.75">
      <c r="A3359" t="s">
        <v>23</v>
      </c>
      <c r="B3359" s="3">
        <v>44936</v>
      </c>
      <c r="C3359">
        <v>2</v>
      </c>
      <c r="D3359" t="s">
        <v>225</v>
      </c>
      <c r="E3359" s="22">
        <f>49-45</f>
        <v>4</v>
      </c>
      <c r="F3359" t="s">
        <v>363</v>
      </c>
      <c r="G3359" t="s">
        <v>869</v>
      </c>
      <c r="I3359" t="s">
        <v>869</v>
      </c>
      <c r="J3359" s="3">
        <v>45012</v>
      </c>
      <c r="L3359" t="s">
        <v>869</v>
      </c>
    </row>
    <row r="3360" spans="1:12" x14ac:dyDescent="0.75">
      <c r="A3360" t="s">
        <v>23</v>
      </c>
      <c r="B3360" s="3">
        <v>44936</v>
      </c>
      <c r="C3360">
        <v>2</v>
      </c>
      <c r="D3360" t="s">
        <v>197</v>
      </c>
      <c r="E3360" s="22">
        <f>45-40</f>
        <v>5</v>
      </c>
      <c r="F3360" t="s">
        <v>363</v>
      </c>
      <c r="G3360" t="s">
        <v>869</v>
      </c>
      <c r="I3360" t="s">
        <v>869</v>
      </c>
      <c r="J3360" s="3">
        <v>45012</v>
      </c>
      <c r="L3360" t="s">
        <v>869</v>
      </c>
    </row>
    <row r="3361" spans="1:12" x14ac:dyDescent="0.75">
      <c r="A3361" t="s">
        <v>23</v>
      </c>
      <c r="B3361" s="3">
        <v>44936</v>
      </c>
      <c r="C3361">
        <v>2</v>
      </c>
      <c r="D3361" t="s">
        <v>197</v>
      </c>
      <c r="E3361" s="22">
        <f>40-36</f>
        <v>4</v>
      </c>
      <c r="F3361" t="s">
        <v>363</v>
      </c>
      <c r="G3361" t="s">
        <v>869</v>
      </c>
      <c r="I3361" t="s">
        <v>869</v>
      </c>
      <c r="J3361" s="3">
        <v>45012</v>
      </c>
      <c r="L3361" t="s">
        <v>869</v>
      </c>
    </row>
    <row r="3362" spans="1:12" x14ac:dyDescent="0.75">
      <c r="A3362" t="s">
        <v>23</v>
      </c>
      <c r="B3362" s="3">
        <v>44936</v>
      </c>
      <c r="C3362">
        <v>2</v>
      </c>
      <c r="D3362" t="s">
        <v>197</v>
      </c>
      <c r="E3362" s="22">
        <f>36-25</f>
        <v>11</v>
      </c>
      <c r="F3362" t="s">
        <v>363</v>
      </c>
      <c r="G3362" t="s">
        <v>869</v>
      </c>
      <c r="I3362" t="s">
        <v>869</v>
      </c>
      <c r="J3362" s="3">
        <v>45012</v>
      </c>
      <c r="L3362" t="s">
        <v>869</v>
      </c>
    </row>
    <row r="3363" spans="1:12" x14ac:dyDescent="0.75">
      <c r="A3363" t="s">
        <v>23</v>
      </c>
      <c r="B3363" s="3">
        <v>44936</v>
      </c>
      <c r="C3363">
        <v>2</v>
      </c>
      <c r="D3363" t="s">
        <v>191</v>
      </c>
      <c r="E3363" s="22">
        <f>25-17</f>
        <v>8</v>
      </c>
      <c r="F3363" t="s">
        <v>363</v>
      </c>
      <c r="G3363" t="s">
        <v>869</v>
      </c>
      <c r="I3363" t="s">
        <v>869</v>
      </c>
      <c r="J3363" s="3">
        <v>45012</v>
      </c>
      <c r="L3363" t="s">
        <v>869</v>
      </c>
    </row>
    <row r="3364" spans="1:12" x14ac:dyDescent="0.75">
      <c r="A3364" t="s">
        <v>23</v>
      </c>
      <c r="B3364" s="3">
        <v>44936</v>
      </c>
      <c r="C3364">
        <v>2</v>
      </c>
      <c r="D3364" t="s">
        <v>197</v>
      </c>
      <c r="E3364" s="22">
        <f>17-14</f>
        <v>3</v>
      </c>
      <c r="F3364" t="s">
        <v>363</v>
      </c>
      <c r="G3364" t="s">
        <v>869</v>
      </c>
      <c r="I3364" t="s">
        <v>869</v>
      </c>
      <c r="J3364" s="3">
        <v>45012</v>
      </c>
      <c r="L3364" t="s">
        <v>869</v>
      </c>
    </row>
    <row r="3365" spans="1:12" x14ac:dyDescent="0.75">
      <c r="A3365" t="s">
        <v>23</v>
      </c>
      <c r="B3365" s="3">
        <v>44936</v>
      </c>
      <c r="C3365">
        <v>2</v>
      </c>
      <c r="D3365" t="s">
        <v>194</v>
      </c>
      <c r="E3365" s="22">
        <f>14-11</f>
        <v>3</v>
      </c>
      <c r="F3365" t="s">
        <v>363</v>
      </c>
      <c r="G3365" t="s">
        <v>869</v>
      </c>
      <c r="I3365" t="s">
        <v>869</v>
      </c>
      <c r="J3365" s="3">
        <v>45012</v>
      </c>
      <c r="L3365" t="s">
        <v>869</v>
      </c>
    </row>
    <row r="3366" spans="1:12" x14ac:dyDescent="0.75">
      <c r="A3366" t="s">
        <v>23</v>
      </c>
      <c r="B3366" s="3">
        <v>44936</v>
      </c>
      <c r="C3366">
        <v>2</v>
      </c>
      <c r="D3366" t="s">
        <v>194</v>
      </c>
      <c r="E3366" s="22">
        <f>11-5</f>
        <v>6</v>
      </c>
      <c r="F3366" t="s">
        <v>363</v>
      </c>
      <c r="G3366" t="s">
        <v>869</v>
      </c>
      <c r="I3366" t="s">
        <v>869</v>
      </c>
      <c r="J3366" s="3">
        <v>45012</v>
      </c>
      <c r="L3366" t="s">
        <v>869</v>
      </c>
    </row>
    <row r="3367" spans="1:12" x14ac:dyDescent="0.75">
      <c r="A3367" t="s">
        <v>23</v>
      </c>
      <c r="B3367" s="3">
        <v>44936</v>
      </c>
      <c r="C3367">
        <v>2</v>
      </c>
      <c r="D3367" t="s">
        <v>197</v>
      </c>
      <c r="E3367" s="22">
        <f>5-0</f>
        <v>5</v>
      </c>
      <c r="F3367" t="s">
        <v>363</v>
      </c>
      <c r="G3367" t="s">
        <v>869</v>
      </c>
      <c r="I3367" t="s">
        <v>869</v>
      </c>
      <c r="J3367" s="3">
        <v>45012</v>
      </c>
      <c r="L3367" t="s">
        <v>869</v>
      </c>
    </row>
    <row r="3368" spans="1:12" s="65" customFormat="1" x14ac:dyDescent="0.75">
      <c r="A3368" s="65" t="s">
        <v>23</v>
      </c>
      <c r="B3368" s="140">
        <v>44936</v>
      </c>
      <c r="C3368" s="65">
        <v>4</v>
      </c>
      <c r="D3368" s="65" t="s">
        <v>160</v>
      </c>
      <c r="E3368" s="141">
        <f>15-13</f>
        <v>2</v>
      </c>
      <c r="F3368" s="65">
        <v>3384</v>
      </c>
      <c r="G3368" s="65" t="s">
        <v>733</v>
      </c>
      <c r="I3368" s="65" t="s">
        <v>869</v>
      </c>
      <c r="J3368" s="140">
        <v>45012</v>
      </c>
      <c r="L3368" t="s">
        <v>869</v>
      </c>
    </row>
    <row r="3369" spans="1:12" s="65" customFormat="1" x14ac:dyDescent="0.75">
      <c r="A3369" s="65" t="s">
        <v>23</v>
      </c>
      <c r="B3369" s="140">
        <v>44936</v>
      </c>
      <c r="C3369" s="65">
        <v>4</v>
      </c>
      <c r="D3369" s="65" t="s">
        <v>207</v>
      </c>
      <c r="E3369" s="141">
        <f>13-6</f>
        <v>7</v>
      </c>
      <c r="F3369" s="65" t="s">
        <v>363</v>
      </c>
      <c r="G3369" s="65" t="s">
        <v>733</v>
      </c>
      <c r="I3369" s="65" t="s">
        <v>869</v>
      </c>
      <c r="J3369" s="140">
        <v>45012</v>
      </c>
      <c r="L3369" t="s">
        <v>869</v>
      </c>
    </row>
    <row r="3370" spans="1:12" s="65" customFormat="1" x14ac:dyDescent="0.75">
      <c r="A3370" s="65" t="s">
        <v>23</v>
      </c>
      <c r="B3370" s="140">
        <v>44936</v>
      </c>
      <c r="C3370" s="65">
        <v>4</v>
      </c>
      <c r="D3370" s="65" t="s">
        <v>160</v>
      </c>
      <c r="E3370" s="141">
        <f>6+39+50-41</f>
        <v>54</v>
      </c>
      <c r="F3370" s="65">
        <v>945</v>
      </c>
      <c r="G3370" s="65" t="s">
        <v>733</v>
      </c>
      <c r="I3370" s="65" t="s">
        <v>869</v>
      </c>
      <c r="J3370" s="140">
        <v>45012</v>
      </c>
      <c r="L3370" t="s">
        <v>869</v>
      </c>
    </row>
    <row r="3371" spans="1:12" s="65" customFormat="1" x14ac:dyDescent="0.75">
      <c r="A3371" s="65" t="s">
        <v>23</v>
      </c>
      <c r="B3371" s="140">
        <v>44936</v>
      </c>
      <c r="C3371" s="65">
        <v>4</v>
      </c>
      <c r="D3371" s="65" t="s">
        <v>197</v>
      </c>
      <c r="E3371" s="141">
        <f>41-24</f>
        <v>17</v>
      </c>
      <c r="F3371" s="65" t="s">
        <v>363</v>
      </c>
      <c r="G3371" s="65" t="s">
        <v>733</v>
      </c>
      <c r="I3371" s="65" t="s">
        <v>869</v>
      </c>
      <c r="J3371" s="140">
        <v>45012</v>
      </c>
      <c r="L3371" t="s">
        <v>869</v>
      </c>
    </row>
    <row r="3372" spans="1:12" s="65" customFormat="1" x14ac:dyDescent="0.75">
      <c r="A3372" s="65" t="s">
        <v>23</v>
      </c>
      <c r="B3372" s="140">
        <v>44936</v>
      </c>
      <c r="C3372" s="65">
        <v>4</v>
      </c>
      <c r="D3372" s="65" t="s">
        <v>160</v>
      </c>
      <c r="E3372" s="141">
        <f>6-4</f>
        <v>2</v>
      </c>
      <c r="F3372" s="65">
        <v>904</v>
      </c>
      <c r="G3372" s="65" t="s">
        <v>361</v>
      </c>
      <c r="I3372" s="65" t="s">
        <v>869</v>
      </c>
      <c r="J3372" s="140">
        <v>45012</v>
      </c>
      <c r="L3372" t="s">
        <v>869</v>
      </c>
    </row>
    <row r="3373" spans="1:12" s="65" customFormat="1" x14ac:dyDescent="0.75">
      <c r="A3373" s="65" t="s">
        <v>23</v>
      </c>
      <c r="B3373" s="140">
        <v>44936</v>
      </c>
      <c r="C3373" s="65">
        <v>4</v>
      </c>
      <c r="D3373" s="65" t="s">
        <v>176</v>
      </c>
      <c r="E3373" s="141">
        <f>45-39</f>
        <v>6</v>
      </c>
      <c r="F3373" s="65" t="s">
        <v>363</v>
      </c>
      <c r="G3373" s="65" t="s">
        <v>869</v>
      </c>
      <c r="I3373" s="65" t="s">
        <v>869</v>
      </c>
      <c r="J3373" s="140">
        <v>45012</v>
      </c>
      <c r="L3373" t="s">
        <v>869</v>
      </c>
    </row>
    <row r="3374" spans="1:12" x14ac:dyDescent="0.75">
      <c r="A3374" t="s">
        <v>39</v>
      </c>
      <c r="B3374" s="3">
        <v>44937</v>
      </c>
      <c r="C3374">
        <v>1</v>
      </c>
      <c r="D3374" t="s">
        <v>164</v>
      </c>
      <c r="E3374" s="22">
        <f>4-2</f>
        <v>2</v>
      </c>
      <c r="F3374">
        <v>3535</v>
      </c>
      <c r="G3374" t="s">
        <v>361</v>
      </c>
      <c r="I3374" s="116"/>
      <c r="J3374" s="116"/>
      <c r="L3374" t="s">
        <v>869</v>
      </c>
    </row>
    <row r="3375" spans="1:12" x14ac:dyDescent="0.75">
      <c r="A3375" t="s">
        <v>39</v>
      </c>
      <c r="B3375" s="3">
        <v>44937</v>
      </c>
      <c r="C3375">
        <v>1</v>
      </c>
      <c r="D3375" t="s">
        <v>160</v>
      </c>
      <c r="E3375" s="22">
        <f>2-1</f>
        <v>1</v>
      </c>
      <c r="F3375">
        <v>948</v>
      </c>
      <c r="G3375" t="s">
        <v>361</v>
      </c>
      <c r="I3375" s="116"/>
      <c r="J3375" s="116"/>
      <c r="L3375" t="s">
        <v>869</v>
      </c>
    </row>
    <row r="3376" spans="1:12" x14ac:dyDescent="0.75">
      <c r="A3376" t="s">
        <v>39</v>
      </c>
      <c r="B3376" s="3">
        <v>44937</v>
      </c>
      <c r="C3376">
        <v>1</v>
      </c>
      <c r="D3376" t="s">
        <v>215</v>
      </c>
      <c r="E3376" s="22">
        <f>48-47</f>
        <v>1</v>
      </c>
      <c r="F3376" t="s">
        <v>363</v>
      </c>
      <c r="G3376" t="s">
        <v>869</v>
      </c>
      <c r="I3376" s="116"/>
      <c r="J3376" s="116"/>
      <c r="L3376" t="s">
        <v>869</v>
      </c>
    </row>
    <row r="3377" spans="1:12" s="65" customFormat="1" x14ac:dyDescent="0.75">
      <c r="A3377" s="65" t="s">
        <v>39</v>
      </c>
      <c r="B3377" s="140">
        <v>44937</v>
      </c>
      <c r="C3377" s="65">
        <v>2</v>
      </c>
      <c r="D3377" s="65" t="s">
        <v>201</v>
      </c>
      <c r="E3377" s="141">
        <f>24-19</f>
        <v>5</v>
      </c>
      <c r="F3377" s="65" t="s">
        <v>363</v>
      </c>
      <c r="G3377" s="65" t="s">
        <v>361</v>
      </c>
      <c r="L3377" t="s">
        <v>869</v>
      </c>
    </row>
    <row r="3378" spans="1:12" s="65" customFormat="1" x14ac:dyDescent="0.75">
      <c r="A3378" s="65" t="s">
        <v>39</v>
      </c>
      <c r="B3378" s="140">
        <v>44937</v>
      </c>
      <c r="C3378" s="65">
        <v>2</v>
      </c>
      <c r="D3378" s="65" t="s">
        <v>201</v>
      </c>
      <c r="E3378" s="141">
        <f>19+45-37</f>
        <v>27</v>
      </c>
      <c r="F3378" s="65" t="s">
        <v>363</v>
      </c>
      <c r="G3378" s="65" t="s">
        <v>361</v>
      </c>
      <c r="L3378" t="s">
        <v>869</v>
      </c>
    </row>
    <row r="3379" spans="1:12" s="65" customFormat="1" x14ac:dyDescent="0.75">
      <c r="A3379" s="65" t="s">
        <v>39</v>
      </c>
      <c r="B3379" s="140">
        <v>44937</v>
      </c>
      <c r="C3379" s="65">
        <v>2</v>
      </c>
      <c r="D3379" s="65" t="s">
        <v>172</v>
      </c>
      <c r="E3379" s="141">
        <f>37-33</f>
        <v>4</v>
      </c>
      <c r="F3379" s="65" t="s">
        <v>363</v>
      </c>
      <c r="G3379" s="65" t="s">
        <v>361</v>
      </c>
      <c r="L3379" t="s">
        <v>869</v>
      </c>
    </row>
    <row r="3380" spans="1:12" s="65" customFormat="1" x14ac:dyDescent="0.75">
      <c r="A3380" s="65" t="s">
        <v>39</v>
      </c>
      <c r="B3380" s="140">
        <v>44937</v>
      </c>
      <c r="C3380" s="65">
        <v>2</v>
      </c>
      <c r="D3380" s="65" t="s">
        <v>172</v>
      </c>
      <c r="E3380" s="141">
        <f>46-43</f>
        <v>3</v>
      </c>
      <c r="F3380" s="65" t="s">
        <v>363</v>
      </c>
      <c r="G3380" s="65" t="s">
        <v>869</v>
      </c>
      <c r="L3380" t="s">
        <v>869</v>
      </c>
    </row>
    <row r="3381" spans="1:12" s="65" customFormat="1" x14ac:dyDescent="0.75">
      <c r="A3381" s="65" t="s">
        <v>39</v>
      </c>
      <c r="B3381" s="140">
        <v>44937</v>
      </c>
      <c r="C3381" s="65">
        <v>2</v>
      </c>
      <c r="D3381" s="65" t="s">
        <v>197</v>
      </c>
      <c r="E3381" s="141">
        <f>43-38</f>
        <v>5</v>
      </c>
      <c r="F3381" s="65" t="s">
        <v>363</v>
      </c>
      <c r="G3381" s="65" t="s">
        <v>869</v>
      </c>
      <c r="L3381" t="s">
        <v>869</v>
      </c>
    </row>
    <row r="3382" spans="1:12" s="65" customFormat="1" x14ac:dyDescent="0.75">
      <c r="A3382" s="65" t="s">
        <v>39</v>
      </c>
      <c r="B3382" s="140">
        <v>44937</v>
      </c>
      <c r="C3382" s="65">
        <v>2</v>
      </c>
      <c r="D3382" s="65" t="s">
        <v>168</v>
      </c>
      <c r="E3382" s="141">
        <f>38-34</f>
        <v>4</v>
      </c>
      <c r="F3382" s="65" t="s">
        <v>363</v>
      </c>
      <c r="G3382" s="65" t="s">
        <v>869</v>
      </c>
      <c r="L3382" t="s">
        <v>869</v>
      </c>
    </row>
    <row r="3383" spans="1:12" s="65" customFormat="1" x14ac:dyDescent="0.75">
      <c r="A3383" s="65" t="s">
        <v>39</v>
      </c>
      <c r="B3383" s="140">
        <v>44937</v>
      </c>
      <c r="C3383" s="65">
        <v>2</v>
      </c>
      <c r="D3383" s="65" t="s">
        <v>201</v>
      </c>
      <c r="E3383" s="141">
        <f>34-29</f>
        <v>5</v>
      </c>
      <c r="F3383" s="65" t="s">
        <v>363</v>
      </c>
      <c r="G3383" s="65" t="s">
        <v>869</v>
      </c>
      <c r="L3383" t="s">
        <v>869</v>
      </c>
    </row>
    <row r="3384" spans="1:12" s="65" customFormat="1" x14ac:dyDescent="0.75">
      <c r="A3384" s="65" t="s">
        <v>39</v>
      </c>
      <c r="B3384" s="140">
        <v>44937</v>
      </c>
      <c r="C3384" s="65">
        <v>2</v>
      </c>
      <c r="D3384" s="65" t="s">
        <v>197</v>
      </c>
      <c r="E3384" s="141">
        <f>29-19</f>
        <v>10</v>
      </c>
      <c r="F3384" s="65" t="s">
        <v>363</v>
      </c>
      <c r="G3384" s="65" t="s">
        <v>869</v>
      </c>
      <c r="L3384" t="s">
        <v>869</v>
      </c>
    </row>
    <row r="3385" spans="1:12" s="65" customFormat="1" x14ac:dyDescent="0.75">
      <c r="A3385" s="65" t="s">
        <v>39</v>
      </c>
      <c r="B3385" s="140">
        <v>44937</v>
      </c>
      <c r="C3385" s="65">
        <v>2</v>
      </c>
      <c r="D3385" s="65" t="s">
        <v>153</v>
      </c>
      <c r="E3385" s="141">
        <f>19-17</f>
        <v>2</v>
      </c>
      <c r="F3385" s="65" t="s">
        <v>363</v>
      </c>
      <c r="G3385" s="65" t="s">
        <v>869</v>
      </c>
      <c r="L3385" t="s">
        <v>869</v>
      </c>
    </row>
    <row r="3386" spans="1:12" s="65" customFormat="1" x14ac:dyDescent="0.75">
      <c r="A3386" s="65" t="s">
        <v>39</v>
      </c>
      <c r="B3386" s="140">
        <v>44937</v>
      </c>
      <c r="C3386" s="65">
        <v>2</v>
      </c>
      <c r="D3386" s="65" t="s">
        <v>201</v>
      </c>
      <c r="E3386" s="141">
        <f>48-26</f>
        <v>22</v>
      </c>
      <c r="F3386" s="65" t="s">
        <v>363</v>
      </c>
      <c r="G3386" s="65" t="s">
        <v>869</v>
      </c>
      <c r="L3386" t="s">
        <v>869</v>
      </c>
    </row>
    <row r="3387" spans="1:12" s="65" customFormat="1" x14ac:dyDescent="0.75">
      <c r="A3387" s="65" t="s">
        <v>39</v>
      </c>
      <c r="B3387" s="140">
        <v>44937</v>
      </c>
      <c r="C3387" s="65">
        <v>2</v>
      </c>
      <c r="D3387" s="65" t="s">
        <v>168</v>
      </c>
      <c r="E3387" s="141">
        <f>26-19</f>
        <v>7</v>
      </c>
      <c r="F3387" s="65" t="s">
        <v>363</v>
      </c>
      <c r="G3387" s="65" t="s">
        <v>869</v>
      </c>
      <c r="L3387" t="s">
        <v>869</v>
      </c>
    </row>
    <row r="3388" spans="1:12" s="65" customFormat="1" x14ac:dyDescent="0.75">
      <c r="A3388" s="65" t="s">
        <v>39</v>
      </c>
      <c r="B3388" s="140">
        <v>44937</v>
      </c>
      <c r="C3388" s="65">
        <v>2</v>
      </c>
      <c r="D3388" s="65" t="s">
        <v>168</v>
      </c>
      <c r="E3388" s="141" t="s">
        <v>363</v>
      </c>
      <c r="F3388" s="65" t="s">
        <v>363</v>
      </c>
      <c r="G3388" s="65" t="s">
        <v>869</v>
      </c>
      <c r="K3388" s="65" t="s">
        <v>806</v>
      </c>
      <c r="L3388" t="s">
        <v>869</v>
      </c>
    </row>
    <row r="3389" spans="1:12" s="65" customFormat="1" x14ac:dyDescent="0.75">
      <c r="A3389" s="65" t="s">
        <v>39</v>
      </c>
      <c r="B3389" s="140">
        <v>44937</v>
      </c>
      <c r="C3389" s="65">
        <v>2</v>
      </c>
      <c r="D3389" s="65" t="s">
        <v>168</v>
      </c>
      <c r="E3389" s="141" t="s">
        <v>363</v>
      </c>
      <c r="F3389" s="65" t="s">
        <v>363</v>
      </c>
      <c r="G3389" s="65" t="s">
        <v>869</v>
      </c>
      <c r="K3389" s="65" t="s">
        <v>885</v>
      </c>
      <c r="L3389" t="s">
        <v>869</v>
      </c>
    </row>
    <row r="3390" spans="1:12" s="65" customFormat="1" x14ac:dyDescent="0.75">
      <c r="A3390" s="65" t="s">
        <v>39</v>
      </c>
      <c r="B3390" s="140">
        <v>44937</v>
      </c>
      <c r="C3390" s="65">
        <v>2</v>
      </c>
      <c r="D3390" s="65" t="s">
        <v>172</v>
      </c>
      <c r="E3390" s="141" t="s">
        <v>363</v>
      </c>
      <c r="F3390" s="65" t="s">
        <v>363</v>
      </c>
      <c r="G3390" s="65" t="s">
        <v>869</v>
      </c>
      <c r="K3390" s="65" t="s">
        <v>885</v>
      </c>
      <c r="L3390" t="s">
        <v>869</v>
      </c>
    </row>
    <row r="3391" spans="1:12" s="65" customFormat="1" x14ac:dyDescent="0.75">
      <c r="A3391" s="65" t="s">
        <v>39</v>
      </c>
      <c r="B3391" s="140">
        <v>44937</v>
      </c>
      <c r="C3391" s="65">
        <v>2</v>
      </c>
      <c r="D3391" s="65" t="s">
        <v>172</v>
      </c>
      <c r="E3391" s="141">
        <f>32-30</f>
        <v>2</v>
      </c>
      <c r="F3391" s="65" t="s">
        <v>363</v>
      </c>
      <c r="G3391" s="65" t="s">
        <v>869</v>
      </c>
      <c r="L3391" t="s">
        <v>869</v>
      </c>
    </row>
    <row r="3392" spans="1:12" s="65" customFormat="1" x14ac:dyDescent="0.75">
      <c r="A3392" s="65" t="s">
        <v>39</v>
      </c>
      <c r="B3392" s="140">
        <v>44937</v>
      </c>
      <c r="C3392" s="65">
        <v>2</v>
      </c>
      <c r="D3392" s="65" t="s">
        <v>172</v>
      </c>
      <c r="E3392" s="141">
        <f>30-24</f>
        <v>6</v>
      </c>
      <c r="F3392" s="65" t="s">
        <v>363</v>
      </c>
      <c r="G3392" s="65" t="s">
        <v>869</v>
      </c>
      <c r="L3392" t="s">
        <v>869</v>
      </c>
    </row>
    <row r="3393" spans="1:12" s="65" customFormat="1" x14ac:dyDescent="0.75">
      <c r="A3393" s="65" t="s">
        <v>39</v>
      </c>
      <c r="B3393" s="140">
        <v>44937</v>
      </c>
      <c r="C3393" s="65">
        <v>2</v>
      </c>
      <c r="D3393" s="65" t="s">
        <v>172</v>
      </c>
      <c r="E3393" s="141">
        <f>24-21</f>
        <v>3</v>
      </c>
      <c r="F3393" s="65" t="s">
        <v>363</v>
      </c>
      <c r="G3393" s="65" t="s">
        <v>869</v>
      </c>
      <c r="L3393" t="s">
        <v>869</v>
      </c>
    </row>
    <row r="3394" spans="1:12" s="65" customFormat="1" x14ac:dyDescent="0.75">
      <c r="A3394" s="65" t="s">
        <v>39</v>
      </c>
      <c r="B3394" s="140">
        <v>44937</v>
      </c>
      <c r="C3394" s="65">
        <v>2</v>
      </c>
      <c r="D3394" s="65" t="s">
        <v>172</v>
      </c>
      <c r="E3394" s="141">
        <f>21-7</f>
        <v>14</v>
      </c>
      <c r="F3394" s="65" t="s">
        <v>363</v>
      </c>
      <c r="G3394" s="65" t="s">
        <v>869</v>
      </c>
      <c r="L3394" t="s">
        <v>869</v>
      </c>
    </row>
    <row r="3395" spans="1:12" s="65" customFormat="1" x14ac:dyDescent="0.75">
      <c r="A3395" s="65" t="s">
        <v>39</v>
      </c>
      <c r="B3395" s="140">
        <v>44937</v>
      </c>
      <c r="C3395" s="65">
        <v>2</v>
      </c>
      <c r="D3395" s="65" t="s">
        <v>168</v>
      </c>
      <c r="E3395" s="141" t="s">
        <v>363</v>
      </c>
      <c r="F3395" s="65" t="s">
        <v>363</v>
      </c>
      <c r="G3395" s="65" t="s">
        <v>869</v>
      </c>
      <c r="K3395" s="65" t="s">
        <v>806</v>
      </c>
      <c r="L3395" t="s">
        <v>869</v>
      </c>
    </row>
    <row r="3396" spans="1:12" s="65" customFormat="1" x14ac:dyDescent="0.75">
      <c r="A3396" s="65" t="s">
        <v>39</v>
      </c>
      <c r="B3396" s="140">
        <v>44937</v>
      </c>
      <c r="C3396" s="65">
        <v>2</v>
      </c>
      <c r="D3396" s="65" t="s">
        <v>168</v>
      </c>
      <c r="E3396" s="141">
        <f>17-5</f>
        <v>12</v>
      </c>
      <c r="F3396" s="65" t="s">
        <v>363</v>
      </c>
      <c r="G3396" s="65" t="s">
        <v>869</v>
      </c>
      <c r="L3396" t="s">
        <v>869</v>
      </c>
    </row>
    <row r="3397" spans="1:12" s="65" customFormat="1" x14ac:dyDescent="0.75">
      <c r="A3397" s="65" t="s">
        <v>39</v>
      </c>
      <c r="B3397" s="140">
        <v>44937</v>
      </c>
      <c r="C3397" s="65">
        <v>2</v>
      </c>
      <c r="D3397" s="65" t="s">
        <v>168</v>
      </c>
      <c r="E3397" s="141">
        <f>5-2</f>
        <v>3</v>
      </c>
      <c r="F3397" s="65" t="s">
        <v>363</v>
      </c>
      <c r="G3397" s="65" t="s">
        <v>869</v>
      </c>
      <c r="L3397" t="s">
        <v>869</v>
      </c>
    </row>
    <row r="3398" spans="1:12" x14ac:dyDescent="0.75">
      <c r="A3398" t="s">
        <v>23</v>
      </c>
      <c r="B3398" s="3">
        <v>44938</v>
      </c>
      <c r="C3398">
        <v>1</v>
      </c>
      <c r="D3398" t="s">
        <v>197</v>
      </c>
      <c r="E3398" s="22">
        <f>48-42</f>
        <v>6</v>
      </c>
      <c r="F3398" t="s">
        <v>363</v>
      </c>
      <c r="G3398" t="s">
        <v>733</v>
      </c>
      <c r="I3398" s="116"/>
      <c r="J3398" s="116"/>
      <c r="L3398" t="s">
        <v>869</v>
      </c>
    </row>
    <row r="3399" spans="1:12" x14ac:dyDescent="0.75">
      <c r="A3399" t="s">
        <v>23</v>
      </c>
      <c r="B3399" s="3">
        <v>44938</v>
      </c>
      <c r="C3399">
        <v>1</v>
      </c>
      <c r="D3399" t="s">
        <v>197</v>
      </c>
      <c r="E3399" s="22">
        <f>42-32</f>
        <v>10</v>
      </c>
      <c r="F3399" t="s">
        <v>363</v>
      </c>
      <c r="G3399" t="s">
        <v>733</v>
      </c>
      <c r="I3399" s="116"/>
      <c r="J3399" s="116"/>
      <c r="L3399" t="s">
        <v>869</v>
      </c>
    </row>
    <row r="3400" spans="1:12" x14ac:dyDescent="0.75">
      <c r="A3400" t="s">
        <v>23</v>
      </c>
      <c r="B3400" s="3">
        <v>44938</v>
      </c>
      <c r="C3400">
        <v>1</v>
      </c>
      <c r="D3400" t="s">
        <v>197</v>
      </c>
      <c r="E3400" s="22">
        <f>31-26</f>
        <v>5</v>
      </c>
      <c r="F3400" t="s">
        <v>363</v>
      </c>
      <c r="G3400" t="s">
        <v>733</v>
      </c>
      <c r="I3400" s="116"/>
      <c r="J3400" s="116"/>
      <c r="L3400" t="s">
        <v>869</v>
      </c>
    </row>
    <row r="3401" spans="1:12" x14ac:dyDescent="0.75">
      <c r="A3401" t="s">
        <v>23</v>
      </c>
      <c r="B3401" s="3">
        <v>44938</v>
      </c>
      <c r="C3401">
        <v>1</v>
      </c>
      <c r="D3401" t="s">
        <v>197</v>
      </c>
      <c r="E3401" s="22">
        <f>58-50</f>
        <v>8</v>
      </c>
      <c r="F3401" t="s">
        <v>363</v>
      </c>
      <c r="G3401" t="s">
        <v>361</v>
      </c>
      <c r="I3401" s="116"/>
      <c r="J3401" s="116"/>
      <c r="L3401" t="s">
        <v>869</v>
      </c>
    </row>
    <row r="3402" spans="1:12" s="65" customFormat="1" x14ac:dyDescent="0.75">
      <c r="A3402" s="65" t="s">
        <v>23</v>
      </c>
      <c r="B3402" s="140">
        <v>44938</v>
      </c>
      <c r="C3402" s="65">
        <v>2</v>
      </c>
      <c r="D3402" s="65" t="s">
        <v>201</v>
      </c>
      <c r="E3402" s="141">
        <f>22-21</f>
        <v>1</v>
      </c>
      <c r="F3402" s="65" t="s">
        <v>363</v>
      </c>
      <c r="G3402" s="65" t="s">
        <v>733</v>
      </c>
      <c r="L3402" t="s">
        <v>869</v>
      </c>
    </row>
    <row r="3403" spans="1:12" s="65" customFormat="1" x14ac:dyDescent="0.75">
      <c r="A3403" s="65" t="s">
        <v>23</v>
      </c>
      <c r="B3403" s="140">
        <v>44938</v>
      </c>
      <c r="C3403" s="65">
        <v>2</v>
      </c>
      <c r="D3403" s="65" t="s">
        <v>197</v>
      </c>
      <c r="E3403" s="141">
        <f>21-20</f>
        <v>1</v>
      </c>
      <c r="F3403" s="65" t="s">
        <v>363</v>
      </c>
      <c r="G3403" s="65" t="s">
        <v>733</v>
      </c>
      <c r="L3403" t="s">
        <v>869</v>
      </c>
    </row>
    <row r="3404" spans="1:12" s="65" customFormat="1" x14ac:dyDescent="0.75">
      <c r="A3404" s="65" t="s">
        <v>23</v>
      </c>
      <c r="B3404" s="140">
        <v>44938</v>
      </c>
      <c r="C3404" s="65">
        <v>2</v>
      </c>
      <c r="D3404" s="65" t="s">
        <v>197</v>
      </c>
      <c r="E3404" s="141">
        <f>20-14</f>
        <v>6</v>
      </c>
      <c r="F3404" s="65" t="s">
        <v>363</v>
      </c>
      <c r="G3404" s="65" t="s">
        <v>733</v>
      </c>
      <c r="L3404" t="s">
        <v>869</v>
      </c>
    </row>
    <row r="3405" spans="1:12" s="65" customFormat="1" x14ac:dyDescent="0.75">
      <c r="A3405" s="65" t="s">
        <v>23</v>
      </c>
      <c r="B3405" s="140">
        <v>44938</v>
      </c>
      <c r="C3405" s="65">
        <v>2</v>
      </c>
      <c r="D3405" s="65" t="s">
        <v>225</v>
      </c>
      <c r="E3405" s="141">
        <f>14-12</f>
        <v>2</v>
      </c>
      <c r="F3405" s="65" t="s">
        <v>363</v>
      </c>
      <c r="G3405" s="65" t="s">
        <v>733</v>
      </c>
      <c r="L3405" t="s">
        <v>869</v>
      </c>
    </row>
    <row r="3406" spans="1:12" s="65" customFormat="1" x14ac:dyDescent="0.75">
      <c r="A3406" s="65" t="s">
        <v>23</v>
      </c>
      <c r="B3406" s="140">
        <v>44938</v>
      </c>
      <c r="C3406" s="65">
        <v>2</v>
      </c>
      <c r="D3406" s="65" t="s">
        <v>197</v>
      </c>
      <c r="E3406" s="141">
        <f>12-9</f>
        <v>3</v>
      </c>
      <c r="F3406" s="65" t="s">
        <v>363</v>
      </c>
      <c r="G3406" s="65" t="s">
        <v>733</v>
      </c>
      <c r="L3406" t="s">
        <v>869</v>
      </c>
    </row>
    <row r="3407" spans="1:12" s="65" customFormat="1" x14ac:dyDescent="0.75">
      <c r="A3407" s="65" t="s">
        <v>23</v>
      </c>
      <c r="B3407" s="140">
        <v>44938</v>
      </c>
      <c r="C3407" s="65">
        <v>2</v>
      </c>
      <c r="D3407" s="65" t="s">
        <v>194</v>
      </c>
      <c r="E3407" s="141">
        <f>9-6</f>
        <v>3</v>
      </c>
      <c r="F3407" s="65" t="s">
        <v>363</v>
      </c>
      <c r="G3407" s="65" t="s">
        <v>733</v>
      </c>
      <c r="L3407" t="s">
        <v>869</v>
      </c>
    </row>
    <row r="3408" spans="1:12" s="65" customFormat="1" x14ac:dyDescent="0.75">
      <c r="A3408" s="65" t="s">
        <v>23</v>
      </c>
      <c r="B3408" s="140">
        <v>44938</v>
      </c>
      <c r="C3408" s="65">
        <v>2</v>
      </c>
      <c r="D3408" s="65" t="s">
        <v>197</v>
      </c>
      <c r="E3408" s="141">
        <f>6+45-35</f>
        <v>16</v>
      </c>
      <c r="F3408" s="65" t="s">
        <v>363</v>
      </c>
      <c r="G3408" s="65" t="s">
        <v>733</v>
      </c>
      <c r="L3408" t="s">
        <v>869</v>
      </c>
    </row>
    <row r="3409" spans="1:12" s="65" customFormat="1" x14ac:dyDescent="0.75">
      <c r="A3409" s="65" t="s">
        <v>23</v>
      </c>
      <c r="B3409" s="140">
        <v>44938</v>
      </c>
      <c r="C3409" s="65">
        <v>2</v>
      </c>
      <c r="D3409" s="65" t="s">
        <v>153</v>
      </c>
      <c r="E3409" s="141">
        <f>35-33</f>
        <v>2</v>
      </c>
      <c r="F3409" s="65" t="s">
        <v>363</v>
      </c>
      <c r="G3409" s="65" t="s">
        <v>733</v>
      </c>
      <c r="L3409" t="s">
        <v>869</v>
      </c>
    </row>
    <row r="3410" spans="1:12" s="65" customFormat="1" x14ac:dyDescent="0.75">
      <c r="A3410" s="65" t="s">
        <v>23</v>
      </c>
      <c r="B3410" s="140">
        <v>44938</v>
      </c>
      <c r="C3410" s="65">
        <v>2</v>
      </c>
      <c r="D3410" s="65" t="s">
        <v>197</v>
      </c>
      <c r="E3410" s="141">
        <f>33-17</f>
        <v>16</v>
      </c>
      <c r="F3410" s="65" t="s">
        <v>363</v>
      </c>
      <c r="G3410" s="65" t="s">
        <v>733</v>
      </c>
      <c r="L3410" t="s">
        <v>869</v>
      </c>
    </row>
    <row r="3411" spans="1:12" s="65" customFormat="1" x14ac:dyDescent="0.75">
      <c r="A3411" s="65" t="s">
        <v>23</v>
      </c>
      <c r="B3411" s="140">
        <v>44938</v>
      </c>
      <c r="C3411" s="65">
        <v>2</v>
      </c>
      <c r="D3411" s="65" t="s">
        <v>201</v>
      </c>
      <c r="E3411" s="141">
        <f>51-48</f>
        <v>3</v>
      </c>
      <c r="F3411" s="65" t="s">
        <v>363</v>
      </c>
      <c r="G3411" s="65" t="s">
        <v>361</v>
      </c>
      <c r="L3411" t="s">
        <v>869</v>
      </c>
    </row>
    <row r="3412" spans="1:12" s="65" customFormat="1" x14ac:dyDescent="0.75">
      <c r="A3412" s="65" t="s">
        <v>23</v>
      </c>
      <c r="B3412" s="140">
        <v>44938</v>
      </c>
      <c r="C3412" s="65">
        <v>2</v>
      </c>
      <c r="D3412" s="65" t="s">
        <v>197</v>
      </c>
      <c r="E3412" s="141">
        <f>48-44</f>
        <v>4</v>
      </c>
      <c r="F3412" s="65" t="s">
        <v>363</v>
      </c>
      <c r="G3412" s="65" t="s">
        <v>361</v>
      </c>
      <c r="L3412" t="s">
        <v>869</v>
      </c>
    </row>
    <row r="3413" spans="1:12" s="65" customFormat="1" x14ac:dyDescent="0.75">
      <c r="A3413" s="65" t="s">
        <v>23</v>
      </c>
      <c r="B3413" s="140">
        <v>44938</v>
      </c>
      <c r="C3413" s="65">
        <v>2</v>
      </c>
      <c r="D3413" s="65" t="s">
        <v>197</v>
      </c>
      <c r="E3413" s="141">
        <f>44-36</f>
        <v>8</v>
      </c>
      <c r="F3413" s="65" t="s">
        <v>363</v>
      </c>
      <c r="G3413" s="65" t="s">
        <v>361</v>
      </c>
      <c r="L3413" t="s">
        <v>869</v>
      </c>
    </row>
    <row r="3414" spans="1:12" x14ac:dyDescent="0.75">
      <c r="A3414" t="s">
        <v>64</v>
      </c>
      <c r="B3414" s="3">
        <v>44938</v>
      </c>
      <c r="C3414">
        <v>1</v>
      </c>
      <c r="D3414" t="s">
        <v>207</v>
      </c>
      <c r="E3414" s="22">
        <f>18-13</f>
        <v>5</v>
      </c>
      <c r="F3414" t="s">
        <v>363</v>
      </c>
      <c r="G3414" t="s">
        <v>733</v>
      </c>
      <c r="I3414" s="116"/>
      <c r="J3414" s="116"/>
      <c r="L3414" t="s">
        <v>869</v>
      </c>
    </row>
    <row r="3415" spans="1:12" x14ac:dyDescent="0.75">
      <c r="A3415" t="s">
        <v>64</v>
      </c>
      <c r="B3415" s="3">
        <v>44938</v>
      </c>
      <c r="C3415">
        <v>1</v>
      </c>
      <c r="D3415" t="s">
        <v>207</v>
      </c>
      <c r="E3415" s="22">
        <f>13-2</f>
        <v>11</v>
      </c>
      <c r="F3415" t="s">
        <v>363</v>
      </c>
      <c r="G3415" t="s">
        <v>733</v>
      </c>
      <c r="I3415" s="116"/>
      <c r="J3415" s="116"/>
      <c r="L3415" t="s">
        <v>869</v>
      </c>
    </row>
    <row r="3416" spans="1:12" x14ac:dyDescent="0.75">
      <c r="A3416" t="s">
        <v>64</v>
      </c>
      <c r="B3416" s="3">
        <v>44938</v>
      </c>
      <c r="C3416">
        <v>1</v>
      </c>
      <c r="D3416" t="s">
        <v>207</v>
      </c>
      <c r="E3416" s="22">
        <f>2+50-47</f>
        <v>5</v>
      </c>
      <c r="F3416" t="s">
        <v>363</v>
      </c>
      <c r="G3416" t="s">
        <v>733</v>
      </c>
      <c r="I3416" s="116"/>
      <c r="J3416" s="116"/>
      <c r="L3416" t="s">
        <v>869</v>
      </c>
    </row>
    <row r="3417" spans="1:12" x14ac:dyDescent="0.75">
      <c r="A3417" t="s">
        <v>64</v>
      </c>
      <c r="B3417" s="3">
        <v>44938</v>
      </c>
      <c r="C3417">
        <v>1</v>
      </c>
      <c r="D3417" t="s">
        <v>207</v>
      </c>
      <c r="E3417" s="22">
        <f>47-45</f>
        <v>2</v>
      </c>
      <c r="F3417" t="s">
        <v>363</v>
      </c>
      <c r="G3417" t="s">
        <v>733</v>
      </c>
      <c r="I3417" s="116"/>
      <c r="J3417" s="116"/>
      <c r="L3417" t="s">
        <v>869</v>
      </c>
    </row>
    <row r="3418" spans="1:12" x14ac:dyDescent="0.75">
      <c r="A3418" t="s">
        <v>64</v>
      </c>
      <c r="B3418" s="3">
        <v>44938</v>
      </c>
      <c r="C3418">
        <v>1</v>
      </c>
      <c r="D3418" t="s">
        <v>207</v>
      </c>
      <c r="E3418" s="22">
        <f>45-37</f>
        <v>8</v>
      </c>
      <c r="F3418" t="s">
        <v>363</v>
      </c>
      <c r="G3418" t="s">
        <v>733</v>
      </c>
      <c r="I3418" s="116"/>
      <c r="J3418" s="116"/>
      <c r="L3418" t="s">
        <v>869</v>
      </c>
    </row>
    <row r="3419" spans="1:12" x14ac:dyDescent="0.75">
      <c r="A3419" t="s">
        <v>64</v>
      </c>
      <c r="B3419" s="3">
        <v>44938</v>
      </c>
      <c r="C3419">
        <v>1</v>
      </c>
      <c r="D3419" t="s">
        <v>207</v>
      </c>
      <c r="E3419" s="22">
        <f>37+2+56-37</f>
        <v>58</v>
      </c>
      <c r="F3419" t="s">
        <v>363</v>
      </c>
      <c r="G3419" t="s">
        <v>733</v>
      </c>
      <c r="I3419" s="116"/>
      <c r="J3419" s="116"/>
      <c r="L3419" t="s">
        <v>869</v>
      </c>
    </row>
    <row r="3420" spans="1:12" x14ac:dyDescent="0.75">
      <c r="A3420" t="s">
        <v>64</v>
      </c>
      <c r="B3420" s="3">
        <v>44938</v>
      </c>
      <c r="C3420">
        <v>1</v>
      </c>
      <c r="D3420" t="s">
        <v>168</v>
      </c>
      <c r="E3420" s="22">
        <f>37-27</f>
        <v>10</v>
      </c>
      <c r="F3420" t="s">
        <v>363</v>
      </c>
      <c r="G3420" t="s">
        <v>733</v>
      </c>
      <c r="I3420" s="116"/>
      <c r="J3420" s="116"/>
      <c r="L3420" t="s">
        <v>869</v>
      </c>
    </row>
    <row r="3421" spans="1:12" x14ac:dyDescent="0.75">
      <c r="A3421" t="s">
        <v>64</v>
      </c>
      <c r="B3421" s="3">
        <v>44938</v>
      </c>
      <c r="C3421">
        <v>1</v>
      </c>
      <c r="D3421" t="s">
        <v>207</v>
      </c>
      <c r="E3421" s="22">
        <f>27+3</f>
        <v>30</v>
      </c>
      <c r="F3421" t="s">
        <v>363</v>
      </c>
      <c r="G3421" t="s">
        <v>733</v>
      </c>
      <c r="I3421" s="116"/>
      <c r="J3421" s="116"/>
      <c r="L3421" t="s">
        <v>869</v>
      </c>
    </row>
    <row r="3422" spans="1:12" x14ac:dyDescent="0.75">
      <c r="A3422" t="s">
        <v>64</v>
      </c>
      <c r="B3422" s="3">
        <v>44938</v>
      </c>
      <c r="C3422">
        <v>1</v>
      </c>
      <c r="D3422" t="s">
        <v>160</v>
      </c>
      <c r="E3422" s="22">
        <f>3+18</f>
        <v>21</v>
      </c>
      <c r="F3422" t="s">
        <v>363</v>
      </c>
      <c r="G3422" t="s">
        <v>733</v>
      </c>
      <c r="I3422" s="116"/>
      <c r="J3422" s="116"/>
      <c r="L3422" t="s">
        <v>869</v>
      </c>
    </row>
    <row r="3423" spans="1:12" x14ac:dyDescent="0.75">
      <c r="A3423" t="s">
        <v>64</v>
      </c>
      <c r="B3423" s="3">
        <v>44938</v>
      </c>
      <c r="C3423">
        <v>1</v>
      </c>
      <c r="D3423" t="s">
        <v>160</v>
      </c>
      <c r="E3423" s="22">
        <f>50-47</f>
        <v>3</v>
      </c>
      <c r="F3423" t="s">
        <v>363</v>
      </c>
      <c r="G3423" t="s">
        <v>733</v>
      </c>
      <c r="I3423" s="116"/>
      <c r="J3423" s="116"/>
      <c r="L3423" t="s">
        <v>869</v>
      </c>
    </row>
    <row r="3424" spans="1:12" x14ac:dyDescent="0.75">
      <c r="A3424" t="s">
        <v>64</v>
      </c>
      <c r="B3424" s="3">
        <v>44938</v>
      </c>
      <c r="C3424">
        <v>1</v>
      </c>
      <c r="D3424" t="s">
        <v>160</v>
      </c>
      <c r="E3424" s="22">
        <f>1</f>
        <v>1</v>
      </c>
      <c r="F3424" t="s">
        <v>363</v>
      </c>
      <c r="G3424" t="s">
        <v>733</v>
      </c>
      <c r="I3424" s="116"/>
      <c r="J3424" s="116"/>
      <c r="L3424" t="s">
        <v>869</v>
      </c>
    </row>
    <row r="3425" spans="1:12" x14ac:dyDescent="0.75">
      <c r="A3425" t="s">
        <v>64</v>
      </c>
      <c r="B3425" s="3">
        <v>44938</v>
      </c>
      <c r="C3425">
        <v>1</v>
      </c>
      <c r="D3425" t="s">
        <v>191</v>
      </c>
      <c r="E3425" s="22">
        <f>47-42</f>
        <v>5</v>
      </c>
      <c r="F3425" t="s">
        <v>363</v>
      </c>
      <c r="G3425" t="s">
        <v>733</v>
      </c>
      <c r="I3425" s="116"/>
      <c r="J3425" s="116"/>
      <c r="L3425" t="s">
        <v>869</v>
      </c>
    </row>
    <row r="3426" spans="1:12" x14ac:dyDescent="0.75">
      <c r="A3426" t="s">
        <v>64</v>
      </c>
      <c r="B3426" s="3">
        <v>44938</v>
      </c>
      <c r="C3426">
        <v>1</v>
      </c>
      <c r="D3426" t="s">
        <v>207</v>
      </c>
      <c r="E3426" s="22">
        <f>37-23</f>
        <v>14</v>
      </c>
      <c r="F3426" t="s">
        <v>363</v>
      </c>
      <c r="G3426" t="s">
        <v>361</v>
      </c>
      <c r="I3426" s="116"/>
      <c r="J3426" s="116"/>
      <c r="L3426" t="s">
        <v>869</v>
      </c>
    </row>
    <row r="3427" spans="1:12" x14ac:dyDescent="0.75">
      <c r="A3427" t="s">
        <v>64</v>
      </c>
      <c r="B3427" s="3">
        <v>44938</v>
      </c>
      <c r="C3427">
        <v>1</v>
      </c>
      <c r="D3427" t="s">
        <v>207</v>
      </c>
      <c r="E3427" s="22">
        <f>23-18</f>
        <v>5</v>
      </c>
      <c r="F3427" t="s">
        <v>363</v>
      </c>
      <c r="G3427" t="s">
        <v>361</v>
      </c>
      <c r="I3427" s="116"/>
      <c r="J3427" s="116"/>
      <c r="L3427" t="s">
        <v>869</v>
      </c>
    </row>
    <row r="3428" spans="1:12" x14ac:dyDescent="0.75">
      <c r="A3428" t="s">
        <v>64</v>
      </c>
      <c r="B3428" s="3">
        <v>44938</v>
      </c>
      <c r="C3428">
        <v>1</v>
      </c>
      <c r="D3428" t="s">
        <v>164</v>
      </c>
      <c r="E3428" s="22">
        <f>43-23</f>
        <v>20</v>
      </c>
      <c r="F3428" t="s">
        <v>363</v>
      </c>
      <c r="G3428" t="s">
        <v>361</v>
      </c>
      <c r="I3428" s="116"/>
      <c r="J3428" s="116"/>
      <c r="L3428" t="s">
        <v>869</v>
      </c>
    </row>
    <row r="3429" spans="1:12" s="65" customFormat="1" x14ac:dyDescent="0.75">
      <c r="A3429" s="65" t="s">
        <v>69</v>
      </c>
      <c r="B3429" s="140">
        <v>44943</v>
      </c>
      <c r="C3429" s="65">
        <v>1</v>
      </c>
      <c r="D3429" s="65" t="s">
        <v>191</v>
      </c>
      <c r="E3429" s="141">
        <f>55-52</f>
        <v>3</v>
      </c>
      <c r="F3429" s="65" t="s">
        <v>363</v>
      </c>
      <c r="G3429" s="65" t="s">
        <v>869</v>
      </c>
      <c r="L3429" t="s">
        <v>869</v>
      </c>
    </row>
    <row r="3430" spans="1:12" s="65" customFormat="1" x14ac:dyDescent="0.75">
      <c r="A3430" s="65" t="s">
        <v>69</v>
      </c>
      <c r="B3430" s="140">
        <v>44943</v>
      </c>
      <c r="C3430" s="65">
        <v>1</v>
      </c>
      <c r="D3430" s="65" t="s">
        <v>191</v>
      </c>
      <c r="E3430" s="141">
        <f>52-34</f>
        <v>18</v>
      </c>
      <c r="F3430" s="65" t="s">
        <v>363</v>
      </c>
      <c r="G3430" s="65" t="s">
        <v>869</v>
      </c>
      <c r="L3430" t="s">
        <v>869</v>
      </c>
    </row>
    <row r="3431" spans="1:12" s="65" customFormat="1" x14ac:dyDescent="0.75">
      <c r="A3431" s="65" t="s">
        <v>69</v>
      </c>
      <c r="B3431" s="140">
        <v>44943</v>
      </c>
      <c r="C3431" s="65">
        <v>1</v>
      </c>
      <c r="D3431" s="65" t="s">
        <v>191</v>
      </c>
      <c r="E3431" s="141">
        <f>34-32</f>
        <v>2</v>
      </c>
      <c r="F3431" s="65" t="s">
        <v>363</v>
      </c>
      <c r="G3431" s="65" t="s">
        <v>869</v>
      </c>
      <c r="L3431" t="s">
        <v>869</v>
      </c>
    </row>
    <row r="3432" spans="1:12" s="65" customFormat="1" x14ac:dyDescent="0.75">
      <c r="A3432" s="65" t="s">
        <v>69</v>
      </c>
      <c r="B3432" s="140">
        <v>44943</v>
      </c>
      <c r="C3432" s="65">
        <v>1</v>
      </c>
      <c r="D3432" s="65" t="s">
        <v>191</v>
      </c>
      <c r="E3432" s="141">
        <f>32-25</f>
        <v>7</v>
      </c>
      <c r="F3432" s="65" t="s">
        <v>363</v>
      </c>
      <c r="G3432" s="65" t="s">
        <v>869</v>
      </c>
      <c r="L3432" t="s">
        <v>869</v>
      </c>
    </row>
    <row r="3433" spans="1:12" s="65" customFormat="1" x14ac:dyDescent="0.75">
      <c r="A3433" s="65" t="s">
        <v>69</v>
      </c>
      <c r="B3433" s="140">
        <v>44943</v>
      </c>
      <c r="C3433" s="65">
        <v>1</v>
      </c>
      <c r="D3433" s="65" t="s">
        <v>153</v>
      </c>
      <c r="E3433" s="141">
        <f>25-23</f>
        <v>2</v>
      </c>
      <c r="F3433" s="65" t="s">
        <v>363</v>
      </c>
      <c r="G3433" s="65" t="s">
        <v>869</v>
      </c>
      <c r="L3433" t="s">
        <v>869</v>
      </c>
    </row>
    <row r="3434" spans="1:12" s="65" customFormat="1" x14ac:dyDescent="0.75">
      <c r="A3434" s="65" t="s">
        <v>69</v>
      </c>
      <c r="B3434" s="140">
        <v>44943</v>
      </c>
      <c r="C3434" s="65">
        <v>1</v>
      </c>
      <c r="D3434" s="65" t="s">
        <v>191</v>
      </c>
      <c r="E3434" s="141">
        <f>23-20</f>
        <v>3</v>
      </c>
      <c r="F3434" s="65" t="s">
        <v>363</v>
      </c>
      <c r="G3434" s="65" t="s">
        <v>869</v>
      </c>
      <c r="L3434" t="s">
        <v>869</v>
      </c>
    </row>
    <row r="3435" spans="1:12" s="65" customFormat="1" x14ac:dyDescent="0.75">
      <c r="A3435" s="65" t="s">
        <v>69</v>
      </c>
      <c r="B3435" s="140">
        <v>44943</v>
      </c>
      <c r="C3435" s="65">
        <v>1</v>
      </c>
      <c r="D3435" s="65" t="s">
        <v>191</v>
      </c>
      <c r="E3435" s="141">
        <f>20-18</f>
        <v>2</v>
      </c>
      <c r="F3435" s="65" t="s">
        <v>363</v>
      </c>
      <c r="G3435" s="65" t="s">
        <v>869</v>
      </c>
      <c r="L3435" t="s">
        <v>869</v>
      </c>
    </row>
    <row r="3436" spans="1:12" s="65" customFormat="1" x14ac:dyDescent="0.75">
      <c r="A3436" s="65" t="s">
        <v>69</v>
      </c>
      <c r="B3436" s="140">
        <v>44943</v>
      </c>
      <c r="C3436" s="65">
        <v>1</v>
      </c>
      <c r="D3436" s="65" t="s">
        <v>191</v>
      </c>
      <c r="E3436" s="141">
        <f>18-16</f>
        <v>2</v>
      </c>
      <c r="F3436" s="65" t="s">
        <v>363</v>
      </c>
      <c r="G3436" s="65" t="s">
        <v>869</v>
      </c>
      <c r="L3436" t="s">
        <v>869</v>
      </c>
    </row>
    <row r="3437" spans="1:12" s="65" customFormat="1" x14ac:dyDescent="0.75">
      <c r="A3437" s="65" t="s">
        <v>69</v>
      </c>
      <c r="B3437" s="140">
        <v>44943</v>
      </c>
      <c r="C3437" s="65">
        <v>1</v>
      </c>
      <c r="D3437" s="65" t="s">
        <v>197</v>
      </c>
      <c r="E3437" s="141">
        <f>16-12</f>
        <v>4</v>
      </c>
      <c r="F3437" s="65" t="s">
        <v>363</v>
      </c>
      <c r="G3437" s="65" t="s">
        <v>869</v>
      </c>
      <c r="L3437" t="s">
        <v>869</v>
      </c>
    </row>
    <row r="3438" spans="1:12" s="65" customFormat="1" x14ac:dyDescent="0.75">
      <c r="A3438" s="65" t="s">
        <v>69</v>
      </c>
      <c r="B3438" s="140">
        <v>44943</v>
      </c>
      <c r="C3438" s="65">
        <v>1</v>
      </c>
      <c r="D3438" s="65" t="s">
        <v>197</v>
      </c>
      <c r="E3438" s="141">
        <f>12-6</f>
        <v>6</v>
      </c>
      <c r="F3438" s="65" t="s">
        <v>363</v>
      </c>
      <c r="G3438" s="65" t="s">
        <v>869</v>
      </c>
      <c r="L3438" t="s">
        <v>869</v>
      </c>
    </row>
    <row r="3439" spans="1:12" s="65" customFormat="1" x14ac:dyDescent="0.75">
      <c r="A3439" s="65" t="s">
        <v>69</v>
      </c>
      <c r="B3439" s="140">
        <v>44943</v>
      </c>
      <c r="C3439" s="65">
        <v>1</v>
      </c>
      <c r="D3439" s="65" t="s">
        <v>197</v>
      </c>
      <c r="E3439" s="141">
        <f>6-5</f>
        <v>1</v>
      </c>
      <c r="F3439" s="65" t="s">
        <v>363</v>
      </c>
      <c r="G3439" s="65" t="s">
        <v>869</v>
      </c>
      <c r="L3439" t="s">
        <v>869</v>
      </c>
    </row>
    <row r="3440" spans="1:12" s="65" customFormat="1" x14ac:dyDescent="0.75">
      <c r="A3440" s="65" t="s">
        <v>69</v>
      </c>
      <c r="B3440" s="140">
        <v>44943</v>
      </c>
      <c r="C3440" s="65">
        <v>1</v>
      </c>
      <c r="D3440" s="65" t="s">
        <v>197</v>
      </c>
      <c r="E3440" s="141">
        <f>5-2</f>
        <v>3</v>
      </c>
      <c r="F3440" s="65" t="s">
        <v>363</v>
      </c>
      <c r="G3440" s="65" t="s">
        <v>869</v>
      </c>
      <c r="L3440" t="s">
        <v>869</v>
      </c>
    </row>
    <row r="3441" spans="1:12" s="65" customFormat="1" x14ac:dyDescent="0.75">
      <c r="A3441" s="65" t="s">
        <v>69</v>
      </c>
      <c r="B3441" s="140">
        <v>44943</v>
      </c>
      <c r="C3441" s="65">
        <v>1</v>
      </c>
      <c r="D3441" s="65" t="s">
        <v>164</v>
      </c>
      <c r="E3441" s="141">
        <f>53-47</f>
        <v>6</v>
      </c>
      <c r="F3441" s="65" t="s">
        <v>363</v>
      </c>
      <c r="G3441" s="65" t="s">
        <v>869</v>
      </c>
      <c r="L3441" t="s">
        <v>869</v>
      </c>
    </row>
    <row r="3442" spans="1:12" s="65" customFormat="1" x14ac:dyDescent="0.75">
      <c r="A3442" s="65" t="s">
        <v>69</v>
      </c>
      <c r="B3442" s="140">
        <v>44943</v>
      </c>
      <c r="C3442" s="65">
        <v>1</v>
      </c>
      <c r="D3442" s="65" t="s">
        <v>194</v>
      </c>
      <c r="E3442" s="65" t="s">
        <v>363</v>
      </c>
      <c r="F3442" s="65" t="s">
        <v>363</v>
      </c>
      <c r="G3442" s="65" t="s">
        <v>869</v>
      </c>
      <c r="K3442" s="65" t="s">
        <v>806</v>
      </c>
      <c r="L3442" t="s">
        <v>869</v>
      </c>
    </row>
    <row r="3443" spans="1:12" s="65" customFormat="1" x14ac:dyDescent="0.75">
      <c r="A3443" s="65" t="s">
        <v>69</v>
      </c>
      <c r="B3443" s="140">
        <v>44943</v>
      </c>
      <c r="C3443" s="65">
        <v>1</v>
      </c>
      <c r="D3443" s="65" t="s">
        <v>197</v>
      </c>
      <c r="E3443" s="65">
        <f>38-10</f>
        <v>28</v>
      </c>
      <c r="F3443" s="65" t="s">
        <v>363</v>
      </c>
      <c r="G3443" s="65" t="s">
        <v>733</v>
      </c>
      <c r="L3443" t="s">
        <v>869</v>
      </c>
    </row>
    <row r="3444" spans="1:12" s="65" customFormat="1" x14ac:dyDescent="0.75">
      <c r="A3444" s="65" t="s">
        <v>69</v>
      </c>
      <c r="B3444" s="140">
        <v>44943</v>
      </c>
      <c r="C3444" s="65">
        <v>1</v>
      </c>
      <c r="D3444" s="65" t="s">
        <v>207</v>
      </c>
      <c r="E3444" s="141">
        <f>10+29-27</f>
        <v>12</v>
      </c>
      <c r="F3444" s="65" t="s">
        <v>363</v>
      </c>
      <c r="G3444" s="65" t="s">
        <v>733</v>
      </c>
      <c r="L3444" t="s">
        <v>869</v>
      </c>
    </row>
    <row r="3445" spans="1:12" s="65" customFormat="1" x14ac:dyDescent="0.75">
      <c r="A3445" s="65" t="s">
        <v>69</v>
      </c>
      <c r="B3445" s="140">
        <v>44943</v>
      </c>
      <c r="C3445" s="65">
        <v>1</v>
      </c>
      <c r="D3445" s="65" t="s">
        <v>197</v>
      </c>
      <c r="E3445" s="141">
        <f>27-22</f>
        <v>5</v>
      </c>
      <c r="F3445" s="65" t="s">
        <v>363</v>
      </c>
      <c r="G3445" s="65" t="s">
        <v>733</v>
      </c>
      <c r="L3445" t="s">
        <v>869</v>
      </c>
    </row>
    <row r="3446" spans="1:12" s="65" customFormat="1" x14ac:dyDescent="0.75">
      <c r="A3446" s="65" t="s">
        <v>69</v>
      </c>
      <c r="B3446" s="140">
        <v>44943</v>
      </c>
      <c r="C3446" s="65">
        <v>1</v>
      </c>
      <c r="D3446" s="65" t="s">
        <v>194</v>
      </c>
      <c r="E3446" s="141">
        <f>22-13</f>
        <v>9</v>
      </c>
      <c r="F3446" s="65" t="s">
        <v>363</v>
      </c>
      <c r="G3446" s="65" t="s">
        <v>733</v>
      </c>
      <c r="L3446" t="s">
        <v>869</v>
      </c>
    </row>
    <row r="3447" spans="1:12" s="65" customFormat="1" x14ac:dyDescent="0.75">
      <c r="A3447" s="65" t="s">
        <v>69</v>
      </c>
      <c r="B3447" s="140">
        <v>44943</v>
      </c>
      <c r="C3447" s="65">
        <v>1</v>
      </c>
      <c r="D3447" s="65" t="s">
        <v>191</v>
      </c>
      <c r="E3447" s="141">
        <f>44-33</f>
        <v>11</v>
      </c>
      <c r="F3447" s="65" t="s">
        <v>363</v>
      </c>
      <c r="G3447" s="65" t="s">
        <v>361</v>
      </c>
      <c r="L3447" t="s">
        <v>869</v>
      </c>
    </row>
    <row r="3448" spans="1:12" x14ac:dyDescent="0.75">
      <c r="A3448" t="s">
        <v>69</v>
      </c>
      <c r="B3448" s="3">
        <v>44943</v>
      </c>
      <c r="C3448">
        <v>2</v>
      </c>
      <c r="D3448" t="s">
        <v>191</v>
      </c>
      <c r="E3448" s="22">
        <f>13-7</f>
        <v>6</v>
      </c>
      <c r="F3448" t="s">
        <v>363</v>
      </c>
      <c r="G3448" t="s">
        <v>733</v>
      </c>
      <c r="I3448" s="116"/>
      <c r="J3448" s="116"/>
      <c r="L3448" t="s">
        <v>869</v>
      </c>
    </row>
    <row r="3449" spans="1:12" x14ac:dyDescent="0.75">
      <c r="A3449" t="s">
        <v>69</v>
      </c>
      <c r="B3449" s="3">
        <v>44943</v>
      </c>
      <c r="C3449">
        <v>2</v>
      </c>
      <c r="D3449" t="s">
        <v>197</v>
      </c>
      <c r="E3449" s="22">
        <f>7+38-27</f>
        <v>18</v>
      </c>
      <c r="F3449" t="s">
        <v>363</v>
      </c>
      <c r="G3449" t="s">
        <v>733</v>
      </c>
      <c r="I3449" s="116"/>
      <c r="J3449" s="116"/>
      <c r="L3449" t="s">
        <v>869</v>
      </c>
    </row>
    <row r="3450" spans="1:12" x14ac:dyDescent="0.75">
      <c r="A3450" t="s">
        <v>69</v>
      </c>
      <c r="B3450" s="3">
        <v>44943</v>
      </c>
      <c r="C3450">
        <v>2</v>
      </c>
      <c r="D3450" t="s">
        <v>203</v>
      </c>
      <c r="E3450" s="22">
        <f>27-24</f>
        <v>3</v>
      </c>
      <c r="F3450" t="s">
        <v>363</v>
      </c>
      <c r="G3450" t="s">
        <v>733</v>
      </c>
      <c r="I3450" s="116"/>
      <c r="J3450" s="116"/>
      <c r="L3450" t="s">
        <v>869</v>
      </c>
    </row>
    <row r="3451" spans="1:12" x14ac:dyDescent="0.75">
      <c r="A3451" t="s">
        <v>69</v>
      </c>
      <c r="B3451" s="3">
        <v>44943</v>
      </c>
      <c r="C3451">
        <v>2</v>
      </c>
      <c r="D3451" t="s">
        <v>191</v>
      </c>
      <c r="E3451" s="22">
        <f>24-6</f>
        <v>18</v>
      </c>
      <c r="F3451" t="s">
        <v>363</v>
      </c>
      <c r="G3451" t="s">
        <v>733</v>
      </c>
      <c r="I3451" s="116"/>
      <c r="J3451" s="116"/>
      <c r="L3451" t="s">
        <v>869</v>
      </c>
    </row>
    <row r="3452" spans="1:12" x14ac:dyDescent="0.75">
      <c r="A3452" t="s">
        <v>69</v>
      </c>
      <c r="B3452" s="3">
        <v>44943</v>
      </c>
      <c r="C3452">
        <v>2</v>
      </c>
      <c r="D3452" t="s">
        <v>201</v>
      </c>
      <c r="E3452" s="22">
        <f>6+22-15</f>
        <v>13</v>
      </c>
      <c r="F3452" t="s">
        <v>363</v>
      </c>
      <c r="G3452" t="s">
        <v>733</v>
      </c>
      <c r="I3452" s="116"/>
      <c r="J3452" s="116"/>
      <c r="L3452" t="s">
        <v>869</v>
      </c>
    </row>
    <row r="3453" spans="1:12" x14ac:dyDescent="0.75">
      <c r="A3453" t="s">
        <v>69</v>
      </c>
      <c r="B3453" s="3">
        <v>44943</v>
      </c>
      <c r="C3453">
        <v>2</v>
      </c>
      <c r="D3453" t="s">
        <v>164</v>
      </c>
      <c r="E3453" s="22">
        <f>15-5</f>
        <v>10</v>
      </c>
      <c r="F3453" t="s">
        <v>363</v>
      </c>
      <c r="G3453" t="s">
        <v>733</v>
      </c>
      <c r="H3453" t="s">
        <v>390</v>
      </c>
      <c r="I3453" s="116"/>
      <c r="J3453" s="116"/>
      <c r="L3453" t="s">
        <v>869</v>
      </c>
    </row>
    <row r="3454" spans="1:12" x14ac:dyDescent="0.75">
      <c r="A3454" t="s">
        <v>69</v>
      </c>
      <c r="B3454" s="3">
        <v>44943</v>
      </c>
      <c r="C3454">
        <v>2</v>
      </c>
      <c r="D3454" t="s">
        <v>197</v>
      </c>
      <c r="E3454" s="22">
        <f>5-2</f>
        <v>3</v>
      </c>
      <c r="F3454" t="s">
        <v>363</v>
      </c>
      <c r="G3454" t="s">
        <v>733</v>
      </c>
      <c r="I3454" s="116"/>
      <c r="J3454" s="116"/>
      <c r="L3454" t="s">
        <v>869</v>
      </c>
    </row>
    <row r="3455" spans="1:12" x14ac:dyDescent="0.75">
      <c r="A3455" t="s">
        <v>69</v>
      </c>
      <c r="B3455" s="3">
        <v>44943</v>
      </c>
      <c r="C3455">
        <v>2</v>
      </c>
      <c r="D3455" t="s">
        <v>197</v>
      </c>
      <c r="E3455" s="22">
        <f>2+48-36</f>
        <v>14</v>
      </c>
      <c r="F3455" t="s">
        <v>363</v>
      </c>
      <c r="G3455" t="s">
        <v>733</v>
      </c>
      <c r="I3455" s="116"/>
      <c r="J3455" s="116"/>
      <c r="L3455" t="s">
        <v>869</v>
      </c>
    </row>
    <row r="3456" spans="1:12" x14ac:dyDescent="0.75">
      <c r="A3456" t="s">
        <v>69</v>
      </c>
      <c r="B3456" s="3">
        <v>44943</v>
      </c>
      <c r="C3456">
        <v>2</v>
      </c>
      <c r="D3456" t="s">
        <v>201</v>
      </c>
      <c r="E3456" s="22">
        <f>36-33</f>
        <v>3</v>
      </c>
      <c r="F3456" t="s">
        <v>363</v>
      </c>
      <c r="G3456" t="s">
        <v>733</v>
      </c>
      <c r="I3456" s="116"/>
      <c r="J3456" s="116"/>
      <c r="L3456" t="s">
        <v>869</v>
      </c>
    </row>
    <row r="3457" spans="1:12" x14ac:dyDescent="0.75">
      <c r="A3457" t="s">
        <v>69</v>
      </c>
      <c r="B3457" s="3">
        <v>44943</v>
      </c>
      <c r="C3457">
        <v>2</v>
      </c>
      <c r="D3457" t="s">
        <v>164</v>
      </c>
      <c r="E3457" s="22">
        <f>33-30</f>
        <v>3</v>
      </c>
      <c r="F3457" t="s">
        <v>363</v>
      </c>
      <c r="G3457" t="s">
        <v>733</v>
      </c>
      <c r="H3457" t="s">
        <v>390</v>
      </c>
      <c r="I3457" s="116"/>
      <c r="J3457" s="116"/>
      <c r="L3457" t="s">
        <v>869</v>
      </c>
    </row>
    <row r="3458" spans="1:12" x14ac:dyDescent="0.75">
      <c r="A3458" t="s">
        <v>69</v>
      </c>
      <c r="B3458" s="3">
        <v>44943</v>
      </c>
      <c r="C3458">
        <v>2</v>
      </c>
      <c r="D3458" t="s">
        <v>201</v>
      </c>
      <c r="E3458" s="22">
        <f>30-25</f>
        <v>5</v>
      </c>
      <c r="F3458" t="s">
        <v>363</v>
      </c>
      <c r="G3458" t="s">
        <v>733</v>
      </c>
      <c r="I3458" s="116"/>
      <c r="J3458" s="116"/>
      <c r="L3458" t="s">
        <v>869</v>
      </c>
    </row>
    <row r="3459" spans="1:12" x14ac:dyDescent="0.75">
      <c r="A3459" t="s">
        <v>69</v>
      </c>
      <c r="B3459" s="3">
        <v>44943</v>
      </c>
      <c r="C3459">
        <v>2</v>
      </c>
      <c r="D3459" t="s">
        <v>194</v>
      </c>
      <c r="E3459" s="22">
        <f>25-19</f>
        <v>6</v>
      </c>
      <c r="F3459" t="s">
        <v>363</v>
      </c>
      <c r="G3459" t="s">
        <v>733</v>
      </c>
      <c r="I3459" s="116"/>
      <c r="J3459" s="116"/>
      <c r="L3459" t="s">
        <v>869</v>
      </c>
    </row>
    <row r="3460" spans="1:12" x14ac:dyDescent="0.75">
      <c r="A3460" t="s">
        <v>69</v>
      </c>
      <c r="B3460" s="3">
        <v>44943</v>
      </c>
      <c r="C3460">
        <v>2</v>
      </c>
      <c r="D3460" t="s">
        <v>191</v>
      </c>
      <c r="E3460" s="22">
        <f>33-27</f>
        <v>6</v>
      </c>
      <c r="F3460" t="s">
        <v>363</v>
      </c>
      <c r="G3460" t="s">
        <v>361</v>
      </c>
      <c r="I3460" s="116"/>
      <c r="J3460" s="116"/>
      <c r="L3460" t="s">
        <v>869</v>
      </c>
    </row>
    <row r="3461" spans="1:12" x14ac:dyDescent="0.75">
      <c r="A3461" t="s">
        <v>69</v>
      </c>
      <c r="B3461" s="3">
        <v>44943</v>
      </c>
      <c r="C3461">
        <v>2</v>
      </c>
      <c r="D3461" t="s">
        <v>197</v>
      </c>
      <c r="E3461" s="22">
        <f>27-10</f>
        <v>17</v>
      </c>
      <c r="F3461" t="s">
        <v>363</v>
      </c>
      <c r="G3461" t="s">
        <v>361</v>
      </c>
      <c r="I3461" s="116"/>
      <c r="J3461" s="116"/>
      <c r="L3461" t="s">
        <v>869</v>
      </c>
    </row>
    <row r="3462" spans="1:12" x14ac:dyDescent="0.75">
      <c r="A3462" t="s">
        <v>69</v>
      </c>
      <c r="B3462" s="3">
        <v>44943</v>
      </c>
      <c r="C3462">
        <v>2</v>
      </c>
      <c r="D3462" t="s">
        <v>201</v>
      </c>
      <c r="E3462" s="22">
        <f>10-1</f>
        <v>9</v>
      </c>
      <c r="F3462" t="s">
        <v>363</v>
      </c>
      <c r="G3462" t="s">
        <v>361</v>
      </c>
      <c r="I3462" s="116"/>
      <c r="J3462" s="116"/>
      <c r="L3462" t="s">
        <v>869</v>
      </c>
    </row>
    <row r="3463" spans="1:12" x14ac:dyDescent="0.75">
      <c r="A3463" t="s">
        <v>69</v>
      </c>
      <c r="B3463" s="3">
        <v>44943</v>
      </c>
      <c r="C3463">
        <v>2</v>
      </c>
      <c r="D3463" t="s">
        <v>197</v>
      </c>
      <c r="E3463" s="22">
        <f>1+52-47</f>
        <v>6</v>
      </c>
      <c r="F3463" t="s">
        <v>363</v>
      </c>
      <c r="G3463" t="s">
        <v>361</v>
      </c>
      <c r="I3463" s="116"/>
      <c r="J3463" s="116"/>
      <c r="L3463" t="s">
        <v>869</v>
      </c>
    </row>
    <row r="3464" spans="1:12" x14ac:dyDescent="0.75">
      <c r="A3464" t="s">
        <v>69</v>
      </c>
      <c r="B3464" s="3">
        <v>44943</v>
      </c>
      <c r="C3464">
        <v>2</v>
      </c>
      <c r="D3464" t="s">
        <v>197</v>
      </c>
      <c r="E3464" s="22">
        <f>47-38</f>
        <v>9</v>
      </c>
      <c r="F3464" t="s">
        <v>363</v>
      </c>
      <c r="G3464" t="s">
        <v>361</v>
      </c>
      <c r="I3464" s="116"/>
      <c r="J3464" s="116"/>
      <c r="L3464" t="s">
        <v>869</v>
      </c>
    </row>
    <row r="3465" spans="1:12" x14ac:dyDescent="0.75">
      <c r="A3465" t="s">
        <v>69</v>
      </c>
      <c r="B3465" s="3">
        <v>44943</v>
      </c>
      <c r="C3465">
        <v>2</v>
      </c>
      <c r="D3465" t="s">
        <v>194</v>
      </c>
      <c r="E3465" s="22">
        <f>38-31</f>
        <v>7</v>
      </c>
      <c r="F3465" t="s">
        <v>363</v>
      </c>
      <c r="G3465" t="s">
        <v>361</v>
      </c>
      <c r="I3465" s="116"/>
      <c r="J3465" s="116"/>
      <c r="L3465" t="s">
        <v>869</v>
      </c>
    </row>
    <row r="3466" spans="1:12" x14ac:dyDescent="0.75">
      <c r="A3466" t="s">
        <v>69</v>
      </c>
      <c r="B3466" s="3">
        <v>44943</v>
      </c>
      <c r="C3466">
        <v>2</v>
      </c>
      <c r="D3466" t="s">
        <v>197</v>
      </c>
      <c r="E3466" s="22">
        <f>31-20</f>
        <v>11</v>
      </c>
      <c r="F3466" t="s">
        <v>363</v>
      </c>
      <c r="G3466" t="s">
        <v>361</v>
      </c>
      <c r="I3466" s="116"/>
      <c r="J3466" s="116"/>
      <c r="L3466" t="s">
        <v>869</v>
      </c>
    </row>
    <row r="3467" spans="1:12" x14ac:dyDescent="0.75">
      <c r="A3467" t="s">
        <v>69</v>
      </c>
      <c r="B3467" s="3">
        <v>44943</v>
      </c>
      <c r="C3467">
        <v>2</v>
      </c>
      <c r="D3467" t="s">
        <v>197</v>
      </c>
      <c r="E3467" s="22">
        <f>20-15</f>
        <v>5</v>
      </c>
      <c r="F3467" t="s">
        <v>363</v>
      </c>
      <c r="G3467" t="s">
        <v>361</v>
      </c>
      <c r="I3467" s="116"/>
      <c r="J3467" s="116"/>
      <c r="L3467" t="s">
        <v>869</v>
      </c>
    </row>
    <row r="3468" spans="1:12" x14ac:dyDescent="0.75">
      <c r="A3468" t="s">
        <v>69</v>
      </c>
      <c r="B3468" s="3">
        <v>44943</v>
      </c>
      <c r="C3468">
        <v>2</v>
      </c>
      <c r="D3468" t="s">
        <v>191</v>
      </c>
      <c r="E3468" s="22">
        <f>15-9</f>
        <v>6</v>
      </c>
      <c r="F3468" t="s">
        <v>363</v>
      </c>
      <c r="G3468" t="s">
        <v>361</v>
      </c>
      <c r="I3468" s="116"/>
      <c r="J3468" s="116"/>
      <c r="L3468" t="s">
        <v>869</v>
      </c>
    </row>
    <row r="3469" spans="1:12" x14ac:dyDescent="0.75">
      <c r="A3469" t="s">
        <v>69</v>
      </c>
      <c r="B3469" s="3">
        <v>44943</v>
      </c>
      <c r="C3469">
        <v>2</v>
      </c>
      <c r="D3469" t="s">
        <v>197</v>
      </c>
      <c r="E3469" s="22">
        <f>9-6</f>
        <v>3</v>
      </c>
      <c r="F3469" t="s">
        <v>363</v>
      </c>
      <c r="G3469" t="s">
        <v>361</v>
      </c>
      <c r="I3469" s="116"/>
      <c r="J3469" s="116"/>
      <c r="L3469" t="s">
        <v>869</v>
      </c>
    </row>
    <row r="3470" spans="1:12" x14ac:dyDescent="0.75">
      <c r="A3470" t="s">
        <v>69</v>
      </c>
      <c r="B3470" s="3">
        <v>44943</v>
      </c>
      <c r="C3470">
        <v>2</v>
      </c>
      <c r="D3470" t="s">
        <v>191</v>
      </c>
      <c r="E3470" s="22">
        <f>43-40</f>
        <v>3</v>
      </c>
      <c r="F3470" t="s">
        <v>363</v>
      </c>
      <c r="G3470" t="s">
        <v>869</v>
      </c>
      <c r="I3470" s="116"/>
      <c r="J3470" s="116"/>
      <c r="L3470" t="s">
        <v>869</v>
      </c>
    </row>
    <row r="3471" spans="1:12" x14ac:dyDescent="0.75">
      <c r="A3471" t="s">
        <v>69</v>
      </c>
      <c r="B3471" s="3">
        <v>44943</v>
      </c>
      <c r="C3471">
        <v>2</v>
      </c>
      <c r="D3471" t="s">
        <v>194</v>
      </c>
      <c r="E3471" s="22">
        <f>40-38</f>
        <v>2</v>
      </c>
      <c r="F3471" t="s">
        <v>363</v>
      </c>
      <c r="G3471" t="s">
        <v>869</v>
      </c>
      <c r="I3471" s="116"/>
      <c r="J3471" s="116"/>
      <c r="L3471" t="s">
        <v>869</v>
      </c>
    </row>
    <row r="3472" spans="1:12" x14ac:dyDescent="0.75">
      <c r="A3472" t="s">
        <v>69</v>
      </c>
      <c r="B3472" s="3">
        <v>44943</v>
      </c>
      <c r="C3472">
        <v>2</v>
      </c>
      <c r="D3472" t="s">
        <v>164</v>
      </c>
      <c r="E3472" s="22">
        <f>38-33</f>
        <v>5</v>
      </c>
      <c r="F3472" t="s">
        <v>363</v>
      </c>
      <c r="G3472" t="s">
        <v>869</v>
      </c>
      <c r="I3472" s="116"/>
      <c r="J3472" s="116"/>
      <c r="L3472" t="s">
        <v>869</v>
      </c>
    </row>
    <row r="3473" spans="1:12" x14ac:dyDescent="0.75">
      <c r="A3473" t="s">
        <v>69</v>
      </c>
      <c r="B3473" s="3">
        <v>44943</v>
      </c>
      <c r="C3473">
        <v>2</v>
      </c>
      <c r="D3473" t="s">
        <v>197</v>
      </c>
      <c r="E3473" s="22">
        <f>33-27</f>
        <v>6</v>
      </c>
      <c r="F3473" t="s">
        <v>363</v>
      </c>
      <c r="G3473" t="s">
        <v>869</v>
      </c>
      <c r="I3473" s="116"/>
      <c r="J3473" s="116"/>
      <c r="L3473" t="s">
        <v>869</v>
      </c>
    </row>
    <row r="3474" spans="1:12" x14ac:dyDescent="0.75">
      <c r="A3474" t="s">
        <v>69</v>
      </c>
      <c r="B3474" s="3">
        <v>44943</v>
      </c>
      <c r="C3474">
        <v>2</v>
      </c>
      <c r="D3474" t="s">
        <v>153</v>
      </c>
      <c r="E3474" s="22">
        <f>26-24</f>
        <v>2</v>
      </c>
      <c r="F3474" t="s">
        <v>363</v>
      </c>
      <c r="G3474" t="s">
        <v>869</v>
      </c>
      <c r="I3474" s="116"/>
      <c r="J3474" s="116"/>
      <c r="L3474" t="s">
        <v>869</v>
      </c>
    </row>
    <row r="3475" spans="1:12" x14ac:dyDescent="0.75">
      <c r="A3475" t="s">
        <v>69</v>
      </c>
      <c r="B3475" s="3">
        <v>44943</v>
      </c>
      <c r="C3475">
        <v>2</v>
      </c>
      <c r="D3475" t="s">
        <v>194</v>
      </c>
      <c r="E3475" s="22">
        <f>24-21</f>
        <v>3</v>
      </c>
      <c r="F3475" t="s">
        <v>363</v>
      </c>
      <c r="G3475" t="s">
        <v>869</v>
      </c>
      <c r="I3475" s="116"/>
      <c r="J3475" s="116"/>
      <c r="L3475" t="s">
        <v>869</v>
      </c>
    </row>
    <row r="3476" spans="1:12" x14ac:dyDescent="0.75">
      <c r="A3476" t="s">
        <v>69</v>
      </c>
      <c r="B3476" s="3">
        <v>44943</v>
      </c>
      <c r="C3476">
        <v>2</v>
      </c>
      <c r="D3476" t="s">
        <v>194</v>
      </c>
      <c r="E3476" s="22">
        <f>21-6</f>
        <v>15</v>
      </c>
      <c r="F3476" t="s">
        <v>363</v>
      </c>
      <c r="G3476" t="s">
        <v>869</v>
      </c>
      <c r="I3476" s="116"/>
      <c r="J3476" s="116"/>
      <c r="L3476" t="s">
        <v>869</v>
      </c>
    </row>
    <row r="3477" spans="1:12" x14ac:dyDescent="0.75">
      <c r="A3477" t="s">
        <v>69</v>
      </c>
      <c r="B3477" s="3">
        <v>44943</v>
      </c>
      <c r="C3477">
        <v>2</v>
      </c>
      <c r="D3477" t="s">
        <v>194</v>
      </c>
      <c r="E3477" s="22">
        <f>6-0</f>
        <v>6</v>
      </c>
      <c r="F3477" t="s">
        <v>363</v>
      </c>
      <c r="G3477" t="s">
        <v>869</v>
      </c>
      <c r="I3477" s="116"/>
      <c r="J3477" s="116"/>
      <c r="L3477" t="s">
        <v>869</v>
      </c>
    </row>
    <row r="3478" spans="1:12" x14ac:dyDescent="0.75">
      <c r="A3478" t="s">
        <v>69</v>
      </c>
      <c r="B3478" s="3">
        <v>44943</v>
      </c>
      <c r="C3478">
        <v>2</v>
      </c>
      <c r="D3478" t="s">
        <v>197</v>
      </c>
      <c r="E3478" s="22">
        <f>46-41</f>
        <v>5</v>
      </c>
      <c r="F3478" t="s">
        <v>363</v>
      </c>
      <c r="G3478" t="s">
        <v>869</v>
      </c>
      <c r="I3478" s="116"/>
      <c r="J3478" s="116"/>
      <c r="L3478" t="s">
        <v>869</v>
      </c>
    </row>
    <row r="3479" spans="1:12" x14ac:dyDescent="0.75">
      <c r="A3479" t="s">
        <v>69</v>
      </c>
      <c r="B3479" s="3">
        <v>44943</v>
      </c>
      <c r="C3479">
        <v>2</v>
      </c>
      <c r="D3479" t="s">
        <v>191</v>
      </c>
      <c r="E3479" s="22">
        <f>41-39</f>
        <v>2</v>
      </c>
      <c r="F3479" t="s">
        <v>363</v>
      </c>
      <c r="G3479" t="s">
        <v>869</v>
      </c>
      <c r="I3479" s="116"/>
      <c r="J3479" s="116"/>
      <c r="L3479" t="s">
        <v>869</v>
      </c>
    </row>
    <row r="3480" spans="1:12" x14ac:dyDescent="0.75">
      <c r="A3480" t="s">
        <v>69</v>
      </c>
      <c r="B3480" s="3">
        <v>44943</v>
      </c>
      <c r="C3480">
        <v>2</v>
      </c>
      <c r="D3480" t="s">
        <v>191</v>
      </c>
      <c r="E3480" s="22">
        <f>39-28</f>
        <v>11</v>
      </c>
      <c r="F3480" t="s">
        <v>363</v>
      </c>
      <c r="G3480" t="s">
        <v>869</v>
      </c>
      <c r="I3480" s="116"/>
      <c r="J3480" s="116"/>
      <c r="L3480" t="s">
        <v>869</v>
      </c>
    </row>
    <row r="3481" spans="1:12" x14ac:dyDescent="0.75">
      <c r="A3481" t="s">
        <v>69</v>
      </c>
      <c r="B3481" s="3">
        <v>44943</v>
      </c>
      <c r="C3481">
        <v>2</v>
      </c>
      <c r="D3481" t="s">
        <v>191</v>
      </c>
      <c r="E3481" s="22">
        <f>28-20</f>
        <v>8</v>
      </c>
      <c r="F3481" t="s">
        <v>363</v>
      </c>
      <c r="G3481" t="s">
        <v>869</v>
      </c>
      <c r="H3481" t="s">
        <v>390</v>
      </c>
      <c r="I3481" s="116"/>
      <c r="J3481" s="116"/>
      <c r="L3481" t="s">
        <v>869</v>
      </c>
    </row>
    <row r="3482" spans="1:12" x14ac:dyDescent="0.75">
      <c r="A3482" t="s">
        <v>69</v>
      </c>
      <c r="B3482" s="3">
        <v>44943</v>
      </c>
      <c r="C3482">
        <v>2</v>
      </c>
      <c r="D3482" t="s">
        <v>191</v>
      </c>
      <c r="E3482" s="22">
        <f>18-15</f>
        <v>3</v>
      </c>
      <c r="F3482" t="s">
        <v>363</v>
      </c>
      <c r="G3482" t="s">
        <v>869</v>
      </c>
      <c r="I3482" s="116"/>
      <c r="J3482" s="116"/>
      <c r="L3482" t="s">
        <v>869</v>
      </c>
    </row>
    <row r="3483" spans="1:12" x14ac:dyDescent="0.75">
      <c r="A3483" t="s">
        <v>69</v>
      </c>
      <c r="B3483" s="3">
        <v>44943</v>
      </c>
      <c r="C3483">
        <v>2</v>
      </c>
      <c r="D3483" t="s">
        <v>194</v>
      </c>
      <c r="E3483" s="22">
        <f>15-8</f>
        <v>7</v>
      </c>
      <c r="F3483" t="s">
        <v>363</v>
      </c>
      <c r="G3483" t="s">
        <v>869</v>
      </c>
      <c r="I3483" s="116"/>
      <c r="J3483" s="116"/>
      <c r="L3483" t="s">
        <v>869</v>
      </c>
    </row>
    <row r="3484" spans="1:12" x14ac:dyDescent="0.75">
      <c r="A3484" t="s">
        <v>69</v>
      </c>
      <c r="B3484" s="3">
        <v>44943</v>
      </c>
      <c r="C3484">
        <v>2</v>
      </c>
      <c r="D3484" t="s">
        <v>197</v>
      </c>
      <c r="E3484" s="22">
        <f>8-7</f>
        <v>1</v>
      </c>
      <c r="F3484" t="s">
        <v>363</v>
      </c>
      <c r="G3484" t="s">
        <v>869</v>
      </c>
      <c r="I3484" s="116"/>
      <c r="J3484" s="116"/>
      <c r="L3484" t="s">
        <v>869</v>
      </c>
    </row>
    <row r="3485" spans="1:12" x14ac:dyDescent="0.75">
      <c r="A3485" t="s">
        <v>69</v>
      </c>
      <c r="B3485" s="3">
        <v>44943</v>
      </c>
      <c r="C3485">
        <v>2</v>
      </c>
      <c r="D3485" t="s">
        <v>153</v>
      </c>
      <c r="E3485" s="22">
        <f>7-5</f>
        <v>2</v>
      </c>
      <c r="F3485" t="s">
        <v>363</v>
      </c>
      <c r="G3485" t="s">
        <v>869</v>
      </c>
      <c r="I3485" s="116"/>
      <c r="J3485" s="116"/>
      <c r="L3485" t="s">
        <v>869</v>
      </c>
    </row>
    <row r="3486" spans="1:12" x14ac:dyDescent="0.75">
      <c r="A3486" t="s">
        <v>69</v>
      </c>
      <c r="B3486" s="3">
        <v>44943</v>
      </c>
      <c r="C3486">
        <v>2</v>
      </c>
      <c r="D3486" t="s">
        <v>197</v>
      </c>
      <c r="E3486" s="22">
        <f>56-51</f>
        <v>5</v>
      </c>
      <c r="F3486" t="s">
        <v>363</v>
      </c>
      <c r="G3486" t="s">
        <v>869</v>
      </c>
      <c r="I3486" s="116"/>
      <c r="J3486" s="116"/>
      <c r="L3486" t="s">
        <v>869</v>
      </c>
    </row>
    <row r="3487" spans="1:12" x14ac:dyDescent="0.75">
      <c r="A3487" t="s">
        <v>69</v>
      </c>
      <c r="B3487" s="3">
        <v>44943</v>
      </c>
      <c r="C3487">
        <v>2</v>
      </c>
      <c r="D3487" t="s">
        <v>191</v>
      </c>
      <c r="E3487" s="22">
        <f>51-46</f>
        <v>5</v>
      </c>
      <c r="F3487" t="s">
        <v>363</v>
      </c>
      <c r="G3487" t="s">
        <v>869</v>
      </c>
      <c r="I3487" s="116"/>
      <c r="J3487" s="116"/>
      <c r="L3487" t="s">
        <v>869</v>
      </c>
    </row>
    <row r="3488" spans="1:12" x14ac:dyDescent="0.75">
      <c r="A3488" t="s">
        <v>69</v>
      </c>
      <c r="B3488" s="3">
        <v>44943</v>
      </c>
      <c r="C3488">
        <v>2</v>
      </c>
      <c r="D3488" t="s">
        <v>197</v>
      </c>
      <c r="E3488" s="22">
        <f>46-33</f>
        <v>13</v>
      </c>
      <c r="F3488" t="s">
        <v>363</v>
      </c>
      <c r="G3488" t="s">
        <v>869</v>
      </c>
      <c r="I3488" s="116"/>
      <c r="J3488" s="116"/>
      <c r="L3488" t="s">
        <v>869</v>
      </c>
    </row>
    <row r="3489" spans="1:12" x14ac:dyDescent="0.75">
      <c r="A3489" t="s">
        <v>69</v>
      </c>
      <c r="B3489" s="3">
        <v>44943</v>
      </c>
      <c r="C3489">
        <v>2</v>
      </c>
      <c r="D3489" t="s">
        <v>197</v>
      </c>
      <c r="E3489" s="22">
        <f>33-26</f>
        <v>7</v>
      </c>
      <c r="F3489" t="s">
        <v>363</v>
      </c>
      <c r="G3489" t="s">
        <v>869</v>
      </c>
      <c r="I3489" s="116"/>
      <c r="J3489" s="116"/>
      <c r="L3489" t="s">
        <v>869</v>
      </c>
    </row>
    <row r="3490" spans="1:12" s="65" customFormat="1" x14ac:dyDescent="0.75">
      <c r="A3490" s="65" t="s">
        <v>87</v>
      </c>
      <c r="B3490" s="140">
        <v>44943</v>
      </c>
      <c r="C3490" s="65">
        <v>1</v>
      </c>
      <c r="D3490" s="65" t="s">
        <v>160</v>
      </c>
      <c r="E3490" s="141">
        <f>19+53-13+12</f>
        <v>71</v>
      </c>
      <c r="F3490" s="65" t="s">
        <v>363</v>
      </c>
      <c r="G3490" s="65" t="s">
        <v>792</v>
      </c>
      <c r="K3490" s="65" t="s">
        <v>886</v>
      </c>
      <c r="L3490" t="s">
        <v>869</v>
      </c>
    </row>
    <row r="3491" spans="1:12" x14ac:dyDescent="0.75">
      <c r="A3491" t="s">
        <v>74</v>
      </c>
      <c r="B3491" s="3">
        <v>44943</v>
      </c>
      <c r="C3491">
        <v>1</v>
      </c>
      <c r="D3491" t="s">
        <v>160</v>
      </c>
      <c r="E3491" s="22">
        <f>7-1</f>
        <v>6</v>
      </c>
      <c r="F3491" t="s">
        <v>363</v>
      </c>
      <c r="G3491" t="s">
        <v>733</v>
      </c>
      <c r="I3491" s="116"/>
      <c r="J3491" s="116"/>
      <c r="L3491" t="s">
        <v>869</v>
      </c>
    </row>
    <row r="3492" spans="1:12" x14ac:dyDescent="0.75">
      <c r="A3492" t="s">
        <v>74</v>
      </c>
      <c r="B3492" s="3">
        <v>44943</v>
      </c>
      <c r="C3492">
        <v>1</v>
      </c>
      <c r="D3492" t="s">
        <v>207</v>
      </c>
      <c r="E3492" s="22">
        <f>13-9</f>
        <v>4</v>
      </c>
      <c r="F3492" t="s">
        <v>363</v>
      </c>
      <c r="G3492" t="s">
        <v>733</v>
      </c>
      <c r="I3492" s="116"/>
      <c r="J3492" s="116"/>
      <c r="L3492" t="s">
        <v>869</v>
      </c>
    </row>
    <row r="3493" spans="1:12" x14ac:dyDescent="0.75">
      <c r="A3493" t="s">
        <v>74</v>
      </c>
      <c r="B3493" s="3">
        <v>44943</v>
      </c>
      <c r="C3493">
        <v>1</v>
      </c>
      <c r="D3493" t="s">
        <v>176</v>
      </c>
      <c r="E3493" s="22">
        <f>44-35</f>
        <v>9</v>
      </c>
      <c r="F3493" t="s">
        <v>363</v>
      </c>
      <c r="G3493" t="s">
        <v>733</v>
      </c>
      <c r="I3493" s="116"/>
      <c r="J3493" s="116"/>
      <c r="L3493" t="s">
        <v>869</v>
      </c>
    </row>
    <row r="3494" spans="1:12" x14ac:dyDescent="0.75">
      <c r="A3494" t="s">
        <v>74</v>
      </c>
      <c r="B3494" s="3">
        <v>44943</v>
      </c>
      <c r="C3494">
        <v>1</v>
      </c>
      <c r="D3494" t="s">
        <v>168</v>
      </c>
      <c r="E3494" s="22">
        <f>35-28</f>
        <v>7</v>
      </c>
      <c r="F3494" t="s">
        <v>363</v>
      </c>
      <c r="G3494" t="s">
        <v>733</v>
      </c>
      <c r="I3494" s="116"/>
      <c r="J3494" s="116"/>
      <c r="L3494" t="s">
        <v>869</v>
      </c>
    </row>
    <row r="3495" spans="1:12" x14ac:dyDescent="0.75">
      <c r="A3495" t="s">
        <v>74</v>
      </c>
      <c r="B3495" s="3">
        <v>44943</v>
      </c>
      <c r="C3495">
        <v>1</v>
      </c>
      <c r="D3495" t="s">
        <v>176</v>
      </c>
      <c r="E3495" s="22">
        <f>28-7</f>
        <v>21</v>
      </c>
      <c r="F3495" t="s">
        <v>363</v>
      </c>
      <c r="G3495" t="s">
        <v>733</v>
      </c>
      <c r="I3495" s="116"/>
      <c r="J3495" s="116"/>
      <c r="L3495" t="s">
        <v>869</v>
      </c>
    </row>
    <row r="3496" spans="1:12" x14ac:dyDescent="0.75">
      <c r="A3496" t="s">
        <v>74</v>
      </c>
      <c r="B3496" s="3">
        <v>44943</v>
      </c>
      <c r="C3496">
        <v>1</v>
      </c>
      <c r="D3496" t="s">
        <v>215</v>
      </c>
      <c r="E3496" s="22">
        <f>4-3</f>
        <v>1</v>
      </c>
      <c r="F3496" t="s">
        <v>363</v>
      </c>
      <c r="G3496" t="s">
        <v>869</v>
      </c>
      <c r="I3496" s="116"/>
      <c r="J3496" s="116"/>
      <c r="L3496" t="s">
        <v>869</v>
      </c>
    </row>
    <row r="3497" spans="1:12" x14ac:dyDescent="0.75">
      <c r="A3497" t="s">
        <v>74</v>
      </c>
      <c r="B3497" s="3">
        <v>44943</v>
      </c>
      <c r="C3497">
        <v>1</v>
      </c>
      <c r="D3497" t="s">
        <v>176</v>
      </c>
      <c r="E3497" s="22">
        <f>27-21</f>
        <v>6</v>
      </c>
      <c r="F3497" t="s">
        <v>363</v>
      </c>
      <c r="G3497" t="s">
        <v>869</v>
      </c>
      <c r="I3497" s="116"/>
      <c r="J3497" s="116"/>
      <c r="L3497" t="s">
        <v>869</v>
      </c>
    </row>
    <row r="3498" spans="1:12" x14ac:dyDescent="0.75">
      <c r="A3498" t="s">
        <v>74</v>
      </c>
      <c r="B3498" s="3">
        <v>44943</v>
      </c>
      <c r="C3498">
        <v>1</v>
      </c>
      <c r="D3498" t="s">
        <v>197</v>
      </c>
      <c r="E3498" s="22">
        <f>21-14</f>
        <v>7</v>
      </c>
      <c r="F3498" t="s">
        <v>363</v>
      </c>
      <c r="G3498" t="s">
        <v>869</v>
      </c>
      <c r="I3498" s="116"/>
      <c r="J3498" s="116"/>
      <c r="L3498" t="s">
        <v>869</v>
      </c>
    </row>
    <row r="3499" spans="1:12" x14ac:dyDescent="0.75">
      <c r="A3499" t="s">
        <v>74</v>
      </c>
      <c r="B3499" s="3">
        <v>44943</v>
      </c>
      <c r="C3499">
        <v>1</v>
      </c>
      <c r="D3499" t="s">
        <v>191</v>
      </c>
      <c r="E3499" s="22">
        <f>14-11</f>
        <v>3</v>
      </c>
      <c r="F3499" t="s">
        <v>363</v>
      </c>
      <c r="G3499" t="s">
        <v>869</v>
      </c>
      <c r="I3499" s="116"/>
      <c r="J3499" s="116"/>
      <c r="L3499" t="s">
        <v>869</v>
      </c>
    </row>
    <row r="3500" spans="1:12" x14ac:dyDescent="0.75">
      <c r="A3500" t="s">
        <v>74</v>
      </c>
      <c r="B3500" s="3">
        <v>44943</v>
      </c>
      <c r="C3500">
        <v>1</v>
      </c>
      <c r="D3500" t="s">
        <v>207</v>
      </c>
      <c r="E3500" s="22">
        <f>11-9</f>
        <v>2</v>
      </c>
      <c r="F3500" t="s">
        <v>363</v>
      </c>
      <c r="G3500" t="s">
        <v>869</v>
      </c>
      <c r="I3500" s="116"/>
      <c r="J3500" s="116"/>
      <c r="L3500" t="s">
        <v>869</v>
      </c>
    </row>
    <row r="3501" spans="1:12" x14ac:dyDescent="0.75">
      <c r="A3501" t="s">
        <v>74</v>
      </c>
      <c r="B3501" s="3">
        <v>44943</v>
      </c>
      <c r="C3501">
        <v>1</v>
      </c>
      <c r="D3501" t="s">
        <v>176</v>
      </c>
      <c r="E3501" s="22">
        <f>9+46-31</f>
        <v>24</v>
      </c>
      <c r="F3501" t="s">
        <v>363</v>
      </c>
      <c r="G3501" t="s">
        <v>869</v>
      </c>
      <c r="I3501" s="116"/>
      <c r="J3501" s="116"/>
      <c r="L3501" t="s">
        <v>869</v>
      </c>
    </row>
    <row r="3502" spans="1:12" x14ac:dyDescent="0.75">
      <c r="A3502" t="s">
        <v>74</v>
      </c>
      <c r="B3502" s="3">
        <v>44943</v>
      </c>
      <c r="C3502">
        <v>1</v>
      </c>
      <c r="D3502" t="s">
        <v>172</v>
      </c>
      <c r="E3502" s="22">
        <f>32-21</f>
        <v>11</v>
      </c>
      <c r="F3502" t="s">
        <v>363</v>
      </c>
      <c r="G3502" t="s">
        <v>869</v>
      </c>
      <c r="I3502" s="116"/>
      <c r="J3502" s="116"/>
      <c r="L3502" t="s">
        <v>869</v>
      </c>
    </row>
    <row r="3503" spans="1:12" s="65" customFormat="1" x14ac:dyDescent="0.75">
      <c r="A3503" s="65" t="s">
        <v>69</v>
      </c>
      <c r="B3503" s="140">
        <v>44944</v>
      </c>
      <c r="C3503" s="65">
        <v>1</v>
      </c>
      <c r="D3503" s="65" t="s">
        <v>197</v>
      </c>
      <c r="E3503" s="141">
        <f>45-37</f>
        <v>8</v>
      </c>
      <c r="F3503" s="65" t="s">
        <v>363</v>
      </c>
      <c r="G3503" s="65" t="s">
        <v>869</v>
      </c>
      <c r="L3503" t="s">
        <v>869</v>
      </c>
    </row>
    <row r="3504" spans="1:12" s="65" customFormat="1" x14ac:dyDescent="0.75">
      <c r="A3504" s="65" t="s">
        <v>69</v>
      </c>
      <c r="B3504" s="140">
        <v>44944</v>
      </c>
      <c r="C3504" s="65">
        <v>1</v>
      </c>
      <c r="D3504" s="65" t="s">
        <v>197</v>
      </c>
      <c r="E3504" s="141">
        <f>37-21</f>
        <v>16</v>
      </c>
      <c r="F3504" s="65" t="s">
        <v>363</v>
      </c>
      <c r="G3504" s="65" t="s">
        <v>869</v>
      </c>
      <c r="L3504" t="s">
        <v>869</v>
      </c>
    </row>
    <row r="3505" spans="1:12" s="65" customFormat="1" x14ac:dyDescent="0.75">
      <c r="A3505" s="65" t="s">
        <v>69</v>
      </c>
      <c r="B3505" s="140">
        <v>44944</v>
      </c>
      <c r="C3505" s="65">
        <v>1</v>
      </c>
      <c r="D3505" s="65" t="s">
        <v>194</v>
      </c>
      <c r="E3505" s="141">
        <f>21-18</f>
        <v>3</v>
      </c>
      <c r="F3505" s="65" t="s">
        <v>363</v>
      </c>
      <c r="G3505" s="65" t="s">
        <v>869</v>
      </c>
      <c r="L3505" t="s">
        <v>869</v>
      </c>
    </row>
    <row r="3506" spans="1:12" s="65" customFormat="1" x14ac:dyDescent="0.75">
      <c r="A3506" s="65" t="s">
        <v>69</v>
      </c>
      <c r="B3506" s="140">
        <v>44944</v>
      </c>
      <c r="C3506" s="65">
        <v>1</v>
      </c>
      <c r="D3506" s="65" t="s">
        <v>197</v>
      </c>
      <c r="E3506" s="141">
        <f>18-11</f>
        <v>7</v>
      </c>
      <c r="F3506" s="65" t="s">
        <v>363</v>
      </c>
      <c r="G3506" s="65" t="s">
        <v>869</v>
      </c>
      <c r="L3506" t="s">
        <v>869</v>
      </c>
    </row>
    <row r="3507" spans="1:12" s="65" customFormat="1" x14ac:dyDescent="0.75">
      <c r="A3507" s="65" t="s">
        <v>69</v>
      </c>
      <c r="B3507" s="140">
        <v>44944</v>
      </c>
      <c r="C3507" s="65">
        <v>1</v>
      </c>
      <c r="D3507" s="65" t="s">
        <v>197</v>
      </c>
      <c r="E3507" s="141">
        <f>11-8</f>
        <v>3</v>
      </c>
      <c r="F3507" s="65" t="s">
        <v>363</v>
      </c>
      <c r="G3507" s="65" t="s">
        <v>869</v>
      </c>
      <c r="L3507" t="s">
        <v>869</v>
      </c>
    </row>
    <row r="3508" spans="1:12" s="65" customFormat="1" x14ac:dyDescent="0.75">
      <c r="A3508" s="65" t="s">
        <v>69</v>
      </c>
      <c r="B3508" s="140">
        <v>44944</v>
      </c>
      <c r="C3508" s="65">
        <v>1</v>
      </c>
      <c r="D3508" s="65" t="s">
        <v>191</v>
      </c>
      <c r="E3508" s="141">
        <f>8-4</f>
        <v>4</v>
      </c>
      <c r="F3508" s="65" t="s">
        <v>363</v>
      </c>
      <c r="G3508" s="65" t="s">
        <v>869</v>
      </c>
      <c r="L3508" t="s">
        <v>869</v>
      </c>
    </row>
    <row r="3509" spans="1:12" s="65" customFormat="1" x14ac:dyDescent="0.75">
      <c r="A3509" s="65" t="s">
        <v>69</v>
      </c>
      <c r="B3509" s="140">
        <v>44944</v>
      </c>
      <c r="C3509" s="65">
        <v>1</v>
      </c>
      <c r="D3509" s="65" t="s">
        <v>197</v>
      </c>
      <c r="E3509" s="141">
        <f>4</f>
        <v>4</v>
      </c>
      <c r="F3509" s="65" t="s">
        <v>363</v>
      </c>
      <c r="G3509" s="65" t="s">
        <v>869</v>
      </c>
      <c r="L3509" t="s">
        <v>869</v>
      </c>
    </row>
    <row r="3510" spans="1:12" s="65" customFormat="1" x14ac:dyDescent="0.75">
      <c r="A3510" s="65" t="s">
        <v>69</v>
      </c>
      <c r="B3510" s="140">
        <v>44944</v>
      </c>
      <c r="C3510" s="65">
        <v>1</v>
      </c>
      <c r="D3510" s="65" t="s">
        <v>191</v>
      </c>
      <c r="E3510" s="141">
        <f>45-36</f>
        <v>9</v>
      </c>
      <c r="F3510" s="65" t="s">
        <v>363</v>
      </c>
      <c r="G3510" s="65" t="s">
        <v>869</v>
      </c>
      <c r="L3510" t="s">
        <v>869</v>
      </c>
    </row>
    <row r="3511" spans="1:12" s="65" customFormat="1" x14ac:dyDescent="0.75">
      <c r="A3511" s="65" t="s">
        <v>69</v>
      </c>
      <c r="B3511" s="140">
        <v>44944</v>
      </c>
      <c r="C3511" s="65">
        <v>1</v>
      </c>
      <c r="D3511" s="65" t="s">
        <v>194</v>
      </c>
      <c r="E3511" s="141">
        <f>36-26</f>
        <v>10</v>
      </c>
      <c r="F3511" s="65" t="s">
        <v>363</v>
      </c>
      <c r="G3511" s="65" t="s">
        <v>869</v>
      </c>
      <c r="L3511" t="s">
        <v>869</v>
      </c>
    </row>
    <row r="3512" spans="1:12" s="65" customFormat="1" x14ac:dyDescent="0.75">
      <c r="A3512" s="65" t="s">
        <v>69</v>
      </c>
      <c r="B3512" s="140">
        <v>44944</v>
      </c>
      <c r="C3512" s="65">
        <v>1</v>
      </c>
      <c r="D3512" s="65" t="s">
        <v>194</v>
      </c>
      <c r="E3512" s="141">
        <f>26-23</f>
        <v>3</v>
      </c>
      <c r="F3512" s="65" t="s">
        <v>363</v>
      </c>
      <c r="G3512" s="65" t="s">
        <v>869</v>
      </c>
      <c r="L3512" t="s">
        <v>869</v>
      </c>
    </row>
    <row r="3513" spans="1:12" s="65" customFormat="1" x14ac:dyDescent="0.75">
      <c r="A3513" s="65" t="s">
        <v>69</v>
      </c>
      <c r="B3513" s="140">
        <v>44944</v>
      </c>
      <c r="C3513" s="65">
        <v>1</v>
      </c>
      <c r="D3513" s="65" t="s">
        <v>194</v>
      </c>
      <c r="E3513" s="141">
        <f>23-19</f>
        <v>4</v>
      </c>
      <c r="F3513" s="65" t="s">
        <v>363</v>
      </c>
      <c r="G3513" s="65" t="s">
        <v>869</v>
      </c>
      <c r="L3513" t="s">
        <v>869</v>
      </c>
    </row>
    <row r="3514" spans="1:12" s="65" customFormat="1" x14ac:dyDescent="0.75">
      <c r="A3514" s="65" t="s">
        <v>69</v>
      </c>
      <c r="B3514" s="140">
        <v>44944</v>
      </c>
      <c r="C3514" s="65">
        <v>1</v>
      </c>
      <c r="D3514" s="65" t="s">
        <v>197</v>
      </c>
      <c r="E3514" s="141">
        <f>19-14</f>
        <v>5</v>
      </c>
      <c r="F3514" s="65" t="s">
        <v>363</v>
      </c>
      <c r="G3514" s="65" t="s">
        <v>869</v>
      </c>
      <c r="L3514" t="s">
        <v>869</v>
      </c>
    </row>
    <row r="3515" spans="1:12" s="65" customFormat="1" x14ac:dyDescent="0.75">
      <c r="A3515" s="65" t="s">
        <v>69</v>
      </c>
      <c r="B3515" s="140">
        <v>44944</v>
      </c>
      <c r="C3515" s="65">
        <v>1</v>
      </c>
      <c r="D3515" s="65" t="s">
        <v>197</v>
      </c>
      <c r="E3515" s="141">
        <f>14-10</f>
        <v>4</v>
      </c>
      <c r="F3515" s="65" t="s">
        <v>363</v>
      </c>
      <c r="G3515" s="65" t="s">
        <v>869</v>
      </c>
      <c r="L3515" t="s">
        <v>869</v>
      </c>
    </row>
    <row r="3516" spans="1:12" s="65" customFormat="1" x14ac:dyDescent="0.75">
      <c r="A3516" s="65" t="s">
        <v>69</v>
      </c>
      <c r="B3516" s="140">
        <v>44944</v>
      </c>
      <c r="C3516" s="65">
        <v>1</v>
      </c>
      <c r="D3516" s="65" t="s">
        <v>197</v>
      </c>
      <c r="E3516" s="141">
        <f>10-8</f>
        <v>2</v>
      </c>
      <c r="F3516" s="65" t="s">
        <v>363</v>
      </c>
      <c r="G3516" s="65" t="s">
        <v>869</v>
      </c>
      <c r="L3516" t="s">
        <v>869</v>
      </c>
    </row>
    <row r="3517" spans="1:12" s="65" customFormat="1" x14ac:dyDescent="0.75">
      <c r="A3517" s="65" t="s">
        <v>69</v>
      </c>
      <c r="B3517" s="140">
        <v>44944</v>
      </c>
      <c r="C3517" s="65">
        <v>1</v>
      </c>
      <c r="D3517" s="65" t="s">
        <v>191</v>
      </c>
      <c r="E3517" s="141">
        <f>8-0</f>
        <v>8</v>
      </c>
      <c r="F3517" s="65" t="s">
        <v>363</v>
      </c>
      <c r="G3517" s="65" t="s">
        <v>869</v>
      </c>
      <c r="L3517" t="s">
        <v>869</v>
      </c>
    </row>
    <row r="3518" spans="1:12" s="65" customFormat="1" x14ac:dyDescent="0.75">
      <c r="A3518" s="65" t="s">
        <v>69</v>
      </c>
      <c r="B3518" s="140">
        <v>44944</v>
      </c>
      <c r="C3518" s="65">
        <v>1</v>
      </c>
      <c r="D3518" s="65" t="s">
        <v>194</v>
      </c>
      <c r="E3518" s="141">
        <f>43-33</f>
        <v>10</v>
      </c>
      <c r="F3518" s="65" t="s">
        <v>363</v>
      </c>
      <c r="G3518" s="65" t="s">
        <v>869</v>
      </c>
      <c r="L3518" t="s">
        <v>869</v>
      </c>
    </row>
    <row r="3519" spans="1:12" s="65" customFormat="1" x14ac:dyDescent="0.75">
      <c r="A3519" s="65" t="s">
        <v>69</v>
      </c>
      <c r="B3519" s="140">
        <v>44944</v>
      </c>
      <c r="C3519" s="65">
        <v>1</v>
      </c>
      <c r="D3519" s="65" t="s">
        <v>191</v>
      </c>
      <c r="E3519" s="141">
        <f>33-30</f>
        <v>3</v>
      </c>
      <c r="F3519" s="65" t="s">
        <v>363</v>
      </c>
      <c r="G3519" s="65" t="s">
        <v>869</v>
      </c>
      <c r="L3519" t="s">
        <v>869</v>
      </c>
    </row>
    <row r="3520" spans="1:12" s="65" customFormat="1" x14ac:dyDescent="0.75">
      <c r="A3520" s="65" t="s">
        <v>69</v>
      </c>
      <c r="B3520" s="140">
        <v>44944</v>
      </c>
      <c r="C3520" s="65">
        <v>1</v>
      </c>
      <c r="D3520" s="65" t="s">
        <v>194</v>
      </c>
      <c r="E3520" s="141">
        <f>30-23</f>
        <v>7</v>
      </c>
      <c r="F3520" s="65" t="s">
        <v>363</v>
      </c>
      <c r="G3520" s="65" t="s">
        <v>869</v>
      </c>
      <c r="L3520" t="s">
        <v>869</v>
      </c>
    </row>
    <row r="3521" spans="1:12" s="65" customFormat="1" x14ac:dyDescent="0.75">
      <c r="A3521" s="65" t="s">
        <v>69</v>
      </c>
      <c r="B3521" s="140">
        <v>44944</v>
      </c>
      <c r="C3521" s="65">
        <v>1</v>
      </c>
      <c r="D3521" s="65" t="s">
        <v>191</v>
      </c>
      <c r="E3521" s="141">
        <f>23-21</f>
        <v>2</v>
      </c>
      <c r="F3521" s="65" t="s">
        <v>363</v>
      </c>
      <c r="G3521" s="65" t="s">
        <v>869</v>
      </c>
      <c r="L3521" t="s">
        <v>869</v>
      </c>
    </row>
    <row r="3522" spans="1:12" s="65" customFormat="1" x14ac:dyDescent="0.75">
      <c r="A3522" s="65" t="s">
        <v>69</v>
      </c>
      <c r="B3522" s="140">
        <v>44944</v>
      </c>
      <c r="C3522" s="65">
        <v>1</v>
      </c>
      <c r="D3522" s="65" t="s">
        <v>191</v>
      </c>
      <c r="E3522" s="141">
        <f>21-9</f>
        <v>12</v>
      </c>
      <c r="F3522" s="65" t="s">
        <v>363</v>
      </c>
      <c r="G3522" s="65" t="s">
        <v>869</v>
      </c>
      <c r="L3522" t="s">
        <v>869</v>
      </c>
    </row>
    <row r="3523" spans="1:12" s="65" customFormat="1" x14ac:dyDescent="0.75">
      <c r="A3523" s="65" t="s">
        <v>69</v>
      </c>
      <c r="B3523" s="140">
        <v>44944</v>
      </c>
      <c r="C3523" s="65">
        <v>1</v>
      </c>
      <c r="D3523" s="65" t="s">
        <v>197</v>
      </c>
      <c r="E3523" s="141">
        <f>9-5</f>
        <v>4</v>
      </c>
      <c r="F3523" s="65" t="s">
        <v>363</v>
      </c>
      <c r="G3523" s="65" t="s">
        <v>869</v>
      </c>
      <c r="L3523" t="s">
        <v>869</v>
      </c>
    </row>
    <row r="3524" spans="1:12" s="65" customFormat="1" x14ac:dyDescent="0.75">
      <c r="A3524" s="65" t="s">
        <v>69</v>
      </c>
      <c r="B3524" s="140">
        <v>44944</v>
      </c>
      <c r="C3524" s="65">
        <v>1</v>
      </c>
      <c r="D3524" s="65" t="s">
        <v>197</v>
      </c>
      <c r="E3524" s="141">
        <f>5-2</f>
        <v>3</v>
      </c>
      <c r="F3524" s="65" t="s">
        <v>363</v>
      </c>
      <c r="G3524" s="65" t="s">
        <v>869</v>
      </c>
      <c r="L3524" t="s">
        <v>869</v>
      </c>
    </row>
    <row r="3525" spans="1:12" s="65" customFormat="1" x14ac:dyDescent="0.75">
      <c r="A3525" s="65" t="s">
        <v>69</v>
      </c>
      <c r="B3525" s="140">
        <v>44944</v>
      </c>
      <c r="C3525" s="65">
        <v>1</v>
      </c>
      <c r="D3525" s="65" t="s">
        <v>191</v>
      </c>
      <c r="E3525" s="141">
        <f>2-0</f>
        <v>2</v>
      </c>
      <c r="F3525" s="65" t="s">
        <v>363</v>
      </c>
      <c r="G3525" s="65" t="s">
        <v>869</v>
      </c>
      <c r="L3525" t="s">
        <v>869</v>
      </c>
    </row>
    <row r="3526" spans="1:12" s="65" customFormat="1" x14ac:dyDescent="0.75">
      <c r="A3526" s="65" t="s">
        <v>69</v>
      </c>
      <c r="B3526" s="140">
        <v>44944</v>
      </c>
      <c r="C3526" s="65">
        <v>1</v>
      </c>
      <c r="D3526" s="65" t="s">
        <v>194</v>
      </c>
      <c r="E3526" s="141">
        <f>49-46</f>
        <v>3</v>
      </c>
      <c r="F3526" s="65" t="s">
        <v>363</v>
      </c>
      <c r="G3526" s="65" t="s">
        <v>869</v>
      </c>
      <c r="L3526" t="s">
        <v>869</v>
      </c>
    </row>
    <row r="3527" spans="1:12" s="65" customFormat="1" x14ac:dyDescent="0.75">
      <c r="A3527" s="65" t="s">
        <v>69</v>
      </c>
      <c r="B3527" s="140">
        <v>44944</v>
      </c>
      <c r="C3527" s="65">
        <v>1</v>
      </c>
      <c r="D3527" s="65" t="s">
        <v>191</v>
      </c>
      <c r="E3527" s="141">
        <f>46-42</f>
        <v>4</v>
      </c>
      <c r="F3527" s="65" t="s">
        <v>363</v>
      </c>
      <c r="G3527" s="65" t="s">
        <v>869</v>
      </c>
      <c r="L3527" t="s">
        <v>869</v>
      </c>
    </row>
    <row r="3528" spans="1:12" s="65" customFormat="1" x14ac:dyDescent="0.75">
      <c r="A3528" s="65" t="s">
        <v>69</v>
      </c>
      <c r="B3528" s="140">
        <v>44944</v>
      </c>
      <c r="C3528" s="65">
        <v>1</v>
      </c>
      <c r="D3528" s="65" t="s">
        <v>197</v>
      </c>
      <c r="E3528" s="141">
        <f>42-34</f>
        <v>8</v>
      </c>
      <c r="F3528" s="65" t="s">
        <v>363</v>
      </c>
      <c r="G3528" s="65" t="s">
        <v>869</v>
      </c>
      <c r="L3528" t="s">
        <v>869</v>
      </c>
    </row>
    <row r="3529" spans="1:12" s="65" customFormat="1" x14ac:dyDescent="0.75">
      <c r="A3529" s="65" t="s">
        <v>69</v>
      </c>
      <c r="B3529" s="140">
        <v>44944</v>
      </c>
      <c r="C3529" s="65">
        <v>1</v>
      </c>
      <c r="D3529" s="65" t="s">
        <v>191</v>
      </c>
      <c r="E3529" s="141">
        <f>3+21-14</f>
        <v>10</v>
      </c>
      <c r="F3529" s="65" t="s">
        <v>363</v>
      </c>
      <c r="G3529" s="65" t="s">
        <v>733</v>
      </c>
      <c r="L3529" t="s">
        <v>869</v>
      </c>
    </row>
    <row r="3530" spans="1:12" s="65" customFormat="1" x14ac:dyDescent="0.75">
      <c r="A3530" s="65" t="s">
        <v>69</v>
      </c>
      <c r="B3530" s="140">
        <v>44944</v>
      </c>
      <c r="C3530" s="65">
        <v>1</v>
      </c>
      <c r="D3530" s="65" t="s">
        <v>197</v>
      </c>
      <c r="E3530" s="141">
        <f>14-4</f>
        <v>10</v>
      </c>
      <c r="F3530" s="65" t="s">
        <v>363</v>
      </c>
      <c r="G3530" s="65" t="s">
        <v>733</v>
      </c>
      <c r="L3530" t="s">
        <v>869</v>
      </c>
    </row>
    <row r="3531" spans="1:12" s="65" customFormat="1" x14ac:dyDescent="0.75">
      <c r="A3531" s="65" t="s">
        <v>69</v>
      </c>
      <c r="B3531" s="140">
        <v>44944</v>
      </c>
      <c r="C3531" s="65">
        <v>1</v>
      </c>
      <c r="D3531" s="65" t="s">
        <v>197</v>
      </c>
      <c r="E3531" s="141">
        <f>4+38-31</f>
        <v>11</v>
      </c>
      <c r="F3531" s="65" t="s">
        <v>363</v>
      </c>
      <c r="G3531" s="65" t="s">
        <v>733</v>
      </c>
      <c r="L3531" t="s">
        <v>869</v>
      </c>
    </row>
    <row r="3532" spans="1:12" s="65" customFormat="1" x14ac:dyDescent="0.75">
      <c r="A3532" s="65" t="s">
        <v>69</v>
      </c>
      <c r="B3532" s="140">
        <v>44944</v>
      </c>
      <c r="C3532" s="65">
        <v>1</v>
      </c>
      <c r="D3532" s="65" t="s">
        <v>207</v>
      </c>
      <c r="E3532" s="141">
        <f>31-19</f>
        <v>12</v>
      </c>
      <c r="F3532" s="65" t="s">
        <v>363</v>
      </c>
      <c r="G3532" s="65" t="s">
        <v>733</v>
      </c>
      <c r="L3532" t="s">
        <v>869</v>
      </c>
    </row>
    <row r="3533" spans="1:12" s="65" customFormat="1" x14ac:dyDescent="0.75">
      <c r="A3533" s="65" t="s">
        <v>69</v>
      </c>
      <c r="B3533" s="140">
        <v>44944</v>
      </c>
      <c r="C3533" s="65">
        <v>1</v>
      </c>
      <c r="D3533" s="65" t="s">
        <v>197</v>
      </c>
      <c r="E3533" s="141">
        <f>19-7</f>
        <v>12</v>
      </c>
      <c r="F3533" s="65" t="s">
        <v>363</v>
      </c>
      <c r="G3533" s="65" t="s">
        <v>733</v>
      </c>
      <c r="L3533" t="s">
        <v>869</v>
      </c>
    </row>
    <row r="3534" spans="1:12" s="65" customFormat="1" x14ac:dyDescent="0.75">
      <c r="A3534" s="65" t="s">
        <v>69</v>
      </c>
      <c r="B3534" s="140">
        <v>44944</v>
      </c>
      <c r="C3534" s="65">
        <v>1</v>
      </c>
      <c r="D3534" s="65" t="s">
        <v>197</v>
      </c>
      <c r="E3534" s="141">
        <f>7-0</f>
        <v>7</v>
      </c>
      <c r="F3534" s="65" t="s">
        <v>363</v>
      </c>
      <c r="G3534" s="65" t="s">
        <v>733</v>
      </c>
      <c r="L3534" t="s">
        <v>869</v>
      </c>
    </row>
    <row r="3535" spans="1:12" s="65" customFormat="1" x14ac:dyDescent="0.75">
      <c r="A3535" s="65" t="s">
        <v>69</v>
      </c>
      <c r="B3535" s="140">
        <v>44944</v>
      </c>
      <c r="C3535" s="65">
        <v>1</v>
      </c>
      <c r="D3535" s="65" t="s">
        <v>191</v>
      </c>
      <c r="E3535" s="141">
        <f>40-24</f>
        <v>16</v>
      </c>
      <c r="F3535" s="65" t="s">
        <v>363</v>
      </c>
      <c r="G3535" s="65" t="s">
        <v>733</v>
      </c>
      <c r="L3535" t="s">
        <v>869</v>
      </c>
    </row>
    <row r="3536" spans="1:12" s="65" customFormat="1" x14ac:dyDescent="0.75">
      <c r="A3536" s="65" t="s">
        <v>69</v>
      </c>
      <c r="B3536" s="140">
        <v>44944</v>
      </c>
      <c r="C3536" s="65">
        <v>1</v>
      </c>
      <c r="D3536" s="65" t="s">
        <v>191</v>
      </c>
      <c r="E3536" s="141">
        <f>24-23</f>
        <v>1</v>
      </c>
      <c r="F3536" s="65" t="s">
        <v>363</v>
      </c>
      <c r="G3536" s="65" t="s">
        <v>733</v>
      </c>
      <c r="L3536" t="s">
        <v>869</v>
      </c>
    </row>
    <row r="3537" spans="1:12" s="65" customFormat="1" x14ac:dyDescent="0.75">
      <c r="A3537" s="65" t="s">
        <v>69</v>
      </c>
      <c r="B3537" s="140">
        <v>44944</v>
      </c>
      <c r="C3537" s="65">
        <v>1</v>
      </c>
      <c r="D3537" s="65" t="s">
        <v>194</v>
      </c>
      <c r="E3537" s="141">
        <f>23+12</f>
        <v>35</v>
      </c>
      <c r="F3537" s="65" t="s">
        <v>363</v>
      </c>
      <c r="G3537" s="65" t="s">
        <v>733</v>
      </c>
      <c r="L3537" t="s">
        <v>869</v>
      </c>
    </row>
    <row r="3538" spans="1:12" s="65" customFormat="1" x14ac:dyDescent="0.75">
      <c r="A3538" s="65" t="s">
        <v>69</v>
      </c>
      <c r="B3538" s="140">
        <v>44944</v>
      </c>
      <c r="C3538" s="65">
        <v>1</v>
      </c>
      <c r="D3538" s="65" t="s">
        <v>191</v>
      </c>
      <c r="E3538" s="141">
        <f>42-36</f>
        <v>6</v>
      </c>
      <c r="F3538" s="65" t="s">
        <v>363</v>
      </c>
      <c r="G3538" s="65" t="s">
        <v>733</v>
      </c>
      <c r="L3538" t="s">
        <v>869</v>
      </c>
    </row>
    <row r="3539" spans="1:12" s="65" customFormat="1" x14ac:dyDescent="0.75">
      <c r="A3539" s="65" t="s">
        <v>69</v>
      </c>
      <c r="B3539" s="140">
        <v>44944</v>
      </c>
      <c r="C3539" s="65">
        <v>1</v>
      </c>
      <c r="D3539" s="65" t="s">
        <v>194</v>
      </c>
      <c r="E3539" s="141">
        <f>36-23</f>
        <v>13</v>
      </c>
      <c r="F3539" s="65" t="s">
        <v>363</v>
      </c>
      <c r="G3539" s="65" t="s">
        <v>733</v>
      </c>
      <c r="L3539" t="s">
        <v>869</v>
      </c>
    </row>
    <row r="3540" spans="1:12" s="65" customFormat="1" x14ac:dyDescent="0.75">
      <c r="A3540" s="65" t="s">
        <v>69</v>
      </c>
      <c r="B3540" s="140">
        <v>44944</v>
      </c>
      <c r="C3540" s="65">
        <v>1</v>
      </c>
      <c r="D3540" s="65" t="s">
        <v>197</v>
      </c>
      <c r="E3540" s="141">
        <f>23-16</f>
        <v>7</v>
      </c>
      <c r="F3540" s="65" t="s">
        <v>363</v>
      </c>
      <c r="G3540" s="65" t="s">
        <v>733</v>
      </c>
      <c r="L3540" t="s">
        <v>869</v>
      </c>
    </row>
    <row r="3541" spans="1:12" s="65" customFormat="1" x14ac:dyDescent="0.75">
      <c r="A3541" s="65" t="s">
        <v>69</v>
      </c>
      <c r="B3541" s="140">
        <v>44944</v>
      </c>
      <c r="C3541" s="65">
        <v>1</v>
      </c>
      <c r="D3541" s="65" t="s">
        <v>160</v>
      </c>
      <c r="E3541" s="141">
        <f>16-0</f>
        <v>16</v>
      </c>
      <c r="F3541" s="65" t="s">
        <v>363</v>
      </c>
      <c r="G3541" s="65" t="s">
        <v>733</v>
      </c>
      <c r="K3541" s="65" t="s">
        <v>887</v>
      </c>
      <c r="L3541" t="s">
        <v>869</v>
      </c>
    </row>
    <row r="3542" spans="1:12" x14ac:dyDescent="0.75">
      <c r="A3542" t="s">
        <v>69</v>
      </c>
      <c r="B3542" s="3">
        <v>44944</v>
      </c>
      <c r="C3542">
        <v>2</v>
      </c>
      <c r="D3542" t="s">
        <v>201</v>
      </c>
      <c r="E3542" s="22">
        <f>33-23</f>
        <v>10</v>
      </c>
      <c r="F3542" t="s">
        <v>363</v>
      </c>
      <c r="G3542" t="s">
        <v>733</v>
      </c>
      <c r="I3542" s="116"/>
      <c r="J3542" s="116"/>
      <c r="L3542" t="s">
        <v>869</v>
      </c>
    </row>
    <row r="3543" spans="1:12" x14ac:dyDescent="0.75">
      <c r="A3543" t="s">
        <v>69</v>
      </c>
      <c r="B3543" s="3">
        <v>44944</v>
      </c>
      <c r="C3543">
        <v>2</v>
      </c>
      <c r="D3543" t="s">
        <v>197</v>
      </c>
      <c r="E3543" s="22">
        <f>23-11</f>
        <v>12</v>
      </c>
      <c r="F3543" t="s">
        <v>363</v>
      </c>
      <c r="G3543" t="s">
        <v>733</v>
      </c>
      <c r="I3543" s="116"/>
      <c r="J3543" s="116"/>
      <c r="L3543" t="s">
        <v>869</v>
      </c>
    </row>
    <row r="3544" spans="1:12" x14ac:dyDescent="0.75">
      <c r="A3544" t="s">
        <v>69</v>
      </c>
      <c r="B3544" s="3">
        <v>44944</v>
      </c>
      <c r="C3544">
        <v>2</v>
      </c>
      <c r="D3544" t="s">
        <v>191</v>
      </c>
      <c r="E3544" s="22">
        <f>11-3</f>
        <v>8</v>
      </c>
      <c r="F3544" t="s">
        <v>363</v>
      </c>
      <c r="G3544" t="s">
        <v>733</v>
      </c>
      <c r="I3544" s="116"/>
      <c r="J3544" s="116"/>
      <c r="L3544" t="s">
        <v>869</v>
      </c>
    </row>
    <row r="3545" spans="1:12" x14ac:dyDescent="0.75">
      <c r="A3545" t="s">
        <v>69</v>
      </c>
      <c r="B3545" s="3">
        <v>44944</v>
      </c>
      <c r="C3545">
        <v>2</v>
      </c>
      <c r="D3545" t="s">
        <v>191</v>
      </c>
      <c r="E3545" s="22">
        <f>3+34-32</f>
        <v>5</v>
      </c>
      <c r="F3545" t="s">
        <v>363</v>
      </c>
      <c r="G3545" t="s">
        <v>733</v>
      </c>
      <c r="I3545" s="116"/>
      <c r="J3545" s="116"/>
      <c r="L3545" t="s">
        <v>869</v>
      </c>
    </row>
    <row r="3546" spans="1:12" x14ac:dyDescent="0.75">
      <c r="A3546" t="s">
        <v>69</v>
      </c>
      <c r="B3546" s="3">
        <v>44944</v>
      </c>
      <c r="C3546">
        <v>2</v>
      </c>
      <c r="D3546" t="s">
        <v>191</v>
      </c>
      <c r="E3546" s="22">
        <f>32-30</f>
        <v>2</v>
      </c>
      <c r="F3546" t="s">
        <v>363</v>
      </c>
      <c r="G3546" t="s">
        <v>733</v>
      </c>
      <c r="I3546" s="116"/>
      <c r="J3546" s="116"/>
      <c r="L3546" t="s">
        <v>869</v>
      </c>
    </row>
    <row r="3547" spans="1:12" x14ac:dyDescent="0.75">
      <c r="A3547" t="s">
        <v>69</v>
      </c>
      <c r="B3547" s="3">
        <v>44944</v>
      </c>
      <c r="C3547">
        <v>2</v>
      </c>
      <c r="D3547" t="s">
        <v>191</v>
      </c>
      <c r="E3547" s="22">
        <f>30-13</f>
        <v>17</v>
      </c>
      <c r="F3547" t="s">
        <v>363</v>
      </c>
      <c r="G3547" t="s">
        <v>733</v>
      </c>
      <c r="I3547" s="116"/>
      <c r="J3547" s="116"/>
      <c r="L3547" t="s">
        <v>869</v>
      </c>
    </row>
    <row r="3548" spans="1:12" x14ac:dyDescent="0.75">
      <c r="A3548" t="s">
        <v>69</v>
      </c>
      <c r="B3548" s="3">
        <v>44944</v>
      </c>
      <c r="C3548">
        <v>2</v>
      </c>
      <c r="D3548" t="s">
        <v>197</v>
      </c>
      <c r="E3548" s="22">
        <f>13-0</f>
        <v>13</v>
      </c>
      <c r="F3548" t="s">
        <v>363</v>
      </c>
      <c r="G3548" t="s">
        <v>733</v>
      </c>
      <c r="I3548" s="116"/>
      <c r="J3548" s="116"/>
      <c r="L3548" t="s">
        <v>869</v>
      </c>
    </row>
    <row r="3549" spans="1:12" x14ac:dyDescent="0.75">
      <c r="A3549" t="s">
        <v>69</v>
      </c>
      <c r="B3549" s="3">
        <v>44944</v>
      </c>
      <c r="C3549">
        <v>2</v>
      </c>
      <c r="D3549" t="s">
        <v>197</v>
      </c>
      <c r="E3549" s="22">
        <f>42-16</f>
        <v>26</v>
      </c>
      <c r="F3549" t="s">
        <v>363</v>
      </c>
      <c r="G3549" t="s">
        <v>733</v>
      </c>
      <c r="I3549" s="116"/>
      <c r="J3549" s="116"/>
      <c r="L3549" t="s">
        <v>869</v>
      </c>
    </row>
    <row r="3550" spans="1:12" x14ac:dyDescent="0.75">
      <c r="A3550" t="s">
        <v>69</v>
      </c>
      <c r="B3550" s="3">
        <v>44944</v>
      </c>
      <c r="C3550">
        <v>2</v>
      </c>
      <c r="D3550" t="s">
        <v>197</v>
      </c>
      <c r="E3550" s="22">
        <f>16-6</f>
        <v>10</v>
      </c>
      <c r="F3550" t="s">
        <v>363</v>
      </c>
      <c r="G3550" t="s">
        <v>733</v>
      </c>
      <c r="I3550" s="116"/>
      <c r="J3550" s="116"/>
      <c r="L3550" t="s">
        <v>869</v>
      </c>
    </row>
    <row r="3551" spans="1:12" x14ac:dyDescent="0.75">
      <c r="A3551" t="s">
        <v>69</v>
      </c>
      <c r="B3551" s="3">
        <v>44944</v>
      </c>
      <c r="C3551">
        <v>2</v>
      </c>
      <c r="D3551" t="s">
        <v>197</v>
      </c>
      <c r="E3551" s="22">
        <f>6+46-34</f>
        <v>18</v>
      </c>
      <c r="F3551" t="s">
        <v>363</v>
      </c>
      <c r="G3551" t="s">
        <v>733</v>
      </c>
      <c r="I3551" s="116"/>
      <c r="J3551" s="116"/>
      <c r="L3551" t="s">
        <v>869</v>
      </c>
    </row>
    <row r="3552" spans="1:12" x14ac:dyDescent="0.75">
      <c r="A3552" t="s">
        <v>69</v>
      </c>
      <c r="B3552" s="3">
        <v>44944</v>
      </c>
      <c r="C3552">
        <v>2</v>
      </c>
      <c r="D3552" t="s">
        <v>197</v>
      </c>
      <c r="E3552" s="22">
        <f>33-26</f>
        <v>7</v>
      </c>
      <c r="F3552" t="s">
        <v>363</v>
      </c>
      <c r="G3552" t="s">
        <v>733</v>
      </c>
      <c r="I3552" s="116"/>
      <c r="J3552" s="116"/>
      <c r="L3552" t="s">
        <v>869</v>
      </c>
    </row>
    <row r="3553" spans="1:12" x14ac:dyDescent="0.75">
      <c r="A3553" t="s">
        <v>69</v>
      </c>
      <c r="B3553" s="3">
        <v>44944</v>
      </c>
      <c r="C3553">
        <v>2</v>
      </c>
      <c r="D3553" t="s">
        <v>191</v>
      </c>
      <c r="E3553" s="22">
        <f>26-18</f>
        <v>8</v>
      </c>
      <c r="F3553" t="s">
        <v>363</v>
      </c>
      <c r="G3553" t="s">
        <v>733</v>
      </c>
      <c r="I3553" s="116"/>
      <c r="J3553" s="116"/>
      <c r="L3553" t="s">
        <v>869</v>
      </c>
    </row>
    <row r="3554" spans="1:12" x14ac:dyDescent="0.75">
      <c r="A3554" t="s">
        <v>69</v>
      </c>
      <c r="B3554" s="3">
        <v>44944</v>
      </c>
      <c r="C3554">
        <v>2</v>
      </c>
      <c r="D3554" t="s">
        <v>194</v>
      </c>
      <c r="E3554" s="22">
        <f>18-2</f>
        <v>16</v>
      </c>
      <c r="F3554" t="s">
        <v>363</v>
      </c>
      <c r="G3554" t="s">
        <v>733</v>
      </c>
      <c r="I3554" s="116"/>
      <c r="J3554" s="116"/>
      <c r="L3554" t="s">
        <v>869</v>
      </c>
    </row>
    <row r="3555" spans="1:12" x14ac:dyDescent="0.75">
      <c r="A3555" t="s">
        <v>69</v>
      </c>
      <c r="B3555" s="3">
        <v>44944</v>
      </c>
      <c r="C3555">
        <v>2</v>
      </c>
      <c r="D3555" t="s">
        <v>194</v>
      </c>
      <c r="E3555" s="22">
        <f>2+48-42</f>
        <v>8</v>
      </c>
      <c r="F3555" t="s">
        <v>363</v>
      </c>
      <c r="G3555" t="s">
        <v>733</v>
      </c>
      <c r="I3555" s="116"/>
      <c r="J3555" s="116"/>
      <c r="L3555" t="s">
        <v>869</v>
      </c>
    </row>
    <row r="3556" spans="1:12" x14ac:dyDescent="0.75">
      <c r="A3556" t="s">
        <v>69</v>
      </c>
      <c r="B3556" s="3">
        <v>44944</v>
      </c>
      <c r="C3556">
        <v>2</v>
      </c>
      <c r="D3556" t="s">
        <v>194</v>
      </c>
      <c r="E3556" s="22">
        <f>42-32</f>
        <v>10</v>
      </c>
      <c r="F3556" t="s">
        <v>363</v>
      </c>
      <c r="G3556" t="s">
        <v>733</v>
      </c>
      <c r="I3556" s="116"/>
      <c r="J3556" s="116"/>
      <c r="L3556" t="s">
        <v>869</v>
      </c>
    </row>
    <row r="3557" spans="1:12" x14ac:dyDescent="0.75">
      <c r="A3557" t="s">
        <v>69</v>
      </c>
      <c r="B3557" s="3">
        <v>44944</v>
      </c>
      <c r="C3557">
        <v>2</v>
      </c>
      <c r="D3557" t="s">
        <v>191</v>
      </c>
      <c r="E3557" s="22">
        <f>51-40</f>
        <v>11</v>
      </c>
      <c r="F3557" t="s">
        <v>363</v>
      </c>
      <c r="G3557" t="s">
        <v>869</v>
      </c>
      <c r="I3557" s="116"/>
      <c r="J3557" s="116"/>
      <c r="L3557" t="s">
        <v>869</v>
      </c>
    </row>
    <row r="3558" spans="1:12" x14ac:dyDescent="0.75">
      <c r="A3558" t="s">
        <v>69</v>
      </c>
      <c r="B3558" s="3">
        <v>44944</v>
      </c>
      <c r="C3558">
        <v>2</v>
      </c>
      <c r="D3558" t="s">
        <v>197</v>
      </c>
      <c r="E3558" s="22">
        <f>40-36</f>
        <v>4</v>
      </c>
      <c r="F3558" t="s">
        <v>363</v>
      </c>
      <c r="G3558" t="s">
        <v>869</v>
      </c>
      <c r="I3558" s="116"/>
      <c r="J3558" s="116"/>
      <c r="L3558" t="s">
        <v>869</v>
      </c>
    </row>
    <row r="3559" spans="1:12" x14ac:dyDescent="0.75">
      <c r="A3559" t="s">
        <v>69</v>
      </c>
      <c r="B3559" s="3">
        <v>44944</v>
      </c>
      <c r="C3559">
        <v>2</v>
      </c>
      <c r="D3559" t="s">
        <v>197</v>
      </c>
      <c r="E3559" s="22">
        <f>36-24</f>
        <v>12</v>
      </c>
      <c r="F3559" t="s">
        <v>363</v>
      </c>
      <c r="G3559" t="s">
        <v>869</v>
      </c>
      <c r="I3559" s="116"/>
      <c r="J3559" s="116"/>
      <c r="L3559" t="s">
        <v>869</v>
      </c>
    </row>
    <row r="3560" spans="1:12" x14ac:dyDescent="0.75">
      <c r="A3560" t="s">
        <v>69</v>
      </c>
      <c r="B3560" s="3">
        <v>44944</v>
      </c>
      <c r="C3560">
        <v>2</v>
      </c>
      <c r="D3560" t="s">
        <v>197</v>
      </c>
      <c r="E3560" s="22">
        <f>24-18</f>
        <v>6</v>
      </c>
      <c r="F3560" t="s">
        <v>363</v>
      </c>
      <c r="G3560" t="s">
        <v>869</v>
      </c>
      <c r="I3560" s="116"/>
      <c r="J3560" s="116"/>
      <c r="L3560" t="s">
        <v>869</v>
      </c>
    </row>
    <row r="3561" spans="1:12" x14ac:dyDescent="0.75">
      <c r="A3561" t="s">
        <v>69</v>
      </c>
      <c r="B3561" s="3">
        <v>44944</v>
      </c>
      <c r="C3561">
        <v>2</v>
      </c>
      <c r="D3561" t="s">
        <v>153</v>
      </c>
      <c r="E3561" s="22">
        <f>17-10</f>
        <v>7</v>
      </c>
      <c r="F3561" t="s">
        <v>363</v>
      </c>
      <c r="G3561" t="s">
        <v>869</v>
      </c>
      <c r="I3561" s="116"/>
      <c r="J3561" s="116"/>
      <c r="L3561" t="s">
        <v>869</v>
      </c>
    </row>
    <row r="3562" spans="1:12" x14ac:dyDescent="0.75">
      <c r="A3562" t="s">
        <v>69</v>
      </c>
      <c r="B3562" s="3">
        <v>44944</v>
      </c>
      <c r="C3562">
        <v>2</v>
      </c>
      <c r="D3562" t="s">
        <v>197</v>
      </c>
      <c r="E3562" s="22">
        <f>10-3</f>
        <v>7</v>
      </c>
      <c r="F3562" t="s">
        <v>363</v>
      </c>
      <c r="G3562" t="s">
        <v>869</v>
      </c>
      <c r="I3562" s="116"/>
      <c r="J3562" s="116"/>
      <c r="L3562" t="s">
        <v>869</v>
      </c>
    </row>
    <row r="3563" spans="1:12" x14ac:dyDescent="0.75">
      <c r="A3563" t="s">
        <v>69</v>
      </c>
      <c r="B3563" s="3">
        <v>44944</v>
      </c>
      <c r="C3563">
        <v>2</v>
      </c>
      <c r="D3563" t="s">
        <v>194</v>
      </c>
      <c r="E3563" s="22">
        <f>3-0</f>
        <v>3</v>
      </c>
      <c r="F3563" t="s">
        <v>363</v>
      </c>
      <c r="G3563" t="s">
        <v>869</v>
      </c>
      <c r="I3563" s="116"/>
      <c r="J3563" s="116"/>
      <c r="L3563" t="s">
        <v>869</v>
      </c>
    </row>
    <row r="3564" spans="1:12" x14ac:dyDescent="0.75">
      <c r="A3564" t="s">
        <v>69</v>
      </c>
      <c r="B3564" s="3">
        <v>44944</v>
      </c>
      <c r="C3564">
        <v>2</v>
      </c>
      <c r="D3564" t="s">
        <v>191</v>
      </c>
      <c r="E3564" s="22">
        <f>43-35</f>
        <v>8</v>
      </c>
      <c r="F3564" t="s">
        <v>363</v>
      </c>
      <c r="G3564" t="s">
        <v>869</v>
      </c>
      <c r="I3564" s="116"/>
      <c r="J3564" s="116"/>
      <c r="L3564" t="s">
        <v>869</v>
      </c>
    </row>
    <row r="3565" spans="1:12" x14ac:dyDescent="0.75">
      <c r="A3565" t="s">
        <v>69</v>
      </c>
      <c r="B3565" s="3">
        <v>44944</v>
      </c>
      <c r="C3565">
        <v>2</v>
      </c>
      <c r="D3565" t="s">
        <v>197</v>
      </c>
      <c r="E3565" s="22">
        <f>35-29</f>
        <v>6</v>
      </c>
      <c r="F3565" t="s">
        <v>363</v>
      </c>
      <c r="G3565" t="s">
        <v>869</v>
      </c>
      <c r="I3565" s="116"/>
      <c r="J3565" s="116"/>
      <c r="L3565" t="s">
        <v>869</v>
      </c>
    </row>
    <row r="3566" spans="1:12" x14ac:dyDescent="0.75">
      <c r="A3566" t="s">
        <v>69</v>
      </c>
      <c r="B3566" s="3">
        <v>44944</v>
      </c>
      <c r="C3566">
        <v>2</v>
      </c>
      <c r="D3566" t="s">
        <v>191</v>
      </c>
      <c r="E3566" s="22">
        <f>29-27</f>
        <v>2</v>
      </c>
      <c r="F3566" t="s">
        <v>363</v>
      </c>
      <c r="G3566" t="s">
        <v>869</v>
      </c>
      <c r="I3566" s="116"/>
      <c r="J3566" s="116"/>
      <c r="L3566" t="s">
        <v>869</v>
      </c>
    </row>
    <row r="3567" spans="1:12" x14ac:dyDescent="0.75">
      <c r="A3567" t="s">
        <v>69</v>
      </c>
      <c r="B3567" s="3">
        <v>44944</v>
      </c>
      <c r="C3567">
        <v>2</v>
      </c>
      <c r="D3567" t="s">
        <v>194</v>
      </c>
      <c r="E3567" s="22">
        <f>27-23</f>
        <v>4</v>
      </c>
      <c r="F3567" t="s">
        <v>363</v>
      </c>
      <c r="G3567" t="s">
        <v>869</v>
      </c>
      <c r="I3567" s="116"/>
      <c r="J3567" s="116"/>
      <c r="L3567" t="s">
        <v>869</v>
      </c>
    </row>
    <row r="3568" spans="1:12" x14ac:dyDescent="0.75">
      <c r="A3568" t="s">
        <v>69</v>
      </c>
      <c r="B3568" s="3">
        <v>44944</v>
      </c>
      <c r="C3568">
        <v>2</v>
      </c>
      <c r="D3568" t="s">
        <v>194</v>
      </c>
      <c r="E3568" s="22">
        <f>23-8</f>
        <v>15</v>
      </c>
      <c r="F3568" t="s">
        <v>363</v>
      </c>
      <c r="G3568" t="s">
        <v>869</v>
      </c>
      <c r="I3568" s="116"/>
      <c r="J3568" s="116"/>
      <c r="L3568" t="s">
        <v>869</v>
      </c>
    </row>
    <row r="3569" spans="1:12" x14ac:dyDescent="0.75">
      <c r="A3569" t="s">
        <v>69</v>
      </c>
      <c r="B3569" s="3">
        <v>44944</v>
      </c>
      <c r="C3569">
        <v>2</v>
      </c>
      <c r="D3569" t="s">
        <v>194</v>
      </c>
      <c r="E3569" s="22">
        <f>8-6</f>
        <v>2</v>
      </c>
      <c r="F3569" t="s">
        <v>363</v>
      </c>
      <c r="G3569" t="s">
        <v>869</v>
      </c>
      <c r="I3569" s="116"/>
      <c r="J3569" s="116"/>
      <c r="L3569" t="s">
        <v>869</v>
      </c>
    </row>
    <row r="3570" spans="1:12" x14ac:dyDescent="0.75">
      <c r="A3570" t="s">
        <v>69</v>
      </c>
      <c r="B3570" s="3">
        <v>44944</v>
      </c>
      <c r="C3570">
        <v>2</v>
      </c>
      <c r="D3570" t="s">
        <v>194</v>
      </c>
      <c r="E3570" s="22">
        <f>6-2</f>
        <v>4</v>
      </c>
      <c r="F3570" t="s">
        <v>363</v>
      </c>
      <c r="G3570" t="s">
        <v>869</v>
      </c>
      <c r="I3570" s="116"/>
      <c r="J3570" s="116"/>
      <c r="L3570" t="s">
        <v>869</v>
      </c>
    </row>
    <row r="3571" spans="1:12" x14ac:dyDescent="0.75">
      <c r="A3571" t="s">
        <v>69</v>
      </c>
      <c r="B3571" s="3">
        <v>44944</v>
      </c>
      <c r="C3571">
        <v>2</v>
      </c>
      <c r="D3571" t="s">
        <v>197</v>
      </c>
      <c r="E3571" s="22">
        <f>2-0</f>
        <v>2</v>
      </c>
      <c r="F3571" t="s">
        <v>363</v>
      </c>
      <c r="G3571" t="s">
        <v>869</v>
      </c>
      <c r="I3571" s="116"/>
      <c r="J3571" s="116"/>
      <c r="L3571" t="s">
        <v>869</v>
      </c>
    </row>
    <row r="3572" spans="1:12" x14ac:dyDescent="0.75">
      <c r="A3572" t="s">
        <v>69</v>
      </c>
      <c r="B3572" s="3">
        <v>44944</v>
      </c>
      <c r="C3572">
        <v>2</v>
      </c>
      <c r="D3572" t="s">
        <v>197</v>
      </c>
      <c r="E3572" s="22">
        <f>43-33</f>
        <v>10</v>
      </c>
      <c r="F3572" t="s">
        <v>363</v>
      </c>
      <c r="G3572" t="s">
        <v>869</v>
      </c>
      <c r="I3572" s="116"/>
      <c r="J3572" s="116"/>
      <c r="L3572" t="s">
        <v>869</v>
      </c>
    </row>
    <row r="3573" spans="1:12" x14ac:dyDescent="0.75">
      <c r="A3573" t="s">
        <v>69</v>
      </c>
      <c r="B3573" s="3">
        <v>44944</v>
      </c>
      <c r="C3573">
        <v>2</v>
      </c>
      <c r="D3573" t="s">
        <v>194</v>
      </c>
      <c r="E3573" s="22">
        <f>33-26</f>
        <v>7</v>
      </c>
      <c r="F3573" t="s">
        <v>363</v>
      </c>
      <c r="G3573" t="s">
        <v>869</v>
      </c>
      <c r="I3573" s="116"/>
      <c r="J3573" s="116"/>
      <c r="L3573" t="s">
        <v>869</v>
      </c>
    </row>
    <row r="3574" spans="1:12" x14ac:dyDescent="0.75">
      <c r="A3574" t="s">
        <v>69</v>
      </c>
      <c r="B3574" s="3">
        <v>44944</v>
      </c>
      <c r="C3574">
        <v>2</v>
      </c>
      <c r="D3574" t="s">
        <v>197</v>
      </c>
      <c r="E3574" s="22">
        <f>26-22</f>
        <v>4</v>
      </c>
      <c r="F3574" t="s">
        <v>363</v>
      </c>
      <c r="G3574" t="s">
        <v>869</v>
      </c>
      <c r="I3574" s="116"/>
      <c r="J3574" s="116"/>
      <c r="L3574" t="s">
        <v>869</v>
      </c>
    </row>
    <row r="3575" spans="1:12" x14ac:dyDescent="0.75">
      <c r="A3575" t="s">
        <v>69</v>
      </c>
      <c r="B3575" s="3">
        <v>44944</v>
      </c>
      <c r="C3575">
        <v>2</v>
      </c>
      <c r="D3575" t="s">
        <v>197</v>
      </c>
      <c r="E3575" s="22">
        <f>22-17</f>
        <v>5</v>
      </c>
      <c r="F3575" t="s">
        <v>363</v>
      </c>
      <c r="G3575" t="s">
        <v>869</v>
      </c>
      <c r="I3575" s="116"/>
      <c r="J3575" s="116"/>
      <c r="L3575" t="s">
        <v>869</v>
      </c>
    </row>
    <row r="3576" spans="1:12" x14ac:dyDescent="0.75">
      <c r="A3576" t="s">
        <v>69</v>
      </c>
      <c r="B3576" s="3">
        <v>44944</v>
      </c>
      <c r="C3576">
        <v>2</v>
      </c>
      <c r="D3576" t="s">
        <v>197</v>
      </c>
      <c r="E3576" s="22">
        <f>17-9</f>
        <v>8</v>
      </c>
      <c r="F3576" t="s">
        <v>363</v>
      </c>
      <c r="G3576" t="s">
        <v>869</v>
      </c>
      <c r="I3576" s="116"/>
      <c r="J3576" s="116"/>
      <c r="L3576" t="s">
        <v>869</v>
      </c>
    </row>
    <row r="3577" spans="1:12" x14ac:dyDescent="0.75">
      <c r="A3577" t="s">
        <v>69</v>
      </c>
      <c r="B3577" s="3">
        <v>44944</v>
      </c>
      <c r="C3577">
        <v>2</v>
      </c>
      <c r="D3577" t="s">
        <v>194</v>
      </c>
      <c r="E3577" s="22">
        <f>9-5</f>
        <v>4</v>
      </c>
      <c r="F3577" t="s">
        <v>363</v>
      </c>
      <c r="G3577" t="s">
        <v>869</v>
      </c>
      <c r="I3577" s="116"/>
      <c r="J3577" s="116"/>
      <c r="L3577" t="s">
        <v>869</v>
      </c>
    </row>
    <row r="3578" spans="1:12" x14ac:dyDescent="0.75">
      <c r="A3578" t="s">
        <v>69</v>
      </c>
      <c r="B3578" s="3">
        <v>44944</v>
      </c>
      <c r="C3578">
        <v>2</v>
      </c>
      <c r="D3578" t="s">
        <v>197</v>
      </c>
      <c r="E3578" s="22">
        <f>44-34</f>
        <v>10</v>
      </c>
      <c r="F3578" t="s">
        <v>363</v>
      </c>
      <c r="G3578" t="s">
        <v>869</v>
      </c>
      <c r="I3578" s="116"/>
      <c r="J3578" s="116"/>
      <c r="L3578" t="s">
        <v>869</v>
      </c>
    </row>
    <row r="3579" spans="1:12" x14ac:dyDescent="0.75">
      <c r="A3579" t="s">
        <v>69</v>
      </c>
      <c r="B3579" s="3">
        <v>44944</v>
      </c>
      <c r="C3579">
        <v>2</v>
      </c>
      <c r="D3579" t="s">
        <v>194</v>
      </c>
      <c r="E3579" s="22">
        <f>34-29</f>
        <v>5</v>
      </c>
      <c r="F3579" t="s">
        <v>363</v>
      </c>
      <c r="G3579" t="s">
        <v>869</v>
      </c>
      <c r="I3579" s="116"/>
      <c r="J3579" s="116"/>
      <c r="L3579" t="s">
        <v>869</v>
      </c>
    </row>
    <row r="3580" spans="1:12" x14ac:dyDescent="0.75">
      <c r="A3580" t="s">
        <v>69</v>
      </c>
      <c r="B3580" s="3">
        <v>44944</v>
      </c>
      <c r="C3580">
        <v>2</v>
      </c>
      <c r="D3580" t="s">
        <v>191</v>
      </c>
      <c r="E3580" s="22">
        <f>1</f>
        <v>1</v>
      </c>
      <c r="F3580" t="s">
        <v>363</v>
      </c>
      <c r="G3580" t="s">
        <v>869</v>
      </c>
      <c r="I3580" s="116"/>
      <c r="J3580" s="116"/>
      <c r="L3580" t="s">
        <v>869</v>
      </c>
    </row>
    <row r="3581" spans="1:12" x14ac:dyDescent="0.75">
      <c r="A3581" t="s">
        <v>69</v>
      </c>
      <c r="B3581" s="3">
        <v>44944</v>
      </c>
      <c r="C3581">
        <v>2</v>
      </c>
      <c r="D3581" t="s">
        <v>194</v>
      </c>
      <c r="E3581" s="22">
        <f>29-26</f>
        <v>3</v>
      </c>
      <c r="F3581" t="s">
        <v>363</v>
      </c>
      <c r="G3581" t="s">
        <v>869</v>
      </c>
      <c r="I3581" s="116"/>
      <c r="J3581" s="116"/>
      <c r="L3581" t="s">
        <v>869</v>
      </c>
    </row>
    <row r="3582" spans="1:12" x14ac:dyDescent="0.75">
      <c r="A3582" t="s">
        <v>69</v>
      </c>
      <c r="B3582" s="3">
        <v>44944</v>
      </c>
      <c r="C3582">
        <v>2</v>
      </c>
      <c r="D3582" t="s">
        <v>197</v>
      </c>
      <c r="E3582" s="22">
        <f>26-19</f>
        <v>7</v>
      </c>
      <c r="F3582" t="s">
        <v>363</v>
      </c>
      <c r="G3582" t="s">
        <v>869</v>
      </c>
      <c r="I3582" s="116"/>
      <c r="J3582" s="116"/>
      <c r="L3582" t="s">
        <v>869</v>
      </c>
    </row>
    <row r="3583" spans="1:12" x14ac:dyDescent="0.75">
      <c r="A3583" t="s">
        <v>69</v>
      </c>
      <c r="B3583" s="3">
        <v>44944</v>
      </c>
      <c r="C3583">
        <v>2</v>
      </c>
      <c r="D3583" t="s">
        <v>194</v>
      </c>
      <c r="E3583" s="22">
        <f>19-12</f>
        <v>7</v>
      </c>
      <c r="F3583" t="s">
        <v>363</v>
      </c>
      <c r="G3583" t="s">
        <v>869</v>
      </c>
      <c r="I3583" s="116"/>
      <c r="J3583" s="116"/>
      <c r="L3583" t="s">
        <v>869</v>
      </c>
    </row>
    <row r="3584" spans="1:12" s="65" customFormat="1" x14ac:dyDescent="0.75">
      <c r="A3584" s="65" t="s">
        <v>69</v>
      </c>
      <c r="B3584" s="140">
        <v>44944</v>
      </c>
      <c r="C3584" s="65">
        <v>3</v>
      </c>
      <c r="D3584" s="65" t="s">
        <v>191</v>
      </c>
      <c r="E3584" s="141">
        <f>51-41</f>
        <v>10</v>
      </c>
      <c r="F3584" s="65" t="s">
        <v>363</v>
      </c>
      <c r="G3584" s="65" t="s">
        <v>869</v>
      </c>
      <c r="L3584" t="s">
        <v>869</v>
      </c>
    </row>
    <row r="3585" spans="1:12" s="65" customFormat="1" x14ac:dyDescent="0.75">
      <c r="A3585" s="65" t="s">
        <v>69</v>
      </c>
      <c r="B3585" s="140">
        <v>44944</v>
      </c>
      <c r="C3585" s="65">
        <v>3</v>
      </c>
      <c r="D3585" s="65" t="s">
        <v>194</v>
      </c>
      <c r="E3585" s="141">
        <f>41-30</f>
        <v>11</v>
      </c>
      <c r="F3585" s="65" t="s">
        <v>363</v>
      </c>
      <c r="G3585" s="65" t="s">
        <v>869</v>
      </c>
      <c r="L3585" t="s">
        <v>869</v>
      </c>
    </row>
    <row r="3586" spans="1:12" s="65" customFormat="1" x14ac:dyDescent="0.75">
      <c r="A3586" s="65" t="s">
        <v>69</v>
      </c>
      <c r="B3586" s="140">
        <v>44944</v>
      </c>
      <c r="C3586" s="65">
        <v>3</v>
      </c>
      <c r="D3586" s="65" t="s">
        <v>197</v>
      </c>
      <c r="E3586" s="141">
        <f>30-25</f>
        <v>5</v>
      </c>
      <c r="F3586" s="65" t="s">
        <v>363</v>
      </c>
      <c r="G3586" s="65" t="s">
        <v>869</v>
      </c>
      <c r="L3586" t="s">
        <v>869</v>
      </c>
    </row>
    <row r="3587" spans="1:12" s="65" customFormat="1" x14ac:dyDescent="0.75">
      <c r="A3587" s="65" t="s">
        <v>69</v>
      </c>
      <c r="B3587" s="140">
        <v>44944</v>
      </c>
      <c r="C3587" s="65">
        <v>3</v>
      </c>
      <c r="D3587" s="65" t="s">
        <v>215</v>
      </c>
      <c r="E3587" s="141">
        <f>25-24</f>
        <v>1</v>
      </c>
      <c r="F3587" s="65" t="s">
        <v>363</v>
      </c>
      <c r="G3587" s="65" t="s">
        <v>869</v>
      </c>
      <c r="L3587" t="s">
        <v>869</v>
      </c>
    </row>
    <row r="3588" spans="1:12" s="65" customFormat="1" x14ac:dyDescent="0.75">
      <c r="A3588" s="65" t="s">
        <v>69</v>
      </c>
      <c r="B3588" s="140">
        <v>44944</v>
      </c>
      <c r="C3588" s="65">
        <v>3</v>
      </c>
      <c r="D3588" s="65" t="s">
        <v>194</v>
      </c>
      <c r="E3588" s="141">
        <f>24-20</f>
        <v>4</v>
      </c>
      <c r="F3588" s="65" t="s">
        <v>363</v>
      </c>
      <c r="G3588" s="65" t="s">
        <v>869</v>
      </c>
      <c r="L3588" t="s">
        <v>869</v>
      </c>
    </row>
    <row r="3589" spans="1:12" s="65" customFormat="1" x14ac:dyDescent="0.75">
      <c r="A3589" s="65" t="s">
        <v>69</v>
      </c>
      <c r="B3589" s="140">
        <v>44944</v>
      </c>
      <c r="C3589" s="65">
        <v>3</v>
      </c>
      <c r="D3589" s="65" t="s">
        <v>197</v>
      </c>
      <c r="E3589" s="141">
        <f>20-18</f>
        <v>2</v>
      </c>
      <c r="F3589" s="65" t="s">
        <v>363</v>
      </c>
      <c r="G3589" s="65" t="s">
        <v>869</v>
      </c>
      <c r="L3589" t="s">
        <v>869</v>
      </c>
    </row>
    <row r="3590" spans="1:12" s="65" customFormat="1" x14ac:dyDescent="0.75">
      <c r="A3590" s="65" t="s">
        <v>69</v>
      </c>
      <c r="B3590" s="140">
        <v>44944</v>
      </c>
      <c r="C3590" s="65">
        <v>3</v>
      </c>
      <c r="D3590" s="65" t="s">
        <v>191</v>
      </c>
      <c r="E3590" s="141">
        <f>18-16</f>
        <v>2</v>
      </c>
      <c r="F3590" s="65" t="s">
        <v>363</v>
      </c>
      <c r="G3590" s="65" t="s">
        <v>869</v>
      </c>
      <c r="L3590" t="s">
        <v>869</v>
      </c>
    </row>
    <row r="3591" spans="1:12" s="65" customFormat="1" x14ac:dyDescent="0.75">
      <c r="A3591" s="65" t="s">
        <v>69</v>
      </c>
      <c r="B3591" s="140">
        <v>44944</v>
      </c>
      <c r="C3591" s="65">
        <v>3</v>
      </c>
      <c r="D3591" s="65" t="s">
        <v>197</v>
      </c>
      <c r="E3591" s="141">
        <f>16-0</f>
        <v>16</v>
      </c>
      <c r="F3591" s="65" t="s">
        <v>363</v>
      </c>
      <c r="G3591" s="65" t="s">
        <v>869</v>
      </c>
      <c r="L3591" t="s">
        <v>869</v>
      </c>
    </row>
    <row r="3592" spans="1:12" s="65" customFormat="1" x14ac:dyDescent="0.75">
      <c r="A3592" s="65" t="s">
        <v>69</v>
      </c>
      <c r="B3592" s="140">
        <v>44944</v>
      </c>
      <c r="C3592" s="65">
        <v>3</v>
      </c>
      <c r="D3592" s="65" t="s">
        <v>191</v>
      </c>
      <c r="E3592" s="141">
        <f>11+5</f>
        <v>16</v>
      </c>
      <c r="F3592" s="65" t="s">
        <v>363</v>
      </c>
      <c r="G3592" s="65" t="s">
        <v>869</v>
      </c>
      <c r="L3592" t="s">
        <v>869</v>
      </c>
    </row>
    <row r="3593" spans="1:12" s="65" customFormat="1" x14ac:dyDescent="0.75">
      <c r="A3593" s="65" t="s">
        <v>69</v>
      </c>
      <c r="B3593" s="140">
        <v>44944</v>
      </c>
      <c r="C3593" s="65">
        <v>3</v>
      </c>
      <c r="D3593" s="65" t="s">
        <v>194</v>
      </c>
      <c r="E3593" s="141">
        <f>2-1</f>
        <v>1</v>
      </c>
      <c r="F3593" s="65" t="s">
        <v>363</v>
      </c>
      <c r="G3593" s="65" t="s">
        <v>869</v>
      </c>
      <c r="L3593" t="s">
        <v>869</v>
      </c>
    </row>
    <row r="3594" spans="1:12" s="65" customFormat="1" x14ac:dyDescent="0.75">
      <c r="A3594" s="65" t="s">
        <v>69</v>
      </c>
      <c r="B3594" s="140">
        <v>44944</v>
      </c>
      <c r="C3594" s="65">
        <v>3</v>
      </c>
      <c r="D3594" s="65" t="s">
        <v>191</v>
      </c>
      <c r="E3594" s="141">
        <f>2-0</f>
        <v>2</v>
      </c>
      <c r="F3594" s="65" t="s">
        <v>363</v>
      </c>
      <c r="G3594" s="65" t="s">
        <v>869</v>
      </c>
      <c r="L3594" t="s">
        <v>869</v>
      </c>
    </row>
    <row r="3595" spans="1:12" s="65" customFormat="1" x14ac:dyDescent="0.75">
      <c r="A3595" s="65" t="s">
        <v>69</v>
      </c>
      <c r="B3595" s="140">
        <v>44944</v>
      </c>
      <c r="C3595" s="65">
        <v>3</v>
      </c>
      <c r="D3595" s="65" t="s">
        <v>194</v>
      </c>
      <c r="E3595" s="141">
        <f>32-13</f>
        <v>19</v>
      </c>
      <c r="F3595" s="65" t="s">
        <v>363</v>
      </c>
      <c r="G3595" s="65" t="s">
        <v>733</v>
      </c>
      <c r="L3595" t="s">
        <v>869</v>
      </c>
    </row>
    <row r="3596" spans="1:12" s="65" customFormat="1" x14ac:dyDescent="0.75">
      <c r="A3596" s="65" t="s">
        <v>69</v>
      </c>
      <c r="B3596" s="140">
        <v>44944</v>
      </c>
      <c r="C3596" s="65">
        <v>3</v>
      </c>
      <c r="D3596" s="65" t="s">
        <v>201</v>
      </c>
      <c r="E3596" s="141">
        <f>13-10</f>
        <v>3</v>
      </c>
      <c r="F3596" s="65" t="s">
        <v>363</v>
      </c>
      <c r="G3596" s="65" t="s">
        <v>733</v>
      </c>
      <c r="L3596" t="s">
        <v>869</v>
      </c>
    </row>
    <row r="3597" spans="1:12" s="65" customFormat="1" x14ac:dyDescent="0.75">
      <c r="A3597" s="65" t="s">
        <v>69</v>
      </c>
      <c r="B3597" s="140">
        <v>44944</v>
      </c>
      <c r="C3597" s="65">
        <v>3</v>
      </c>
      <c r="D3597" s="65" t="s">
        <v>191</v>
      </c>
      <c r="E3597" s="141">
        <f>10-6</f>
        <v>4</v>
      </c>
      <c r="F3597" s="65" t="s">
        <v>363</v>
      </c>
      <c r="G3597" s="65" t="s">
        <v>733</v>
      </c>
      <c r="L3597" t="s">
        <v>869</v>
      </c>
    </row>
    <row r="3598" spans="1:12" s="65" customFormat="1" x14ac:dyDescent="0.75">
      <c r="A3598" s="65" t="s">
        <v>69</v>
      </c>
      <c r="B3598" s="140">
        <v>44944</v>
      </c>
      <c r="C3598" s="65">
        <v>3</v>
      </c>
      <c r="D3598" s="65" t="s">
        <v>191</v>
      </c>
      <c r="E3598" s="141">
        <f>6+38-29</f>
        <v>15</v>
      </c>
      <c r="F3598" s="65" t="s">
        <v>363</v>
      </c>
      <c r="G3598" s="65" t="s">
        <v>733</v>
      </c>
      <c r="L3598" t="s">
        <v>869</v>
      </c>
    </row>
    <row r="3599" spans="1:12" s="65" customFormat="1" x14ac:dyDescent="0.75">
      <c r="A3599" s="65" t="s">
        <v>69</v>
      </c>
      <c r="B3599" s="140">
        <v>44944</v>
      </c>
      <c r="C3599" s="65">
        <v>3</v>
      </c>
      <c r="D3599" s="65" t="s">
        <v>191</v>
      </c>
      <c r="E3599" s="141">
        <f>29-24</f>
        <v>5</v>
      </c>
      <c r="F3599" s="65" t="s">
        <v>363</v>
      </c>
      <c r="G3599" s="65" t="s">
        <v>733</v>
      </c>
      <c r="L3599" t="s">
        <v>869</v>
      </c>
    </row>
    <row r="3600" spans="1:12" s="65" customFormat="1" x14ac:dyDescent="0.75">
      <c r="A3600" s="65" t="s">
        <v>69</v>
      </c>
      <c r="B3600" s="140">
        <v>44944</v>
      </c>
      <c r="C3600" s="65">
        <v>3</v>
      </c>
      <c r="D3600" s="65" t="s">
        <v>191</v>
      </c>
      <c r="E3600" s="141">
        <f>24-20</f>
        <v>4</v>
      </c>
      <c r="F3600" s="65" t="s">
        <v>363</v>
      </c>
      <c r="G3600" s="65" t="s">
        <v>733</v>
      </c>
      <c r="L3600" t="s">
        <v>869</v>
      </c>
    </row>
    <row r="3601" spans="1:12" s="65" customFormat="1" x14ac:dyDescent="0.75">
      <c r="A3601" s="65" t="s">
        <v>69</v>
      </c>
      <c r="B3601" s="140">
        <v>44944</v>
      </c>
      <c r="C3601" s="65">
        <v>3</v>
      </c>
      <c r="D3601" s="65" t="s">
        <v>191</v>
      </c>
      <c r="E3601" s="141">
        <f>20-11</f>
        <v>9</v>
      </c>
      <c r="F3601" s="65" t="s">
        <v>363</v>
      </c>
      <c r="G3601" s="65" t="s">
        <v>733</v>
      </c>
      <c r="L3601" t="s">
        <v>869</v>
      </c>
    </row>
    <row r="3602" spans="1:12" s="65" customFormat="1" x14ac:dyDescent="0.75">
      <c r="A3602" s="65" t="s">
        <v>69</v>
      </c>
      <c r="B3602" s="140">
        <v>44944</v>
      </c>
      <c r="C3602" s="65">
        <v>3</v>
      </c>
      <c r="D3602" s="65" t="s">
        <v>197</v>
      </c>
      <c r="E3602" s="141">
        <f>11-0</f>
        <v>11</v>
      </c>
      <c r="F3602" s="65" t="s">
        <v>363</v>
      </c>
      <c r="G3602" s="65" t="s">
        <v>733</v>
      </c>
      <c r="L3602" t="s">
        <v>869</v>
      </c>
    </row>
    <row r="3603" spans="1:12" x14ac:dyDescent="0.75">
      <c r="A3603" t="s">
        <v>69</v>
      </c>
      <c r="B3603" s="3">
        <v>44945</v>
      </c>
      <c r="C3603">
        <v>1</v>
      </c>
      <c r="D3603" t="s">
        <v>194</v>
      </c>
      <c r="E3603" s="22">
        <f>52-47</f>
        <v>5</v>
      </c>
      <c r="F3603" t="s">
        <v>363</v>
      </c>
      <c r="G3603" t="s">
        <v>361</v>
      </c>
      <c r="I3603" s="116"/>
      <c r="J3603" s="116"/>
      <c r="L3603" t="s">
        <v>869</v>
      </c>
    </row>
    <row r="3604" spans="1:12" x14ac:dyDescent="0.75">
      <c r="A3604" t="s">
        <v>69</v>
      </c>
      <c r="B3604" s="3">
        <v>44945</v>
      </c>
      <c r="C3604">
        <v>1</v>
      </c>
      <c r="D3604" t="s">
        <v>197</v>
      </c>
      <c r="E3604" s="22">
        <f>47-40</f>
        <v>7</v>
      </c>
      <c r="F3604" t="s">
        <v>363</v>
      </c>
      <c r="G3604" t="s">
        <v>361</v>
      </c>
      <c r="I3604" s="116"/>
      <c r="J3604" s="116"/>
      <c r="L3604" t="s">
        <v>869</v>
      </c>
    </row>
    <row r="3605" spans="1:12" x14ac:dyDescent="0.75">
      <c r="A3605" t="s">
        <v>69</v>
      </c>
      <c r="B3605" s="3">
        <v>44945</v>
      </c>
      <c r="C3605">
        <v>1</v>
      </c>
      <c r="D3605" t="s">
        <v>191</v>
      </c>
      <c r="E3605" s="22">
        <f>40-29</f>
        <v>11</v>
      </c>
      <c r="F3605" t="s">
        <v>363</v>
      </c>
      <c r="G3605" t="s">
        <v>361</v>
      </c>
      <c r="I3605" s="116"/>
      <c r="J3605" s="116"/>
      <c r="L3605" t="s">
        <v>869</v>
      </c>
    </row>
    <row r="3606" spans="1:12" x14ac:dyDescent="0.75">
      <c r="A3606" t="s">
        <v>69</v>
      </c>
      <c r="B3606" s="3">
        <v>44945</v>
      </c>
      <c r="C3606">
        <v>1</v>
      </c>
      <c r="D3606" t="s">
        <v>194</v>
      </c>
      <c r="E3606" s="22">
        <f>29-21</f>
        <v>8</v>
      </c>
      <c r="F3606" t="s">
        <v>363</v>
      </c>
      <c r="G3606" t="s">
        <v>361</v>
      </c>
      <c r="I3606" s="116"/>
      <c r="J3606" s="116"/>
      <c r="L3606" t="s">
        <v>869</v>
      </c>
    </row>
    <row r="3607" spans="1:12" x14ac:dyDescent="0.75">
      <c r="A3607" t="s">
        <v>69</v>
      </c>
      <c r="B3607" s="3">
        <v>44945</v>
      </c>
      <c r="C3607">
        <v>1</v>
      </c>
      <c r="D3607" t="s">
        <v>194</v>
      </c>
      <c r="E3607" s="22">
        <f>21-14</f>
        <v>7</v>
      </c>
      <c r="F3607" t="s">
        <v>363</v>
      </c>
      <c r="G3607" t="s">
        <v>361</v>
      </c>
      <c r="I3607" s="116"/>
      <c r="J3607" s="116"/>
      <c r="L3607" t="s">
        <v>869</v>
      </c>
    </row>
    <row r="3608" spans="1:12" x14ac:dyDescent="0.75">
      <c r="A3608" t="s">
        <v>69</v>
      </c>
      <c r="B3608" s="3">
        <v>44945</v>
      </c>
      <c r="C3608">
        <v>1</v>
      </c>
      <c r="D3608" t="s">
        <v>191</v>
      </c>
      <c r="E3608" s="22">
        <f>14-10</f>
        <v>4</v>
      </c>
      <c r="F3608" t="s">
        <v>363</v>
      </c>
      <c r="G3608" t="s">
        <v>361</v>
      </c>
      <c r="I3608" s="116"/>
      <c r="J3608" s="116"/>
      <c r="L3608" t="s">
        <v>869</v>
      </c>
    </row>
    <row r="3609" spans="1:12" x14ac:dyDescent="0.75">
      <c r="A3609" t="s">
        <v>69</v>
      </c>
      <c r="B3609" s="3">
        <v>44945</v>
      </c>
      <c r="C3609">
        <v>1</v>
      </c>
      <c r="D3609" t="s">
        <v>164</v>
      </c>
      <c r="E3609" s="22">
        <f>10-0</f>
        <v>10</v>
      </c>
      <c r="F3609" t="s">
        <v>363</v>
      </c>
      <c r="G3609" t="s">
        <v>361</v>
      </c>
      <c r="I3609" s="116"/>
      <c r="J3609" s="116"/>
      <c r="L3609" t="s">
        <v>869</v>
      </c>
    </row>
    <row r="3610" spans="1:12" x14ac:dyDescent="0.75">
      <c r="A3610" t="s">
        <v>69</v>
      </c>
      <c r="B3610" s="3">
        <v>44945</v>
      </c>
      <c r="C3610">
        <v>1</v>
      </c>
      <c r="D3610" t="s">
        <v>191</v>
      </c>
      <c r="E3610" s="22">
        <f>50-45</f>
        <v>5</v>
      </c>
      <c r="F3610" t="s">
        <v>363</v>
      </c>
      <c r="G3610" t="s">
        <v>361</v>
      </c>
      <c r="I3610" s="116"/>
      <c r="J3610" s="116"/>
      <c r="L3610" t="s">
        <v>869</v>
      </c>
    </row>
    <row r="3611" spans="1:12" x14ac:dyDescent="0.75">
      <c r="A3611" t="s">
        <v>69</v>
      </c>
      <c r="B3611" s="3">
        <v>44945</v>
      </c>
      <c r="C3611">
        <v>1</v>
      </c>
      <c r="D3611" t="s">
        <v>197</v>
      </c>
      <c r="E3611" s="22">
        <f>45-38+26-16</f>
        <v>17</v>
      </c>
      <c r="F3611" t="s">
        <v>363</v>
      </c>
      <c r="G3611" t="s">
        <v>361</v>
      </c>
      <c r="I3611" s="116"/>
      <c r="J3611" s="116"/>
      <c r="L3611" t="s">
        <v>869</v>
      </c>
    </row>
    <row r="3612" spans="1:12" x14ac:dyDescent="0.75">
      <c r="A3612" t="s">
        <v>69</v>
      </c>
      <c r="B3612" s="3">
        <v>44945</v>
      </c>
      <c r="C3612">
        <v>1</v>
      </c>
      <c r="D3612" t="s">
        <v>197</v>
      </c>
      <c r="E3612" s="22">
        <f>38-28</f>
        <v>10</v>
      </c>
      <c r="F3612" t="s">
        <v>363</v>
      </c>
      <c r="G3612" t="s">
        <v>361</v>
      </c>
      <c r="I3612" s="116"/>
      <c r="J3612" s="116"/>
      <c r="L3612" t="s">
        <v>869</v>
      </c>
    </row>
    <row r="3613" spans="1:12" x14ac:dyDescent="0.75">
      <c r="A3613" t="s">
        <v>69</v>
      </c>
      <c r="B3613" s="3">
        <v>44945</v>
      </c>
      <c r="C3613">
        <v>1</v>
      </c>
      <c r="D3613" t="s">
        <v>191</v>
      </c>
      <c r="E3613" s="22">
        <f>28-20</f>
        <v>8</v>
      </c>
      <c r="F3613" t="s">
        <v>363</v>
      </c>
      <c r="G3613" t="s">
        <v>361</v>
      </c>
      <c r="I3613" s="116"/>
      <c r="J3613" s="116"/>
      <c r="L3613" t="s">
        <v>869</v>
      </c>
    </row>
    <row r="3614" spans="1:12" x14ac:dyDescent="0.75">
      <c r="A3614" t="s">
        <v>69</v>
      </c>
      <c r="B3614" s="3">
        <v>44945</v>
      </c>
      <c r="C3614">
        <v>1</v>
      </c>
      <c r="D3614" t="s">
        <v>191</v>
      </c>
      <c r="E3614" s="22">
        <f>20-16</f>
        <v>4</v>
      </c>
      <c r="F3614" t="s">
        <v>363</v>
      </c>
      <c r="G3614" t="s">
        <v>361</v>
      </c>
      <c r="I3614" s="116"/>
      <c r="J3614" s="116"/>
      <c r="L3614" t="s">
        <v>869</v>
      </c>
    </row>
    <row r="3615" spans="1:12" x14ac:dyDescent="0.75">
      <c r="A3615" t="s">
        <v>69</v>
      </c>
      <c r="B3615" s="3">
        <v>44945</v>
      </c>
      <c r="C3615">
        <v>1</v>
      </c>
      <c r="D3615" t="s">
        <v>191</v>
      </c>
      <c r="E3615" s="22">
        <f>16-10</f>
        <v>6</v>
      </c>
      <c r="F3615" t="s">
        <v>363</v>
      </c>
      <c r="G3615" t="s">
        <v>361</v>
      </c>
      <c r="I3615" s="116"/>
      <c r="J3615" s="116"/>
      <c r="L3615" t="s">
        <v>869</v>
      </c>
    </row>
    <row r="3616" spans="1:12" x14ac:dyDescent="0.75">
      <c r="A3616" t="s">
        <v>69</v>
      </c>
      <c r="B3616" s="3">
        <v>44945</v>
      </c>
      <c r="C3616">
        <v>1</v>
      </c>
      <c r="D3616" t="s">
        <v>197</v>
      </c>
      <c r="E3616" s="22">
        <f>10+50-46</f>
        <v>14</v>
      </c>
      <c r="F3616" t="s">
        <v>363</v>
      </c>
      <c r="G3616" t="s">
        <v>361</v>
      </c>
      <c r="I3616" s="116"/>
      <c r="J3616" s="116"/>
      <c r="L3616" t="s">
        <v>869</v>
      </c>
    </row>
    <row r="3617" spans="1:12" x14ac:dyDescent="0.75">
      <c r="A3617" t="s">
        <v>69</v>
      </c>
      <c r="B3617" s="3">
        <v>44945</v>
      </c>
      <c r="C3617">
        <v>1</v>
      </c>
      <c r="D3617" t="s">
        <v>191</v>
      </c>
      <c r="E3617" s="22">
        <f>46-38</f>
        <v>8</v>
      </c>
      <c r="F3617" t="s">
        <v>363</v>
      </c>
      <c r="G3617" t="s">
        <v>361</v>
      </c>
      <c r="I3617" s="116"/>
      <c r="J3617" s="116"/>
      <c r="L3617" t="s">
        <v>869</v>
      </c>
    </row>
    <row r="3618" spans="1:12" x14ac:dyDescent="0.75">
      <c r="A3618" t="s">
        <v>69</v>
      </c>
      <c r="B3618" s="3">
        <v>44945</v>
      </c>
      <c r="C3618">
        <v>1</v>
      </c>
      <c r="D3618" t="s">
        <v>191</v>
      </c>
      <c r="E3618" s="22">
        <f>47-42</f>
        <v>5</v>
      </c>
      <c r="F3618" t="s">
        <v>363</v>
      </c>
      <c r="G3618" t="s">
        <v>869</v>
      </c>
      <c r="I3618" s="116"/>
      <c r="J3618" s="116"/>
      <c r="L3618" t="s">
        <v>869</v>
      </c>
    </row>
    <row r="3619" spans="1:12" x14ac:dyDescent="0.75">
      <c r="A3619" t="s">
        <v>69</v>
      </c>
      <c r="B3619" s="3">
        <v>44945</v>
      </c>
      <c r="C3619">
        <v>1</v>
      </c>
      <c r="D3619" t="s">
        <v>197</v>
      </c>
      <c r="E3619" s="22">
        <f>42-40</f>
        <v>2</v>
      </c>
      <c r="F3619" t="s">
        <v>363</v>
      </c>
      <c r="G3619" t="s">
        <v>869</v>
      </c>
      <c r="I3619" s="116"/>
      <c r="J3619" s="116"/>
      <c r="L3619" t="s">
        <v>869</v>
      </c>
    </row>
    <row r="3620" spans="1:12" x14ac:dyDescent="0.75">
      <c r="A3620" t="s">
        <v>69</v>
      </c>
      <c r="B3620" s="3">
        <v>44945</v>
      </c>
      <c r="C3620">
        <v>1</v>
      </c>
      <c r="D3620" t="s">
        <v>197</v>
      </c>
      <c r="E3620" s="22">
        <f>40-35</f>
        <v>5</v>
      </c>
      <c r="F3620" t="s">
        <v>363</v>
      </c>
      <c r="G3620" t="s">
        <v>869</v>
      </c>
      <c r="I3620" s="116"/>
      <c r="J3620" s="116"/>
      <c r="L3620" t="s">
        <v>869</v>
      </c>
    </row>
    <row r="3621" spans="1:12" x14ac:dyDescent="0.75">
      <c r="A3621" t="s">
        <v>69</v>
      </c>
      <c r="B3621" s="3">
        <v>44945</v>
      </c>
      <c r="C3621">
        <v>1</v>
      </c>
      <c r="D3621" t="s">
        <v>197</v>
      </c>
      <c r="E3621" s="22">
        <f>35-27</f>
        <v>8</v>
      </c>
      <c r="F3621" t="s">
        <v>363</v>
      </c>
      <c r="G3621" t="s">
        <v>869</v>
      </c>
      <c r="I3621" s="116"/>
      <c r="J3621" s="116"/>
      <c r="L3621" t="s">
        <v>869</v>
      </c>
    </row>
    <row r="3622" spans="1:12" x14ac:dyDescent="0.75">
      <c r="A3622" t="s">
        <v>69</v>
      </c>
      <c r="B3622" s="3">
        <v>44945</v>
      </c>
      <c r="C3622">
        <v>1</v>
      </c>
      <c r="D3622" t="s">
        <v>191</v>
      </c>
      <c r="E3622" s="22">
        <f>27-19</f>
        <v>8</v>
      </c>
      <c r="F3622" t="s">
        <v>363</v>
      </c>
      <c r="G3622" t="s">
        <v>869</v>
      </c>
      <c r="I3622" s="116"/>
      <c r="J3622" s="116"/>
      <c r="L3622" t="s">
        <v>869</v>
      </c>
    </row>
    <row r="3623" spans="1:12" x14ac:dyDescent="0.75">
      <c r="A3623" t="s">
        <v>69</v>
      </c>
      <c r="B3623" s="3">
        <v>44945</v>
      </c>
      <c r="C3623">
        <v>1</v>
      </c>
      <c r="D3623" t="s">
        <v>197</v>
      </c>
      <c r="E3623" s="22">
        <f>19-10</f>
        <v>9</v>
      </c>
      <c r="F3623" t="s">
        <v>363</v>
      </c>
      <c r="G3623" t="s">
        <v>869</v>
      </c>
      <c r="I3623" s="116"/>
      <c r="J3623" s="116"/>
      <c r="L3623" t="s">
        <v>869</v>
      </c>
    </row>
    <row r="3624" spans="1:12" x14ac:dyDescent="0.75">
      <c r="A3624" t="s">
        <v>69</v>
      </c>
      <c r="B3624" s="3">
        <v>44945</v>
      </c>
      <c r="C3624">
        <v>1</v>
      </c>
      <c r="D3624" t="s">
        <v>191</v>
      </c>
      <c r="E3624" s="53">
        <f>10-8</f>
        <v>2</v>
      </c>
      <c r="F3624" t="s">
        <v>363</v>
      </c>
      <c r="G3624" t="s">
        <v>869</v>
      </c>
      <c r="I3624" s="116"/>
      <c r="J3624" s="116"/>
      <c r="K3624" t="s">
        <v>888</v>
      </c>
      <c r="L3624" t="s">
        <v>869</v>
      </c>
    </row>
    <row r="3625" spans="1:12" x14ac:dyDescent="0.75">
      <c r="A3625" t="s">
        <v>69</v>
      </c>
      <c r="B3625" s="3">
        <v>44945</v>
      </c>
      <c r="C3625">
        <v>1</v>
      </c>
      <c r="D3625" t="s">
        <v>191</v>
      </c>
      <c r="E3625" s="22">
        <f>27-20</f>
        <v>7</v>
      </c>
      <c r="F3625" t="s">
        <v>363</v>
      </c>
      <c r="G3625" t="s">
        <v>869</v>
      </c>
      <c r="I3625" s="116"/>
      <c r="J3625" s="116"/>
      <c r="L3625" t="s">
        <v>869</v>
      </c>
    </row>
    <row r="3626" spans="1:12" x14ac:dyDescent="0.75">
      <c r="A3626" t="s">
        <v>69</v>
      </c>
      <c r="B3626" s="3">
        <v>44945</v>
      </c>
      <c r="C3626">
        <v>1</v>
      </c>
      <c r="D3626" t="s">
        <v>194</v>
      </c>
      <c r="E3626" s="22">
        <f>20-10</f>
        <v>10</v>
      </c>
      <c r="F3626" t="s">
        <v>363</v>
      </c>
      <c r="G3626" t="s">
        <v>869</v>
      </c>
      <c r="I3626" s="116"/>
      <c r="J3626" s="116"/>
      <c r="L3626" t="s">
        <v>869</v>
      </c>
    </row>
    <row r="3627" spans="1:12" x14ac:dyDescent="0.75">
      <c r="A3627" t="s">
        <v>69</v>
      </c>
      <c r="B3627" s="3">
        <v>44945</v>
      </c>
      <c r="C3627">
        <v>1</v>
      </c>
      <c r="D3627" t="s">
        <v>194</v>
      </c>
      <c r="E3627" s="22">
        <f>10-7</f>
        <v>3</v>
      </c>
      <c r="F3627" t="s">
        <v>363</v>
      </c>
      <c r="G3627" t="s">
        <v>869</v>
      </c>
      <c r="I3627" s="116"/>
      <c r="J3627" s="116"/>
      <c r="L3627" t="s">
        <v>869</v>
      </c>
    </row>
    <row r="3628" spans="1:12" x14ac:dyDescent="0.75">
      <c r="A3628" t="s">
        <v>69</v>
      </c>
      <c r="B3628" s="3">
        <v>44945</v>
      </c>
      <c r="C3628">
        <v>1</v>
      </c>
      <c r="D3628" t="s">
        <v>207</v>
      </c>
      <c r="E3628" s="22">
        <f>7-0</f>
        <v>7</v>
      </c>
      <c r="F3628" t="s">
        <v>363</v>
      </c>
      <c r="G3628" t="s">
        <v>869</v>
      </c>
      <c r="I3628" s="116"/>
      <c r="J3628" s="116"/>
      <c r="L3628" t="s">
        <v>869</v>
      </c>
    </row>
    <row r="3629" spans="1:12" x14ac:dyDescent="0.75">
      <c r="A3629" t="s">
        <v>69</v>
      </c>
      <c r="B3629" s="3">
        <v>44945</v>
      </c>
      <c r="C3629">
        <v>1</v>
      </c>
      <c r="D3629" t="s">
        <v>197</v>
      </c>
      <c r="E3629" s="22">
        <f>35+47-4</f>
        <v>78</v>
      </c>
      <c r="F3629" t="s">
        <v>363</v>
      </c>
      <c r="G3629" t="s">
        <v>869</v>
      </c>
      <c r="I3629" s="116"/>
      <c r="J3629" s="116"/>
      <c r="L3629" t="s">
        <v>869</v>
      </c>
    </row>
    <row r="3630" spans="1:12" x14ac:dyDescent="0.75">
      <c r="A3630" t="s">
        <v>69</v>
      </c>
      <c r="B3630" s="3">
        <v>44945</v>
      </c>
      <c r="C3630">
        <v>1</v>
      </c>
      <c r="D3630" t="s">
        <v>194</v>
      </c>
      <c r="E3630" s="22">
        <f>48-39</f>
        <v>9</v>
      </c>
      <c r="F3630" t="s">
        <v>363</v>
      </c>
      <c r="G3630" t="s">
        <v>869</v>
      </c>
      <c r="I3630" s="116"/>
      <c r="J3630" s="116"/>
      <c r="L3630" t="s">
        <v>869</v>
      </c>
    </row>
    <row r="3631" spans="1:12" x14ac:dyDescent="0.75">
      <c r="A3631" t="s">
        <v>69</v>
      </c>
      <c r="B3631" s="3">
        <v>44945</v>
      </c>
      <c r="C3631">
        <v>1</v>
      </c>
      <c r="D3631" t="s">
        <v>191</v>
      </c>
      <c r="E3631" s="22">
        <f>39-22</f>
        <v>17</v>
      </c>
      <c r="F3631" t="s">
        <v>363</v>
      </c>
      <c r="G3631" t="s">
        <v>869</v>
      </c>
      <c r="I3631" s="116"/>
      <c r="J3631" s="116"/>
      <c r="L3631" t="s">
        <v>869</v>
      </c>
    </row>
    <row r="3632" spans="1:12" x14ac:dyDescent="0.75">
      <c r="A3632" t="s">
        <v>69</v>
      </c>
      <c r="B3632" s="3">
        <v>44945</v>
      </c>
      <c r="C3632">
        <v>1</v>
      </c>
      <c r="D3632" t="s">
        <v>197</v>
      </c>
      <c r="E3632" s="22">
        <f>22-18</f>
        <v>4</v>
      </c>
      <c r="F3632" t="s">
        <v>363</v>
      </c>
      <c r="G3632" t="s">
        <v>869</v>
      </c>
      <c r="I3632" s="116"/>
      <c r="J3632" s="116"/>
      <c r="L3632" t="s">
        <v>869</v>
      </c>
    </row>
    <row r="3633" spans="1:12" x14ac:dyDescent="0.75">
      <c r="A3633" t="s">
        <v>69</v>
      </c>
      <c r="B3633" s="3">
        <v>44945</v>
      </c>
      <c r="C3633">
        <v>1</v>
      </c>
      <c r="D3633" t="s">
        <v>191</v>
      </c>
      <c r="E3633" s="22">
        <f>18-11</f>
        <v>7</v>
      </c>
      <c r="F3633" t="s">
        <v>363</v>
      </c>
      <c r="G3633" t="s">
        <v>869</v>
      </c>
      <c r="I3633" s="116"/>
      <c r="J3633" s="116"/>
      <c r="L3633" t="s">
        <v>869</v>
      </c>
    </row>
    <row r="3634" spans="1:12" x14ac:dyDescent="0.75">
      <c r="A3634" t="s">
        <v>69</v>
      </c>
      <c r="B3634" s="3">
        <v>44945</v>
      </c>
      <c r="C3634">
        <v>1</v>
      </c>
      <c r="D3634" t="s">
        <v>191</v>
      </c>
      <c r="E3634" s="22">
        <f>11-10</f>
        <v>1</v>
      </c>
      <c r="F3634" t="s">
        <v>363</v>
      </c>
      <c r="G3634" t="s">
        <v>869</v>
      </c>
      <c r="I3634" s="116"/>
      <c r="J3634" s="116"/>
      <c r="L3634" t="s">
        <v>869</v>
      </c>
    </row>
    <row r="3635" spans="1:12" x14ac:dyDescent="0.75">
      <c r="A3635" t="s">
        <v>69</v>
      </c>
      <c r="B3635" s="3">
        <v>44945</v>
      </c>
      <c r="C3635">
        <v>1</v>
      </c>
      <c r="D3635" t="s">
        <v>191</v>
      </c>
      <c r="E3635" s="22">
        <f>10-5</f>
        <v>5</v>
      </c>
      <c r="F3635" t="s">
        <v>363</v>
      </c>
      <c r="G3635" t="s">
        <v>869</v>
      </c>
      <c r="I3635" s="116"/>
      <c r="J3635" s="116"/>
      <c r="L3635" t="s">
        <v>869</v>
      </c>
    </row>
    <row r="3636" spans="1:12" x14ac:dyDescent="0.75">
      <c r="A3636" t="s">
        <v>69</v>
      </c>
      <c r="B3636" s="3">
        <v>44945</v>
      </c>
      <c r="C3636">
        <v>1</v>
      </c>
      <c r="D3636" t="s">
        <v>191</v>
      </c>
      <c r="E3636" s="22">
        <f>5+8</f>
        <v>13</v>
      </c>
      <c r="F3636" t="s">
        <v>363</v>
      </c>
      <c r="G3636" t="s">
        <v>869</v>
      </c>
      <c r="I3636" s="116"/>
      <c r="J3636" s="116"/>
      <c r="L3636" t="s">
        <v>869</v>
      </c>
    </row>
    <row r="3637" spans="1:12" x14ac:dyDescent="0.75">
      <c r="A3637" t="s">
        <v>69</v>
      </c>
      <c r="B3637" s="3">
        <v>44945</v>
      </c>
      <c r="C3637">
        <v>1</v>
      </c>
      <c r="D3637" t="s">
        <v>191</v>
      </c>
      <c r="E3637" s="22">
        <f>45-42</f>
        <v>3</v>
      </c>
      <c r="F3637" t="s">
        <v>363</v>
      </c>
      <c r="G3637" t="s">
        <v>869</v>
      </c>
      <c r="I3637" s="116"/>
      <c r="J3637" s="116"/>
      <c r="L3637" t="s">
        <v>869</v>
      </c>
    </row>
    <row r="3638" spans="1:12" x14ac:dyDescent="0.75">
      <c r="A3638" t="s">
        <v>69</v>
      </c>
      <c r="B3638" s="3">
        <v>44945</v>
      </c>
      <c r="C3638">
        <v>1</v>
      </c>
      <c r="D3638" t="s">
        <v>194</v>
      </c>
      <c r="E3638" s="22">
        <f>42-37</f>
        <v>5</v>
      </c>
      <c r="F3638" t="s">
        <v>363</v>
      </c>
      <c r="G3638" t="s">
        <v>869</v>
      </c>
      <c r="I3638" s="116"/>
      <c r="J3638" s="116"/>
      <c r="L3638" t="s">
        <v>869</v>
      </c>
    </row>
    <row r="3639" spans="1:12" x14ac:dyDescent="0.75">
      <c r="A3639" t="s">
        <v>69</v>
      </c>
      <c r="B3639" s="3">
        <v>44945</v>
      </c>
      <c r="C3639">
        <v>1</v>
      </c>
      <c r="D3639" t="s">
        <v>197</v>
      </c>
      <c r="E3639" s="22">
        <f>35-34</f>
        <v>1</v>
      </c>
      <c r="F3639" t="s">
        <v>363</v>
      </c>
      <c r="G3639" t="s">
        <v>869</v>
      </c>
      <c r="I3639" s="116"/>
      <c r="J3639" s="116"/>
      <c r="L3639" t="s">
        <v>869</v>
      </c>
    </row>
    <row r="3640" spans="1:12" x14ac:dyDescent="0.75">
      <c r="A3640" t="s">
        <v>69</v>
      </c>
      <c r="B3640" s="3">
        <v>44945</v>
      </c>
      <c r="C3640">
        <v>1</v>
      </c>
      <c r="D3640" t="s">
        <v>197</v>
      </c>
      <c r="E3640" s="22">
        <f>16-13</f>
        <v>3</v>
      </c>
      <c r="F3640" t="s">
        <v>363</v>
      </c>
      <c r="G3640" t="s">
        <v>869</v>
      </c>
      <c r="I3640" s="116"/>
      <c r="J3640" s="116"/>
      <c r="L3640" t="s">
        <v>869</v>
      </c>
    </row>
    <row r="3641" spans="1:12" x14ac:dyDescent="0.75">
      <c r="A3641" t="s">
        <v>69</v>
      </c>
      <c r="B3641" s="3">
        <v>44945</v>
      </c>
      <c r="C3641">
        <v>1</v>
      </c>
      <c r="D3641" t="s">
        <v>194</v>
      </c>
      <c r="E3641" s="22">
        <f>13-9</f>
        <v>4</v>
      </c>
      <c r="F3641" t="s">
        <v>363</v>
      </c>
      <c r="G3641" t="s">
        <v>869</v>
      </c>
      <c r="I3641" s="116"/>
      <c r="J3641" s="116"/>
      <c r="L3641" t="s">
        <v>869</v>
      </c>
    </row>
    <row r="3642" spans="1:12" x14ac:dyDescent="0.75">
      <c r="A3642" t="s">
        <v>69</v>
      </c>
      <c r="B3642" s="3">
        <v>44945</v>
      </c>
      <c r="C3642">
        <v>1</v>
      </c>
      <c r="D3642" t="s">
        <v>194</v>
      </c>
      <c r="E3642" s="22">
        <f>9-3</f>
        <v>6</v>
      </c>
      <c r="F3642" t="s">
        <v>363</v>
      </c>
      <c r="G3642" t="s">
        <v>869</v>
      </c>
      <c r="I3642" s="116"/>
      <c r="J3642" s="116"/>
      <c r="L3642" t="s">
        <v>869</v>
      </c>
    </row>
    <row r="3643" spans="1:12" x14ac:dyDescent="0.75">
      <c r="A3643" t="s">
        <v>69</v>
      </c>
      <c r="B3643" s="3">
        <v>44945</v>
      </c>
      <c r="C3643">
        <v>1</v>
      </c>
      <c r="D3643" t="s">
        <v>194</v>
      </c>
      <c r="E3643" s="22">
        <f>3-0</f>
        <v>3</v>
      </c>
      <c r="F3643" t="s">
        <v>363</v>
      </c>
      <c r="G3643" t="s">
        <v>869</v>
      </c>
      <c r="I3643" s="116"/>
      <c r="J3643" s="116"/>
      <c r="L3643" t="s">
        <v>869</v>
      </c>
    </row>
    <row r="3644" spans="1:12" x14ac:dyDescent="0.75">
      <c r="A3644" t="s">
        <v>69</v>
      </c>
      <c r="B3644" s="3">
        <v>44945</v>
      </c>
      <c r="C3644">
        <v>1</v>
      </c>
      <c r="D3644" t="s">
        <v>197</v>
      </c>
      <c r="E3644" s="22">
        <f>45-19</f>
        <v>26</v>
      </c>
      <c r="F3644" t="s">
        <v>363</v>
      </c>
      <c r="G3644" t="s">
        <v>869</v>
      </c>
      <c r="I3644" s="116"/>
      <c r="J3644" s="116"/>
      <c r="L3644" t="s">
        <v>869</v>
      </c>
    </row>
    <row r="3645" spans="1:12" x14ac:dyDescent="0.75">
      <c r="A3645" t="s">
        <v>69</v>
      </c>
      <c r="B3645" s="3">
        <v>44945</v>
      </c>
      <c r="C3645">
        <v>1</v>
      </c>
      <c r="D3645" t="s">
        <v>164</v>
      </c>
      <c r="E3645" s="22">
        <f>52-50</f>
        <v>2</v>
      </c>
      <c r="F3645" t="s">
        <v>363</v>
      </c>
      <c r="G3645" t="s">
        <v>786</v>
      </c>
      <c r="I3645" s="116"/>
      <c r="J3645" s="116"/>
      <c r="K3645" t="s">
        <v>889</v>
      </c>
      <c r="L3645" t="s">
        <v>869</v>
      </c>
    </row>
    <row r="3646" spans="1:12" x14ac:dyDescent="0.75">
      <c r="A3646" t="s">
        <v>69</v>
      </c>
      <c r="B3646" s="3">
        <v>44945</v>
      </c>
      <c r="C3646">
        <v>1</v>
      </c>
      <c r="D3646" t="s">
        <v>194</v>
      </c>
      <c r="E3646" s="22">
        <f>50-48</f>
        <v>2</v>
      </c>
      <c r="F3646" t="s">
        <v>363</v>
      </c>
      <c r="G3646" t="s">
        <v>786</v>
      </c>
      <c r="I3646" s="116"/>
      <c r="J3646" s="116"/>
      <c r="K3646" t="s">
        <v>889</v>
      </c>
      <c r="L3646" t="s">
        <v>869</v>
      </c>
    </row>
    <row r="3647" spans="1:12" x14ac:dyDescent="0.75">
      <c r="A3647" t="s">
        <v>69</v>
      </c>
      <c r="B3647" s="3">
        <v>44945</v>
      </c>
      <c r="C3647">
        <v>1</v>
      </c>
      <c r="D3647" t="s">
        <v>191</v>
      </c>
      <c r="E3647" s="22">
        <f>48-46</f>
        <v>2</v>
      </c>
      <c r="F3647" t="s">
        <v>363</v>
      </c>
      <c r="G3647" t="s">
        <v>786</v>
      </c>
      <c r="I3647" s="116"/>
      <c r="J3647" s="116"/>
      <c r="K3647" t="s">
        <v>889</v>
      </c>
      <c r="L3647" t="s">
        <v>869</v>
      </c>
    </row>
    <row r="3648" spans="1:12" x14ac:dyDescent="0.75">
      <c r="A3648" t="s">
        <v>69</v>
      </c>
      <c r="B3648" s="3">
        <v>44945</v>
      </c>
      <c r="C3648">
        <v>1</v>
      </c>
      <c r="D3648" t="s">
        <v>197</v>
      </c>
      <c r="E3648" s="22">
        <f>46-40</f>
        <v>6</v>
      </c>
      <c r="F3648" t="s">
        <v>363</v>
      </c>
      <c r="G3648" t="s">
        <v>786</v>
      </c>
      <c r="I3648" s="116"/>
      <c r="J3648" s="116"/>
      <c r="K3648" t="s">
        <v>889</v>
      </c>
      <c r="L3648" t="s">
        <v>869</v>
      </c>
    </row>
    <row r="3649" spans="1:12" x14ac:dyDescent="0.75">
      <c r="A3649" t="s">
        <v>69</v>
      </c>
      <c r="B3649" s="3">
        <v>44945</v>
      </c>
      <c r="C3649">
        <v>1</v>
      </c>
      <c r="D3649" t="s">
        <v>197</v>
      </c>
      <c r="E3649" s="22">
        <f>40-33</f>
        <v>7</v>
      </c>
      <c r="F3649" t="s">
        <v>363</v>
      </c>
      <c r="G3649" t="s">
        <v>786</v>
      </c>
      <c r="I3649" s="116"/>
      <c r="J3649" s="116"/>
      <c r="K3649" t="s">
        <v>889</v>
      </c>
      <c r="L3649" t="s">
        <v>869</v>
      </c>
    </row>
    <row r="3650" spans="1:12" x14ac:dyDescent="0.75">
      <c r="A3650" t="s">
        <v>69</v>
      </c>
      <c r="B3650" s="3">
        <v>44945</v>
      </c>
      <c r="C3650">
        <v>1</v>
      </c>
      <c r="D3650" t="s">
        <v>194</v>
      </c>
      <c r="E3650" s="22">
        <f>33-20</f>
        <v>13</v>
      </c>
      <c r="F3650" t="s">
        <v>363</v>
      </c>
      <c r="G3650" t="s">
        <v>786</v>
      </c>
      <c r="I3650" s="116"/>
      <c r="J3650" s="116"/>
      <c r="K3650" t="s">
        <v>889</v>
      </c>
      <c r="L3650" t="s">
        <v>869</v>
      </c>
    </row>
    <row r="3651" spans="1:12" x14ac:dyDescent="0.75">
      <c r="A3651" t="s">
        <v>69</v>
      </c>
      <c r="B3651" s="3">
        <v>44945</v>
      </c>
      <c r="C3651">
        <v>1</v>
      </c>
      <c r="D3651" t="s">
        <v>194</v>
      </c>
      <c r="E3651" s="22">
        <f>20-14</f>
        <v>6</v>
      </c>
      <c r="F3651" t="s">
        <v>363</v>
      </c>
      <c r="G3651" t="s">
        <v>786</v>
      </c>
      <c r="I3651" s="116"/>
      <c r="J3651" s="116"/>
      <c r="K3651" t="s">
        <v>889</v>
      </c>
      <c r="L3651" t="s">
        <v>869</v>
      </c>
    </row>
    <row r="3652" spans="1:12" x14ac:dyDescent="0.75">
      <c r="A3652" t="s">
        <v>69</v>
      </c>
      <c r="B3652" s="3">
        <v>44945</v>
      </c>
      <c r="C3652">
        <v>1</v>
      </c>
      <c r="D3652" t="s">
        <v>191</v>
      </c>
      <c r="E3652" s="22">
        <f>14-8</f>
        <v>6</v>
      </c>
      <c r="F3652" t="s">
        <v>363</v>
      </c>
      <c r="G3652" t="s">
        <v>786</v>
      </c>
      <c r="I3652" s="116"/>
      <c r="J3652" s="116"/>
      <c r="K3652" t="s">
        <v>889</v>
      </c>
      <c r="L3652" t="s">
        <v>869</v>
      </c>
    </row>
    <row r="3653" spans="1:12" x14ac:dyDescent="0.75">
      <c r="A3653" t="s">
        <v>69</v>
      </c>
      <c r="B3653" s="3">
        <v>44945</v>
      </c>
      <c r="C3653">
        <v>1</v>
      </c>
      <c r="D3653" t="s">
        <v>191</v>
      </c>
      <c r="E3653" s="22">
        <f>8-6</f>
        <v>2</v>
      </c>
      <c r="F3653" t="s">
        <v>363</v>
      </c>
      <c r="G3653" t="s">
        <v>786</v>
      </c>
      <c r="I3653" s="116"/>
      <c r="J3653" s="116"/>
      <c r="K3653" t="s">
        <v>889</v>
      </c>
      <c r="L3653" t="s">
        <v>869</v>
      </c>
    </row>
    <row r="3654" spans="1:12" x14ac:dyDescent="0.75">
      <c r="A3654" t="s">
        <v>69</v>
      </c>
      <c r="B3654" s="3">
        <v>44945</v>
      </c>
      <c r="C3654">
        <v>1</v>
      </c>
      <c r="D3654" t="s">
        <v>191</v>
      </c>
      <c r="E3654" s="22">
        <f>6-4</f>
        <v>2</v>
      </c>
      <c r="F3654" t="s">
        <v>363</v>
      </c>
      <c r="G3654" t="s">
        <v>786</v>
      </c>
      <c r="I3654" s="116"/>
      <c r="J3654" s="116"/>
      <c r="K3654" t="s">
        <v>889</v>
      </c>
      <c r="L3654" t="s">
        <v>869</v>
      </c>
    </row>
    <row r="3655" spans="1:12" x14ac:dyDescent="0.75">
      <c r="A3655" t="s">
        <v>69</v>
      </c>
      <c r="B3655" s="3">
        <v>44945</v>
      </c>
      <c r="C3655">
        <v>1</v>
      </c>
      <c r="D3655" t="s">
        <v>197</v>
      </c>
      <c r="E3655" s="22">
        <f>4+34-32</f>
        <v>6</v>
      </c>
      <c r="F3655" t="s">
        <v>363</v>
      </c>
      <c r="G3655" t="s">
        <v>786</v>
      </c>
      <c r="I3655" s="116"/>
      <c r="J3655" s="116"/>
      <c r="K3655" t="s">
        <v>889</v>
      </c>
      <c r="L3655" t="s">
        <v>869</v>
      </c>
    </row>
    <row r="3656" spans="1:12" x14ac:dyDescent="0.75">
      <c r="A3656" t="s">
        <v>69</v>
      </c>
      <c r="B3656" s="3">
        <v>44945</v>
      </c>
      <c r="C3656">
        <v>1</v>
      </c>
      <c r="D3656" t="s">
        <v>191</v>
      </c>
      <c r="E3656" s="22">
        <f>32-20</f>
        <v>12</v>
      </c>
      <c r="F3656" t="s">
        <v>363</v>
      </c>
      <c r="G3656" t="s">
        <v>786</v>
      </c>
      <c r="I3656" s="116"/>
      <c r="J3656" s="116"/>
      <c r="K3656" t="s">
        <v>889</v>
      </c>
      <c r="L3656" t="s">
        <v>869</v>
      </c>
    </row>
    <row r="3657" spans="1:12" s="65" customFormat="1" x14ac:dyDescent="0.75">
      <c r="A3657" s="65" t="s">
        <v>69</v>
      </c>
      <c r="B3657" s="140">
        <v>44945</v>
      </c>
      <c r="C3657" s="65">
        <v>2</v>
      </c>
      <c r="D3657" s="65" t="s">
        <v>191</v>
      </c>
      <c r="E3657" s="141">
        <f>39-3</f>
        <v>36</v>
      </c>
      <c r="F3657" s="65" t="s">
        <v>363</v>
      </c>
      <c r="G3657" s="65" t="s">
        <v>361</v>
      </c>
      <c r="L3657" t="s">
        <v>869</v>
      </c>
    </row>
    <row r="3658" spans="1:12" s="65" customFormat="1" x14ac:dyDescent="0.75">
      <c r="A3658" s="65" t="s">
        <v>69</v>
      </c>
      <c r="B3658" s="140">
        <v>44945</v>
      </c>
      <c r="C3658" s="65">
        <v>2</v>
      </c>
      <c r="D3658" s="65" t="s">
        <v>191</v>
      </c>
      <c r="E3658" s="141">
        <f>3+52-47</f>
        <v>8</v>
      </c>
      <c r="F3658" s="65" t="s">
        <v>363</v>
      </c>
      <c r="G3658" s="65" t="s">
        <v>361</v>
      </c>
      <c r="L3658" t="s">
        <v>869</v>
      </c>
    </row>
    <row r="3659" spans="1:12" s="65" customFormat="1" x14ac:dyDescent="0.75">
      <c r="A3659" s="65" t="s">
        <v>69</v>
      </c>
      <c r="B3659" s="140">
        <v>44945</v>
      </c>
      <c r="C3659" s="65">
        <v>2</v>
      </c>
      <c r="D3659" s="65" t="s">
        <v>191</v>
      </c>
      <c r="E3659" s="141">
        <f>47-43</f>
        <v>4</v>
      </c>
      <c r="F3659" s="65" t="s">
        <v>363</v>
      </c>
      <c r="G3659" s="65" t="s">
        <v>361</v>
      </c>
      <c r="L3659" t="s">
        <v>869</v>
      </c>
    </row>
    <row r="3660" spans="1:12" s="65" customFormat="1" x14ac:dyDescent="0.75">
      <c r="A3660" s="65" t="s">
        <v>69</v>
      </c>
      <c r="B3660" s="140">
        <v>44945</v>
      </c>
      <c r="C3660" s="65">
        <v>2</v>
      </c>
      <c r="D3660" s="65" t="s">
        <v>197</v>
      </c>
      <c r="E3660" s="141">
        <f>43-27</f>
        <v>16</v>
      </c>
      <c r="F3660" s="65" t="s">
        <v>363</v>
      </c>
      <c r="G3660" s="65" t="s">
        <v>361</v>
      </c>
      <c r="L3660" t="s">
        <v>869</v>
      </c>
    </row>
    <row r="3661" spans="1:12" s="65" customFormat="1" x14ac:dyDescent="0.75">
      <c r="A3661" s="65" t="s">
        <v>69</v>
      </c>
      <c r="B3661" s="140">
        <v>44945</v>
      </c>
      <c r="C3661" s="65">
        <v>2</v>
      </c>
      <c r="D3661" s="65" t="s">
        <v>197</v>
      </c>
      <c r="E3661" s="141">
        <f>27-17</f>
        <v>10</v>
      </c>
      <c r="F3661" s="65" t="s">
        <v>363</v>
      </c>
      <c r="G3661" s="65" t="s">
        <v>361</v>
      </c>
      <c r="L3661" t="s">
        <v>869</v>
      </c>
    </row>
    <row r="3662" spans="1:12" s="65" customFormat="1" x14ac:dyDescent="0.75">
      <c r="A3662" s="65" t="s">
        <v>69</v>
      </c>
      <c r="B3662" s="140">
        <v>44945</v>
      </c>
      <c r="C3662" s="65">
        <v>2</v>
      </c>
      <c r="D3662" s="65" t="s">
        <v>197</v>
      </c>
      <c r="E3662" s="141">
        <v>17</v>
      </c>
      <c r="F3662" s="65" t="s">
        <v>363</v>
      </c>
      <c r="G3662" s="65" t="s">
        <v>361</v>
      </c>
      <c r="K3662" s="65" t="s">
        <v>890</v>
      </c>
      <c r="L3662" t="s">
        <v>869</v>
      </c>
    </row>
    <row r="3663" spans="1:12" s="65" customFormat="1" x14ac:dyDescent="0.75">
      <c r="A3663" s="65" t="s">
        <v>69</v>
      </c>
      <c r="B3663" s="140">
        <v>44945</v>
      </c>
      <c r="C3663" s="65">
        <v>2</v>
      </c>
      <c r="D3663" s="65" t="s">
        <v>191</v>
      </c>
      <c r="E3663" s="141">
        <f>47-34</f>
        <v>13</v>
      </c>
      <c r="F3663" s="65" t="s">
        <v>363</v>
      </c>
      <c r="G3663" s="65" t="s">
        <v>786</v>
      </c>
      <c r="K3663" s="65" t="s">
        <v>889</v>
      </c>
      <c r="L3663" t="s">
        <v>869</v>
      </c>
    </row>
    <row r="3664" spans="1:12" s="65" customFormat="1" x14ac:dyDescent="0.75">
      <c r="A3664" s="65" t="s">
        <v>69</v>
      </c>
      <c r="B3664" s="140">
        <v>44945</v>
      </c>
      <c r="C3664" s="65">
        <v>2</v>
      </c>
      <c r="D3664" s="65" t="s">
        <v>176</v>
      </c>
      <c r="E3664" s="141">
        <f>34-4</f>
        <v>30</v>
      </c>
      <c r="F3664" s="65" t="s">
        <v>363</v>
      </c>
      <c r="G3664" s="65" t="s">
        <v>786</v>
      </c>
      <c r="K3664" s="65" t="s">
        <v>889</v>
      </c>
      <c r="L3664" t="s">
        <v>869</v>
      </c>
    </row>
    <row r="3665" spans="1:12" s="65" customFormat="1" x14ac:dyDescent="0.75">
      <c r="A3665" s="65" t="s">
        <v>69</v>
      </c>
      <c r="B3665" s="140">
        <v>44945</v>
      </c>
      <c r="C3665" s="65">
        <v>2</v>
      </c>
      <c r="D3665" s="65" t="s">
        <v>197</v>
      </c>
      <c r="E3665" s="141">
        <f>13-12</f>
        <v>1</v>
      </c>
      <c r="F3665" s="65" t="s">
        <v>363</v>
      </c>
      <c r="G3665" s="65" t="s">
        <v>786</v>
      </c>
      <c r="K3665" s="65" t="s">
        <v>889</v>
      </c>
      <c r="L3665" t="s">
        <v>869</v>
      </c>
    </row>
    <row r="3666" spans="1:12" s="65" customFormat="1" x14ac:dyDescent="0.75">
      <c r="A3666" s="65" t="s">
        <v>69</v>
      </c>
      <c r="B3666" s="140">
        <v>44945</v>
      </c>
      <c r="C3666" s="65">
        <v>2</v>
      </c>
      <c r="D3666" s="65" t="s">
        <v>197</v>
      </c>
      <c r="E3666" s="141">
        <f>34+12-10</f>
        <v>36</v>
      </c>
      <c r="F3666" s="65" t="s">
        <v>363</v>
      </c>
      <c r="G3666" s="65" t="s">
        <v>786</v>
      </c>
      <c r="K3666" s="65" t="s">
        <v>889</v>
      </c>
      <c r="L3666" t="s">
        <v>869</v>
      </c>
    </row>
    <row r="3667" spans="1:12" s="65" customFormat="1" x14ac:dyDescent="0.75">
      <c r="A3667" s="65" t="s">
        <v>69</v>
      </c>
      <c r="B3667" s="140">
        <v>44945</v>
      </c>
      <c r="C3667" s="65">
        <v>2</v>
      </c>
      <c r="D3667" s="65" t="s">
        <v>191</v>
      </c>
      <c r="E3667" s="141">
        <f>10-2</f>
        <v>8</v>
      </c>
      <c r="F3667" s="65" t="s">
        <v>363</v>
      </c>
      <c r="G3667" s="65" t="s">
        <v>786</v>
      </c>
      <c r="K3667" s="65" t="s">
        <v>889</v>
      </c>
      <c r="L3667" t="s">
        <v>869</v>
      </c>
    </row>
    <row r="3668" spans="1:12" s="65" customFormat="1" x14ac:dyDescent="0.75">
      <c r="A3668" s="65" t="s">
        <v>69</v>
      </c>
      <c r="B3668" s="140">
        <v>44945</v>
      </c>
      <c r="C3668" s="65">
        <v>2</v>
      </c>
      <c r="D3668" s="65" t="s">
        <v>191</v>
      </c>
      <c r="E3668" s="141">
        <f>4+50-46</f>
        <v>8</v>
      </c>
      <c r="F3668" s="65" t="s">
        <v>363</v>
      </c>
      <c r="G3668" s="65" t="s">
        <v>786</v>
      </c>
      <c r="K3668" s="65" t="s">
        <v>889</v>
      </c>
      <c r="L3668" t="s">
        <v>869</v>
      </c>
    </row>
    <row r="3669" spans="1:12" s="65" customFormat="1" x14ac:dyDescent="0.75">
      <c r="A3669" s="65" t="s">
        <v>69</v>
      </c>
      <c r="B3669" s="140">
        <v>44945</v>
      </c>
      <c r="C3669" s="65">
        <v>2</v>
      </c>
      <c r="D3669" s="65" t="s">
        <v>191</v>
      </c>
      <c r="E3669" s="141">
        <f>46-40</f>
        <v>6</v>
      </c>
      <c r="F3669" s="65" t="s">
        <v>363</v>
      </c>
      <c r="G3669" s="65" t="s">
        <v>786</v>
      </c>
      <c r="K3669" s="65" t="s">
        <v>889</v>
      </c>
      <c r="L3669" t="s">
        <v>869</v>
      </c>
    </row>
    <row r="3670" spans="1:12" s="65" customFormat="1" x14ac:dyDescent="0.75">
      <c r="A3670" s="65" t="s">
        <v>69</v>
      </c>
      <c r="B3670" s="140">
        <v>44945</v>
      </c>
      <c r="C3670" s="65">
        <v>2</v>
      </c>
      <c r="D3670" s="65" t="s">
        <v>191</v>
      </c>
      <c r="E3670" s="141">
        <f>40-34</f>
        <v>6</v>
      </c>
      <c r="F3670" s="65" t="s">
        <v>363</v>
      </c>
      <c r="G3670" s="65" t="s">
        <v>786</v>
      </c>
      <c r="K3670" s="65" t="s">
        <v>889</v>
      </c>
      <c r="L3670" t="s">
        <v>869</v>
      </c>
    </row>
    <row r="3671" spans="1:12" s="65" customFormat="1" x14ac:dyDescent="0.75">
      <c r="A3671" s="65" t="s">
        <v>69</v>
      </c>
      <c r="B3671" s="140">
        <v>44945</v>
      </c>
      <c r="C3671" s="65">
        <v>2</v>
      </c>
      <c r="D3671" s="65" t="s">
        <v>191</v>
      </c>
      <c r="E3671" s="141">
        <f>44-36+36-34+21-18+18-13</f>
        <v>18</v>
      </c>
      <c r="F3671" s="65" t="s">
        <v>363</v>
      </c>
      <c r="G3671" s="65" t="s">
        <v>786</v>
      </c>
      <c r="K3671" s="65" t="s">
        <v>889</v>
      </c>
      <c r="L3671" t="s">
        <v>869</v>
      </c>
    </row>
    <row r="3672" spans="1:12" s="65" customFormat="1" x14ac:dyDescent="0.75">
      <c r="A3672" s="65" t="s">
        <v>69</v>
      </c>
      <c r="B3672" s="140">
        <v>44945</v>
      </c>
      <c r="C3672" s="65">
        <v>2</v>
      </c>
      <c r="D3672" s="65" t="s">
        <v>191</v>
      </c>
      <c r="E3672" s="141">
        <f>19-17</f>
        <v>2</v>
      </c>
      <c r="F3672" s="65" t="s">
        <v>363</v>
      </c>
      <c r="G3672" s="65" t="s">
        <v>869</v>
      </c>
      <c r="L3672" t="s">
        <v>869</v>
      </c>
    </row>
    <row r="3673" spans="1:12" s="65" customFormat="1" x14ac:dyDescent="0.75">
      <c r="A3673" s="65" t="s">
        <v>69</v>
      </c>
      <c r="B3673" s="140">
        <v>44945</v>
      </c>
      <c r="C3673" s="65">
        <v>2</v>
      </c>
      <c r="D3673" s="65" t="s">
        <v>191</v>
      </c>
      <c r="E3673" s="141">
        <f>17-10</f>
        <v>7</v>
      </c>
      <c r="F3673" s="65" t="s">
        <v>363</v>
      </c>
      <c r="G3673" s="65" t="s">
        <v>869</v>
      </c>
      <c r="L3673" t="s">
        <v>869</v>
      </c>
    </row>
    <row r="3674" spans="1:12" s="65" customFormat="1" x14ac:dyDescent="0.75">
      <c r="A3674" s="65" t="s">
        <v>69</v>
      </c>
      <c r="B3674" s="140">
        <v>44945</v>
      </c>
      <c r="C3674" s="65">
        <v>2</v>
      </c>
      <c r="D3674" s="65" t="s">
        <v>191</v>
      </c>
      <c r="E3674" s="141">
        <f>10-7</f>
        <v>3</v>
      </c>
      <c r="F3674" s="65" t="s">
        <v>363</v>
      </c>
      <c r="G3674" s="65" t="s">
        <v>869</v>
      </c>
      <c r="L3674" t="s">
        <v>869</v>
      </c>
    </row>
    <row r="3675" spans="1:12" s="65" customFormat="1" x14ac:dyDescent="0.75">
      <c r="A3675" s="65" t="s">
        <v>69</v>
      </c>
      <c r="B3675" s="140">
        <v>44945</v>
      </c>
      <c r="C3675" s="65">
        <v>2</v>
      </c>
      <c r="D3675" s="65" t="s">
        <v>197</v>
      </c>
      <c r="E3675" s="141">
        <f>7-0</f>
        <v>7</v>
      </c>
      <c r="F3675" s="65" t="s">
        <v>363</v>
      </c>
      <c r="G3675" s="65" t="s">
        <v>869</v>
      </c>
      <c r="L3675" t="s">
        <v>869</v>
      </c>
    </row>
    <row r="3676" spans="1:12" s="65" customFormat="1" x14ac:dyDescent="0.75">
      <c r="A3676" s="65" t="s">
        <v>69</v>
      </c>
      <c r="B3676" s="140">
        <v>44945</v>
      </c>
      <c r="C3676" s="65">
        <v>2</v>
      </c>
      <c r="D3676" s="65" t="s">
        <v>164</v>
      </c>
      <c r="E3676" s="141">
        <f>53-46</f>
        <v>7</v>
      </c>
      <c r="F3676" s="65" t="s">
        <v>363</v>
      </c>
      <c r="G3676" s="65" t="s">
        <v>869</v>
      </c>
      <c r="L3676" t="s">
        <v>869</v>
      </c>
    </row>
    <row r="3677" spans="1:12" s="65" customFormat="1" x14ac:dyDescent="0.75">
      <c r="A3677" s="65" t="s">
        <v>69</v>
      </c>
      <c r="B3677" s="140">
        <v>44945</v>
      </c>
      <c r="C3677" s="65">
        <v>2</v>
      </c>
      <c r="D3677" s="65" t="s">
        <v>164</v>
      </c>
      <c r="E3677" s="141">
        <f>46-43</f>
        <v>3</v>
      </c>
      <c r="F3677" s="65" t="s">
        <v>363</v>
      </c>
      <c r="G3677" s="65" t="s">
        <v>869</v>
      </c>
      <c r="L3677" t="s">
        <v>869</v>
      </c>
    </row>
    <row r="3678" spans="1:12" s="65" customFormat="1" x14ac:dyDescent="0.75">
      <c r="A3678" s="65" t="s">
        <v>69</v>
      </c>
      <c r="B3678" s="140">
        <v>44945</v>
      </c>
      <c r="C3678" s="65">
        <v>2</v>
      </c>
      <c r="D3678" s="65" t="s">
        <v>207</v>
      </c>
      <c r="E3678" s="141">
        <f>43-40</f>
        <v>3</v>
      </c>
      <c r="F3678" s="65" t="s">
        <v>363</v>
      </c>
      <c r="G3678" s="65" t="s">
        <v>869</v>
      </c>
      <c r="L3678" t="s">
        <v>869</v>
      </c>
    </row>
    <row r="3679" spans="1:12" s="65" customFormat="1" x14ac:dyDescent="0.75">
      <c r="A3679" s="65" t="s">
        <v>69</v>
      </c>
      <c r="B3679" s="140">
        <v>44945</v>
      </c>
      <c r="C3679" s="65">
        <v>2</v>
      </c>
      <c r="D3679" s="65" t="s">
        <v>194</v>
      </c>
      <c r="E3679" s="141">
        <f>40-31</f>
        <v>9</v>
      </c>
      <c r="F3679" s="65" t="s">
        <v>363</v>
      </c>
      <c r="G3679" s="65" t="s">
        <v>869</v>
      </c>
      <c r="L3679" t="s">
        <v>869</v>
      </c>
    </row>
    <row r="3680" spans="1:12" s="65" customFormat="1" x14ac:dyDescent="0.75">
      <c r="A3680" s="65" t="s">
        <v>69</v>
      </c>
      <c r="B3680" s="140">
        <v>44945</v>
      </c>
      <c r="C3680" s="65">
        <v>2</v>
      </c>
      <c r="D3680" s="65" t="s">
        <v>194</v>
      </c>
      <c r="E3680" s="141">
        <f>31-26</f>
        <v>5</v>
      </c>
      <c r="F3680" s="65" t="s">
        <v>363</v>
      </c>
      <c r="G3680" s="65" t="s">
        <v>869</v>
      </c>
      <c r="L3680" t="s">
        <v>869</v>
      </c>
    </row>
    <row r="3681" spans="1:12" s="65" customFormat="1" x14ac:dyDescent="0.75">
      <c r="A3681" s="65" t="s">
        <v>69</v>
      </c>
      <c r="B3681" s="140">
        <v>44945</v>
      </c>
      <c r="C3681" s="65">
        <v>2</v>
      </c>
      <c r="D3681" s="65" t="s">
        <v>197</v>
      </c>
      <c r="E3681" s="141">
        <f>26-24</f>
        <v>2</v>
      </c>
      <c r="F3681" s="65" t="s">
        <v>363</v>
      </c>
      <c r="G3681" s="65" t="s">
        <v>869</v>
      </c>
      <c r="L3681" t="s">
        <v>869</v>
      </c>
    </row>
    <row r="3682" spans="1:12" s="65" customFormat="1" x14ac:dyDescent="0.75">
      <c r="A3682" s="65" t="s">
        <v>69</v>
      </c>
      <c r="B3682" s="140">
        <v>44945</v>
      </c>
      <c r="C3682" s="65">
        <v>2</v>
      </c>
      <c r="D3682" s="65" t="s">
        <v>207</v>
      </c>
      <c r="E3682" s="141">
        <f>24-22</f>
        <v>2</v>
      </c>
      <c r="F3682" s="65" t="s">
        <v>363</v>
      </c>
      <c r="G3682" s="65" t="s">
        <v>869</v>
      </c>
      <c r="L3682" t="s">
        <v>869</v>
      </c>
    </row>
    <row r="3683" spans="1:12" s="65" customFormat="1" x14ac:dyDescent="0.75">
      <c r="A3683" s="65" t="s">
        <v>69</v>
      </c>
      <c r="B3683" s="140">
        <v>44945</v>
      </c>
      <c r="C3683" s="65">
        <v>2</v>
      </c>
      <c r="D3683" s="65" t="s">
        <v>194</v>
      </c>
      <c r="E3683" s="141">
        <f>22-12</f>
        <v>10</v>
      </c>
      <c r="F3683" s="65" t="s">
        <v>363</v>
      </c>
      <c r="G3683" s="65" t="s">
        <v>869</v>
      </c>
      <c r="L3683" t="s">
        <v>869</v>
      </c>
    </row>
    <row r="3684" spans="1:12" s="65" customFormat="1" x14ac:dyDescent="0.75">
      <c r="A3684" s="65" t="s">
        <v>69</v>
      </c>
      <c r="B3684" s="140">
        <v>44945</v>
      </c>
      <c r="C3684" s="65">
        <v>2</v>
      </c>
      <c r="D3684" s="65" t="s">
        <v>194</v>
      </c>
      <c r="E3684" s="141">
        <f>12-0</f>
        <v>12</v>
      </c>
      <c r="F3684" s="65" t="s">
        <v>363</v>
      </c>
      <c r="G3684" s="65" t="s">
        <v>869</v>
      </c>
      <c r="L3684" t="s">
        <v>869</v>
      </c>
    </row>
    <row r="3685" spans="1:12" s="65" customFormat="1" x14ac:dyDescent="0.75">
      <c r="A3685" s="65" t="s">
        <v>69</v>
      </c>
      <c r="B3685" s="140">
        <v>44945</v>
      </c>
      <c r="C3685" s="65">
        <v>2</v>
      </c>
      <c r="D3685" s="65" t="s">
        <v>194</v>
      </c>
      <c r="E3685" s="141">
        <f>44-28</f>
        <v>16</v>
      </c>
      <c r="F3685" s="65" t="s">
        <v>363</v>
      </c>
      <c r="G3685" s="65" t="s">
        <v>869</v>
      </c>
      <c r="L3685" t="s">
        <v>869</v>
      </c>
    </row>
    <row r="3686" spans="1:12" s="65" customFormat="1" x14ac:dyDescent="0.75">
      <c r="A3686" s="65" t="s">
        <v>69</v>
      </c>
      <c r="B3686" s="140">
        <v>44945</v>
      </c>
      <c r="C3686" s="65">
        <v>2</v>
      </c>
      <c r="D3686" s="65" t="s">
        <v>194</v>
      </c>
      <c r="E3686" s="141">
        <f>28-25</f>
        <v>3</v>
      </c>
      <c r="F3686" s="65" t="s">
        <v>363</v>
      </c>
      <c r="G3686" s="65" t="s">
        <v>869</v>
      </c>
      <c r="L3686" t="s">
        <v>869</v>
      </c>
    </row>
    <row r="3687" spans="1:12" s="65" customFormat="1" x14ac:dyDescent="0.75">
      <c r="A3687" s="65" t="s">
        <v>69</v>
      </c>
      <c r="B3687" s="140">
        <v>44945</v>
      </c>
      <c r="C3687" s="65">
        <v>2</v>
      </c>
      <c r="D3687" s="65" t="s">
        <v>191</v>
      </c>
      <c r="E3687" s="141">
        <f>25-19</f>
        <v>6</v>
      </c>
      <c r="F3687" s="65" t="s">
        <v>363</v>
      </c>
      <c r="G3687" s="65" t="s">
        <v>869</v>
      </c>
      <c r="L3687" t="s">
        <v>869</v>
      </c>
    </row>
    <row r="3688" spans="1:12" s="65" customFormat="1" x14ac:dyDescent="0.75">
      <c r="A3688" s="65" t="s">
        <v>69</v>
      </c>
      <c r="B3688" s="140">
        <v>44945</v>
      </c>
      <c r="C3688" s="65">
        <v>2</v>
      </c>
      <c r="D3688" s="65" t="s">
        <v>191</v>
      </c>
      <c r="E3688" s="141">
        <f>19-17</f>
        <v>2</v>
      </c>
      <c r="F3688" s="65" t="s">
        <v>363</v>
      </c>
      <c r="G3688" s="65" t="s">
        <v>869</v>
      </c>
      <c r="L3688" t="s">
        <v>869</v>
      </c>
    </row>
    <row r="3689" spans="1:12" s="65" customFormat="1" x14ac:dyDescent="0.75">
      <c r="A3689" s="65" t="s">
        <v>69</v>
      </c>
      <c r="B3689" s="140">
        <v>44945</v>
      </c>
      <c r="C3689" s="65">
        <v>2</v>
      </c>
      <c r="D3689" s="65" t="s">
        <v>194</v>
      </c>
      <c r="E3689" s="141">
        <f>17-7</f>
        <v>10</v>
      </c>
      <c r="F3689" s="65" t="s">
        <v>363</v>
      </c>
      <c r="G3689" s="65" t="s">
        <v>869</v>
      </c>
      <c r="L3689" t="s">
        <v>869</v>
      </c>
    </row>
    <row r="3690" spans="1:12" s="65" customFormat="1" x14ac:dyDescent="0.75">
      <c r="A3690" s="65" t="s">
        <v>69</v>
      </c>
      <c r="B3690" s="140">
        <v>44945</v>
      </c>
      <c r="C3690" s="65">
        <v>2</v>
      </c>
      <c r="D3690" s="65" t="s">
        <v>164</v>
      </c>
      <c r="E3690" s="141">
        <f>52-32</f>
        <v>20</v>
      </c>
      <c r="F3690" s="65" t="s">
        <v>363</v>
      </c>
      <c r="G3690" s="65" t="s">
        <v>869</v>
      </c>
      <c r="L3690" t="s">
        <v>869</v>
      </c>
    </row>
    <row r="3691" spans="1:12" s="65" customFormat="1" x14ac:dyDescent="0.75">
      <c r="A3691" s="65" t="s">
        <v>69</v>
      </c>
      <c r="B3691" s="140">
        <v>44945</v>
      </c>
      <c r="C3691" s="65">
        <v>2</v>
      </c>
      <c r="D3691" s="65" t="s">
        <v>191</v>
      </c>
      <c r="E3691" s="141">
        <f>32-29</f>
        <v>3</v>
      </c>
      <c r="F3691" s="65" t="s">
        <v>363</v>
      </c>
      <c r="G3691" s="65" t="s">
        <v>869</v>
      </c>
      <c r="L3691" t="s">
        <v>869</v>
      </c>
    </row>
    <row r="3692" spans="1:12" s="65" customFormat="1" x14ac:dyDescent="0.75">
      <c r="A3692" s="65" t="s">
        <v>69</v>
      </c>
      <c r="B3692" s="140">
        <v>44945</v>
      </c>
      <c r="C3692" s="65">
        <v>2</v>
      </c>
      <c r="D3692" s="65" t="s">
        <v>194</v>
      </c>
      <c r="E3692" s="141">
        <f>29+74</f>
        <v>103</v>
      </c>
      <c r="F3692" s="65" t="s">
        <v>363</v>
      </c>
      <c r="G3692" s="65" t="s">
        <v>869</v>
      </c>
      <c r="L3692" t="s">
        <v>869</v>
      </c>
    </row>
    <row r="3693" spans="1:12" s="65" customFormat="1" x14ac:dyDescent="0.75">
      <c r="A3693" s="65" t="s">
        <v>69</v>
      </c>
      <c r="B3693" s="140">
        <v>44945</v>
      </c>
      <c r="C3693" s="65">
        <v>2</v>
      </c>
      <c r="D3693" s="65" t="s">
        <v>201</v>
      </c>
      <c r="E3693" s="141">
        <f>1-0</f>
        <v>1</v>
      </c>
      <c r="F3693" s="65" t="s">
        <v>363</v>
      </c>
      <c r="G3693" s="65" t="s">
        <v>869</v>
      </c>
      <c r="L3693" t="s">
        <v>869</v>
      </c>
    </row>
    <row r="3694" spans="1:12" x14ac:dyDescent="0.75">
      <c r="A3694" t="s">
        <v>69</v>
      </c>
      <c r="B3694" s="3">
        <v>44950</v>
      </c>
      <c r="C3694">
        <v>1</v>
      </c>
      <c r="D3694" t="s">
        <v>164</v>
      </c>
      <c r="E3694" s="22">
        <f>26-14</f>
        <v>12</v>
      </c>
      <c r="F3694" t="s">
        <v>363</v>
      </c>
      <c r="G3694" t="s">
        <v>733</v>
      </c>
      <c r="I3694" s="116"/>
      <c r="J3694" s="116"/>
      <c r="L3694" t="s">
        <v>869</v>
      </c>
    </row>
    <row r="3695" spans="1:12" x14ac:dyDescent="0.75">
      <c r="A3695" t="s">
        <v>69</v>
      </c>
      <c r="B3695" s="3">
        <v>44950</v>
      </c>
      <c r="C3695">
        <v>1</v>
      </c>
      <c r="D3695" t="s">
        <v>197</v>
      </c>
      <c r="E3695" s="22">
        <f>14-4</f>
        <v>10</v>
      </c>
      <c r="F3695" t="s">
        <v>363</v>
      </c>
      <c r="G3695" t="s">
        <v>733</v>
      </c>
      <c r="I3695" s="116"/>
      <c r="J3695" s="116"/>
      <c r="L3695" t="s">
        <v>869</v>
      </c>
    </row>
    <row r="3696" spans="1:12" x14ac:dyDescent="0.75">
      <c r="A3696" t="s">
        <v>69</v>
      </c>
      <c r="B3696" s="3">
        <v>44950</v>
      </c>
      <c r="C3696">
        <v>1</v>
      </c>
      <c r="D3696" t="s">
        <v>194</v>
      </c>
      <c r="E3696" s="22">
        <f>4+46</f>
        <v>50</v>
      </c>
      <c r="F3696" t="s">
        <v>363</v>
      </c>
      <c r="G3696" t="s">
        <v>733</v>
      </c>
      <c r="I3696" s="116"/>
      <c r="J3696" s="116"/>
      <c r="L3696" t="s">
        <v>869</v>
      </c>
    </row>
    <row r="3697" spans="1:12" x14ac:dyDescent="0.75">
      <c r="A3697" t="s">
        <v>69</v>
      </c>
      <c r="B3697" s="3">
        <v>44950</v>
      </c>
      <c r="C3697">
        <v>1</v>
      </c>
      <c r="D3697" t="s">
        <v>194</v>
      </c>
      <c r="E3697" s="22">
        <f>35-2</f>
        <v>33</v>
      </c>
      <c r="F3697" t="s">
        <v>363</v>
      </c>
      <c r="G3697" t="s">
        <v>733</v>
      </c>
      <c r="I3697" s="116"/>
      <c r="J3697" s="116"/>
      <c r="L3697" t="s">
        <v>869</v>
      </c>
    </row>
    <row r="3698" spans="1:12" x14ac:dyDescent="0.75">
      <c r="A3698" t="s">
        <v>69</v>
      </c>
      <c r="B3698" s="3">
        <v>44950</v>
      </c>
      <c r="C3698">
        <v>1</v>
      </c>
      <c r="D3698" t="s">
        <v>191</v>
      </c>
      <c r="E3698" s="22">
        <f>2+41-26</f>
        <v>17</v>
      </c>
      <c r="F3698" t="s">
        <v>363</v>
      </c>
      <c r="G3698" t="s">
        <v>733</v>
      </c>
      <c r="I3698" s="116"/>
      <c r="J3698" s="116"/>
      <c r="L3698" t="s">
        <v>869</v>
      </c>
    </row>
    <row r="3699" spans="1:12" x14ac:dyDescent="0.75">
      <c r="A3699" t="s">
        <v>69</v>
      </c>
      <c r="B3699" s="3">
        <v>44950</v>
      </c>
      <c r="C3699">
        <v>1</v>
      </c>
      <c r="D3699" t="s">
        <v>164</v>
      </c>
      <c r="E3699" s="22">
        <f>26+44-38</f>
        <v>32</v>
      </c>
      <c r="F3699" t="s">
        <v>363</v>
      </c>
      <c r="G3699" t="s">
        <v>733</v>
      </c>
      <c r="I3699" s="116"/>
      <c r="J3699" s="116"/>
      <c r="L3699" t="s">
        <v>869</v>
      </c>
    </row>
    <row r="3700" spans="1:12" x14ac:dyDescent="0.75">
      <c r="A3700" t="s">
        <v>69</v>
      </c>
      <c r="B3700" s="3">
        <v>44950</v>
      </c>
      <c r="C3700">
        <v>1</v>
      </c>
      <c r="D3700" t="s">
        <v>194</v>
      </c>
      <c r="E3700" s="22">
        <f>38-34</f>
        <v>4</v>
      </c>
      <c r="F3700" t="s">
        <v>363</v>
      </c>
      <c r="G3700" t="s">
        <v>733</v>
      </c>
      <c r="I3700" s="116"/>
      <c r="J3700" s="116"/>
      <c r="L3700" t="s">
        <v>869</v>
      </c>
    </row>
    <row r="3701" spans="1:12" x14ac:dyDescent="0.75">
      <c r="A3701" t="s">
        <v>69</v>
      </c>
      <c r="B3701" s="3">
        <v>44950</v>
      </c>
      <c r="C3701">
        <v>1</v>
      </c>
      <c r="D3701" t="s">
        <v>194</v>
      </c>
      <c r="E3701" s="22">
        <f>45-26</f>
        <v>19</v>
      </c>
      <c r="F3701" t="s">
        <v>363</v>
      </c>
      <c r="G3701" t="s">
        <v>367</v>
      </c>
      <c r="I3701" s="116"/>
      <c r="J3701" s="116"/>
      <c r="L3701" t="s">
        <v>869</v>
      </c>
    </row>
    <row r="3702" spans="1:12" x14ac:dyDescent="0.75">
      <c r="A3702" t="s">
        <v>69</v>
      </c>
      <c r="B3702" s="3">
        <v>44950</v>
      </c>
      <c r="C3702">
        <v>1</v>
      </c>
      <c r="D3702" t="s">
        <v>194</v>
      </c>
      <c r="E3702" s="22">
        <f>42-16</f>
        <v>26</v>
      </c>
      <c r="F3702" t="s">
        <v>363</v>
      </c>
      <c r="G3702" t="s">
        <v>367</v>
      </c>
      <c r="I3702" s="116"/>
      <c r="J3702" s="116"/>
      <c r="L3702" t="s">
        <v>869</v>
      </c>
    </row>
    <row r="3703" spans="1:12" x14ac:dyDescent="0.75">
      <c r="A3703" t="s">
        <v>69</v>
      </c>
      <c r="B3703" s="3">
        <v>44950</v>
      </c>
      <c r="C3703">
        <v>1</v>
      </c>
      <c r="D3703" t="s">
        <v>191</v>
      </c>
      <c r="E3703" s="22">
        <f>16+50-41</f>
        <v>25</v>
      </c>
      <c r="F3703" t="s">
        <v>363</v>
      </c>
      <c r="G3703" t="s">
        <v>367</v>
      </c>
      <c r="I3703" s="116"/>
      <c r="J3703" s="116"/>
      <c r="L3703" t="s">
        <v>869</v>
      </c>
    </row>
    <row r="3704" spans="1:12" x14ac:dyDescent="0.75">
      <c r="A3704" t="s">
        <v>69</v>
      </c>
      <c r="B3704" s="3">
        <v>44950</v>
      </c>
      <c r="C3704">
        <v>1</v>
      </c>
      <c r="D3704" t="s">
        <v>191</v>
      </c>
      <c r="E3704" s="22">
        <f>48-42</f>
        <v>6</v>
      </c>
      <c r="F3704" t="s">
        <v>363</v>
      </c>
      <c r="G3704" t="s">
        <v>367</v>
      </c>
      <c r="I3704" s="116"/>
      <c r="J3704" s="116"/>
      <c r="L3704" t="s">
        <v>869</v>
      </c>
    </row>
    <row r="3705" spans="1:12" x14ac:dyDescent="0.75">
      <c r="A3705" t="s">
        <v>69</v>
      </c>
      <c r="B3705" s="3">
        <v>44950</v>
      </c>
      <c r="C3705">
        <v>1</v>
      </c>
      <c r="D3705" t="s">
        <v>191</v>
      </c>
      <c r="E3705" s="22">
        <f>41-23</f>
        <v>18</v>
      </c>
      <c r="F3705" t="s">
        <v>363</v>
      </c>
      <c r="G3705" t="s">
        <v>367</v>
      </c>
      <c r="I3705" s="116"/>
      <c r="J3705" s="116"/>
      <c r="L3705" t="s">
        <v>869</v>
      </c>
    </row>
    <row r="3706" spans="1:12" x14ac:dyDescent="0.75">
      <c r="A3706" t="s">
        <v>69</v>
      </c>
      <c r="B3706" s="3">
        <v>44950</v>
      </c>
      <c r="C3706">
        <v>1</v>
      </c>
      <c r="D3706" t="s">
        <v>194</v>
      </c>
      <c r="E3706" s="22">
        <f>23-2</f>
        <v>21</v>
      </c>
      <c r="F3706" t="s">
        <v>363</v>
      </c>
      <c r="G3706" t="s">
        <v>367</v>
      </c>
      <c r="I3706" s="116"/>
      <c r="J3706" s="116"/>
      <c r="L3706" t="s">
        <v>869</v>
      </c>
    </row>
    <row r="3707" spans="1:12" x14ac:dyDescent="0.75">
      <c r="A3707" t="s">
        <v>69</v>
      </c>
      <c r="B3707" s="3">
        <v>44950</v>
      </c>
      <c r="C3707">
        <v>1</v>
      </c>
      <c r="D3707" t="s">
        <v>164</v>
      </c>
      <c r="E3707" s="22">
        <f>2+47-34</f>
        <v>15</v>
      </c>
      <c r="F3707" t="s">
        <v>363</v>
      </c>
      <c r="G3707" t="s">
        <v>367</v>
      </c>
      <c r="I3707" s="116"/>
      <c r="J3707" s="116"/>
      <c r="L3707" t="s">
        <v>869</v>
      </c>
    </row>
    <row r="3708" spans="1:12" x14ac:dyDescent="0.75">
      <c r="A3708" t="s">
        <v>69</v>
      </c>
      <c r="B3708" s="3">
        <v>44950</v>
      </c>
      <c r="C3708">
        <v>1</v>
      </c>
      <c r="D3708" t="s">
        <v>197</v>
      </c>
      <c r="E3708" s="22">
        <f>34-25</f>
        <v>9</v>
      </c>
      <c r="F3708" t="s">
        <v>363</v>
      </c>
      <c r="G3708" t="s">
        <v>367</v>
      </c>
      <c r="I3708" s="116"/>
      <c r="J3708" s="116"/>
      <c r="L3708" t="s">
        <v>869</v>
      </c>
    </row>
    <row r="3709" spans="1:12" x14ac:dyDescent="0.75">
      <c r="A3709" t="s">
        <v>69</v>
      </c>
      <c r="B3709" s="3">
        <v>44950</v>
      </c>
      <c r="C3709">
        <v>1</v>
      </c>
      <c r="D3709" t="s">
        <v>197</v>
      </c>
      <c r="E3709" s="22">
        <f>25-19</f>
        <v>6</v>
      </c>
      <c r="F3709" t="s">
        <v>363</v>
      </c>
      <c r="G3709" t="s">
        <v>367</v>
      </c>
      <c r="I3709" s="116"/>
      <c r="J3709" s="116"/>
      <c r="L3709" t="s">
        <v>869</v>
      </c>
    </row>
    <row r="3710" spans="1:12" x14ac:dyDescent="0.75">
      <c r="A3710" t="s">
        <v>69</v>
      </c>
      <c r="B3710" s="3">
        <v>44950</v>
      </c>
      <c r="C3710">
        <v>1</v>
      </c>
      <c r="D3710" t="s">
        <v>197</v>
      </c>
      <c r="E3710" s="22">
        <f>19-15</f>
        <v>4</v>
      </c>
      <c r="F3710" t="s">
        <v>363</v>
      </c>
      <c r="G3710" t="s">
        <v>367</v>
      </c>
      <c r="I3710" s="116"/>
      <c r="J3710" s="116"/>
      <c r="L3710" t="s">
        <v>869</v>
      </c>
    </row>
    <row r="3711" spans="1:12" x14ac:dyDescent="0.75">
      <c r="A3711" t="s">
        <v>69</v>
      </c>
      <c r="B3711" s="3">
        <v>44950</v>
      </c>
      <c r="C3711">
        <v>1</v>
      </c>
      <c r="D3711" t="s">
        <v>164</v>
      </c>
      <c r="E3711" s="22">
        <f>15-14</f>
        <v>1</v>
      </c>
      <c r="F3711" t="s">
        <v>363</v>
      </c>
      <c r="G3711" t="s">
        <v>367</v>
      </c>
      <c r="I3711" s="116"/>
      <c r="J3711" s="116"/>
      <c r="L3711" t="s">
        <v>869</v>
      </c>
    </row>
    <row r="3712" spans="1:12" x14ac:dyDescent="0.75">
      <c r="A3712" t="s">
        <v>69</v>
      </c>
      <c r="B3712" s="3">
        <v>44950</v>
      </c>
      <c r="C3712">
        <v>1</v>
      </c>
      <c r="D3712" t="s">
        <v>191</v>
      </c>
      <c r="E3712" s="22">
        <f>46-40</f>
        <v>6</v>
      </c>
      <c r="F3712" t="s">
        <v>363</v>
      </c>
      <c r="G3712" t="s">
        <v>361</v>
      </c>
      <c r="I3712" s="116"/>
      <c r="J3712" s="116"/>
      <c r="L3712" t="s">
        <v>869</v>
      </c>
    </row>
    <row r="3713" spans="1:12" x14ac:dyDescent="0.75">
      <c r="A3713" t="s">
        <v>69</v>
      </c>
      <c r="B3713" s="3">
        <v>44950</v>
      </c>
      <c r="C3713">
        <v>1</v>
      </c>
      <c r="D3713" t="s">
        <v>201</v>
      </c>
      <c r="E3713" s="22">
        <f>40-4</f>
        <v>36</v>
      </c>
      <c r="F3713" t="s">
        <v>363</v>
      </c>
      <c r="G3713" t="s">
        <v>361</v>
      </c>
      <c r="I3713" s="116"/>
      <c r="J3713" s="116"/>
      <c r="L3713" t="s">
        <v>869</v>
      </c>
    </row>
    <row r="3714" spans="1:12" x14ac:dyDescent="0.75">
      <c r="A3714" t="s">
        <v>69</v>
      </c>
      <c r="B3714" s="3">
        <v>44950</v>
      </c>
      <c r="C3714">
        <v>1</v>
      </c>
      <c r="D3714" t="s">
        <v>197</v>
      </c>
      <c r="E3714" s="22">
        <f>4+45-27</f>
        <v>22</v>
      </c>
      <c r="F3714" t="s">
        <v>363</v>
      </c>
      <c r="G3714" t="s">
        <v>361</v>
      </c>
      <c r="I3714" s="116"/>
      <c r="J3714" s="116"/>
      <c r="L3714" t="s">
        <v>869</v>
      </c>
    </row>
    <row r="3715" spans="1:12" x14ac:dyDescent="0.75">
      <c r="A3715" t="s">
        <v>69</v>
      </c>
      <c r="B3715" s="3">
        <v>44950</v>
      </c>
      <c r="C3715">
        <v>1</v>
      </c>
      <c r="D3715" t="s">
        <v>194</v>
      </c>
      <c r="E3715" s="22">
        <f>27-5</f>
        <v>22</v>
      </c>
      <c r="F3715" t="s">
        <v>363</v>
      </c>
      <c r="G3715" t="s">
        <v>361</v>
      </c>
      <c r="I3715" s="116"/>
      <c r="J3715" s="116"/>
      <c r="L3715" t="s">
        <v>869</v>
      </c>
    </row>
    <row r="3716" spans="1:12" x14ac:dyDescent="0.75">
      <c r="A3716" t="s">
        <v>69</v>
      </c>
      <c r="B3716" s="3">
        <v>44950</v>
      </c>
      <c r="C3716">
        <v>1</v>
      </c>
      <c r="D3716" t="s">
        <v>187</v>
      </c>
      <c r="E3716" s="22">
        <f>5+48-45</f>
        <v>8</v>
      </c>
      <c r="F3716" t="s">
        <v>363</v>
      </c>
      <c r="G3716" t="s">
        <v>361</v>
      </c>
      <c r="I3716" s="116"/>
      <c r="J3716" s="116"/>
      <c r="L3716" t="s">
        <v>869</v>
      </c>
    </row>
    <row r="3717" spans="1:12" x14ac:dyDescent="0.75">
      <c r="A3717" t="s">
        <v>69</v>
      </c>
      <c r="B3717" s="3">
        <v>44950</v>
      </c>
      <c r="C3717">
        <v>1</v>
      </c>
      <c r="D3717" t="s">
        <v>160</v>
      </c>
      <c r="E3717" s="22">
        <f>45-28</f>
        <v>17</v>
      </c>
      <c r="F3717" t="s">
        <v>363</v>
      </c>
      <c r="G3717" t="s">
        <v>361</v>
      </c>
      <c r="I3717" s="116"/>
      <c r="J3717" s="116"/>
      <c r="L3717" t="s">
        <v>869</v>
      </c>
    </row>
    <row r="3718" spans="1:12" x14ac:dyDescent="0.75">
      <c r="A3718" t="s">
        <v>69</v>
      </c>
      <c r="B3718" s="3">
        <v>44950</v>
      </c>
      <c r="C3718">
        <v>1</v>
      </c>
      <c r="D3718" t="s">
        <v>164</v>
      </c>
      <c r="E3718" s="22">
        <f>28+34-26</f>
        <v>36</v>
      </c>
      <c r="F3718" t="s">
        <v>363</v>
      </c>
      <c r="G3718" t="s">
        <v>361</v>
      </c>
      <c r="I3718" s="116"/>
      <c r="J3718" s="116"/>
      <c r="K3718" t="s">
        <v>891</v>
      </c>
      <c r="L3718" t="s">
        <v>869</v>
      </c>
    </row>
    <row r="3719" spans="1:12" s="65" customFormat="1" x14ac:dyDescent="0.75">
      <c r="A3719" s="65" t="s">
        <v>69</v>
      </c>
      <c r="B3719" s="140">
        <v>44950</v>
      </c>
      <c r="C3719" s="65">
        <v>2</v>
      </c>
      <c r="D3719" s="65" t="s">
        <v>168</v>
      </c>
      <c r="E3719" s="141">
        <f>53-37</f>
        <v>16</v>
      </c>
      <c r="F3719" s="65" t="s">
        <v>363</v>
      </c>
      <c r="G3719" s="65" t="s">
        <v>733</v>
      </c>
      <c r="L3719" t="s">
        <v>869</v>
      </c>
    </row>
    <row r="3720" spans="1:12" s="65" customFormat="1" x14ac:dyDescent="0.75">
      <c r="A3720" s="65" t="s">
        <v>69</v>
      </c>
      <c r="B3720" s="140">
        <v>44950</v>
      </c>
      <c r="C3720" s="65">
        <v>2</v>
      </c>
      <c r="D3720" s="65" t="s">
        <v>191</v>
      </c>
      <c r="E3720" s="141">
        <f>37-27</f>
        <v>10</v>
      </c>
      <c r="F3720" s="65" t="s">
        <v>363</v>
      </c>
      <c r="G3720" s="65" t="s">
        <v>733</v>
      </c>
      <c r="L3720" t="s">
        <v>869</v>
      </c>
    </row>
    <row r="3721" spans="1:12" s="65" customFormat="1" x14ac:dyDescent="0.75">
      <c r="A3721" s="65" t="s">
        <v>69</v>
      </c>
      <c r="B3721" s="140">
        <v>44950</v>
      </c>
      <c r="C3721" s="65">
        <v>2</v>
      </c>
      <c r="D3721" s="65" t="s">
        <v>168</v>
      </c>
      <c r="E3721" s="141">
        <f>27-22</f>
        <v>5</v>
      </c>
      <c r="F3721" s="65" t="s">
        <v>363</v>
      </c>
      <c r="G3721" s="65" t="s">
        <v>733</v>
      </c>
      <c r="L3721" t="s">
        <v>869</v>
      </c>
    </row>
    <row r="3722" spans="1:12" s="65" customFormat="1" x14ac:dyDescent="0.75">
      <c r="A3722" s="65" t="s">
        <v>69</v>
      </c>
      <c r="B3722" s="140">
        <v>44950</v>
      </c>
      <c r="C3722" s="65">
        <v>2</v>
      </c>
      <c r="D3722" s="65" t="s">
        <v>168</v>
      </c>
      <c r="E3722" s="141">
        <f>22-13</f>
        <v>9</v>
      </c>
      <c r="F3722" s="65" t="s">
        <v>363</v>
      </c>
      <c r="G3722" s="65" t="s">
        <v>733</v>
      </c>
      <c r="L3722" t="s">
        <v>869</v>
      </c>
    </row>
    <row r="3723" spans="1:12" s="65" customFormat="1" x14ac:dyDescent="0.75">
      <c r="A3723" s="65" t="s">
        <v>69</v>
      </c>
      <c r="B3723" s="140">
        <v>44950</v>
      </c>
      <c r="C3723" s="65">
        <v>2</v>
      </c>
      <c r="D3723" s="65" t="s">
        <v>168</v>
      </c>
      <c r="E3723" s="141">
        <f>13-9</f>
        <v>4</v>
      </c>
      <c r="F3723" s="65" t="s">
        <v>363</v>
      </c>
      <c r="G3723" s="65" t="s">
        <v>733</v>
      </c>
      <c r="L3723" t="s">
        <v>869</v>
      </c>
    </row>
    <row r="3724" spans="1:12" s="65" customFormat="1" x14ac:dyDescent="0.75">
      <c r="A3724" s="65" t="s">
        <v>69</v>
      </c>
      <c r="B3724" s="140">
        <v>44950</v>
      </c>
      <c r="C3724" s="65">
        <v>2</v>
      </c>
      <c r="D3724" s="65" t="s">
        <v>191</v>
      </c>
      <c r="E3724" s="141">
        <f>9+35-20</f>
        <v>24</v>
      </c>
      <c r="F3724" s="65" t="s">
        <v>363</v>
      </c>
      <c r="G3724" s="65" t="s">
        <v>733</v>
      </c>
      <c r="L3724" t="s">
        <v>869</v>
      </c>
    </row>
    <row r="3725" spans="1:12" s="65" customFormat="1" x14ac:dyDescent="0.75">
      <c r="A3725" s="65" t="s">
        <v>69</v>
      </c>
      <c r="B3725" s="140">
        <v>44950</v>
      </c>
      <c r="C3725" s="65">
        <v>2</v>
      </c>
      <c r="D3725" s="65" t="s">
        <v>197</v>
      </c>
      <c r="E3725" s="141">
        <f>20-10</f>
        <v>10</v>
      </c>
      <c r="F3725" s="65" t="s">
        <v>363</v>
      </c>
      <c r="G3725" s="65" t="s">
        <v>733</v>
      </c>
      <c r="L3725" t="s">
        <v>869</v>
      </c>
    </row>
    <row r="3726" spans="1:12" s="65" customFormat="1" x14ac:dyDescent="0.75">
      <c r="A3726" s="65" t="s">
        <v>69</v>
      </c>
      <c r="B3726" s="140">
        <v>44950</v>
      </c>
      <c r="C3726" s="65">
        <v>2</v>
      </c>
      <c r="D3726" s="65" t="s">
        <v>207</v>
      </c>
      <c r="E3726" s="141">
        <f>1</f>
        <v>1</v>
      </c>
      <c r="F3726" s="65" t="s">
        <v>363</v>
      </c>
      <c r="G3726" s="65" t="s">
        <v>733</v>
      </c>
      <c r="L3726" t="s">
        <v>869</v>
      </c>
    </row>
    <row r="3727" spans="1:12" s="65" customFormat="1" x14ac:dyDescent="0.75">
      <c r="A3727" s="65" t="s">
        <v>69</v>
      </c>
      <c r="B3727" s="140">
        <v>44950</v>
      </c>
      <c r="C3727" s="65">
        <v>2</v>
      </c>
      <c r="D3727" s="65" t="s">
        <v>168</v>
      </c>
      <c r="E3727" s="141">
        <f>10-8</f>
        <v>2</v>
      </c>
      <c r="F3727" s="65" t="s">
        <v>363</v>
      </c>
      <c r="G3727" s="65" t="s">
        <v>733</v>
      </c>
      <c r="L3727" t="s">
        <v>869</v>
      </c>
    </row>
    <row r="3728" spans="1:12" s="65" customFormat="1" x14ac:dyDescent="0.75">
      <c r="A3728" s="65" t="s">
        <v>69</v>
      </c>
      <c r="B3728" s="140">
        <v>44950</v>
      </c>
      <c r="C3728" s="65">
        <v>2</v>
      </c>
      <c r="D3728" s="65" t="s">
        <v>191</v>
      </c>
      <c r="E3728" s="141">
        <f>8-4</f>
        <v>4</v>
      </c>
      <c r="F3728" s="65" t="s">
        <v>363</v>
      </c>
      <c r="G3728" s="65" t="s">
        <v>733</v>
      </c>
      <c r="L3728" t="s">
        <v>869</v>
      </c>
    </row>
    <row r="3729" spans="1:12" s="65" customFormat="1" x14ac:dyDescent="0.75">
      <c r="A3729" s="65" t="s">
        <v>69</v>
      </c>
      <c r="B3729" s="140">
        <v>44950</v>
      </c>
      <c r="C3729" s="65">
        <v>2</v>
      </c>
      <c r="D3729" s="65" t="s">
        <v>201</v>
      </c>
      <c r="E3729" s="141">
        <f>4+51-13</f>
        <v>42</v>
      </c>
      <c r="F3729" s="65" t="s">
        <v>363</v>
      </c>
      <c r="G3729" s="65" t="s">
        <v>733</v>
      </c>
      <c r="L3729" t="s">
        <v>869</v>
      </c>
    </row>
    <row r="3730" spans="1:12" s="65" customFormat="1" x14ac:dyDescent="0.75">
      <c r="A3730" s="65" t="s">
        <v>69</v>
      </c>
      <c r="B3730" s="140">
        <v>44950</v>
      </c>
      <c r="C3730" s="65">
        <v>2</v>
      </c>
      <c r="D3730" s="65" t="s">
        <v>201</v>
      </c>
      <c r="E3730" s="141">
        <f>13-10</f>
        <v>3</v>
      </c>
      <c r="F3730" s="65" t="s">
        <v>363</v>
      </c>
      <c r="G3730" s="65" t="s">
        <v>733</v>
      </c>
      <c r="L3730" t="s">
        <v>869</v>
      </c>
    </row>
    <row r="3731" spans="1:12" s="65" customFormat="1" x14ac:dyDescent="0.75">
      <c r="A3731" s="65" t="s">
        <v>69</v>
      </c>
      <c r="B3731" s="140">
        <v>44950</v>
      </c>
      <c r="C3731" s="65">
        <v>2</v>
      </c>
      <c r="D3731" s="65" t="s">
        <v>191</v>
      </c>
      <c r="E3731" s="141">
        <f>10-9</f>
        <v>1</v>
      </c>
      <c r="F3731" s="65">
        <v>3993</v>
      </c>
      <c r="G3731" s="65" t="s">
        <v>733</v>
      </c>
      <c r="L3731" t="s">
        <v>869</v>
      </c>
    </row>
    <row r="3732" spans="1:12" s="65" customFormat="1" x14ac:dyDescent="0.75">
      <c r="A3732" s="65" t="s">
        <v>69</v>
      </c>
      <c r="B3732" s="140">
        <v>44950</v>
      </c>
      <c r="C3732" s="65">
        <v>2</v>
      </c>
      <c r="D3732" s="65" t="s">
        <v>168</v>
      </c>
      <c r="E3732" s="141">
        <f>55-52</f>
        <v>3</v>
      </c>
      <c r="F3732" s="65" t="s">
        <v>363</v>
      </c>
      <c r="G3732" s="65" t="s">
        <v>361</v>
      </c>
      <c r="L3732" t="s">
        <v>869</v>
      </c>
    </row>
    <row r="3733" spans="1:12" s="65" customFormat="1" x14ac:dyDescent="0.75">
      <c r="A3733" s="65" t="s">
        <v>69</v>
      </c>
      <c r="B3733" s="140">
        <v>44950</v>
      </c>
      <c r="C3733" s="65">
        <v>2</v>
      </c>
      <c r="D3733" s="65" t="s">
        <v>191</v>
      </c>
      <c r="E3733" s="141">
        <f>52-38</f>
        <v>14</v>
      </c>
      <c r="F3733" s="65" t="s">
        <v>363</v>
      </c>
      <c r="G3733" s="65" t="s">
        <v>361</v>
      </c>
      <c r="L3733" t="s">
        <v>869</v>
      </c>
    </row>
    <row r="3734" spans="1:12" s="65" customFormat="1" x14ac:dyDescent="0.75">
      <c r="A3734" s="65" t="s">
        <v>69</v>
      </c>
      <c r="B3734" s="140">
        <v>44950</v>
      </c>
      <c r="C3734" s="65">
        <v>2</v>
      </c>
      <c r="D3734" s="65" t="s">
        <v>201</v>
      </c>
      <c r="E3734" s="141">
        <f>38-28</f>
        <v>10</v>
      </c>
      <c r="F3734" s="65" t="s">
        <v>363</v>
      </c>
      <c r="G3734" s="65" t="s">
        <v>361</v>
      </c>
      <c r="L3734" t="s">
        <v>869</v>
      </c>
    </row>
    <row r="3735" spans="1:12" s="65" customFormat="1" x14ac:dyDescent="0.75">
      <c r="A3735" s="65" t="s">
        <v>69</v>
      </c>
      <c r="B3735" s="140">
        <v>44950</v>
      </c>
      <c r="C3735" s="65">
        <v>2</v>
      </c>
      <c r="D3735" s="65" t="s">
        <v>168</v>
      </c>
      <c r="E3735" s="141">
        <f>28-25</f>
        <v>3</v>
      </c>
      <c r="F3735" s="65" t="s">
        <v>363</v>
      </c>
      <c r="G3735" s="65" t="s">
        <v>361</v>
      </c>
      <c r="L3735" t="s">
        <v>869</v>
      </c>
    </row>
    <row r="3736" spans="1:12" s="65" customFormat="1" x14ac:dyDescent="0.75">
      <c r="A3736" s="65" t="s">
        <v>69</v>
      </c>
      <c r="B3736" s="140">
        <v>44950</v>
      </c>
      <c r="C3736" s="65">
        <v>2</v>
      </c>
      <c r="D3736" s="65" t="s">
        <v>201</v>
      </c>
      <c r="E3736" s="141">
        <f>25-22</f>
        <v>3</v>
      </c>
      <c r="F3736" s="65" t="s">
        <v>363</v>
      </c>
      <c r="G3736" s="65" t="s">
        <v>361</v>
      </c>
      <c r="L3736" t="s">
        <v>869</v>
      </c>
    </row>
    <row r="3737" spans="1:12" s="65" customFormat="1" x14ac:dyDescent="0.75">
      <c r="A3737" s="65" t="s">
        <v>69</v>
      </c>
      <c r="B3737" s="140">
        <v>44950</v>
      </c>
      <c r="C3737" s="65">
        <v>2</v>
      </c>
      <c r="D3737" s="65" t="s">
        <v>197</v>
      </c>
      <c r="E3737" s="141">
        <f>53-34</f>
        <v>19</v>
      </c>
      <c r="F3737" s="65" t="s">
        <v>363</v>
      </c>
      <c r="G3737" s="65" t="s">
        <v>367</v>
      </c>
      <c r="L3737" t="s">
        <v>869</v>
      </c>
    </row>
    <row r="3738" spans="1:12" s="65" customFormat="1" x14ac:dyDescent="0.75">
      <c r="A3738" s="65" t="s">
        <v>69</v>
      </c>
      <c r="B3738" s="140">
        <v>44950</v>
      </c>
      <c r="C3738" s="65">
        <v>2</v>
      </c>
      <c r="D3738" s="65" t="s">
        <v>207</v>
      </c>
      <c r="E3738" s="141">
        <f>52-48</f>
        <v>4</v>
      </c>
      <c r="F3738" s="65" t="s">
        <v>363</v>
      </c>
      <c r="G3738" s="65" t="s">
        <v>367</v>
      </c>
      <c r="L3738" t="s">
        <v>869</v>
      </c>
    </row>
    <row r="3739" spans="1:12" s="65" customFormat="1" x14ac:dyDescent="0.75">
      <c r="A3739" s="65" t="s">
        <v>69</v>
      </c>
      <c r="B3739" s="140">
        <v>44950</v>
      </c>
      <c r="C3739" s="65">
        <v>2</v>
      </c>
      <c r="D3739" s="65" t="s">
        <v>168</v>
      </c>
      <c r="E3739" s="141">
        <f>48-37</f>
        <v>11</v>
      </c>
      <c r="F3739" s="65" t="s">
        <v>363</v>
      </c>
      <c r="G3739" s="65" t="s">
        <v>367</v>
      </c>
      <c r="L3739" t="s">
        <v>869</v>
      </c>
    </row>
    <row r="3740" spans="1:12" s="65" customFormat="1" x14ac:dyDescent="0.75">
      <c r="A3740" s="65" t="s">
        <v>69</v>
      </c>
      <c r="B3740" s="140">
        <v>44950</v>
      </c>
      <c r="C3740" s="65">
        <v>2</v>
      </c>
      <c r="D3740" s="65" t="s">
        <v>207</v>
      </c>
      <c r="E3740" s="141">
        <f>35-30</f>
        <v>5</v>
      </c>
      <c r="F3740" s="65" t="s">
        <v>363</v>
      </c>
      <c r="G3740" s="65" t="s">
        <v>367</v>
      </c>
      <c r="L3740" t="s">
        <v>869</v>
      </c>
    </row>
    <row r="3741" spans="1:12" s="65" customFormat="1" x14ac:dyDescent="0.75">
      <c r="A3741" s="65" t="s">
        <v>69</v>
      </c>
      <c r="B3741" s="140">
        <v>44950</v>
      </c>
      <c r="C3741" s="65">
        <v>2</v>
      </c>
      <c r="D3741" s="65" t="s">
        <v>207</v>
      </c>
      <c r="E3741" s="141">
        <f>37-35</f>
        <v>2</v>
      </c>
      <c r="F3741" s="65" t="s">
        <v>363</v>
      </c>
      <c r="G3741" s="65" t="s">
        <v>367</v>
      </c>
      <c r="L3741" t="s">
        <v>869</v>
      </c>
    </row>
    <row r="3742" spans="1:12" s="65" customFormat="1" x14ac:dyDescent="0.75">
      <c r="A3742" s="65" t="s">
        <v>69</v>
      </c>
      <c r="B3742" s="140">
        <v>44950</v>
      </c>
      <c r="C3742" s="65">
        <v>2</v>
      </c>
      <c r="D3742" s="65" t="s">
        <v>207</v>
      </c>
      <c r="E3742" s="141">
        <f>30-28</f>
        <v>2</v>
      </c>
      <c r="F3742" s="65" t="s">
        <v>363</v>
      </c>
      <c r="G3742" s="65" t="s">
        <v>367</v>
      </c>
      <c r="L3742" t="s">
        <v>869</v>
      </c>
    </row>
    <row r="3743" spans="1:12" s="65" customFormat="1" x14ac:dyDescent="0.75">
      <c r="A3743" s="65" t="s">
        <v>69</v>
      </c>
      <c r="B3743" s="140">
        <v>44950</v>
      </c>
      <c r="C3743" s="65">
        <v>2</v>
      </c>
      <c r="D3743" s="65" t="s">
        <v>168</v>
      </c>
      <c r="E3743" s="141">
        <f>28-19</f>
        <v>9</v>
      </c>
      <c r="F3743" s="65" t="s">
        <v>363</v>
      </c>
      <c r="G3743" s="65" t="s">
        <v>367</v>
      </c>
      <c r="L3743" t="s">
        <v>869</v>
      </c>
    </row>
    <row r="3744" spans="1:12" s="65" customFormat="1" x14ac:dyDescent="0.75">
      <c r="A3744" s="65" t="s">
        <v>69</v>
      </c>
      <c r="B3744" s="140">
        <v>44950</v>
      </c>
      <c r="C3744" s="65">
        <v>2</v>
      </c>
      <c r="D3744" s="65" t="s">
        <v>207</v>
      </c>
      <c r="E3744" s="141">
        <f>19-10</f>
        <v>9</v>
      </c>
      <c r="F3744" s="65" t="s">
        <v>363</v>
      </c>
      <c r="G3744" s="65" t="s">
        <v>367</v>
      </c>
      <c r="L3744" t="s">
        <v>869</v>
      </c>
    </row>
    <row r="3745" spans="1:12" s="65" customFormat="1" x14ac:dyDescent="0.75">
      <c r="A3745" s="65" t="s">
        <v>69</v>
      </c>
      <c r="B3745" s="140">
        <v>44950</v>
      </c>
      <c r="C3745" s="65">
        <v>2</v>
      </c>
      <c r="D3745" s="65" t="s">
        <v>201</v>
      </c>
      <c r="E3745" s="141">
        <f>10-7</f>
        <v>3</v>
      </c>
      <c r="F3745" s="65" t="s">
        <v>363</v>
      </c>
      <c r="G3745" s="65" t="s">
        <v>367</v>
      </c>
      <c r="L3745" t="s">
        <v>869</v>
      </c>
    </row>
    <row r="3746" spans="1:12" s="65" customFormat="1" x14ac:dyDescent="0.75">
      <c r="A3746" s="65" t="s">
        <v>69</v>
      </c>
      <c r="B3746" s="140">
        <v>44950</v>
      </c>
      <c r="C3746" s="65">
        <v>2</v>
      </c>
      <c r="D3746" s="65" t="s">
        <v>207</v>
      </c>
      <c r="E3746" s="141">
        <f>7-2</f>
        <v>5</v>
      </c>
      <c r="F3746" s="65" t="s">
        <v>363</v>
      </c>
      <c r="G3746" s="65" t="s">
        <v>367</v>
      </c>
      <c r="L3746" t="s">
        <v>869</v>
      </c>
    </row>
    <row r="3747" spans="1:12" x14ac:dyDescent="0.75">
      <c r="A3747" t="s">
        <v>69</v>
      </c>
      <c r="B3747" s="3">
        <v>44950</v>
      </c>
      <c r="C3747">
        <v>3</v>
      </c>
      <c r="D3747" t="s">
        <v>207</v>
      </c>
      <c r="E3747" s="22">
        <f>9-6</f>
        <v>3</v>
      </c>
      <c r="F3747" t="s">
        <v>363</v>
      </c>
      <c r="G3747" t="s">
        <v>733</v>
      </c>
      <c r="I3747" s="116"/>
      <c r="J3747" s="116"/>
      <c r="L3747" t="s">
        <v>869</v>
      </c>
    </row>
    <row r="3748" spans="1:12" x14ac:dyDescent="0.75">
      <c r="A3748" t="s">
        <v>69</v>
      </c>
      <c r="B3748" s="3">
        <v>44950</v>
      </c>
      <c r="C3748">
        <v>3</v>
      </c>
      <c r="D3748" t="s">
        <v>168</v>
      </c>
      <c r="E3748" s="22">
        <f>50-41</f>
        <v>9</v>
      </c>
      <c r="F3748" t="s">
        <v>363</v>
      </c>
      <c r="G3748" t="s">
        <v>367</v>
      </c>
      <c r="I3748" s="116"/>
      <c r="J3748" s="116"/>
      <c r="L3748" t="s">
        <v>869</v>
      </c>
    </row>
    <row r="3749" spans="1:12" s="65" customFormat="1" x14ac:dyDescent="0.75">
      <c r="A3749" s="65" t="s">
        <v>96</v>
      </c>
      <c r="B3749" s="140">
        <v>44951</v>
      </c>
      <c r="C3749" s="65">
        <v>1</v>
      </c>
      <c r="D3749" s="65" t="s">
        <v>207</v>
      </c>
      <c r="E3749" s="141">
        <f>6+22-16</f>
        <v>12</v>
      </c>
      <c r="F3749" s="65" t="s">
        <v>363</v>
      </c>
      <c r="G3749" s="65" t="s">
        <v>733</v>
      </c>
      <c r="L3749" t="s">
        <v>869</v>
      </c>
    </row>
    <row r="3750" spans="1:12" s="65" customFormat="1" x14ac:dyDescent="0.75">
      <c r="A3750" s="65" t="s">
        <v>96</v>
      </c>
      <c r="B3750" s="140">
        <v>44951</v>
      </c>
      <c r="C3750" s="65">
        <v>1</v>
      </c>
      <c r="D3750" s="65" t="s">
        <v>191</v>
      </c>
      <c r="E3750" s="141">
        <f>14-8</f>
        <v>6</v>
      </c>
      <c r="F3750" s="65" t="s">
        <v>363</v>
      </c>
      <c r="G3750" s="65" t="s">
        <v>733</v>
      </c>
      <c r="L3750" t="s">
        <v>869</v>
      </c>
    </row>
    <row r="3751" spans="1:12" s="65" customFormat="1" x14ac:dyDescent="0.75">
      <c r="A3751" s="65" t="s">
        <v>96</v>
      </c>
      <c r="B3751" s="140">
        <v>44951</v>
      </c>
      <c r="C3751" s="65">
        <v>1</v>
      </c>
      <c r="D3751" s="65" t="s">
        <v>194</v>
      </c>
      <c r="E3751" s="141">
        <f>8-5</f>
        <v>3</v>
      </c>
      <c r="F3751" s="65" t="s">
        <v>363</v>
      </c>
      <c r="G3751" s="65" t="s">
        <v>733</v>
      </c>
      <c r="L3751" t="s">
        <v>869</v>
      </c>
    </row>
    <row r="3752" spans="1:12" s="65" customFormat="1" x14ac:dyDescent="0.75">
      <c r="A3752" s="65" t="s">
        <v>96</v>
      </c>
      <c r="B3752" s="140">
        <v>44951</v>
      </c>
      <c r="C3752" s="65">
        <v>1</v>
      </c>
      <c r="D3752" s="65" t="s">
        <v>153</v>
      </c>
      <c r="E3752" s="141">
        <f>17-14</f>
        <v>3</v>
      </c>
      <c r="F3752" s="65" t="s">
        <v>363</v>
      </c>
      <c r="G3752" s="65" t="s">
        <v>733</v>
      </c>
      <c r="L3752" t="s">
        <v>869</v>
      </c>
    </row>
    <row r="3753" spans="1:12" s="65" customFormat="1" x14ac:dyDescent="0.75">
      <c r="A3753" s="65" t="s">
        <v>96</v>
      </c>
      <c r="B3753" s="140">
        <v>44951</v>
      </c>
      <c r="C3753" s="65">
        <v>1</v>
      </c>
      <c r="D3753" s="65" t="s">
        <v>191</v>
      </c>
      <c r="E3753" s="141">
        <f>5+34-15</f>
        <v>24</v>
      </c>
      <c r="F3753" s="65" t="s">
        <v>363</v>
      </c>
      <c r="G3753" s="65" t="s">
        <v>733</v>
      </c>
      <c r="L3753" t="s">
        <v>869</v>
      </c>
    </row>
    <row r="3754" spans="1:12" s="65" customFormat="1" x14ac:dyDescent="0.75">
      <c r="A3754" s="65" t="s">
        <v>96</v>
      </c>
      <c r="B3754" s="140">
        <v>44951</v>
      </c>
      <c r="C3754" s="65">
        <v>1</v>
      </c>
      <c r="D3754" s="65" t="s">
        <v>197</v>
      </c>
      <c r="E3754" s="141">
        <f>52-27</f>
        <v>25</v>
      </c>
      <c r="F3754" s="65" t="s">
        <v>363</v>
      </c>
      <c r="G3754" s="65" t="s">
        <v>361</v>
      </c>
      <c r="L3754" t="s">
        <v>869</v>
      </c>
    </row>
    <row r="3755" spans="1:12" s="65" customFormat="1" x14ac:dyDescent="0.75">
      <c r="A3755" s="65" t="s">
        <v>96</v>
      </c>
      <c r="B3755" s="140">
        <v>44951</v>
      </c>
      <c r="C3755" s="65">
        <v>1</v>
      </c>
      <c r="D3755" s="65" t="s">
        <v>197</v>
      </c>
      <c r="E3755" s="141">
        <f>27-21</f>
        <v>6</v>
      </c>
      <c r="F3755" s="65" t="s">
        <v>363</v>
      </c>
      <c r="G3755" s="65" t="s">
        <v>361</v>
      </c>
      <c r="L3755" t="s">
        <v>869</v>
      </c>
    </row>
    <row r="3756" spans="1:12" s="65" customFormat="1" x14ac:dyDescent="0.75">
      <c r="A3756" s="65" t="s">
        <v>96</v>
      </c>
      <c r="B3756" s="140">
        <v>44951</v>
      </c>
      <c r="C3756" s="65">
        <v>1</v>
      </c>
      <c r="D3756" s="65" t="s">
        <v>197</v>
      </c>
      <c r="E3756" s="141">
        <f>21-8</f>
        <v>13</v>
      </c>
      <c r="F3756" s="65" t="s">
        <v>363</v>
      </c>
      <c r="G3756" s="65" t="s">
        <v>361</v>
      </c>
      <c r="L3756" t="s">
        <v>869</v>
      </c>
    </row>
    <row r="3757" spans="1:12" s="65" customFormat="1" x14ac:dyDescent="0.75">
      <c r="A3757" s="65" t="s">
        <v>96</v>
      </c>
      <c r="B3757" s="140">
        <v>44951</v>
      </c>
      <c r="C3757" s="65">
        <v>1</v>
      </c>
      <c r="D3757" s="65" t="s">
        <v>197</v>
      </c>
      <c r="E3757" s="141">
        <f>44-36</f>
        <v>8</v>
      </c>
      <c r="F3757" s="65" t="s">
        <v>363</v>
      </c>
      <c r="G3757" s="65" t="s">
        <v>367</v>
      </c>
      <c r="L3757" t="s">
        <v>869</v>
      </c>
    </row>
    <row r="3758" spans="1:12" s="65" customFormat="1" x14ac:dyDescent="0.75">
      <c r="A3758" s="65" t="s">
        <v>96</v>
      </c>
      <c r="B3758" s="140">
        <v>44951</v>
      </c>
      <c r="C3758" s="65">
        <v>1</v>
      </c>
      <c r="D3758" s="65" t="s">
        <v>194</v>
      </c>
      <c r="E3758" s="141">
        <f>36-11</f>
        <v>25</v>
      </c>
      <c r="F3758" s="65" t="s">
        <v>363</v>
      </c>
      <c r="G3758" s="65" t="s">
        <v>367</v>
      </c>
      <c r="L3758" t="s">
        <v>869</v>
      </c>
    </row>
    <row r="3759" spans="1:12" s="65" customFormat="1" x14ac:dyDescent="0.75">
      <c r="A3759" s="65" t="s">
        <v>96</v>
      </c>
      <c r="B3759" s="140">
        <v>44951</v>
      </c>
      <c r="C3759" s="65">
        <v>1</v>
      </c>
      <c r="D3759" s="65" t="s">
        <v>194</v>
      </c>
      <c r="E3759" s="141">
        <f>11-5</f>
        <v>6</v>
      </c>
      <c r="F3759" s="65" t="s">
        <v>363</v>
      </c>
      <c r="G3759" s="65" t="s">
        <v>367</v>
      </c>
      <c r="L3759" t="s">
        <v>869</v>
      </c>
    </row>
    <row r="3760" spans="1:12" s="65" customFormat="1" x14ac:dyDescent="0.75">
      <c r="A3760" s="65" t="s">
        <v>96</v>
      </c>
      <c r="B3760" s="140">
        <v>44951</v>
      </c>
      <c r="C3760" s="65">
        <v>1</v>
      </c>
      <c r="D3760" s="65" t="s">
        <v>194</v>
      </c>
      <c r="E3760" s="141">
        <f>5+42-34</f>
        <v>13</v>
      </c>
      <c r="F3760" s="65" t="s">
        <v>363</v>
      </c>
      <c r="G3760" s="65" t="s">
        <v>367</v>
      </c>
      <c r="L3760" t="s">
        <v>869</v>
      </c>
    </row>
    <row r="3761" spans="1:12" s="65" customFormat="1" x14ac:dyDescent="0.75">
      <c r="A3761" s="65" t="s">
        <v>96</v>
      </c>
      <c r="B3761" s="140">
        <v>44951</v>
      </c>
      <c r="C3761" s="65">
        <v>1</v>
      </c>
      <c r="D3761" s="65" t="s">
        <v>194</v>
      </c>
      <c r="E3761" s="141">
        <f>34-28</f>
        <v>6</v>
      </c>
      <c r="F3761" s="65" t="s">
        <v>363</v>
      </c>
      <c r="G3761" s="65" t="s">
        <v>367</v>
      </c>
      <c r="L3761" t="s">
        <v>869</v>
      </c>
    </row>
    <row r="3762" spans="1:12" s="65" customFormat="1" x14ac:dyDescent="0.75">
      <c r="A3762" s="65" t="s">
        <v>96</v>
      </c>
      <c r="B3762" s="140">
        <v>44951</v>
      </c>
      <c r="C3762" s="65">
        <v>1</v>
      </c>
      <c r="D3762" s="65" t="s">
        <v>194</v>
      </c>
      <c r="E3762" s="141">
        <f>28-23</f>
        <v>5</v>
      </c>
      <c r="F3762" s="65" t="s">
        <v>363</v>
      </c>
      <c r="G3762" s="65" t="s">
        <v>367</v>
      </c>
      <c r="L3762" t="s">
        <v>869</v>
      </c>
    </row>
    <row r="3763" spans="1:12" s="65" customFormat="1" x14ac:dyDescent="0.75">
      <c r="A3763" s="65" t="s">
        <v>96</v>
      </c>
      <c r="B3763" s="140">
        <v>44951</v>
      </c>
      <c r="C3763" s="65">
        <v>1</v>
      </c>
      <c r="D3763" s="65" t="s">
        <v>194</v>
      </c>
      <c r="E3763" s="141">
        <f>23-16</f>
        <v>7</v>
      </c>
      <c r="F3763" s="65" t="s">
        <v>363</v>
      </c>
      <c r="G3763" s="65" t="s">
        <v>367</v>
      </c>
      <c r="L3763" t="s">
        <v>869</v>
      </c>
    </row>
    <row r="3764" spans="1:12" s="65" customFormat="1" x14ac:dyDescent="0.75">
      <c r="A3764" s="65" t="s">
        <v>96</v>
      </c>
      <c r="B3764" s="140">
        <v>44951</v>
      </c>
      <c r="C3764" s="65">
        <v>1</v>
      </c>
      <c r="D3764" s="65" t="s">
        <v>191</v>
      </c>
      <c r="E3764" s="141">
        <f>16-11</f>
        <v>5</v>
      </c>
      <c r="F3764" s="65" t="s">
        <v>363</v>
      </c>
      <c r="G3764" s="65" t="s">
        <v>367</v>
      </c>
      <c r="L3764" t="s">
        <v>869</v>
      </c>
    </row>
    <row r="3765" spans="1:12" s="65" customFormat="1" x14ac:dyDescent="0.75">
      <c r="A3765" s="65" t="s">
        <v>96</v>
      </c>
      <c r="B3765" s="140">
        <v>44951</v>
      </c>
      <c r="C3765" s="65">
        <v>1</v>
      </c>
      <c r="D3765" s="65" t="s">
        <v>191</v>
      </c>
      <c r="E3765" s="141">
        <f>11-8</f>
        <v>3</v>
      </c>
      <c r="F3765" s="65" t="s">
        <v>363</v>
      </c>
      <c r="G3765" s="65" t="s">
        <v>367</v>
      </c>
      <c r="L3765" t="s">
        <v>869</v>
      </c>
    </row>
    <row r="3766" spans="1:12" s="65" customFormat="1" x14ac:dyDescent="0.75">
      <c r="A3766" s="65" t="s">
        <v>96</v>
      </c>
      <c r="B3766" s="140">
        <v>44951</v>
      </c>
      <c r="C3766" s="65">
        <v>1</v>
      </c>
      <c r="D3766" s="65" t="s">
        <v>191</v>
      </c>
      <c r="E3766" s="141">
        <f>7-4</f>
        <v>3</v>
      </c>
      <c r="F3766" s="65" t="s">
        <v>363</v>
      </c>
      <c r="G3766" s="65" t="s">
        <v>367</v>
      </c>
      <c r="L3766" t="s">
        <v>869</v>
      </c>
    </row>
    <row r="3767" spans="1:12" s="65" customFormat="1" x14ac:dyDescent="0.75">
      <c r="A3767" s="65" t="s">
        <v>96</v>
      </c>
      <c r="B3767" s="140">
        <v>44951</v>
      </c>
      <c r="C3767" s="65">
        <v>1</v>
      </c>
      <c r="D3767" s="65" t="s">
        <v>194</v>
      </c>
      <c r="E3767" s="141">
        <f>4-0</f>
        <v>4</v>
      </c>
      <c r="F3767" s="65" t="s">
        <v>363</v>
      </c>
      <c r="G3767" s="65" t="s">
        <v>367</v>
      </c>
      <c r="L3767" t="s">
        <v>869</v>
      </c>
    </row>
    <row r="3768" spans="1:12" s="65" customFormat="1" x14ac:dyDescent="0.75">
      <c r="A3768" s="65" t="s">
        <v>96</v>
      </c>
      <c r="B3768" s="140">
        <v>44951</v>
      </c>
      <c r="C3768" s="65">
        <v>1</v>
      </c>
      <c r="D3768" s="65" t="s">
        <v>194</v>
      </c>
      <c r="E3768" s="141">
        <f>42-38</f>
        <v>4</v>
      </c>
      <c r="F3768" s="65" t="s">
        <v>363</v>
      </c>
      <c r="G3768" s="65" t="s">
        <v>367</v>
      </c>
      <c r="L3768" t="s">
        <v>869</v>
      </c>
    </row>
    <row r="3769" spans="1:12" s="65" customFormat="1" x14ac:dyDescent="0.75">
      <c r="A3769" s="65" t="s">
        <v>96</v>
      </c>
      <c r="B3769" s="140">
        <v>44951</v>
      </c>
      <c r="C3769" s="65">
        <v>1</v>
      </c>
      <c r="D3769" s="65" t="s">
        <v>197</v>
      </c>
      <c r="E3769" s="141">
        <f>38-32</f>
        <v>6</v>
      </c>
      <c r="F3769" s="65" t="s">
        <v>363</v>
      </c>
      <c r="G3769" s="65" t="s">
        <v>367</v>
      </c>
      <c r="L3769" t="s">
        <v>869</v>
      </c>
    </row>
    <row r="3770" spans="1:12" s="65" customFormat="1" x14ac:dyDescent="0.75">
      <c r="A3770" s="65" t="s">
        <v>96</v>
      </c>
      <c r="B3770" s="140">
        <v>44951</v>
      </c>
      <c r="C3770" s="65">
        <v>1</v>
      </c>
      <c r="D3770" s="65" t="s">
        <v>197</v>
      </c>
      <c r="E3770" s="141">
        <f>32-28</f>
        <v>4</v>
      </c>
      <c r="F3770" s="65" t="s">
        <v>363</v>
      </c>
      <c r="G3770" s="65" t="s">
        <v>367</v>
      </c>
      <c r="L3770" t="s">
        <v>869</v>
      </c>
    </row>
    <row r="3771" spans="1:12" s="65" customFormat="1" x14ac:dyDescent="0.75">
      <c r="A3771" s="65" t="s">
        <v>96</v>
      </c>
      <c r="B3771" s="140">
        <v>44951</v>
      </c>
      <c r="C3771" s="65">
        <v>1</v>
      </c>
      <c r="D3771" s="65" t="s">
        <v>197</v>
      </c>
      <c r="E3771" s="141">
        <f>28-18</f>
        <v>10</v>
      </c>
      <c r="F3771" s="65" t="s">
        <v>363</v>
      </c>
      <c r="G3771" s="65" t="s">
        <v>367</v>
      </c>
      <c r="L3771" t="s">
        <v>869</v>
      </c>
    </row>
    <row r="3772" spans="1:12" x14ac:dyDescent="0.75">
      <c r="A3772" t="s">
        <v>96</v>
      </c>
      <c r="B3772" s="3">
        <v>44951</v>
      </c>
      <c r="C3772">
        <v>2</v>
      </c>
      <c r="D3772" t="s">
        <v>201</v>
      </c>
      <c r="E3772" s="22">
        <f>7+15-10</f>
        <v>12</v>
      </c>
      <c r="F3772" t="s">
        <v>363</v>
      </c>
      <c r="G3772" t="s">
        <v>733</v>
      </c>
      <c r="I3772" s="116"/>
      <c r="J3772" s="116"/>
      <c r="L3772" t="s">
        <v>869</v>
      </c>
    </row>
    <row r="3773" spans="1:12" x14ac:dyDescent="0.75">
      <c r="A3773" t="s">
        <v>96</v>
      </c>
      <c r="B3773" s="3">
        <v>44951</v>
      </c>
      <c r="C3773">
        <v>2</v>
      </c>
      <c r="D3773" t="s">
        <v>201</v>
      </c>
      <c r="E3773" s="22">
        <f>9+40-37</f>
        <v>12</v>
      </c>
      <c r="F3773" t="s">
        <v>363</v>
      </c>
      <c r="G3773" t="s">
        <v>733</v>
      </c>
      <c r="I3773" s="116"/>
      <c r="J3773" s="116"/>
      <c r="L3773" t="s">
        <v>869</v>
      </c>
    </row>
    <row r="3774" spans="1:12" x14ac:dyDescent="0.75">
      <c r="A3774" t="s">
        <v>96</v>
      </c>
      <c r="B3774" s="3">
        <v>44951</v>
      </c>
      <c r="C3774">
        <v>2</v>
      </c>
      <c r="D3774" t="s">
        <v>197</v>
      </c>
      <c r="E3774" s="22">
        <f>37-31</f>
        <v>6</v>
      </c>
      <c r="F3774" t="s">
        <v>363</v>
      </c>
      <c r="G3774" t="s">
        <v>733</v>
      </c>
      <c r="I3774" s="116"/>
      <c r="J3774" s="116"/>
      <c r="L3774" t="s">
        <v>869</v>
      </c>
    </row>
    <row r="3775" spans="1:12" x14ac:dyDescent="0.75">
      <c r="A3775" t="s">
        <v>96</v>
      </c>
      <c r="B3775" s="3">
        <v>44951</v>
      </c>
      <c r="C3775">
        <v>2</v>
      </c>
      <c r="D3775" t="s">
        <v>207</v>
      </c>
      <c r="E3775" s="22">
        <f>31-30</f>
        <v>1</v>
      </c>
      <c r="F3775" t="s">
        <v>363</v>
      </c>
      <c r="G3775" t="s">
        <v>733</v>
      </c>
      <c r="I3775" s="116"/>
      <c r="J3775" s="116"/>
      <c r="L3775" t="s">
        <v>869</v>
      </c>
    </row>
    <row r="3776" spans="1:12" x14ac:dyDescent="0.75">
      <c r="A3776" t="s">
        <v>96</v>
      </c>
      <c r="B3776" s="3">
        <v>44951</v>
      </c>
      <c r="C3776">
        <v>2</v>
      </c>
      <c r="D3776" t="s">
        <v>197</v>
      </c>
      <c r="E3776" s="22">
        <f>30-21</f>
        <v>9</v>
      </c>
      <c r="F3776" t="s">
        <v>363</v>
      </c>
      <c r="G3776" t="s">
        <v>733</v>
      </c>
      <c r="I3776" s="116"/>
      <c r="J3776" s="116"/>
      <c r="L3776" t="s">
        <v>869</v>
      </c>
    </row>
    <row r="3777" spans="1:12" x14ac:dyDescent="0.75">
      <c r="A3777" t="s">
        <v>96</v>
      </c>
      <c r="B3777" s="3">
        <v>44951</v>
      </c>
      <c r="C3777">
        <v>2</v>
      </c>
      <c r="D3777" t="s">
        <v>194</v>
      </c>
      <c r="E3777" s="22">
        <f>21-7</f>
        <v>14</v>
      </c>
      <c r="F3777" t="s">
        <v>363</v>
      </c>
      <c r="G3777" t="s">
        <v>733</v>
      </c>
      <c r="I3777" s="116"/>
      <c r="J3777" s="116"/>
      <c r="L3777" t="s">
        <v>869</v>
      </c>
    </row>
    <row r="3778" spans="1:12" x14ac:dyDescent="0.75">
      <c r="A3778" t="s">
        <v>96</v>
      </c>
      <c r="B3778" s="3">
        <v>44951</v>
      </c>
      <c r="C3778">
        <v>2</v>
      </c>
      <c r="D3778" t="s">
        <v>191</v>
      </c>
      <c r="E3778" s="22">
        <f>7+39-29</f>
        <v>17</v>
      </c>
      <c r="F3778" t="s">
        <v>363</v>
      </c>
      <c r="G3778" t="s">
        <v>733</v>
      </c>
      <c r="I3778" s="116"/>
      <c r="J3778" s="116"/>
      <c r="L3778" t="s">
        <v>869</v>
      </c>
    </row>
    <row r="3779" spans="1:12" x14ac:dyDescent="0.75">
      <c r="A3779" t="s">
        <v>96</v>
      </c>
      <c r="B3779" s="3">
        <v>44951</v>
      </c>
      <c r="C3779">
        <v>2</v>
      </c>
      <c r="D3779" t="s">
        <v>197</v>
      </c>
      <c r="E3779" s="22">
        <f>49-41</f>
        <v>8</v>
      </c>
      <c r="F3779" t="s">
        <v>363</v>
      </c>
      <c r="G3779" t="s">
        <v>361</v>
      </c>
      <c r="I3779" s="116"/>
      <c r="J3779" s="116"/>
      <c r="L3779" t="s">
        <v>869</v>
      </c>
    </row>
    <row r="3780" spans="1:12" x14ac:dyDescent="0.75">
      <c r="A3780" t="s">
        <v>96</v>
      </c>
      <c r="B3780" s="3">
        <v>44951</v>
      </c>
      <c r="C3780">
        <v>2</v>
      </c>
      <c r="D3780" t="s">
        <v>201</v>
      </c>
      <c r="E3780" s="22">
        <f>41-36</f>
        <v>5</v>
      </c>
      <c r="F3780" t="s">
        <v>363</v>
      </c>
      <c r="G3780" t="s">
        <v>361</v>
      </c>
      <c r="I3780" s="116"/>
      <c r="J3780" s="116"/>
      <c r="L3780" t="s">
        <v>869</v>
      </c>
    </row>
    <row r="3781" spans="1:12" x14ac:dyDescent="0.75">
      <c r="A3781" t="s">
        <v>96</v>
      </c>
      <c r="B3781" s="3">
        <v>44951</v>
      </c>
      <c r="C3781">
        <v>2</v>
      </c>
      <c r="D3781" t="s">
        <v>201</v>
      </c>
      <c r="E3781" s="22">
        <f>36-34</f>
        <v>2</v>
      </c>
      <c r="F3781" t="s">
        <v>363</v>
      </c>
      <c r="G3781" t="s">
        <v>361</v>
      </c>
      <c r="I3781" s="116"/>
      <c r="J3781" s="116"/>
      <c r="L3781" t="s">
        <v>869</v>
      </c>
    </row>
    <row r="3782" spans="1:12" x14ac:dyDescent="0.75">
      <c r="A3782" t="s">
        <v>96</v>
      </c>
      <c r="B3782" s="3">
        <v>44951</v>
      </c>
      <c r="C3782">
        <v>2</v>
      </c>
      <c r="D3782" t="s">
        <v>191</v>
      </c>
      <c r="E3782" s="22">
        <f>34-25</f>
        <v>9</v>
      </c>
      <c r="F3782" t="s">
        <v>363</v>
      </c>
      <c r="G3782" t="s">
        <v>361</v>
      </c>
      <c r="I3782" s="116"/>
      <c r="J3782" s="116"/>
      <c r="L3782" t="s">
        <v>869</v>
      </c>
    </row>
    <row r="3783" spans="1:12" x14ac:dyDescent="0.75">
      <c r="A3783" t="s">
        <v>96</v>
      </c>
      <c r="B3783" s="3">
        <v>44951</v>
      </c>
      <c r="C3783">
        <v>2</v>
      </c>
      <c r="D3783" t="s">
        <v>197</v>
      </c>
      <c r="E3783" s="22">
        <f>25-14</f>
        <v>11</v>
      </c>
      <c r="F3783" t="s">
        <v>363</v>
      </c>
      <c r="G3783" t="s">
        <v>361</v>
      </c>
      <c r="I3783" s="116"/>
      <c r="J3783" s="116"/>
      <c r="L3783" t="s">
        <v>869</v>
      </c>
    </row>
    <row r="3784" spans="1:12" x14ac:dyDescent="0.75">
      <c r="A3784" t="s">
        <v>96</v>
      </c>
      <c r="B3784" s="3">
        <v>44951</v>
      </c>
      <c r="C3784">
        <v>2</v>
      </c>
      <c r="D3784" t="s">
        <v>153</v>
      </c>
      <c r="E3784" s="22">
        <f>48-42</f>
        <v>6</v>
      </c>
      <c r="F3784" t="s">
        <v>363</v>
      </c>
      <c r="G3784" t="s">
        <v>367</v>
      </c>
      <c r="I3784" s="116"/>
      <c r="J3784" s="116"/>
      <c r="L3784" t="s">
        <v>869</v>
      </c>
    </row>
    <row r="3785" spans="1:12" x14ac:dyDescent="0.75">
      <c r="A3785" t="s">
        <v>96</v>
      </c>
      <c r="B3785" s="3">
        <v>44951</v>
      </c>
      <c r="C3785">
        <v>2</v>
      </c>
      <c r="D3785" t="s">
        <v>194</v>
      </c>
      <c r="E3785" s="22">
        <f>42-34</f>
        <v>8</v>
      </c>
      <c r="F3785" t="s">
        <v>363</v>
      </c>
      <c r="G3785" t="s">
        <v>367</v>
      </c>
      <c r="I3785" s="116"/>
      <c r="J3785" s="116"/>
      <c r="L3785" t="s">
        <v>869</v>
      </c>
    </row>
    <row r="3786" spans="1:12" x14ac:dyDescent="0.75">
      <c r="A3786" t="s">
        <v>96</v>
      </c>
      <c r="B3786" s="3">
        <v>44951</v>
      </c>
      <c r="C3786">
        <v>2</v>
      </c>
      <c r="D3786" t="s">
        <v>194</v>
      </c>
      <c r="E3786" s="22">
        <f>34-23</f>
        <v>11</v>
      </c>
      <c r="F3786" t="s">
        <v>363</v>
      </c>
      <c r="G3786" t="s">
        <v>367</v>
      </c>
      <c r="I3786" s="116"/>
      <c r="J3786" s="116"/>
      <c r="L3786" t="s">
        <v>869</v>
      </c>
    </row>
    <row r="3787" spans="1:12" s="65" customFormat="1" x14ac:dyDescent="0.75">
      <c r="A3787" s="65" t="s">
        <v>96</v>
      </c>
      <c r="B3787" s="140">
        <v>44951</v>
      </c>
      <c r="C3787" s="65">
        <v>3</v>
      </c>
      <c r="D3787" s="65" t="s">
        <v>194</v>
      </c>
      <c r="E3787" s="141">
        <f>29-26</f>
        <v>3</v>
      </c>
      <c r="F3787" s="65" t="s">
        <v>363</v>
      </c>
      <c r="G3787" s="65" t="s">
        <v>733</v>
      </c>
      <c r="L3787" t="s">
        <v>869</v>
      </c>
    </row>
    <row r="3788" spans="1:12" x14ac:dyDescent="0.75">
      <c r="A3788" t="s">
        <v>96</v>
      </c>
      <c r="B3788" s="3">
        <v>44951</v>
      </c>
      <c r="C3788">
        <v>4</v>
      </c>
      <c r="D3788" t="s">
        <v>191</v>
      </c>
      <c r="E3788" s="22">
        <f>25-22</f>
        <v>3</v>
      </c>
      <c r="F3788" t="s">
        <v>363</v>
      </c>
      <c r="G3788" t="s">
        <v>733</v>
      </c>
      <c r="I3788" s="116"/>
      <c r="J3788" s="116"/>
      <c r="L3788" t="s">
        <v>869</v>
      </c>
    </row>
    <row r="3789" spans="1:12" x14ac:dyDescent="0.75">
      <c r="A3789" t="s">
        <v>96</v>
      </c>
      <c r="B3789" s="3">
        <v>44951</v>
      </c>
      <c r="C3789">
        <v>4</v>
      </c>
      <c r="D3789" t="s">
        <v>160</v>
      </c>
      <c r="E3789" s="22">
        <f>22-2</f>
        <v>20</v>
      </c>
      <c r="F3789" t="s">
        <v>363</v>
      </c>
      <c r="G3789" t="s">
        <v>733</v>
      </c>
      <c r="I3789" s="116"/>
      <c r="J3789" s="116"/>
      <c r="L3789" t="s">
        <v>869</v>
      </c>
    </row>
    <row r="3790" spans="1:12" x14ac:dyDescent="0.75">
      <c r="A3790" t="s">
        <v>96</v>
      </c>
      <c r="B3790" s="3">
        <v>44951</v>
      </c>
      <c r="C3790">
        <v>4</v>
      </c>
      <c r="D3790" t="s">
        <v>176</v>
      </c>
      <c r="E3790" s="22">
        <f>2+23-12</f>
        <v>13</v>
      </c>
      <c r="F3790" t="s">
        <v>363</v>
      </c>
      <c r="G3790" t="s">
        <v>733</v>
      </c>
      <c r="I3790" s="116"/>
      <c r="J3790" s="116"/>
      <c r="L3790" t="s">
        <v>869</v>
      </c>
    </row>
    <row r="3791" spans="1:12" x14ac:dyDescent="0.75">
      <c r="A3791" t="s">
        <v>96</v>
      </c>
      <c r="B3791" s="3">
        <v>44951</v>
      </c>
      <c r="C3791">
        <v>4</v>
      </c>
      <c r="D3791" t="s">
        <v>168</v>
      </c>
      <c r="E3791" s="22">
        <f>14-0</f>
        <v>14</v>
      </c>
      <c r="F3791" t="s">
        <v>363</v>
      </c>
      <c r="G3791" t="s">
        <v>361</v>
      </c>
      <c r="I3791" s="116"/>
      <c r="J3791" s="116"/>
      <c r="L3791" t="s">
        <v>869</v>
      </c>
    </row>
    <row r="3792" spans="1:12" x14ac:dyDescent="0.75">
      <c r="A3792" t="s">
        <v>96</v>
      </c>
      <c r="B3792" s="3">
        <v>44951</v>
      </c>
      <c r="C3792">
        <v>4</v>
      </c>
      <c r="D3792" t="s">
        <v>197</v>
      </c>
      <c r="E3792" s="22">
        <f>16-10</f>
        <v>6</v>
      </c>
      <c r="F3792" t="s">
        <v>363</v>
      </c>
      <c r="G3792" t="s">
        <v>361</v>
      </c>
      <c r="I3792" s="116"/>
      <c r="J3792" s="116"/>
      <c r="L3792" t="s">
        <v>869</v>
      </c>
    </row>
    <row r="3793" spans="1:12" s="65" customFormat="1" x14ac:dyDescent="0.75">
      <c r="A3793" s="65" t="s">
        <v>87</v>
      </c>
      <c r="B3793" s="140">
        <v>44952</v>
      </c>
      <c r="C3793" s="65">
        <v>1</v>
      </c>
      <c r="D3793" s="65" t="s">
        <v>207</v>
      </c>
      <c r="E3793" s="141">
        <f>50-45</f>
        <v>5</v>
      </c>
      <c r="F3793" s="65" t="s">
        <v>363</v>
      </c>
      <c r="G3793" s="65" t="s">
        <v>792</v>
      </c>
      <c r="K3793" s="142" t="s">
        <v>892</v>
      </c>
      <c r="L3793" t="s">
        <v>869</v>
      </c>
    </row>
    <row r="3794" spans="1:12" s="65" customFormat="1" x14ac:dyDescent="0.75">
      <c r="A3794" s="65" t="s">
        <v>87</v>
      </c>
      <c r="B3794" s="140">
        <v>44952</v>
      </c>
      <c r="C3794" s="65">
        <v>1</v>
      </c>
      <c r="D3794" s="65" t="s">
        <v>201</v>
      </c>
      <c r="E3794" s="141">
        <f>45-34</f>
        <v>11</v>
      </c>
      <c r="F3794" s="65" t="s">
        <v>363</v>
      </c>
      <c r="G3794" s="65" t="s">
        <v>792</v>
      </c>
      <c r="K3794" s="142" t="s">
        <v>892</v>
      </c>
      <c r="L3794" t="s">
        <v>869</v>
      </c>
    </row>
    <row r="3795" spans="1:12" s="65" customFormat="1" x14ac:dyDescent="0.75">
      <c r="A3795" s="65" t="s">
        <v>87</v>
      </c>
      <c r="B3795" s="140">
        <v>44952</v>
      </c>
      <c r="C3795" s="65">
        <v>1</v>
      </c>
      <c r="D3795" s="65" t="s">
        <v>191</v>
      </c>
      <c r="E3795" s="141">
        <f>34-30</f>
        <v>4</v>
      </c>
      <c r="F3795" s="65" t="s">
        <v>363</v>
      </c>
      <c r="G3795" s="65" t="s">
        <v>792</v>
      </c>
      <c r="K3795" s="142" t="s">
        <v>892</v>
      </c>
      <c r="L3795" t="s">
        <v>869</v>
      </c>
    </row>
    <row r="3796" spans="1:12" s="65" customFormat="1" x14ac:dyDescent="0.75">
      <c r="A3796" s="65" t="s">
        <v>87</v>
      </c>
      <c r="B3796" s="140">
        <v>44952</v>
      </c>
      <c r="C3796" s="65">
        <v>1</v>
      </c>
      <c r="D3796" s="65" t="s">
        <v>207</v>
      </c>
      <c r="E3796" s="141">
        <f>30-27</f>
        <v>3</v>
      </c>
      <c r="F3796" s="65" t="s">
        <v>363</v>
      </c>
      <c r="G3796" s="65" t="s">
        <v>792</v>
      </c>
      <c r="K3796" s="142" t="s">
        <v>892</v>
      </c>
      <c r="L3796" t="s">
        <v>869</v>
      </c>
    </row>
    <row r="3797" spans="1:12" s="65" customFormat="1" x14ac:dyDescent="0.75">
      <c r="A3797" s="65" t="s">
        <v>87</v>
      </c>
      <c r="B3797" s="140">
        <v>44952</v>
      </c>
      <c r="C3797" s="65">
        <v>1</v>
      </c>
      <c r="D3797" s="65" t="s">
        <v>197</v>
      </c>
      <c r="E3797" s="141">
        <f>49-42</f>
        <v>7</v>
      </c>
      <c r="F3797" s="65" t="s">
        <v>363</v>
      </c>
      <c r="G3797" s="65" t="s">
        <v>361</v>
      </c>
      <c r="K3797" s="142" t="s">
        <v>893</v>
      </c>
      <c r="L3797" t="s">
        <v>869</v>
      </c>
    </row>
    <row r="3798" spans="1:12" s="65" customFormat="1" x14ac:dyDescent="0.75">
      <c r="A3798" s="65" t="s">
        <v>87</v>
      </c>
      <c r="B3798" s="140">
        <v>44952</v>
      </c>
      <c r="C3798" s="65">
        <v>1</v>
      </c>
      <c r="D3798" s="65" t="s">
        <v>197</v>
      </c>
      <c r="E3798" s="141">
        <f>42-24</f>
        <v>18</v>
      </c>
      <c r="F3798" s="65" t="s">
        <v>363</v>
      </c>
      <c r="G3798" s="65" t="s">
        <v>361</v>
      </c>
      <c r="K3798" s="142" t="s">
        <v>893</v>
      </c>
      <c r="L3798" t="s">
        <v>869</v>
      </c>
    </row>
    <row r="3799" spans="1:12" s="65" customFormat="1" x14ac:dyDescent="0.75">
      <c r="A3799" s="65" t="s">
        <v>87</v>
      </c>
      <c r="B3799" s="140">
        <v>44952</v>
      </c>
      <c r="C3799" s="65">
        <v>1</v>
      </c>
      <c r="D3799" s="65" t="s">
        <v>176</v>
      </c>
      <c r="E3799" s="141">
        <f>24-6</f>
        <v>18</v>
      </c>
      <c r="F3799" s="65" t="s">
        <v>363</v>
      </c>
      <c r="G3799" s="65" t="s">
        <v>361</v>
      </c>
      <c r="K3799" s="142" t="s">
        <v>893</v>
      </c>
      <c r="L3799" t="s">
        <v>869</v>
      </c>
    </row>
    <row r="3800" spans="1:12" s="65" customFormat="1" x14ac:dyDescent="0.75">
      <c r="A3800" s="65" t="s">
        <v>87</v>
      </c>
      <c r="B3800" s="140">
        <v>44952</v>
      </c>
      <c r="C3800" s="65">
        <v>1</v>
      </c>
      <c r="D3800" s="65" t="s">
        <v>168</v>
      </c>
      <c r="E3800" s="141">
        <f>6-1</f>
        <v>5</v>
      </c>
      <c r="F3800" s="65" t="s">
        <v>363</v>
      </c>
      <c r="G3800" s="65" t="s">
        <v>361</v>
      </c>
      <c r="K3800" s="142" t="s">
        <v>893</v>
      </c>
      <c r="L3800" t="s">
        <v>869</v>
      </c>
    </row>
    <row r="3801" spans="1:12" s="65" customFormat="1" x14ac:dyDescent="0.75">
      <c r="A3801" s="65" t="s">
        <v>87</v>
      </c>
      <c r="B3801" s="140">
        <v>44952</v>
      </c>
      <c r="C3801" s="65">
        <v>1</v>
      </c>
      <c r="D3801" s="65" t="s">
        <v>168</v>
      </c>
      <c r="E3801" s="141">
        <f>1+40-37</f>
        <v>4</v>
      </c>
      <c r="F3801" s="65" t="s">
        <v>363</v>
      </c>
      <c r="G3801" s="65" t="s">
        <v>361</v>
      </c>
      <c r="K3801" s="142" t="s">
        <v>893</v>
      </c>
      <c r="L3801" t="s">
        <v>869</v>
      </c>
    </row>
    <row r="3802" spans="1:12" s="65" customFormat="1" x14ac:dyDescent="0.75">
      <c r="A3802" s="65" t="s">
        <v>87</v>
      </c>
      <c r="B3802" s="140">
        <v>44952</v>
      </c>
      <c r="C3802" s="65">
        <v>1</v>
      </c>
      <c r="D3802" s="65" t="s">
        <v>172</v>
      </c>
      <c r="E3802" s="141">
        <f>37-28</f>
        <v>9</v>
      </c>
      <c r="F3802" s="65" t="s">
        <v>363</v>
      </c>
      <c r="G3802" s="65" t="s">
        <v>361</v>
      </c>
      <c r="K3802" s="142" t="s">
        <v>893</v>
      </c>
      <c r="L3802" t="s">
        <v>869</v>
      </c>
    </row>
    <row r="3803" spans="1:12" s="65" customFormat="1" x14ac:dyDescent="0.75">
      <c r="A3803" s="65" t="s">
        <v>87</v>
      </c>
      <c r="B3803" s="140">
        <v>44952</v>
      </c>
      <c r="C3803" s="65">
        <v>1</v>
      </c>
      <c r="D3803" s="65" t="s">
        <v>168</v>
      </c>
      <c r="E3803" s="141">
        <f>28-22</f>
        <v>6</v>
      </c>
      <c r="F3803" s="65" t="s">
        <v>363</v>
      </c>
      <c r="G3803" s="65" t="s">
        <v>361</v>
      </c>
      <c r="K3803" s="142" t="s">
        <v>893</v>
      </c>
      <c r="L3803" t="s">
        <v>869</v>
      </c>
    </row>
    <row r="3804" spans="1:12" s="65" customFormat="1" x14ac:dyDescent="0.75">
      <c r="A3804" s="65" t="s">
        <v>87</v>
      </c>
      <c r="B3804" s="140">
        <v>44952</v>
      </c>
      <c r="C3804" s="65">
        <v>1</v>
      </c>
      <c r="D3804" s="65" t="s">
        <v>168</v>
      </c>
      <c r="E3804" s="141">
        <f>22+36-16</f>
        <v>42</v>
      </c>
      <c r="F3804" s="65" t="s">
        <v>363</v>
      </c>
      <c r="G3804" s="65" t="s">
        <v>361</v>
      </c>
      <c r="K3804" s="142" t="s">
        <v>893</v>
      </c>
      <c r="L3804" t="s">
        <v>869</v>
      </c>
    </row>
    <row r="3805" spans="1:12" s="65" customFormat="1" x14ac:dyDescent="0.75">
      <c r="A3805" s="65" t="s">
        <v>87</v>
      </c>
      <c r="B3805" s="140">
        <v>44952</v>
      </c>
      <c r="C3805" s="65">
        <v>1</v>
      </c>
      <c r="D3805" s="65" t="s">
        <v>207</v>
      </c>
      <c r="E3805" s="141">
        <f>44-35</f>
        <v>9</v>
      </c>
      <c r="F3805" s="65" t="s">
        <v>363</v>
      </c>
      <c r="G3805" s="65" t="s">
        <v>792</v>
      </c>
      <c r="K3805" s="65" t="s">
        <v>894</v>
      </c>
      <c r="L3805" t="s">
        <v>869</v>
      </c>
    </row>
    <row r="3806" spans="1:12" s="65" customFormat="1" x14ac:dyDescent="0.75">
      <c r="A3806" s="65" t="s">
        <v>87</v>
      </c>
      <c r="B3806" s="140">
        <v>44952</v>
      </c>
      <c r="C3806" s="65">
        <v>1</v>
      </c>
      <c r="D3806" s="65" t="s">
        <v>207</v>
      </c>
      <c r="E3806" s="141">
        <f>35-25</f>
        <v>10</v>
      </c>
      <c r="F3806" s="65" t="s">
        <v>363</v>
      </c>
      <c r="G3806" s="65" t="s">
        <v>792</v>
      </c>
      <c r="K3806" s="65" t="s">
        <v>894</v>
      </c>
      <c r="L3806" t="s">
        <v>869</v>
      </c>
    </row>
    <row r="3807" spans="1:12" s="65" customFormat="1" x14ac:dyDescent="0.75">
      <c r="A3807" s="65" t="s">
        <v>87</v>
      </c>
      <c r="B3807" s="140">
        <v>44952</v>
      </c>
      <c r="C3807" s="65">
        <v>1</v>
      </c>
      <c r="D3807" s="65" t="s">
        <v>201</v>
      </c>
      <c r="E3807" s="141">
        <f>25-14</f>
        <v>11</v>
      </c>
      <c r="F3807" s="65" t="s">
        <v>363</v>
      </c>
      <c r="G3807" s="65" t="s">
        <v>792</v>
      </c>
      <c r="K3807" s="65" t="s">
        <v>894</v>
      </c>
      <c r="L3807" t="s">
        <v>869</v>
      </c>
    </row>
    <row r="3808" spans="1:12" s="65" customFormat="1" x14ac:dyDescent="0.75">
      <c r="A3808" s="65" t="s">
        <v>87</v>
      </c>
      <c r="B3808" s="140">
        <v>44952</v>
      </c>
      <c r="C3808" s="65">
        <v>1</v>
      </c>
      <c r="D3808" s="65" t="s">
        <v>207</v>
      </c>
      <c r="E3808" s="141">
        <f>14-5</f>
        <v>9</v>
      </c>
      <c r="F3808" s="65" t="s">
        <v>363</v>
      </c>
      <c r="G3808" s="65" t="s">
        <v>792</v>
      </c>
      <c r="K3808" s="65" t="s">
        <v>894</v>
      </c>
      <c r="L3808" t="s">
        <v>869</v>
      </c>
    </row>
    <row r="3809" spans="1:12" s="65" customFormat="1" x14ac:dyDescent="0.75">
      <c r="A3809" s="65" t="s">
        <v>87</v>
      </c>
      <c r="B3809" s="140">
        <v>44952</v>
      </c>
      <c r="C3809" s="65">
        <v>1</v>
      </c>
      <c r="D3809" s="65" t="s">
        <v>207</v>
      </c>
      <c r="E3809" s="141">
        <f>5-0</f>
        <v>5</v>
      </c>
      <c r="F3809" s="65" t="s">
        <v>363</v>
      </c>
      <c r="G3809" s="65" t="s">
        <v>792</v>
      </c>
      <c r="K3809" s="65" t="s">
        <v>894</v>
      </c>
      <c r="L3809" t="s">
        <v>869</v>
      </c>
    </row>
    <row r="3810" spans="1:12" s="65" customFormat="1" x14ac:dyDescent="0.75">
      <c r="A3810" s="65" t="s">
        <v>87</v>
      </c>
      <c r="B3810" s="140">
        <v>44952</v>
      </c>
      <c r="C3810" s="65">
        <v>1</v>
      </c>
      <c r="D3810" s="65" t="s">
        <v>160</v>
      </c>
      <c r="E3810" s="141">
        <f>44-35</f>
        <v>9</v>
      </c>
      <c r="F3810" s="65" t="s">
        <v>363</v>
      </c>
      <c r="G3810" s="65" t="s">
        <v>792</v>
      </c>
      <c r="K3810" s="65" t="s">
        <v>894</v>
      </c>
      <c r="L3810" t="s">
        <v>869</v>
      </c>
    </row>
    <row r="3811" spans="1:12" s="65" customFormat="1" x14ac:dyDescent="0.75">
      <c r="A3811" s="65" t="s">
        <v>87</v>
      </c>
      <c r="B3811" s="140">
        <v>44952</v>
      </c>
      <c r="C3811" s="65">
        <v>1</v>
      </c>
      <c r="D3811" s="65" t="s">
        <v>197</v>
      </c>
      <c r="E3811" s="141">
        <f>35-30</f>
        <v>5</v>
      </c>
      <c r="F3811" s="65" t="s">
        <v>363</v>
      </c>
      <c r="G3811" s="65" t="s">
        <v>792</v>
      </c>
      <c r="K3811" s="65" t="s">
        <v>894</v>
      </c>
      <c r="L3811" t="s">
        <v>869</v>
      </c>
    </row>
    <row r="3812" spans="1:12" s="65" customFormat="1" x14ac:dyDescent="0.75">
      <c r="A3812" s="65" t="s">
        <v>87</v>
      </c>
      <c r="B3812" s="140">
        <v>44952</v>
      </c>
      <c r="C3812" s="65">
        <v>1</v>
      </c>
      <c r="D3812" s="65" t="s">
        <v>191</v>
      </c>
      <c r="E3812" s="141">
        <f>30-19</f>
        <v>11</v>
      </c>
      <c r="F3812" s="65" t="s">
        <v>363</v>
      </c>
      <c r="G3812" s="65" t="s">
        <v>792</v>
      </c>
      <c r="K3812" s="65" t="s">
        <v>894</v>
      </c>
      <c r="L3812" t="s">
        <v>869</v>
      </c>
    </row>
    <row r="3813" spans="1:12" s="65" customFormat="1" x14ac:dyDescent="0.75">
      <c r="A3813" s="65" t="s">
        <v>87</v>
      </c>
      <c r="B3813" s="140">
        <v>44952</v>
      </c>
      <c r="C3813" s="65">
        <v>1</v>
      </c>
      <c r="D3813" s="65" t="s">
        <v>207</v>
      </c>
      <c r="E3813" s="141">
        <f>19-9</f>
        <v>10</v>
      </c>
      <c r="F3813" s="65" t="s">
        <v>363</v>
      </c>
      <c r="G3813" s="65" t="s">
        <v>792</v>
      </c>
      <c r="K3813" s="65" t="s">
        <v>894</v>
      </c>
      <c r="L3813" t="s">
        <v>869</v>
      </c>
    </row>
    <row r="3814" spans="1:12" s="65" customFormat="1" x14ac:dyDescent="0.75">
      <c r="A3814" s="65" t="s">
        <v>87</v>
      </c>
      <c r="B3814" s="140">
        <v>44952</v>
      </c>
      <c r="C3814" s="65">
        <v>1</v>
      </c>
      <c r="D3814" s="65" t="s">
        <v>191</v>
      </c>
      <c r="E3814" s="141">
        <f>9-0</f>
        <v>9</v>
      </c>
      <c r="F3814" s="65" t="s">
        <v>363</v>
      </c>
      <c r="G3814" s="65" t="s">
        <v>792</v>
      </c>
      <c r="K3814" s="65" t="s">
        <v>894</v>
      </c>
      <c r="L3814" t="s">
        <v>869</v>
      </c>
    </row>
    <row r="3815" spans="1:12" s="65" customFormat="1" x14ac:dyDescent="0.75">
      <c r="A3815" s="65" t="s">
        <v>87</v>
      </c>
      <c r="B3815" s="140">
        <v>44952</v>
      </c>
      <c r="C3815" s="65">
        <v>1</v>
      </c>
      <c r="D3815" s="65" t="s">
        <v>168</v>
      </c>
      <c r="E3815" s="141">
        <f>10-5</f>
        <v>5</v>
      </c>
      <c r="F3815" s="65" t="s">
        <v>363</v>
      </c>
      <c r="G3815" s="65" t="s">
        <v>792</v>
      </c>
      <c r="K3815" s="65" t="s">
        <v>894</v>
      </c>
      <c r="L3815" t="s">
        <v>869</v>
      </c>
    </row>
    <row r="3816" spans="1:12" s="65" customFormat="1" x14ac:dyDescent="0.75">
      <c r="A3816" s="65" t="s">
        <v>87</v>
      </c>
      <c r="B3816" s="140">
        <v>44952</v>
      </c>
      <c r="C3816" s="65">
        <v>1</v>
      </c>
      <c r="D3816" s="65" t="s">
        <v>197</v>
      </c>
      <c r="E3816" s="65" t="s">
        <v>363</v>
      </c>
      <c r="F3816" s="65" t="s">
        <v>363</v>
      </c>
      <c r="G3816" s="65" t="s">
        <v>792</v>
      </c>
      <c r="K3816" s="65" t="s">
        <v>895</v>
      </c>
      <c r="L3816" t="s">
        <v>869</v>
      </c>
    </row>
    <row r="3817" spans="1:12" s="65" customFormat="1" x14ac:dyDescent="0.75">
      <c r="A3817" s="65" t="s">
        <v>87</v>
      </c>
      <c r="B3817" s="140">
        <v>44952</v>
      </c>
      <c r="C3817" s="65">
        <v>1</v>
      </c>
      <c r="D3817" s="65" t="s">
        <v>176</v>
      </c>
      <c r="E3817" s="141">
        <f>40-26</f>
        <v>14</v>
      </c>
      <c r="F3817" s="65" t="s">
        <v>363</v>
      </c>
      <c r="G3817" s="65" t="s">
        <v>792</v>
      </c>
      <c r="K3817" s="65" t="s">
        <v>894</v>
      </c>
      <c r="L3817" t="s">
        <v>869</v>
      </c>
    </row>
    <row r="3818" spans="1:12" s="65" customFormat="1" x14ac:dyDescent="0.75">
      <c r="A3818" s="65" t="s">
        <v>87</v>
      </c>
      <c r="B3818" s="140">
        <v>44952</v>
      </c>
      <c r="C3818" s="65">
        <v>1</v>
      </c>
      <c r="D3818" s="65" t="s">
        <v>207</v>
      </c>
      <c r="E3818" s="141">
        <f>26-20</f>
        <v>6</v>
      </c>
      <c r="F3818" s="65" t="s">
        <v>363</v>
      </c>
      <c r="G3818" s="65" t="s">
        <v>792</v>
      </c>
      <c r="K3818" s="65" t="s">
        <v>894</v>
      </c>
      <c r="L3818" t="s">
        <v>869</v>
      </c>
    </row>
    <row r="3819" spans="1:12" s="65" customFormat="1" x14ac:dyDescent="0.75">
      <c r="A3819" s="65" t="s">
        <v>87</v>
      </c>
      <c r="B3819" s="140">
        <v>44952</v>
      </c>
      <c r="C3819" s="65">
        <v>1</v>
      </c>
      <c r="D3819" s="65" t="s">
        <v>201</v>
      </c>
      <c r="E3819" s="141">
        <f>20-16</f>
        <v>4</v>
      </c>
      <c r="F3819" s="65" t="s">
        <v>363</v>
      </c>
      <c r="G3819" s="65" t="s">
        <v>792</v>
      </c>
      <c r="K3819" s="65" t="s">
        <v>894</v>
      </c>
      <c r="L3819" t="s">
        <v>869</v>
      </c>
    </row>
    <row r="3820" spans="1:12" s="65" customFormat="1" x14ac:dyDescent="0.75">
      <c r="A3820" s="65" t="s">
        <v>87</v>
      </c>
      <c r="B3820" s="140">
        <v>44952</v>
      </c>
      <c r="C3820" s="65">
        <v>1</v>
      </c>
      <c r="D3820" s="65" t="s">
        <v>168</v>
      </c>
      <c r="E3820" s="65" t="s">
        <v>363</v>
      </c>
      <c r="F3820" s="65" t="s">
        <v>363</v>
      </c>
      <c r="G3820" s="65" t="s">
        <v>792</v>
      </c>
      <c r="K3820" s="65" t="s">
        <v>895</v>
      </c>
      <c r="L3820" t="s">
        <v>869</v>
      </c>
    </row>
    <row r="3821" spans="1:12" s="65" customFormat="1" x14ac:dyDescent="0.75">
      <c r="A3821" s="65" t="s">
        <v>87</v>
      </c>
      <c r="B3821" s="140">
        <v>44952</v>
      </c>
      <c r="C3821" s="65">
        <v>1</v>
      </c>
      <c r="D3821" s="65" t="s">
        <v>207</v>
      </c>
      <c r="E3821" s="65" t="s">
        <v>363</v>
      </c>
      <c r="F3821" s="65" t="s">
        <v>363</v>
      </c>
      <c r="G3821" s="65" t="s">
        <v>792</v>
      </c>
      <c r="K3821" s="65" t="s">
        <v>896</v>
      </c>
      <c r="L3821" t="s">
        <v>869</v>
      </c>
    </row>
    <row r="3822" spans="1:12" s="65" customFormat="1" x14ac:dyDescent="0.75">
      <c r="A3822" s="65" t="s">
        <v>87</v>
      </c>
      <c r="B3822" s="140">
        <v>44952</v>
      </c>
      <c r="C3822" s="65">
        <v>1</v>
      </c>
      <c r="D3822" s="65" t="s">
        <v>207</v>
      </c>
      <c r="E3822" s="141">
        <f>39-36</f>
        <v>3</v>
      </c>
      <c r="F3822" s="65" t="s">
        <v>363</v>
      </c>
      <c r="G3822" s="65" t="s">
        <v>869</v>
      </c>
      <c r="L3822" t="s">
        <v>869</v>
      </c>
    </row>
    <row r="3823" spans="1:12" s="65" customFormat="1" x14ac:dyDescent="0.75">
      <c r="A3823" s="65" t="s">
        <v>87</v>
      </c>
      <c r="B3823" s="140">
        <v>44952</v>
      </c>
      <c r="C3823" s="65">
        <v>1</v>
      </c>
      <c r="D3823" s="65" t="s">
        <v>207</v>
      </c>
      <c r="E3823" s="141">
        <f>36-35</f>
        <v>1</v>
      </c>
      <c r="F3823" s="65" t="s">
        <v>363</v>
      </c>
      <c r="G3823" s="65" t="s">
        <v>869</v>
      </c>
      <c r="L3823" t="s">
        <v>869</v>
      </c>
    </row>
    <row r="3824" spans="1:12" s="65" customFormat="1" x14ac:dyDescent="0.75">
      <c r="A3824" s="65" t="s">
        <v>87</v>
      </c>
      <c r="B3824" s="140">
        <v>44952</v>
      </c>
      <c r="C3824" s="65">
        <v>1</v>
      </c>
      <c r="D3824" s="65" t="s">
        <v>207</v>
      </c>
      <c r="E3824" s="141">
        <f>1</f>
        <v>1</v>
      </c>
      <c r="F3824" s="65" t="s">
        <v>363</v>
      </c>
      <c r="G3824" s="65" t="s">
        <v>869</v>
      </c>
      <c r="L3824" t="s">
        <v>869</v>
      </c>
    </row>
    <row r="3825" spans="1:12" s="65" customFormat="1" x14ac:dyDescent="0.75">
      <c r="A3825" s="65" t="s">
        <v>87</v>
      </c>
      <c r="B3825" s="140">
        <v>44952</v>
      </c>
      <c r="C3825" s="65">
        <v>1</v>
      </c>
      <c r="D3825" s="65" t="s">
        <v>207</v>
      </c>
      <c r="E3825" s="141">
        <f>35-26</f>
        <v>9</v>
      </c>
      <c r="F3825" s="65" t="s">
        <v>363</v>
      </c>
      <c r="G3825" s="65" t="s">
        <v>869</v>
      </c>
      <c r="L3825" t="s">
        <v>869</v>
      </c>
    </row>
    <row r="3826" spans="1:12" s="65" customFormat="1" x14ac:dyDescent="0.75">
      <c r="A3826" s="65" t="s">
        <v>87</v>
      </c>
      <c r="B3826" s="140">
        <v>44952</v>
      </c>
      <c r="C3826" s="65">
        <v>1</v>
      </c>
      <c r="D3826" s="65" t="s">
        <v>207</v>
      </c>
      <c r="E3826" s="141">
        <f>26-22</f>
        <v>4</v>
      </c>
      <c r="F3826" s="65" t="s">
        <v>363</v>
      </c>
      <c r="G3826" s="65" t="s">
        <v>869</v>
      </c>
      <c r="L3826" t="s">
        <v>869</v>
      </c>
    </row>
    <row r="3827" spans="1:12" s="65" customFormat="1" x14ac:dyDescent="0.75">
      <c r="A3827" s="65" t="s">
        <v>87</v>
      </c>
      <c r="B3827" s="140">
        <v>44952</v>
      </c>
      <c r="C3827" s="65">
        <v>1</v>
      </c>
      <c r="D3827" s="65" t="s">
        <v>160</v>
      </c>
      <c r="E3827" s="141">
        <f>43-10+20-10</f>
        <v>43</v>
      </c>
      <c r="F3827" s="65" t="s">
        <v>363</v>
      </c>
      <c r="G3827" s="65" t="s">
        <v>897</v>
      </c>
      <c r="K3827" s="65" t="s">
        <v>898</v>
      </c>
      <c r="L3827" t="s">
        <v>869</v>
      </c>
    </row>
    <row r="3828" spans="1:12" s="65" customFormat="1" x14ac:dyDescent="0.75">
      <c r="A3828" s="65" t="s">
        <v>87</v>
      </c>
      <c r="B3828" s="140">
        <v>44952</v>
      </c>
      <c r="C3828" s="65">
        <v>1</v>
      </c>
      <c r="D3828" s="65" t="s">
        <v>172</v>
      </c>
      <c r="E3828" s="141">
        <f>45-20</f>
        <v>25</v>
      </c>
      <c r="F3828" s="65" t="s">
        <v>363</v>
      </c>
      <c r="G3828" s="65" t="s">
        <v>869</v>
      </c>
      <c r="L3828" t="s">
        <v>869</v>
      </c>
    </row>
    <row r="3829" spans="1:12" s="65" customFormat="1" x14ac:dyDescent="0.75">
      <c r="A3829" s="65" t="s">
        <v>87</v>
      </c>
      <c r="B3829" s="140">
        <v>44952</v>
      </c>
      <c r="C3829" s="65">
        <v>1</v>
      </c>
      <c r="D3829" s="65" t="s">
        <v>191</v>
      </c>
      <c r="E3829" s="141">
        <f>20-10</f>
        <v>10</v>
      </c>
      <c r="F3829" s="65" t="s">
        <v>363</v>
      </c>
      <c r="G3829" s="65" t="s">
        <v>869</v>
      </c>
      <c r="L3829" t="s">
        <v>869</v>
      </c>
    </row>
    <row r="3830" spans="1:12" s="65" customFormat="1" x14ac:dyDescent="0.75">
      <c r="A3830" s="65" t="s">
        <v>87</v>
      </c>
      <c r="B3830" s="140">
        <v>44952</v>
      </c>
      <c r="C3830" s="65">
        <v>1</v>
      </c>
      <c r="D3830" s="65" t="s">
        <v>197</v>
      </c>
      <c r="E3830" s="141">
        <f>10-2</f>
        <v>8</v>
      </c>
      <c r="F3830" s="65" t="s">
        <v>363</v>
      </c>
      <c r="G3830" s="65" t="s">
        <v>869</v>
      </c>
      <c r="L3830" t="s">
        <v>869</v>
      </c>
    </row>
    <row r="3831" spans="1:12" s="65" customFormat="1" x14ac:dyDescent="0.75">
      <c r="A3831" s="65" t="s">
        <v>87</v>
      </c>
      <c r="B3831" s="140">
        <v>44952</v>
      </c>
      <c r="C3831" s="65">
        <v>1</v>
      </c>
      <c r="D3831" s="65" t="s">
        <v>172</v>
      </c>
      <c r="E3831" s="141">
        <f>46-35</f>
        <v>11</v>
      </c>
      <c r="F3831" s="65" t="s">
        <v>363</v>
      </c>
      <c r="G3831" s="65" t="s">
        <v>869</v>
      </c>
      <c r="L3831" t="s">
        <v>869</v>
      </c>
    </row>
    <row r="3832" spans="1:12" s="65" customFormat="1" x14ac:dyDescent="0.75">
      <c r="A3832" s="65" t="s">
        <v>87</v>
      </c>
      <c r="B3832" s="140">
        <v>44952</v>
      </c>
      <c r="C3832" s="65">
        <v>1</v>
      </c>
      <c r="D3832" s="65" t="s">
        <v>168</v>
      </c>
      <c r="E3832" s="141">
        <f>35-26</f>
        <v>9</v>
      </c>
      <c r="F3832" s="65" t="s">
        <v>363</v>
      </c>
      <c r="G3832" s="65" t="s">
        <v>869</v>
      </c>
      <c r="L3832" t="s">
        <v>869</v>
      </c>
    </row>
    <row r="3833" spans="1:12" s="65" customFormat="1" x14ac:dyDescent="0.75">
      <c r="A3833" s="65" t="s">
        <v>87</v>
      </c>
      <c r="B3833" s="140">
        <v>44952</v>
      </c>
      <c r="C3833" s="65">
        <v>1</v>
      </c>
      <c r="D3833" s="65" t="s">
        <v>172</v>
      </c>
      <c r="E3833" s="141">
        <f>26-22</f>
        <v>4</v>
      </c>
      <c r="F3833" s="65" t="s">
        <v>363</v>
      </c>
      <c r="G3833" s="65" t="s">
        <v>869</v>
      </c>
      <c r="L3833" t="s">
        <v>869</v>
      </c>
    </row>
    <row r="3834" spans="1:12" s="65" customFormat="1" x14ac:dyDescent="0.75">
      <c r="A3834" s="65" t="s">
        <v>87</v>
      </c>
      <c r="B3834" s="140">
        <v>44952</v>
      </c>
      <c r="C3834" s="65">
        <v>1</v>
      </c>
      <c r="D3834" s="65" t="s">
        <v>197</v>
      </c>
      <c r="E3834" s="141">
        <f>22-17</f>
        <v>5</v>
      </c>
      <c r="F3834" s="65" t="s">
        <v>363</v>
      </c>
      <c r="G3834" s="65" t="s">
        <v>869</v>
      </c>
      <c r="L3834" t="s">
        <v>869</v>
      </c>
    </row>
    <row r="3835" spans="1:12" s="65" customFormat="1" x14ac:dyDescent="0.75">
      <c r="A3835" s="65" t="s">
        <v>87</v>
      </c>
      <c r="B3835" s="140">
        <v>44952</v>
      </c>
      <c r="C3835" s="65">
        <v>1</v>
      </c>
      <c r="D3835" s="65" t="s">
        <v>197</v>
      </c>
      <c r="E3835" s="141">
        <f>17-12</f>
        <v>5</v>
      </c>
      <c r="F3835" s="65" t="s">
        <v>363</v>
      </c>
      <c r="G3835" s="65" t="s">
        <v>869</v>
      </c>
      <c r="L3835" t="s">
        <v>869</v>
      </c>
    </row>
    <row r="3836" spans="1:12" s="65" customFormat="1" x14ac:dyDescent="0.75">
      <c r="A3836" s="65" t="s">
        <v>87</v>
      </c>
      <c r="B3836" s="140">
        <v>44952</v>
      </c>
      <c r="C3836" s="65">
        <v>1</v>
      </c>
      <c r="D3836" s="65" t="s">
        <v>197</v>
      </c>
      <c r="E3836" s="141">
        <f>12-7</f>
        <v>5</v>
      </c>
      <c r="F3836" s="65" t="s">
        <v>363</v>
      </c>
      <c r="G3836" s="65" t="s">
        <v>869</v>
      </c>
      <c r="L3836" t="s">
        <v>869</v>
      </c>
    </row>
    <row r="3837" spans="1:12" s="65" customFormat="1" x14ac:dyDescent="0.75">
      <c r="A3837" s="65" t="s">
        <v>87</v>
      </c>
      <c r="B3837" s="140">
        <v>44952</v>
      </c>
      <c r="C3837" s="65">
        <v>1</v>
      </c>
      <c r="D3837" s="65" t="s">
        <v>201</v>
      </c>
      <c r="E3837" s="141">
        <f>27-23+8</f>
        <v>12</v>
      </c>
      <c r="F3837" s="65" t="s">
        <v>363</v>
      </c>
      <c r="G3837" s="65" t="s">
        <v>897</v>
      </c>
      <c r="K3837" s="65" t="s">
        <v>899</v>
      </c>
      <c r="L3837" t="s">
        <v>869</v>
      </c>
    </row>
    <row r="3838" spans="1:12" x14ac:dyDescent="0.75">
      <c r="A3838" t="s">
        <v>100</v>
      </c>
      <c r="B3838" s="3">
        <v>44952</v>
      </c>
      <c r="C3838">
        <v>1</v>
      </c>
      <c r="D3838" t="s">
        <v>197</v>
      </c>
      <c r="E3838" s="22">
        <f>4-0</f>
        <v>4</v>
      </c>
      <c r="F3838" t="s">
        <v>363</v>
      </c>
      <c r="G3838" t="s">
        <v>792</v>
      </c>
      <c r="I3838" s="116"/>
      <c r="J3838" s="116"/>
      <c r="K3838" s="66" t="s">
        <v>892</v>
      </c>
      <c r="L3838" t="s">
        <v>869</v>
      </c>
    </row>
    <row r="3839" spans="1:12" x14ac:dyDescent="0.75">
      <c r="A3839" t="s">
        <v>100</v>
      </c>
      <c r="B3839" s="3">
        <v>44952</v>
      </c>
      <c r="C3839">
        <v>1</v>
      </c>
      <c r="D3839" t="s">
        <v>207</v>
      </c>
      <c r="E3839" t="s">
        <v>363</v>
      </c>
      <c r="F3839" t="s">
        <v>363</v>
      </c>
      <c r="G3839" t="s">
        <v>792</v>
      </c>
      <c r="I3839" s="116"/>
      <c r="J3839" s="116"/>
      <c r="K3839" s="66" t="s">
        <v>900</v>
      </c>
      <c r="L3839" t="s">
        <v>869</v>
      </c>
    </row>
    <row r="3840" spans="1:12" x14ac:dyDescent="0.75">
      <c r="A3840" t="s">
        <v>100</v>
      </c>
      <c r="B3840" s="3">
        <v>44952</v>
      </c>
      <c r="C3840">
        <v>1</v>
      </c>
      <c r="D3840" t="s">
        <v>197</v>
      </c>
      <c r="E3840" s="22">
        <f>17+51-47</f>
        <v>21</v>
      </c>
      <c r="F3840" t="s">
        <v>363</v>
      </c>
      <c r="G3840" t="s">
        <v>361</v>
      </c>
      <c r="I3840" s="116"/>
      <c r="J3840" s="116"/>
      <c r="L3840" t="s">
        <v>869</v>
      </c>
    </row>
    <row r="3841" spans="1:12" x14ac:dyDescent="0.75">
      <c r="A3841" t="s">
        <v>100</v>
      </c>
      <c r="B3841" s="3">
        <v>44952</v>
      </c>
      <c r="C3841">
        <v>1</v>
      </c>
      <c r="D3841" t="s">
        <v>191</v>
      </c>
      <c r="E3841" s="22">
        <f>47-20</f>
        <v>27</v>
      </c>
      <c r="F3841" t="s">
        <v>363</v>
      </c>
      <c r="G3841" t="s">
        <v>361</v>
      </c>
      <c r="I3841" s="116"/>
      <c r="J3841" s="116"/>
      <c r="L3841" t="s">
        <v>869</v>
      </c>
    </row>
    <row r="3842" spans="1:12" x14ac:dyDescent="0.75">
      <c r="A3842" t="s">
        <v>100</v>
      </c>
      <c r="B3842" s="3">
        <v>44952</v>
      </c>
      <c r="C3842">
        <v>1</v>
      </c>
      <c r="D3842" t="s">
        <v>191</v>
      </c>
      <c r="E3842" s="22">
        <f>20-12</f>
        <v>8</v>
      </c>
      <c r="F3842" t="s">
        <v>363</v>
      </c>
      <c r="G3842" t="s">
        <v>361</v>
      </c>
      <c r="I3842" s="116"/>
      <c r="J3842" s="116"/>
      <c r="L3842" t="s">
        <v>869</v>
      </c>
    </row>
    <row r="3843" spans="1:12" x14ac:dyDescent="0.75">
      <c r="A3843" t="s">
        <v>100</v>
      </c>
      <c r="B3843" s="3">
        <v>44952</v>
      </c>
      <c r="C3843">
        <v>1</v>
      </c>
      <c r="D3843" t="s">
        <v>207</v>
      </c>
      <c r="E3843" s="22">
        <f>12-6</f>
        <v>6</v>
      </c>
      <c r="F3843" t="s">
        <v>363</v>
      </c>
      <c r="G3843" t="s">
        <v>361</v>
      </c>
      <c r="I3843" s="116"/>
      <c r="J3843" s="116"/>
      <c r="L3843" t="s">
        <v>869</v>
      </c>
    </row>
    <row r="3844" spans="1:12" x14ac:dyDescent="0.75">
      <c r="A3844" t="s">
        <v>100</v>
      </c>
      <c r="B3844" s="3">
        <v>44952</v>
      </c>
      <c r="C3844">
        <v>1</v>
      </c>
      <c r="D3844" t="s">
        <v>168</v>
      </c>
      <c r="E3844" s="22">
        <f>6-1</f>
        <v>5</v>
      </c>
      <c r="F3844" t="s">
        <v>363</v>
      </c>
      <c r="G3844" t="s">
        <v>361</v>
      </c>
      <c r="I3844" s="116"/>
      <c r="J3844" s="116"/>
      <c r="L3844" t="s">
        <v>869</v>
      </c>
    </row>
    <row r="3845" spans="1:12" x14ac:dyDescent="0.75">
      <c r="A3845" t="s">
        <v>100</v>
      </c>
      <c r="B3845" s="3">
        <v>44952</v>
      </c>
      <c r="C3845">
        <v>1</v>
      </c>
      <c r="D3845" t="s">
        <v>207</v>
      </c>
      <c r="E3845" s="22">
        <f>1-0</f>
        <v>1</v>
      </c>
      <c r="F3845" t="s">
        <v>363</v>
      </c>
      <c r="G3845" t="s">
        <v>361</v>
      </c>
      <c r="I3845" s="116"/>
      <c r="J3845" s="116"/>
      <c r="L3845" t="s">
        <v>869</v>
      </c>
    </row>
    <row r="3846" spans="1:12" x14ac:dyDescent="0.75">
      <c r="A3846" t="s">
        <v>100</v>
      </c>
      <c r="B3846" s="3">
        <v>44952</v>
      </c>
      <c r="C3846">
        <v>1</v>
      </c>
      <c r="D3846" t="s">
        <v>207</v>
      </c>
      <c r="E3846" s="22">
        <f>7-3</f>
        <v>4</v>
      </c>
      <c r="F3846" t="s">
        <v>363</v>
      </c>
      <c r="G3846" t="s">
        <v>792</v>
      </c>
      <c r="I3846" s="116"/>
      <c r="J3846" s="116"/>
      <c r="K3846" t="s">
        <v>901</v>
      </c>
      <c r="L3846" t="s">
        <v>869</v>
      </c>
    </row>
    <row r="3847" spans="1:12" x14ac:dyDescent="0.75">
      <c r="A3847" t="s">
        <v>100</v>
      </c>
      <c r="B3847" s="3">
        <v>44952</v>
      </c>
      <c r="C3847">
        <v>1</v>
      </c>
      <c r="D3847" t="s">
        <v>168</v>
      </c>
      <c r="E3847" s="22">
        <f>3-0</f>
        <v>3</v>
      </c>
      <c r="F3847" t="s">
        <v>363</v>
      </c>
      <c r="G3847" t="s">
        <v>792</v>
      </c>
      <c r="I3847" s="116"/>
      <c r="J3847" s="116"/>
      <c r="K3847" t="s">
        <v>901</v>
      </c>
      <c r="L3847" t="s">
        <v>869</v>
      </c>
    </row>
    <row r="3848" spans="1:12" x14ac:dyDescent="0.75">
      <c r="A3848" t="s">
        <v>100</v>
      </c>
      <c r="B3848" s="3">
        <v>44952</v>
      </c>
      <c r="C3848">
        <v>1</v>
      </c>
      <c r="D3848" t="s">
        <v>191</v>
      </c>
      <c r="E3848" s="22">
        <f>40-38</f>
        <v>2</v>
      </c>
      <c r="F3848" t="s">
        <v>363</v>
      </c>
      <c r="G3848" t="s">
        <v>792</v>
      </c>
      <c r="I3848" s="116"/>
      <c r="J3848" s="116"/>
      <c r="K3848" t="s">
        <v>901</v>
      </c>
      <c r="L3848" t="s">
        <v>869</v>
      </c>
    </row>
    <row r="3849" spans="1:12" x14ac:dyDescent="0.75">
      <c r="A3849" t="s">
        <v>100</v>
      </c>
      <c r="B3849" s="3">
        <v>44952</v>
      </c>
      <c r="C3849">
        <v>1</v>
      </c>
      <c r="D3849" t="s">
        <v>168</v>
      </c>
      <c r="E3849" s="22">
        <f>38-22</f>
        <v>16</v>
      </c>
      <c r="F3849" t="s">
        <v>363</v>
      </c>
      <c r="G3849" t="s">
        <v>792</v>
      </c>
      <c r="I3849" s="116"/>
      <c r="J3849" s="116"/>
      <c r="K3849" t="s">
        <v>901</v>
      </c>
      <c r="L3849" t="s">
        <v>869</v>
      </c>
    </row>
    <row r="3850" spans="1:12" x14ac:dyDescent="0.75">
      <c r="A3850" t="s">
        <v>100</v>
      </c>
      <c r="B3850" s="3">
        <v>44952</v>
      </c>
      <c r="C3850">
        <v>1</v>
      </c>
      <c r="D3850" t="s">
        <v>207</v>
      </c>
      <c r="E3850" s="22">
        <f>51-34</f>
        <v>17</v>
      </c>
      <c r="F3850" t="s">
        <v>363</v>
      </c>
      <c r="G3850" t="s">
        <v>792</v>
      </c>
      <c r="I3850" s="116"/>
      <c r="J3850" s="116"/>
      <c r="K3850" t="s">
        <v>901</v>
      </c>
      <c r="L3850" t="s">
        <v>869</v>
      </c>
    </row>
    <row r="3851" spans="1:12" x14ac:dyDescent="0.75">
      <c r="A3851" t="s">
        <v>100</v>
      </c>
      <c r="B3851" s="3">
        <v>44952</v>
      </c>
      <c r="C3851">
        <v>1</v>
      </c>
      <c r="D3851" t="s">
        <v>207</v>
      </c>
      <c r="E3851" s="22">
        <f>34-22</f>
        <v>12</v>
      </c>
      <c r="F3851" t="s">
        <v>363</v>
      </c>
      <c r="G3851" t="s">
        <v>792</v>
      </c>
      <c r="I3851" s="116"/>
      <c r="J3851" s="116"/>
      <c r="K3851" t="s">
        <v>901</v>
      </c>
      <c r="L3851" t="s">
        <v>869</v>
      </c>
    </row>
    <row r="3852" spans="1:12" x14ac:dyDescent="0.75">
      <c r="A3852" t="s">
        <v>100</v>
      </c>
      <c r="B3852" s="3">
        <v>44952</v>
      </c>
      <c r="C3852">
        <v>1</v>
      </c>
      <c r="D3852" t="s">
        <v>197</v>
      </c>
      <c r="E3852" s="22">
        <f>44-18</f>
        <v>26</v>
      </c>
      <c r="F3852" t="s">
        <v>363</v>
      </c>
      <c r="G3852" t="s">
        <v>869</v>
      </c>
      <c r="I3852" s="116"/>
      <c r="J3852" s="116"/>
      <c r="L3852" t="s">
        <v>869</v>
      </c>
    </row>
    <row r="3853" spans="1:12" x14ac:dyDescent="0.75">
      <c r="A3853" t="s">
        <v>100</v>
      </c>
      <c r="B3853" s="3">
        <v>44952</v>
      </c>
      <c r="C3853">
        <v>1</v>
      </c>
      <c r="D3853" t="s">
        <v>172</v>
      </c>
      <c r="E3853" s="22">
        <f>18-13</f>
        <v>5</v>
      </c>
      <c r="F3853" t="s">
        <v>363</v>
      </c>
      <c r="G3853" t="s">
        <v>869</v>
      </c>
      <c r="I3853" s="116"/>
      <c r="J3853" s="116"/>
      <c r="L3853" t="s">
        <v>869</v>
      </c>
    </row>
    <row r="3854" spans="1:12" x14ac:dyDescent="0.75">
      <c r="A3854" t="s">
        <v>100</v>
      </c>
      <c r="B3854" s="3">
        <v>44952</v>
      </c>
      <c r="C3854">
        <v>1</v>
      </c>
      <c r="D3854" t="s">
        <v>191</v>
      </c>
      <c r="E3854" s="22">
        <f>13-0</f>
        <v>13</v>
      </c>
      <c r="F3854" t="s">
        <v>363</v>
      </c>
      <c r="G3854" t="s">
        <v>869</v>
      </c>
      <c r="I3854" s="116"/>
      <c r="J3854" s="116"/>
      <c r="L3854" t="s">
        <v>869</v>
      </c>
    </row>
    <row r="3855" spans="1:12" x14ac:dyDescent="0.75">
      <c r="A3855" t="s">
        <v>100</v>
      </c>
      <c r="B3855" s="3">
        <v>44952</v>
      </c>
      <c r="C3855">
        <v>1</v>
      </c>
      <c r="D3855" t="s">
        <v>172</v>
      </c>
      <c r="E3855" s="22">
        <f>11+13-11</f>
        <v>13</v>
      </c>
      <c r="F3855" t="s">
        <v>363</v>
      </c>
      <c r="G3855" t="s">
        <v>869</v>
      </c>
      <c r="I3855" s="116"/>
      <c r="J3855" s="116"/>
      <c r="L3855" t="s">
        <v>869</v>
      </c>
    </row>
    <row r="3856" spans="1:12" x14ac:dyDescent="0.75">
      <c r="A3856" t="s">
        <v>100</v>
      </c>
      <c r="B3856" s="3">
        <v>44952</v>
      </c>
      <c r="C3856">
        <v>1</v>
      </c>
      <c r="D3856" t="s">
        <v>168</v>
      </c>
      <c r="E3856" s="22">
        <f>11-0</f>
        <v>11</v>
      </c>
      <c r="F3856" t="s">
        <v>363</v>
      </c>
      <c r="G3856" t="s">
        <v>869</v>
      </c>
      <c r="I3856" s="116"/>
      <c r="J3856" s="116"/>
      <c r="L3856" t="s">
        <v>869</v>
      </c>
    </row>
    <row r="3857" spans="1:12" x14ac:dyDescent="0.75">
      <c r="A3857" t="s">
        <v>100</v>
      </c>
      <c r="B3857" s="3">
        <v>44952</v>
      </c>
      <c r="C3857">
        <v>1</v>
      </c>
      <c r="D3857" t="s">
        <v>160</v>
      </c>
      <c r="E3857" s="22">
        <f>3-0</f>
        <v>3</v>
      </c>
      <c r="F3857" t="s">
        <v>363</v>
      </c>
      <c r="G3857" t="s">
        <v>869</v>
      </c>
      <c r="I3857" s="116"/>
      <c r="J3857" s="116"/>
      <c r="L3857" t="s">
        <v>869</v>
      </c>
    </row>
    <row r="3858" spans="1:12" x14ac:dyDescent="0.75">
      <c r="A3858" t="s">
        <v>100</v>
      </c>
      <c r="B3858" s="3">
        <v>44952</v>
      </c>
      <c r="C3858">
        <v>1</v>
      </c>
      <c r="D3858" t="s">
        <v>201</v>
      </c>
      <c r="E3858" s="22">
        <f>4-0</f>
        <v>4</v>
      </c>
      <c r="F3858" t="s">
        <v>363</v>
      </c>
      <c r="G3858" t="s">
        <v>869</v>
      </c>
      <c r="I3858" s="116"/>
      <c r="J3858" s="116"/>
      <c r="L3858" t="s">
        <v>869</v>
      </c>
    </row>
    <row r="3859" spans="1:12" x14ac:dyDescent="0.75">
      <c r="A3859" t="s">
        <v>100</v>
      </c>
      <c r="B3859" s="3">
        <v>44952</v>
      </c>
      <c r="C3859">
        <v>1</v>
      </c>
      <c r="D3859" t="s">
        <v>160</v>
      </c>
      <c r="E3859" s="22">
        <f>22-2+12</f>
        <v>32</v>
      </c>
      <c r="F3859" t="s">
        <v>363</v>
      </c>
      <c r="G3859" t="s">
        <v>897</v>
      </c>
      <c r="I3859" s="116"/>
      <c r="J3859" s="116"/>
      <c r="K3859" t="s">
        <v>902</v>
      </c>
      <c r="L3859" t="s">
        <v>869</v>
      </c>
    </row>
    <row r="3860" spans="1:12" x14ac:dyDescent="0.75">
      <c r="A3860" t="s">
        <v>100</v>
      </c>
      <c r="B3860" s="3">
        <v>44952</v>
      </c>
      <c r="C3860">
        <v>1</v>
      </c>
      <c r="D3860" t="s">
        <v>197</v>
      </c>
      <c r="E3860" s="22">
        <f>24-4+4</f>
        <v>24</v>
      </c>
      <c r="F3860" t="s">
        <v>363</v>
      </c>
      <c r="G3860" t="s">
        <v>897</v>
      </c>
      <c r="I3860" s="116"/>
      <c r="J3860" s="116"/>
      <c r="K3860" t="s">
        <v>849</v>
      </c>
      <c r="L3860" t="s">
        <v>869</v>
      </c>
    </row>
    <row r="3861" spans="1:12" s="65" customFormat="1" x14ac:dyDescent="0.75">
      <c r="A3861" s="65" t="s">
        <v>87</v>
      </c>
      <c r="B3861" s="140">
        <v>44971</v>
      </c>
      <c r="C3861" s="65">
        <v>1</v>
      </c>
      <c r="D3861" s="65" t="s">
        <v>168</v>
      </c>
      <c r="E3861" s="141">
        <f>41-22</f>
        <v>19</v>
      </c>
      <c r="F3861" s="65" t="s">
        <v>363</v>
      </c>
      <c r="G3861" s="65" t="s">
        <v>361</v>
      </c>
      <c r="L3861" t="s">
        <v>869</v>
      </c>
    </row>
    <row r="3862" spans="1:12" s="65" customFormat="1" x14ac:dyDescent="0.75">
      <c r="A3862" s="65" t="s">
        <v>87</v>
      </c>
      <c r="B3862" s="140">
        <v>44971</v>
      </c>
      <c r="C3862" s="65">
        <v>1</v>
      </c>
      <c r="D3862" s="65" t="s">
        <v>160</v>
      </c>
      <c r="E3862" s="141">
        <f>22-19</f>
        <v>3</v>
      </c>
      <c r="F3862" s="65">
        <v>119</v>
      </c>
      <c r="G3862" s="65" t="s">
        <v>361</v>
      </c>
      <c r="L3862" t="s">
        <v>869</v>
      </c>
    </row>
    <row r="3863" spans="1:12" s="65" customFormat="1" x14ac:dyDescent="0.75">
      <c r="A3863" s="65" t="s">
        <v>87</v>
      </c>
      <c r="B3863" s="140">
        <v>44971</v>
      </c>
      <c r="C3863" s="65">
        <v>1</v>
      </c>
      <c r="D3863" s="65" t="s">
        <v>207</v>
      </c>
      <c r="E3863" s="65" t="s">
        <v>363</v>
      </c>
      <c r="F3863" s="65" t="s">
        <v>363</v>
      </c>
      <c r="G3863" s="65" t="s">
        <v>792</v>
      </c>
      <c r="K3863" s="65" t="s">
        <v>903</v>
      </c>
      <c r="L3863" t="s">
        <v>869</v>
      </c>
    </row>
    <row r="3864" spans="1:12" s="65" customFormat="1" x14ac:dyDescent="0.75">
      <c r="A3864" s="65" t="s">
        <v>87</v>
      </c>
      <c r="B3864" s="140">
        <v>44971</v>
      </c>
      <c r="C3864" s="65">
        <v>1</v>
      </c>
      <c r="D3864" s="65" t="s">
        <v>191</v>
      </c>
      <c r="E3864" s="65" t="s">
        <v>363</v>
      </c>
      <c r="F3864" s="65" t="s">
        <v>363</v>
      </c>
      <c r="G3864" s="65" t="s">
        <v>792</v>
      </c>
      <c r="K3864" s="65" t="s">
        <v>903</v>
      </c>
      <c r="L3864" t="s">
        <v>869</v>
      </c>
    </row>
    <row r="3865" spans="1:12" s="65" customFormat="1" x14ac:dyDescent="0.75">
      <c r="A3865" s="65" t="s">
        <v>87</v>
      </c>
      <c r="B3865" s="140">
        <v>44971</v>
      </c>
      <c r="C3865" s="65">
        <v>1</v>
      </c>
      <c r="D3865" s="65" t="s">
        <v>168</v>
      </c>
      <c r="E3865" s="65" t="s">
        <v>363</v>
      </c>
      <c r="F3865" s="65" t="s">
        <v>363</v>
      </c>
      <c r="G3865" s="65" t="s">
        <v>792</v>
      </c>
      <c r="K3865" s="65" t="s">
        <v>903</v>
      </c>
      <c r="L3865" t="s">
        <v>869</v>
      </c>
    </row>
    <row r="3866" spans="1:12" s="65" customFormat="1" x14ac:dyDescent="0.75">
      <c r="A3866" s="65" t="s">
        <v>87</v>
      </c>
      <c r="B3866" s="140">
        <v>44971</v>
      </c>
      <c r="C3866" s="65">
        <v>1</v>
      </c>
      <c r="D3866" s="65" t="s">
        <v>207</v>
      </c>
      <c r="E3866" s="65" t="s">
        <v>363</v>
      </c>
      <c r="F3866" s="65" t="s">
        <v>363</v>
      </c>
      <c r="G3866" s="65" t="s">
        <v>792</v>
      </c>
      <c r="K3866" s="65" t="s">
        <v>903</v>
      </c>
      <c r="L3866" t="s">
        <v>869</v>
      </c>
    </row>
    <row r="3867" spans="1:12" x14ac:dyDescent="0.75">
      <c r="A3867" t="s">
        <v>87</v>
      </c>
      <c r="B3867" s="3">
        <v>44971</v>
      </c>
      <c r="C3867">
        <v>3</v>
      </c>
      <c r="D3867" t="s">
        <v>194</v>
      </c>
      <c r="E3867" s="22">
        <f>9+40-30</f>
        <v>19</v>
      </c>
      <c r="F3867" t="s">
        <v>363</v>
      </c>
      <c r="G3867" t="s">
        <v>361</v>
      </c>
      <c r="I3867" s="116"/>
      <c r="J3867" s="116"/>
      <c r="L3867" t="s">
        <v>869</v>
      </c>
    </row>
    <row r="3868" spans="1:12" x14ac:dyDescent="0.75">
      <c r="A3868" t="s">
        <v>87</v>
      </c>
      <c r="B3868" s="3">
        <v>44971</v>
      </c>
      <c r="C3868">
        <v>3</v>
      </c>
      <c r="D3868" t="s">
        <v>194</v>
      </c>
      <c r="E3868" s="22">
        <f>30-24</f>
        <v>6</v>
      </c>
      <c r="F3868" t="s">
        <v>363</v>
      </c>
      <c r="G3868" t="s">
        <v>361</v>
      </c>
      <c r="I3868" s="116"/>
      <c r="J3868" s="116"/>
      <c r="L3868" t="s">
        <v>869</v>
      </c>
    </row>
    <row r="3869" spans="1:12" x14ac:dyDescent="0.75">
      <c r="A3869" t="s">
        <v>87</v>
      </c>
      <c r="B3869" s="3">
        <v>44971</v>
      </c>
      <c r="C3869">
        <v>3</v>
      </c>
      <c r="D3869" t="s">
        <v>197</v>
      </c>
      <c r="E3869" t="s">
        <v>363</v>
      </c>
      <c r="F3869" t="s">
        <v>363</v>
      </c>
      <c r="G3869" t="s">
        <v>792</v>
      </c>
      <c r="I3869" s="116"/>
      <c r="J3869" s="116"/>
      <c r="K3869" t="s">
        <v>904</v>
      </c>
      <c r="L3869" t="s">
        <v>869</v>
      </c>
    </row>
    <row r="3870" spans="1:12" x14ac:dyDescent="0.75">
      <c r="A3870" t="s">
        <v>87</v>
      </c>
      <c r="B3870" s="3">
        <v>44971</v>
      </c>
      <c r="C3870">
        <v>3</v>
      </c>
      <c r="D3870" t="s">
        <v>153</v>
      </c>
      <c r="E3870" s="22">
        <f>14-9</f>
        <v>5</v>
      </c>
      <c r="F3870" t="s">
        <v>363</v>
      </c>
      <c r="G3870" t="s">
        <v>792</v>
      </c>
      <c r="I3870" s="116"/>
      <c r="J3870" s="116"/>
      <c r="K3870" t="s">
        <v>905</v>
      </c>
      <c r="L3870" t="s">
        <v>869</v>
      </c>
    </row>
    <row r="3871" spans="1:12" x14ac:dyDescent="0.75">
      <c r="A3871" t="s">
        <v>87</v>
      </c>
      <c r="B3871" s="3">
        <v>44971</v>
      </c>
      <c r="C3871">
        <v>3</v>
      </c>
      <c r="D3871" t="s">
        <v>197</v>
      </c>
      <c r="E3871" s="22">
        <f>9-6</f>
        <v>3</v>
      </c>
      <c r="F3871" t="s">
        <v>363</v>
      </c>
      <c r="G3871" t="s">
        <v>792</v>
      </c>
      <c r="I3871" s="116"/>
      <c r="J3871" s="116"/>
      <c r="K3871" t="s">
        <v>905</v>
      </c>
      <c r="L3871" t="s">
        <v>869</v>
      </c>
    </row>
    <row r="3872" spans="1:12" x14ac:dyDescent="0.75">
      <c r="A3872" t="s">
        <v>87</v>
      </c>
      <c r="B3872" s="3">
        <v>44971</v>
      </c>
      <c r="C3872">
        <v>3</v>
      </c>
      <c r="D3872" t="s">
        <v>197</v>
      </c>
      <c r="E3872" s="22">
        <f>6+35-29</f>
        <v>12</v>
      </c>
      <c r="F3872" t="s">
        <v>363</v>
      </c>
      <c r="G3872" t="s">
        <v>792</v>
      </c>
      <c r="I3872" s="116"/>
      <c r="J3872" s="116"/>
      <c r="K3872" t="s">
        <v>905</v>
      </c>
      <c r="L3872" t="s">
        <v>869</v>
      </c>
    </row>
    <row r="3873" spans="1:12" x14ac:dyDescent="0.75">
      <c r="A3873" t="s">
        <v>87</v>
      </c>
      <c r="B3873" s="3">
        <v>44971</v>
      </c>
      <c r="C3873">
        <v>3</v>
      </c>
      <c r="D3873" t="s">
        <v>197</v>
      </c>
      <c r="E3873" s="22">
        <f>29-11</f>
        <v>18</v>
      </c>
      <c r="F3873" t="s">
        <v>363</v>
      </c>
      <c r="G3873" t="s">
        <v>792</v>
      </c>
      <c r="I3873" s="116"/>
      <c r="J3873" s="116"/>
      <c r="K3873" t="s">
        <v>905</v>
      </c>
      <c r="L3873" t="s">
        <v>869</v>
      </c>
    </row>
    <row r="3874" spans="1:12" x14ac:dyDescent="0.75">
      <c r="A3874" t="s">
        <v>87</v>
      </c>
      <c r="B3874" s="3">
        <v>44971</v>
      </c>
      <c r="C3874">
        <v>3</v>
      </c>
      <c r="D3874" t="s">
        <v>191</v>
      </c>
      <c r="E3874" s="22">
        <f>11</f>
        <v>11</v>
      </c>
      <c r="F3874" t="s">
        <v>363</v>
      </c>
      <c r="G3874" t="s">
        <v>792</v>
      </c>
      <c r="I3874" s="116"/>
      <c r="J3874" s="116"/>
      <c r="K3874" t="s">
        <v>905</v>
      </c>
      <c r="L3874" t="s">
        <v>869</v>
      </c>
    </row>
    <row r="3875" spans="1:12" x14ac:dyDescent="0.75">
      <c r="A3875" t="s">
        <v>87</v>
      </c>
      <c r="B3875" s="3">
        <v>44971</v>
      </c>
      <c r="C3875">
        <v>3</v>
      </c>
      <c r="D3875" t="s">
        <v>194</v>
      </c>
      <c r="E3875" s="22">
        <f>44-26</f>
        <v>18</v>
      </c>
      <c r="F3875" t="s">
        <v>363</v>
      </c>
      <c r="G3875" t="s">
        <v>792</v>
      </c>
      <c r="I3875" s="116"/>
      <c r="J3875" s="116"/>
      <c r="K3875" t="s">
        <v>905</v>
      </c>
      <c r="L3875" t="s">
        <v>869</v>
      </c>
    </row>
    <row r="3876" spans="1:12" s="65" customFormat="1" x14ac:dyDescent="0.75">
      <c r="A3876" s="65" t="s">
        <v>87</v>
      </c>
      <c r="B3876" s="140">
        <v>44971</v>
      </c>
      <c r="C3876" s="65">
        <v>4</v>
      </c>
      <c r="D3876" s="65" t="s">
        <v>160</v>
      </c>
      <c r="E3876" s="141">
        <f>30-22</f>
        <v>8</v>
      </c>
      <c r="F3876" s="65" t="s">
        <v>363</v>
      </c>
      <c r="G3876" s="65" t="s">
        <v>869</v>
      </c>
      <c r="K3876" s="65" t="s">
        <v>906</v>
      </c>
      <c r="L3876" t="s">
        <v>869</v>
      </c>
    </row>
    <row r="3877" spans="1:12" s="65" customFormat="1" x14ac:dyDescent="0.75">
      <c r="A3877" s="65" t="s">
        <v>87</v>
      </c>
      <c r="B3877" s="140">
        <v>44971</v>
      </c>
      <c r="C3877" s="65">
        <v>4</v>
      </c>
      <c r="D3877" s="65" t="s">
        <v>197</v>
      </c>
      <c r="E3877" s="141">
        <f>47-41</f>
        <v>6</v>
      </c>
      <c r="F3877" s="65" t="s">
        <v>363</v>
      </c>
      <c r="G3877" s="65" t="s">
        <v>869</v>
      </c>
      <c r="L3877" t="s">
        <v>869</v>
      </c>
    </row>
    <row r="3878" spans="1:12" s="65" customFormat="1" x14ac:dyDescent="0.75">
      <c r="A3878" s="65" t="s">
        <v>87</v>
      </c>
      <c r="B3878" s="140">
        <v>44971</v>
      </c>
      <c r="C3878" s="65">
        <v>4</v>
      </c>
      <c r="D3878" s="65" t="s">
        <v>201</v>
      </c>
      <c r="E3878" s="141">
        <f>22-12</f>
        <v>10</v>
      </c>
      <c r="F3878" s="65" t="s">
        <v>363</v>
      </c>
      <c r="G3878" s="65" t="s">
        <v>869</v>
      </c>
      <c r="L3878" t="s">
        <v>869</v>
      </c>
    </row>
    <row r="3879" spans="1:12" x14ac:dyDescent="0.75">
      <c r="A3879" t="s">
        <v>28</v>
      </c>
      <c r="B3879" s="3">
        <v>44971</v>
      </c>
      <c r="C3879">
        <v>1</v>
      </c>
      <c r="D3879" t="s">
        <v>207</v>
      </c>
      <c r="E3879" t="s">
        <v>363</v>
      </c>
      <c r="F3879" t="s">
        <v>363</v>
      </c>
      <c r="G3879" t="s">
        <v>897</v>
      </c>
      <c r="I3879" s="116"/>
      <c r="J3879" s="116"/>
      <c r="K3879" t="s">
        <v>907</v>
      </c>
      <c r="L3879" t="s">
        <v>869</v>
      </c>
    </row>
    <row r="3880" spans="1:12" x14ac:dyDescent="0.75">
      <c r="A3880" t="s">
        <v>28</v>
      </c>
      <c r="B3880" s="3">
        <v>44971</v>
      </c>
      <c r="C3880">
        <v>1</v>
      </c>
      <c r="D3880" t="s">
        <v>207</v>
      </c>
      <c r="E3880" s="22">
        <f>46-44</f>
        <v>2</v>
      </c>
      <c r="F3880" t="s">
        <v>363</v>
      </c>
      <c r="G3880" t="s">
        <v>897</v>
      </c>
      <c r="I3880" s="116"/>
      <c r="J3880" s="116"/>
      <c r="K3880" t="s">
        <v>908</v>
      </c>
      <c r="L3880" t="s">
        <v>869</v>
      </c>
    </row>
    <row r="3881" spans="1:12" x14ac:dyDescent="0.75">
      <c r="A3881" t="s">
        <v>28</v>
      </c>
      <c r="B3881" s="3">
        <v>44971</v>
      </c>
      <c r="C3881">
        <v>1</v>
      </c>
      <c r="D3881" t="s">
        <v>207</v>
      </c>
      <c r="E3881" s="22">
        <f>44-6</f>
        <v>38</v>
      </c>
      <c r="F3881" t="s">
        <v>363</v>
      </c>
      <c r="G3881" t="s">
        <v>897</v>
      </c>
      <c r="I3881" s="116"/>
      <c r="J3881" s="116"/>
      <c r="K3881" t="s">
        <v>908</v>
      </c>
      <c r="L3881" t="s">
        <v>869</v>
      </c>
    </row>
    <row r="3882" spans="1:12" x14ac:dyDescent="0.75">
      <c r="A3882" t="s">
        <v>28</v>
      </c>
      <c r="B3882" s="3">
        <v>44971</v>
      </c>
      <c r="C3882">
        <v>1</v>
      </c>
      <c r="D3882" t="s">
        <v>207</v>
      </c>
      <c r="E3882" s="22">
        <f>12-10</f>
        <v>2</v>
      </c>
      <c r="F3882" t="s">
        <v>363</v>
      </c>
      <c r="G3882" t="s">
        <v>897</v>
      </c>
      <c r="I3882" s="116"/>
      <c r="J3882" s="116"/>
      <c r="K3882" t="s">
        <v>908</v>
      </c>
      <c r="L3882" t="s">
        <v>869</v>
      </c>
    </row>
    <row r="3883" spans="1:12" s="65" customFormat="1" x14ac:dyDescent="0.75">
      <c r="A3883" s="65" t="s">
        <v>48</v>
      </c>
      <c r="B3883" s="140">
        <v>44972</v>
      </c>
      <c r="C3883" s="65">
        <v>1</v>
      </c>
      <c r="D3883" s="65" t="s">
        <v>168</v>
      </c>
      <c r="E3883" s="141">
        <f>36-31</f>
        <v>5</v>
      </c>
      <c r="F3883" s="65" t="s">
        <v>363</v>
      </c>
      <c r="G3883" s="65" t="s">
        <v>733</v>
      </c>
      <c r="L3883" t="s">
        <v>869</v>
      </c>
    </row>
    <row r="3884" spans="1:12" s="65" customFormat="1" x14ac:dyDescent="0.75">
      <c r="A3884" s="65" t="s">
        <v>48</v>
      </c>
      <c r="B3884" s="140">
        <v>44972</v>
      </c>
      <c r="C3884" s="65">
        <v>1</v>
      </c>
      <c r="D3884" s="65" t="s">
        <v>153</v>
      </c>
      <c r="E3884" s="141">
        <f>31-26</f>
        <v>5</v>
      </c>
      <c r="F3884" s="65" t="s">
        <v>363</v>
      </c>
      <c r="G3884" s="65" t="s">
        <v>733</v>
      </c>
      <c r="L3884" t="s">
        <v>869</v>
      </c>
    </row>
    <row r="3885" spans="1:12" x14ac:dyDescent="0.75">
      <c r="A3885" t="s">
        <v>44</v>
      </c>
      <c r="B3885" s="3">
        <v>44972</v>
      </c>
      <c r="C3885">
        <v>1</v>
      </c>
      <c r="D3885" t="s">
        <v>168</v>
      </c>
      <c r="E3885" s="22">
        <f>26+51-28</f>
        <v>49</v>
      </c>
      <c r="F3885" t="s">
        <v>363</v>
      </c>
      <c r="G3885" t="s">
        <v>733</v>
      </c>
      <c r="I3885" s="116"/>
      <c r="J3885" s="116"/>
      <c r="L3885" t="s">
        <v>869</v>
      </c>
    </row>
    <row r="3886" spans="1:12" x14ac:dyDescent="0.75">
      <c r="A3886" t="s">
        <v>44</v>
      </c>
      <c r="B3886" s="3">
        <v>44972</v>
      </c>
      <c r="C3886">
        <v>1</v>
      </c>
      <c r="D3886" t="s">
        <v>164</v>
      </c>
      <c r="E3886" s="22">
        <f>24+58-27</f>
        <v>55</v>
      </c>
      <c r="F3886" t="s">
        <v>363</v>
      </c>
      <c r="G3886" t="s">
        <v>733</v>
      </c>
      <c r="I3886" s="116"/>
      <c r="J3886" s="116"/>
      <c r="L3886" t="s">
        <v>869</v>
      </c>
    </row>
    <row r="3887" spans="1:12" x14ac:dyDescent="0.75">
      <c r="A3887" t="s">
        <v>44</v>
      </c>
      <c r="B3887" s="3">
        <v>44972</v>
      </c>
      <c r="C3887">
        <v>1</v>
      </c>
      <c r="D3887" t="s">
        <v>168</v>
      </c>
      <c r="E3887" s="22">
        <f>46-40</f>
        <v>6</v>
      </c>
      <c r="F3887" t="s">
        <v>363</v>
      </c>
      <c r="G3887" t="s">
        <v>361</v>
      </c>
      <c r="I3887" s="116"/>
      <c r="J3887" s="116"/>
      <c r="L3887" t="s">
        <v>869</v>
      </c>
    </row>
    <row r="3888" spans="1:12" s="65" customFormat="1" x14ac:dyDescent="0.75">
      <c r="A3888" s="65" t="s">
        <v>60</v>
      </c>
      <c r="B3888" s="140">
        <v>44972</v>
      </c>
      <c r="C3888" s="65">
        <v>1</v>
      </c>
      <c r="D3888" s="65" t="s">
        <v>201</v>
      </c>
      <c r="E3888" s="141">
        <f>43-20</f>
        <v>23</v>
      </c>
      <c r="F3888" s="65" t="s">
        <v>363</v>
      </c>
      <c r="G3888" s="65" t="s">
        <v>733</v>
      </c>
      <c r="L3888" t="s">
        <v>869</v>
      </c>
    </row>
    <row r="3889" spans="1:12" x14ac:dyDescent="0.75">
      <c r="A3889" t="s">
        <v>60</v>
      </c>
      <c r="B3889" s="3">
        <v>44972</v>
      </c>
      <c r="C3889">
        <v>2</v>
      </c>
      <c r="D3889" t="s">
        <v>160</v>
      </c>
      <c r="E3889">
        <v>4</v>
      </c>
      <c r="F3889">
        <v>112</v>
      </c>
      <c r="G3889" t="s">
        <v>733</v>
      </c>
      <c r="K3889" t="s">
        <v>909</v>
      </c>
      <c r="L3889" t="s">
        <v>869</v>
      </c>
    </row>
    <row r="3890" spans="1:12" s="65" customFormat="1" x14ac:dyDescent="0.75">
      <c r="A3890" s="65" t="s">
        <v>23</v>
      </c>
      <c r="B3890" s="140">
        <v>44973</v>
      </c>
      <c r="C3890" s="65">
        <v>1</v>
      </c>
      <c r="D3890" s="65" t="s">
        <v>153</v>
      </c>
      <c r="E3890" s="141">
        <f>41-28</f>
        <v>13</v>
      </c>
      <c r="F3890" s="65" t="s">
        <v>363</v>
      </c>
      <c r="G3890" s="65" t="s">
        <v>733</v>
      </c>
      <c r="L3890" t="s">
        <v>869</v>
      </c>
    </row>
    <row r="3891" spans="1:12" s="65" customFormat="1" x14ac:dyDescent="0.75">
      <c r="A3891" s="65" t="s">
        <v>23</v>
      </c>
      <c r="B3891" s="140">
        <v>44973</v>
      </c>
      <c r="C3891" s="65">
        <v>1</v>
      </c>
      <c r="D3891" s="65" t="s">
        <v>207</v>
      </c>
      <c r="E3891" s="141">
        <f>48-46</f>
        <v>2</v>
      </c>
      <c r="F3891" s="65" t="s">
        <v>363</v>
      </c>
      <c r="G3891" s="65" t="s">
        <v>869</v>
      </c>
      <c r="L3891" t="s">
        <v>869</v>
      </c>
    </row>
    <row r="3892" spans="1:12" s="65" customFormat="1" x14ac:dyDescent="0.75">
      <c r="A3892" s="65" t="s">
        <v>23</v>
      </c>
      <c r="B3892" s="140">
        <v>44973</v>
      </c>
      <c r="C3892" s="65">
        <v>1</v>
      </c>
      <c r="D3892" s="65" t="s">
        <v>194</v>
      </c>
      <c r="E3892" s="141">
        <f>46-44</f>
        <v>2</v>
      </c>
      <c r="F3892" s="65" t="s">
        <v>363</v>
      </c>
      <c r="G3892" s="65" t="s">
        <v>869</v>
      </c>
      <c r="L3892" t="s">
        <v>869</v>
      </c>
    </row>
    <row r="3893" spans="1:12" s="65" customFormat="1" x14ac:dyDescent="0.75">
      <c r="A3893" s="65" t="s">
        <v>23</v>
      </c>
      <c r="B3893" s="140">
        <v>44973</v>
      </c>
      <c r="C3893" s="65">
        <v>1</v>
      </c>
      <c r="D3893" s="65" t="s">
        <v>207</v>
      </c>
      <c r="E3893" s="141">
        <f>44-34</f>
        <v>10</v>
      </c>
      <c r="F3893" s="65" t="s">
        <v>363</v>
      </c>
      <c r="G3893" s="65" t="s">
        <v>869</v>
      </c>
      <c r="L3893" t="s">
        <v>869</v>
      </c>
    </row>
    <row r="3894" spans="1:12" s="65" customFormat="1" x14ac:dyDescent="0.75">
      <c r="A3894" s="65" t="s">
        <v>23</v>
      </c>
      <c r="B3894" s="140">
        <v>44973</v>
      </c>
      <c r="C3894" s="65">
        <v>1</v>
      </c>
      <c r="D3894" s="65" t="s">
        <v>201</v>
      </c>
      <c r="E3894" s="141">
        <f>34-26</f>
        <v>8</v>
      </c>
      <c r="F3894" s="65" t="s">
        <v>363</v>
      </c>
      <c r="G3894" s="65" t="s">
        <v>869</v>
      </c>
      <c r="L3894" t="s">
        <v>869</v>
      </c>
    </row>
    <row r="3895" spans="1:12" s="65" customFormat="1" x14ac:dyDescent="0.75">
      <c r="A3895" s="65" t="s">
        <v>23</v>
      </c>
      <c r="B3895" s="140">
        <v>44973</v>
      </c>
      <c r="C3895" s="65">
        <v>1</v>
      </c>
      <c r="D3895" s="65" t="s">
        <v>197</v>
      </c>
      <c r="E3895" s="141">
        <f>26-24</f>
        <v>2</v>
      </c>
      <c r="F3895" s="65" t="s">
        <v>363</v>
      </c>
      <c r="G3895" s="65" t="s">
        <v>869</v>
      </c>
      <c r="L3895" t="s">
        <v>869</v>
      </c>
    </row>
    <row r="3896" spans="1:12" s="65" customFormat="1" x14ac:dyDescent="0.75">
      <c r="A3896" s="65" t="s">
        <v>23</v>
      </c>
      <c r="B3896" s="140">
        <v>44973</v>
      </c>
      <c r="C3896" s="65">
        <v>1</v>
      </c>
      <c r="D3896" s="65" t="s">
        <v>197</v>
      </c>
      <c r="E3896" s="141">
        <f>23-18</f>
        <v>5</v>
      </c>
      <c r="F3896" s="65" t="s">
        <v>363</v>
      </c>
      <c r="G3896" s="65" t="s">
        <v>869</v>
      </c>
      <c r="L3896" t="s">
        <v>869</v>
      </c>
    </row>
    <row r="3897" spans="1:12" s="65" customFormat="1" x14ac:dyDescent="0.75">
      <c r="A3897" s="65" t="s">
        <v>23</v>
      </c>
      <c r="B3897" s="140">
        <v>44973</v>
      </c>
      <c r="C3897" s="65">
        <v>1</v>
      </c>
      <c r="D3897" s="65" t="s">
        <v>201</v>
      </c>
      <c r="E3897" s="141">
        <f>18-13</f>
        <v>5</v>
      </c>
      <c r="F3897" s="65" t="s">
        <v>363</v>
      </c>
      <c r="G3897" s="65" t="s">
        <v>869</v>
      </c>
      <c r="L3897" t="s">
        <v>869</v>
      </c>
    </row>
    <row r="3898" spans="1:12" x14ac:dyDescent="0.75">
      <c r="A3898" t="s">
        <v>23</v>
      </c>
      <c r="B3898" s="3">
        <v>44973</v>
      </c>
      <c r="C3898">
        <v>2</v>
      </c>
      <c r="D3898" t="s">
        <v>194</v>
      </c>
      <c r="E3898" t="s">
        <v>363</v>
      </c>
      <c r="F3898" t="s">
        <v>363</v>
      </c>
      <c r="G3898" t="s">
        <v>733</v>
      </c>
      <c r="I3898" s="116"/>
      <c r="J3898" s="116"/>
      <c r="K3898" t="s">
        <v>910</v>
      </c>
      <c r="L3898" t="s">
        <v>869</v>
      </c>
    </row>
    <row r="3899" spans="1:12" x14ac:dyDescent="0.75">
      <c r="A3899" t="s">
        <v>23</v>
      </c>
      <c r="B3899" s="3">
        <v>44973</v>
      </c>
      <c r="C3899">
        <v>2</v>
      </c>
      <c r="D3899" t="s">
        <v>197</v>
      </c>
      <c r="E3899" s="22">
        <f>17-9</f>
        <v>8</v>
      </c>
      <c r="F3899" t="s">
        <v>363</v>
      </c>
      <c r="G3899" t="s">
        <v>361</v>
      </c>
      <c r="I3899" s="116"/>
      <c r="J3899" s="116"/>
      <c r="L3899" t="s">
        <v>869</v>
      </c>
    </row>
    <row r="3900" spans="1:12" x14ac:dyDescent="0.75">
      <c r="A3900" t="s">
        <v>23</v>
      </c>
      <c r="B3900" s="3">
        <v>44973</v>
      </c>
      <c r="C3900">
        <v>2</v>
      </c>
      <c r="D3900" t="s">
        <v>197</v>
      </c>
      <c r="E3900" s="22">
        <f>49-46</f>
        <v>3</v>
      </c>
      <c r="F3900" t="s">
        <v>363</v>
      </c>
      <c r="G3900" t="s">
        <v>792</v>
      </c>
      <c r="I3900" s="116"/>
      <c r="J3900" s="116"/>
      <c r="K3900" t="s">
        <v>905</v>
      </c>
      <c r="L3900" t="s">
        <v>869</v>
      </c>
    </row>
    <row r="3901" spans="1:12" x14ac:dyDescent="0.75">
      <c r="A3901" t="s">
        <v>23</v>
      </c>
      <c r="B3901" s="3">
        <v>44973</v>
      </c>
      <c r="C3901">
        <v>2</v>
      </c>
      <c r="D3901" t="s">
        <v>207</v>
      </c>
      <c r="E3901" s="22">
        <f>46-26</f>
        <v>20</v>
      </c>
      <c r="F3901" t="s">
        <v>363</v>
      </c>
      <c r="G3901" t="s">
        <v>792</v>
      </c>
      <c r="I3901" s="116"/>
      <c r="J3901" s="116"/>
      <c r="K3901" t="s">
        <v>905</v>
      </c>
      <c r="L3901" t="s">
        <v>869</v>
      </c>
    </row>
    <row r="3902" spans="1:12" x14ac:dyDescent="0.75">
      <c r="A3902" t="s">
        <v>23</v>
      </c>
      <c r="B3902" s="3">
        <v>44973</v>
      </c>
      <c r="C3902">
        <v>2</v>
      </c>
      <c r="D3902" t="s">
        <v>201</v>
      </c>
      <c r="E3902" s="22">
        <f>1</f>
        <v>1</v>
      </c>
      <c r="F3902" t="s">
        <v>363</v>
      </c>
      <c r="G3902" t="s">
        <v>869</v>
      </c>
      <c r="I3902" s="116"/>
      <c r="J3902" s="116"/>
      <c r="L3902" t="s">
        <v>869</v>
      </c>
    </row>
    <row r="3903" spans="1:12" x14ac:dyDescent="0.75">
      <c r="A3903" t="s">
        <v>23</v>
      </c>
      <c r="B3903" s="3">
        <v>44973</v>
      </c>
      <c r="C3903">
        <v>2</v>
      </c>
      <c r="D3903" t="s">
        <v>207</v>
      </c>
      <c r="E3903" s="22">
        <f>13-12</f>
        <v>1</v>
      </c>
      <c r="F3903" t="s">
        <v>363</v>
      </c>
      <c r="G3903" t="s">
        <v>869</v>
      </c>
      <c r="I3903" s="116"/>
      <c r="J3903" s="116"/>
      <c r="L3903" t="s">
        <v>869</v>
      </c>
    </row>
    <row r="3904" spans="1:12" x14ac:dyDescent="0.75">
      <c r="A3904" t="s">
        <v>23</v>
      </c>
      <c r="B3904" s="3">
        <v>44973</v>
      </c>
      <c r="C3904">
        <v>2</v>
      </c>
      <c r="D3904" t="s">
        <v>207</v>
      </c>
      <c r="E3904" s="22">
        <f>12-0</f>
        <v>12</v>
      </c>
      <c r="F3904" t="s">
        <v>363</v>
      </c>
      <c r="G3904" t="s">
        <v>869</v>
      </c>
      <c r="I3904" s="116"/>
      <c r="J3904" s="116"/>
      <c r="L3904" t="s">
        <v>869</v>
      </c>
    </row>
    <row r="3905" spans="1:12" x14ac:dyDescent="0.75">
      <c r="A3905" t="s">
        <v>23</v>
      </c>
      <c r="B3905" s="3">
        <v>44973</v>
      </c>
      <c r="C3905">
        <v>2</v>
      </c>
      <c r="D3905" t="s">
        <v>207</v>
      </c>
      <c r="E3905" s="22">
        <f>10-0</f>
        <v>10</v>
      </c>
      <c r="F3905" t="s">
        <v>363</v>
      </c>
      <c r="G3905" t="s">
        <v>869</v>
      </c>
      <c r="I3905" s="116"/>
      <c r="J3905" s="116"/>
      <c r="L3905" t="s">
        <v>869</v>
      </c>
    </row>
    <row r="3906" spans="1:12" x14ac:dyDescent="0.75">
      <c r="A3906" t="s">
        <v>23</v>
      </c>
      <c r="B3906" s="3">
        <v>44973</v>
      </c>
      <c r="C3906">
        <v>2</v>
      </c>
      <c r="D3906" t="s">
        <v>191</v>
      </c>
      <c r="E3906" s="22">
        <f>39-32</f>
        <v>7</v>
      </c>
      <c r="F3906" t="s">
        <v>363</v>
      </c>
      <c r="G3906" t="s">
        <v>869</v>
      </c>
      <c r="I3906" s="116"/>
      <c r="J3906" s="116"/>
      <c r="L3906" t="s">
        <v>869</v>
      </c>
    </row>
    <row r="3907" spans="1:12" x14ac:dyDescent="0.75">
      <c r="A3907" t="s">
        <v>23</v>
      </c>
      <c r="B3907" s="3">
        <v>44973</v>
      </c>
      <c r="C3907">
        <v>2</v>
      </c>
      <c r="D3907" t="s">
        <v>207</v>
      </c>
      <c r="E3907" s="22">
        <f>32-28</f>
        <v>4</v>
      </c>
      <c r="F3907" t="s">
        <v>363</v>
      </c>
      <c r="G3907" t="s">
        <v>869</v>
      </c>
      <c r="I3907" s="116"/>
      <c r="J3907" s="116"/>
      <c r="L3907" t="s">
        <v>869</v>
      </c>
    </row>
    <row r="3908" spans="1:12" x14ac:dyDescent="0.75">
      <c r="A3908" t="s">
        <v>23</v>
      </c>
      <c r="B3908" s="3">
        <v>44973</v>
      </c>
      <c r="C3908">
        <v>2</v>
      </c>
      <c r="D3908" t="s">
        <v>191</v>
      </c>
      <c r="E3908" s="22">
        <f>28-26</f>
        <v>2</v>
      </c>
      <c r="F3908" t="s">
        <v>363</v>
      </c>
      <c r="G3908" t="s">
        <v>869</v>
      </c>
      <c r="I3908" s="116"/>
      <c r="J3908" s="116"/>
      <c r="L3908" t="s">
        <v>869</v>
      </c>
    </row>
    <row r="3909" spans="1:12" s="65" customFormat="1" x14ac:dyDescent="0.75">
      <c r="A3909" s="65" t="s">
        <v>64</v>
      </c>
      <c r="B3909" s="140">
        <v>44973</v>
      </c>
      <c r="C3909" s="65">
        <v>1</v>
      </c>
      <c r="D3909" s="65" t="s">
        <v>207</v>
      </c>
      <c r="E3909" s="141">
        <f>53-50</f>
        <v>3</v>
      </c>
      <c r="F3909" s="65" t="s">
        <v>363</v>
      </c>
      <c r="G3909" s="65" t="s">
        <v>869</v>
      </c>
      <c r="L3909" t="s">
        <v>869</v>
      </c>
    </row>
    <row r="3910" spans="1:12" x14ac:dyDescent="0.75">
      <c r="A3910" t="s">
        <v>64</v>
      </c>
      <c r="B3910" s="3">
        <v>44973</v>
      </c>
      <c r="C3910">
        <v>2</v>
      </c>
      <c r="D3910" t="s">
        <v>160</v>
      </c>
      <c r="E3910" s="22">
        <f>23-14</f>
        <v>9</v>
      </c>
      <c r="F3910" t="s">
        <v>363</v>
      </c>
      <c r="G3910" t="s">
        <v>733</v>
      </c>
      <c r="I3910" s="116"/>
      <c r="J3910" s="116"/>
      <c r="K3910" t="s">
        <v>911</v>
      </c>
      <c r="L3910" t="s">
        <v>869</v>
      </c>
    </row>
    <row r="3911" spans="1:12" x14ac:dyDescent="0.75">
      <c r="A3911" t="s">
        <v>64</v>
      </c>
      <c r="B3911" s="3">
        <v>44973</v>
      </c>
      <c r="C3911">
        <v>2</v>
      </c>
      <c r="D3911" t="s">
        <v>207</v>
      </c>
      <c r="E3911" s="22">
        <f>51-5</f>
        <v>46</v>
      </c>
      <c r="F3911" t="s">
        <v>363</v>
      </c>
      <c r="G3911" t="s">
        <v>869</v>
      </c>
      <c r="I3911" s="116"/>
      <c r="J3911" s="116"/>
      <c r="L3911" t="s">
        <v>869</v>
      </c>
    </row>
    <row r="3912" spans="1:12" x14ac:dyDescent="0.75">
      <c r="A3912" t="s">
        <v>64</v>
      </c>
      <c r="B3912" s="3">
        <v>44973</v>
      </c>
      <c r="C3912">
        <v>2</v>
      </c>
      <c r="D3912" t="s">
        <v>160</v>
      </c>
      <c r="E3912" s="22">
        <f>27-24</f>
        <v>3</v>
      </c>
      <c r="F3912" t="s">
        <v>363</v>
      </c>
      <c r="G3912" t="s">
        <v>869</v>
      </c>
      <c r="I3912" s="116"/>
      <c r="J3912" s="116"/>
      <c r="L3912" t="s">
        <v>869</v>
      </c>
    </row>
    <row r="3913" spans="1:12" s="65" customFormat="1" x14ac:dyDescent="0.75">
      <c r="A3913" s="65" t="s">
        <v>23</v>
      </c>
      <c r="B3913" s="140">
        <v>44978</v>
      </c>
      <c r="C3913" s="65">
        <v>1</v>
      </c>
      <c r="D3913" s="65" t="s">
        <v>197</v>
      </c>
      <c r="E3913" s="141">
        <f>55-50</f>
        <v>5</v>
      </c>
      <c r="F3913" s="65" t="s">
        <v>363</v>
      </c>
      <c r="G3913" s="65" t="s">
        <v>869</v>
      </c>
      <c r="L3913" t="s">
        <v>869</v>
      </c>
    </row>
    <row r="3914" spans="1:12" s="65" customFormat="1" x14ac:dyDescent="0.75">
      <c r="A3914" s="65" t="s">
        <v>23</v>
      </c>
      <c r="B3914" s="140">
        <v>44978</v>
      </c>
      <c r="C3914" s="65">
        <v>1</v>
      </c>
      <c r="D3914" s="65" t="s">
        <v>194</v>
      </c>
      <c r="E3914" s="141">
        <f>50-46</f>
        <v>4</v>
      </c>
      <c r="F3914" s="65" t="s">
        <v>363</v>
      </c>
      <c r="G3914" s="65" t="s">
        <v>869</v>
      </c>
      <c r="L3914" t="s">
        <v>869</v>
      </c>
    </row>
    <row r="3915" spans="1:12" s="65" customFormat="1" x14ac:dyDescent="0.75">
      <c r="A3915" s="65" t="s">
        <v>23</v>
      </c>
      <c r="B3915" s="140">
        <v>44978</v>
      </c>
      <c r="C3915" s="65">
        <v>1</v>
      </c>
      <c r="D3915" s="65" t="s">
        <v>207</v>
      </c>
      <c r="E3915" s="141">
        <f>46-40</f>
        <v>6</v>
      </c>
      <c r="F3915" s="65" t="s">
        <v>363</v>
      </c>
      <c r="G3915" s="65" t="s">
        <v>869</v>
      </c>
      <c r="L3915" t="s">
        <v>869</v>
      </c>
    </row>
    <row r="3916" spans="1:12" s="65" customFormat="1" x14ac:dyDescent="0.75">
      <c r="A3916" s="65" t="s">
        <v>23</v>
      </c>
      <c r="B3916" s="140">
        <v>44978</v>
      </c>
      <c r="C3916" s="65">
        <v>1</v>
      </c>
      <c r="D3916" s="65" t="s">
        <v>194</v>
      </c>
      <c r="E3916" s="141">
        <f>40-37</f>
        <v>3</v>
      </c>
      <c r="F3916" s="65" t="s">
        <v>363</v>
      </c>
      <c r="G3916" s="65" t="s">
        <v>869</v>
      </c>
      <c r="L3916" t="s">
        <v>869</v>
      </c>
    </row>
    <row r="3917" spans="1:12" s="65" customFormat="1" x14ac:dyDescent="0.75">
      <c r="A3917" s="65" t="s">
        <v>23</v>
      </c>
      <c r="B3917" s="140">
        <v>44978</v>
      </c>
      <c r="C3917" s="65">
        <v>1</v>
      </c>
      <c r="D3917" s="65" t="s">
        <v>153</v>
      </c>
      <c r="E3917" s="141">
        <f>37-34</f>
        <v>3</v>
      </c>
      <c r="F3917" s="65" t="s">
        <v>363</v>
      </c>
      <c r="G3917" s="65" t="s">
        <v>869</v>
      </c>
      <c r="L3917" t="s">
        <v>869</v>
      </c>
    </row>
    <row r="3918" spans="1:12" s="65" customFormat="1" x14ac:dyDescent="0.75">
      <c r="A3918" s="65" t="s">
        <v>23</v>
      </c>
      <c r="B3918" s="140">
        <v>44978</v>
      </c>
      <c r="C3918" s="65">
        <v>1</v>
      </c>
      <c r="D3918" s="65" t="s">
        <v>197</v>
      </c>
      <c r="E3918" s="141">
        <f>34-27</f>
        <v>7</v>
      </c>
      <c r="F3918" s="65" t="s">
        <v>363</v>
      </c>
      <c r="G3918" s="65" t="s">
        <v>869</v>
      </c>
      <c r="L3918" t="s">
        <v>869</v>
      </c>
    </row>
    <row r="3919" spans="1:12" s="65" customFormat="1" x14ac:dyDescent="0.75">
      <c r="A3919" s="65" t="s">
        <v>23</v>
      </c>
      <c r="B3919" s="140">
        <v>44978</v>
      </c>
      <c r="C3919" s="65">
        <v>1</v>
      </c>
      <c r="D3919" s="65" t="s">
        <v>153</v>
      </c>
      <c r="E3919" s="141">
        <f>27-21</f>
        <v>6</v>
      </c>
      <c r="F3919" s="65" t="s">
        <v>363</v>
      </c>
      <c r="G3919" s="65" t="s">
        <v>869</v>
      </c>
      <c r="L3919" t="s">
        <v>869</v>
      </c>
    </row>
    <row r="3920" spans="1:12" s="65" customFormat="1" x14ac:dyDescent="0.75">
      <c r="A3920" s="65" t="s">
        <v>23</v>
      </c>
      <c r="B3920" s="140">
        <v>44978</v>
      </c>
      <c r="C3920" s="65">
        <v>1</v>
      </c>
      <c r="D3920" s="65" t="s">
        <v>153</v>
      </c>
      <c r="E3920" s="141">
        <f>21+47-29</f>
        <v>39</v>
      </c>
      <c r="F3920" s="65" t="s">
        <v>363</v>
      </c>
      <c r="G3920" s="65" t="s">
        <v>869</v>
      </c>
      <c r="L3920" t="s">
        <v>869</v>
      </c>
    </row>
    <row r="3921" spans="1:12" s="65" customFormat="1" x14ac:dyDescent="0.75">
      <c r="A3921" s="65" t="s">
        <v>23</v>
      </c>
      <c r="B3921" s="140">
        <v>44978</v>
      </c>
      <c r="C3921" s="65">
        <v>1</v>
      </c>
      <c r="D3921" s="65" t="s">
        <v>197</v>
      </c>
      <c r="E3921" s="141">
        <f>29-25</f>
        <v>4</v>
      </c>
      <c r="F3921" s="65" t="s">
        <v>363</v>
      </c>
      <c r="G3921" s="65" t="s">
        <v>869</v>
      </c>
      <c r="L3921" t="s">
        <v>869</v>
      </c>
    </row>
    <row r="3922" spans="1:12" s="65" customFormat="1" x14ac:dyDescent="0.75">
      <c r="A3922" s="65" t="s">
        <v>23</v>
      </c>
      <c r="B3922" s="140">
        <v>44978</v>
      </c>
      <c r="C3922" s="65">
        <v>1</v>
      </c>
      <c r="D3922" s="65" t="s">
        <v>207</v>
      </c>
      <c r="E3922" s="141">
        <f>25-19</f>
        <v>6</v>
      </c>
      <c r="F3922" s="65" t="s">
        <v>363</v>
      </c>
      <c r="G3922" s="65" t="s">
        <v>869</v>
      </c>
      <c r="L3922" t="s">
        <v>869</v>
      </c>
    </row>
    <row r="3923" spans="1:12" s="65" customFormat="1" x14ac:dyDescent="0.75">
      <c r="A3923" s="65" t="s">
        <v>23</v>
      </c>
      <c r="B3923" s="140">
        <v>44978</v>
      </c>
      <c r="C3923" s="65">
        <v>1</v>
      </c>
      <c r="D3923" s="65" t="s">
        <v>201</v>
      </c>
      <c r="E3923" s="141">
        <f>19-10</f>
        <v>9</v>
      </c>
      <c r="F3923" s="65" t="s">
        <v>363</v>
      </c>
      <c r="G3923" s="65" t="s">
        <v>869</v>
      </c>
      <c r="L3923" t="s">
        <v>869</v>
      </c>
    </row>
    <row r="3924" spans="1:12" s="65" customFormat="1" x14ac:dyDescent="0.75">
      <c r="A3924" s="65" t="s">
        <v>23</v>
      </c>
      <c r="B3924" s="140">
        <v>44978</v>
      </c>
      <c r="C3924" s="65">
        <v>1</v>
      </c>
      <c r="D3924" s="65" t="s">
        <v>197</v>
      </c>
      <c r="E3924" s="141">
        <f>9-4</f>
        <v>5</v>
      </c>
      <c r="F3924" s="65" t="s">
        <v>363</v>
      </c>
      <c r="G3924" s="65" t="s">
        <v>869</v>
      </c>
      <c r="L3924" t="s">
        <v>869</v>
      </c>
    </row>
    <row r="3925" spans="1:12" s="65" customFormat="1" x14ac:dyDescent="0.75">
      <c r="A3925" s="65" t="s">
        <v>23</v>
      </c>
      <c r="B3925" s="140">
        <v>44978</v>
      </c>
      <c r="C3925" s="65">
        <v>1</v>
      </c>
      <c r="D3925" s="65" t="s">
        <v>197</v>
      </c>
      <c r="E3925" s="141">
        <f>44-32</f>
        <v>12</v>
      </c>
      <c r="F3925" s="65" t="s">
        <v>363</v>
      </c>
      <c r="G3925" s="65" t="s">
        <v>361</v>
      </c>
      <c r="L3925" t="s">
        <v>869</v>
      </c>
    </row>
    <row r="3926" spans="1:12" x14ac:dyDescent="0.75">
      <c r="A3926" t="s">
        <v>23</v>
      </c>
      <c r="B3926" s="3">
        <v>44978</v>
      </c>
      <c r="C3926">
        <v>2</v>
      </c>
      <c r="D3926" t="s">
        <v>194</v>
      </c>
      <c r="E3926" t="s">
        <v>363</v>
      </c>
      <c r="F3926" t="s">
        <v>363</v>
      </c>
      <c r="G3926" t="s">
        <v>361</v>
      </c>
      <c r="I3926" s="116"/>
      <c r="J3926" s="116"/>
      <c r="K3926" t="s">
        <v>912</v>
      </c>
      <c r="L3926" t="s">
        <v>869</v>
      </c>
    </row>
    <row r="3927" spans="1:12" x14ac:dyDescent="0.75">
      <c r="A3927" t="s">
        <v>23</v>
      </c>
      <c r="B3927" s="3">
        <v>44978</v>
      </c>
      <c r="C3927">
        <v>2</v>
      </c>
      <c r="D3927" t="s">
        <v>201</v>
      </c>
      <c r="E3927" t="s">
        <v>363</v>
      </c>
      <c r="F3927" t="s">
        <v>363</v>
      </c>
      <c r="G3927" t="s">
        <v>361</v>
      </c>
      <c r="I3927" s="116"/>
      <c r="J3927" s="116"/>
      <c r="K3927" t="s">
        <v>913</v>
      </c>
      <c r="L3927" t="s">
        <v>869</v>
      </c>
    </row>
    <row r="3928" spans="1:12" x14ac:dyDescent="0.75">
      <c r="A3928" t="s">
        <v>23</v>
      </c>
      <c r="B3928" s="3">
        <v>44978</v>
      </c>
      <c r="C3928">
        <v>2</v>
      </c>
      <c r="D3928" t="s">
        <v>201</v>
      </c>
      <c r="E3928" s="22">
        <f>4-1</f>
        <v>3</v>
      </c>
      <c r="F3928" t="s">
        <v>363</v>
      </c>
      <c r="G3928" t="s">
        <v>869</v>
      </c>
      <c r="I3928" s="116"/>
      <c r="J3928" s="116"/>
      <c r="L3928" t="s">
        <v>869</v>
      </c>
    </row>
    <row r="3929" spans="1:12" x14ac:dyDescent="0.75">
      <c r="A3929" t="s">
        <v>23</v>
      </c>
      <c r="B3929" s="3">
        <v>44978</v>
      </c>
      <c r="C3929">
        <v>2</v>
      </c>
      <c r="D3929" t="s">
        <v>207</v>
      </c>
      <c r="E3929" s="22">
        <f>1-0</f>
        <v>1</v>
      </c>
      <c r="F3929" t="s">
        <v>363</v>
      </c>
      <c r="G3929" t="s">
        <v>869</v>
      </c>
      <c r="I3929" s="116"/>
      <c r="J3929" s="116"/>
      <c r="L3929" t="s">
        <v>869</v>
      </c>
    </row>
    <row r="3930" spans="1:12" x14ac:dyDescent="0.75">
      <c r="A3930" t="s">
        <v>23</v>
      </c>
      <c r="B3930" s="3">
        <v>44978</v>
      </c>
      <c r="C3930">
        <v>2</v>
      </c>
      <c r="D3930" t="s">
        <v>194</v>
      </c>
      <c r="E3930" s="22">
        <f>1</f>
        <v>1</v>
      </c>
      <c r="F3930" t="s">
        <v>363</v>
      </c>
      <c r="G3930" t="s">
        <v>869</v>
      </c>
      <c r="I3930" s="116"/>
      <c r="J3930" s="116"/>
      <c r="L3930" t="s">
        <v>869</v>
      </c>
    </row>
    <row r="3931" spans="1:12" x14ac:dyDescent="0.75">
      <c r="A3931" t="s">
        <v>23</v>
      </c>
      <c r="B3931" s="3">
        <v>44978</v>
      </c>
      <c r="C3931">
        <v>2</v>
      </c>
      <c r="D3931" t="s">
        <v>197</v>
      </c>
      <c r="E3931" s="22">
        <f>42-39</f>
        <v>3</v>
      </c>
      <c r="F3931" t="s">
        <v>363</v>
      </c>
      <c r="G3931" t="s">
        <v>869</v>
      </c>
      <c r="I3931" s="116"/>
      <c r="J3931" s="116"/>
      <c r="L3931" t="s">
        <v>869</v>
      </c>
    </row>
    <row r="3932" spans="1:12" s="65" customFormat="1" x14ac:dyDescent="0.75">
      <c r="A3932" s="65" t="s">
        <v>23</v>
      </c>
      <c r="B3932" s="140">
        <v>44978</v>
      </c>
      <c r="C3932" s="65">
        <v>3</v>
      </c>
      <c r="D3932" s="65" t="s">
        <v>160</v>
      </c>
      <c r="E3932" s="141">
        <f>51-50</f>
        <v>1</v>
      </c>
      <c r="F3932" s="65">
        <v>904</v>
      </c>
      <c r="G3932" s="65" t="s">
        <v>869</v>
      </c>
      <c r="L3932" t="s">
        <v>869</v>
      </c>
    </row>
    <row r="3933" spans="1:12" x14ac:dyDescent="0.75">
      <c r="A3933" t="s">
        <v>69</v>
      </c>
      <c r="B3933" s="3">
        <v>44979</v>
      </c>
      <c r="C3933">
        <v>1</v>
      </c>
      <c r="D3933" t="s">
        <v>191</v>
      </c>
      <c r="E3933" s="22">
        <f>46-38</f>
        <v>8</v>
      </c>
      <c r="F3933" t="s">
        <v>363</v>
      </c>
      <c r="G3933" t="s">
        <v>361</v>
      </c>
      <c r="I3933" s="116"/>
      <c r="J3933" s="116"/>
      <c r="L3933" t="s">
        <v>869</v>
      </c>
    </row>
    <row r="3934" spans="1:12" x14ac:dyDescent="0.75">
      <c r="A3934" t="s">
        <v>69</v>
      </c>
      <c r="B3934" s="3">
        <v>44979</v>
      </c>
      <c r="C3934">
        <v>1</v>
      </c>
      <c r="D3934" t="s">
        <v>191</v>
      </c>
      <c r="E3934" s="22">
        <f>38-32</f>
        <v>6</v>
      </c>
      <c r="F3934" t="s">
        <v>363</v>
      </c>
      <c r="G3934" t="s">
        <v>361</v>
      </c>
      <c r="I3934" s="116"/>
      <c r="J3934" s="116"/>
      <c r="L3934" t="s">
        <v>869</v>
      </c>
    </row>
    <row r="3935" spans="1:12" x14ac:dyDescent="0.75">
      <c r="A3935" t="s">
        <v>69</v>
      </c>
      <c r="B3935" s="3">
        <v>44979</v>
      </c>
      <c r="C3935">
        <v>1</v>
      </c>
      <c r="D3935" t="s">
        <v>191</v>
      </c>
      <c r="E3935" s="22">
        <f>31-29</f>
        <v>2</v>
      </c>
      <c r="F3935" t="s">
        <v>363</v>
      </c>
      <c r="G3935" t="s">
        <v>361</v>
      </c>
      <c r="I3935" s="116"/>
      <c r="J3935" s="116"/>
      <c r="L3935" t="s">
        <v>869</v>
      </c>
    </row>
    <row r="3936" spans="1:12" x14ac:dyDescent="0.75">
      <c r="A3936" t="s">
        <v>69</v>
      </c>
      <c r="B3936" s="3">
        <v>44979</v>
      </c>
      <c r="C3936">
        <v>1</v>
      </c>
      <c r="D3936" t="s">
        <v>191</v>
      </c>
      <c r="E3936" s="22">
        <f>29-22</f>
        <v>7</v>
      </c>
      <c r="F3936" t="s">
        <v>363</v>
      </c>
      <c r="G3936" t="s">
        <v>361</v>
      </c>
      <c r="I3936" s="116"/>
      <c r="J3936" s="116"/>
      <c r="L3936" t="s">
        <v>869</v>
      </c>
    </row>
    <row r="3937" spans="1:12" x14ac:dyDescent="0.75">
      <c r="A3937" t="s">
        <v>69</v>
      </c>
      <c r="B3937" s="3">
        <v>44979</v>
      </c>
      <c r="C3937">
        <v>1</v>
      </c>
      <c r="D3937" t="s">
        <v>197</v>
      </c>
      <c r="E3937" s="22">
        <f>22-17</f>
        <v>5</v>
      </c>
      <c r="F3937" t="s">
        <v>363</v>
      </c>
      <c r="G3937" t="s">
        <v>361</v>
      </c>
      <c r="I3937" s="116"/>
      <c r="J3937" s="116"/>
      <c r="L3937" t="s">
        <v>869</v>
      </c>
    </row>
    <row r="3938" spans="1:12" x14ac:dyDescent="0.75">
      <c r="A3938" t="s">
        <v>69</v>
      </c>
      <c r="B3938" s="3">
        <v>44979</v>
      </c>
      <c r="C3938">
        <v>1</v>
      </c>
      <c r="D3938" t="s">
        <v>197</v>
      </c>
      <c r="E3938" s="22">
        <f>17-15</f>
        <v>2</v>
      </c>
      <c r="F3938" t="s">
        <v>363</v>
      </c>
      <c r="G3938" t="s">
        <v>361</v>
      </c>
      <c r="I3938" s="116"/>
      <c r="J3938" s="116"/>
      <c r="L3938" t="s">
        <v>869</v>
      </c>
    </row>
    <row r="3939" spans="1:12" x14ac:dyDescent="0.75">
      <c r="A3939" t="s">
        <v>69</v>
      </c>
      <c r="B3939" s="3">
        <v>44979</v>
      </c>
      <c r="C3939">
        <v>1</v>
      </c>
      <c r="D3939" t="s">
        <v>191</v>
      </c>
      <c r="E3939" s="22">
        <f>5+47-37</f>
        <v>15</v>
      </c>
      <c r="F3939" t="s">
        <v>363</v>
      </c>
      <c r="G3939" t="s">
        <v>361</v>
      </c>
      <c r="I3939" s="116"/>
      <c r="J3939" s="116"/>
      <c r="L3939" t="s">
        <v>869</v>
      </c>
    </row>
    <row r="3940" spans="1:12" x14ac:dyDescent="0.75">
      <c r="A3940" t="s">
        <v>69</v>
      </c>
      <c r="B3940" s="3">
        <v>44979</v>
      </c>
      <c r="C3940">
        <v>1</v>
      </c>
      <c r="D3940" t="s">
        <v>194</v>
      </c>
      <c r="E3940" s="22">
        <f>36-11</f>
        <v>25</v>
      </c>
      <c r="F3940" t="s">
        <v>363</v>
      </c>
      <c r="G3940" t="s">
        <v>361</v>
      </c>
      <c r="I3940" s="116"/>
      <c r="J3940" s="116"/>
      <c r="L3940" t="s">
        <v>869</v>
      </c>
    </row>
    <row r="3941" spans="1:12" x14ac:dyDescent="0.75">
      <c r="A3941" t="s">
        <v>69</v>
      </c>
      <c r="B3941" s="3">
        <v>44979</v>
      </c>
      <c r="C3941">
        <v>1</v>
      </c>
      <c r="D3941" t="s">
        <v>201</v>
      </c>
      <c r="E3941" s="22">
        <f>11-7</f>
        <v>4</v>
      </c>
      <c r="F3941" t="s">
        <v>363</v>
      </c>
      <c r="G3941" t="s">
        <v>361</v>
      </c>
      <c r="I3941" s="116"/>
      <c r="J3941" s="116"/>
      <c r="L3941" t="s">
        <v>869</v>
      </c>
    </row>
    <row r="3942" spans="1:12" x14ac:dyDescent="0.75">
      <c r="A3942" t="s">
        <v>69</v>
      </c>
      <c r="B3942" s="3">
        <v>44979</v>
      </c>
      <c r="C3942">
        <v>1</v>
      </c>
      <c r="D3942" t="s">
        <v>197</v>
      </c>
      <c r="E3942" s="22">
        <f>7-4</f>
        <v>3</v>
      </c>
      <c r="F3942" t="s">
        <v>363</v>
      </c>
      <c r="G3942" t="s">
        <v>361</v>
      </c>
      <c r="I3942" s="116"/>
      <c r="J3942" s="116"/>
      <c r="L3942" t="s">
        <v>869</v>
      </c>
    </row>
    <row r="3943" spans="1:12" x14ac:dyDescent="0.75">
      <c r="A3943" t="s">
        <v>69</v>
      </c>
      <c r="B3943" s="3">
        <v>44979</v>
      </c>
      <c r="C3943">
        <v>1</v>
      </c>
      <c r="D3943" t="s">
        <v>194</v>
      </c>
      <c r="E3943" s="22">
        <f>4+49-47</f>
        <v>6</v>
      </c>
      <c r="F3943" t="s">
        <v>363</v>
      </c>
      <c r="G3943" t="s">
        <v>361</v>
      </c>
      <c r="I3943" s="116"/>
      <c r="J3943" s="116"/>
      <c r="L3943" t="s">
        <v>869</v>
      </c>
    </row>
    <row r="3944" spans="1:12" x14ac:dyDescent="0.75">
      <c r="A3944" t="s">
        <v>69</v>
      </c>
      <c r="B3944" s="3">
        <v>44979</v>
      </c>
      <c r="C3944">
        <v>1</v>
      </c>
      <c r="D3944" t="s">
        <v>201</v>
      </c>
      <c r="E3944" s="22">
        <f>47-42</f>
        <v>5</v>
      </c>
      <c r="F3944" t="s">
        <v>363</v>
      </c>
      <c r="G3944" t="s">
        <v>361</v>
      </c>
      <c r="I3944" s="116"/>
      <c r="J3944" s="116"/>
      <c r="L3944" t="s">
        <v>869</v>
      </c>
    </row>
    <row r="3945" spans="1:12" x14ac:dyDescent="0.75">
      <c r="A3945" t="s">
        <v>69</v>
      </c>
      <c r="B3945" s="3">
        <v>44979</v>
      </c>
      <c r="C3945">
        <v>1</v>
      </c>
      <c r="D3945" t="s">
        <v>191</v>
      </c>
      <c r="E3945" s="22">
        <f>37-23</f>
        <v>14</v>
      </c>
      <c r="F3945" t="s">
        <v>363</v>
      </c>
      <c r="G3945" t="s">
        <v>792</v>
      </c>
      <c r="I3945" s="116"/>
      <c r="J3945" s="116"/>
      <c r="K3945" t="s">
        <v>892</v>
      </c>
      <c r="L3945" t="s">
        <v>869</v>
      </c>
    </row>
    <row r="3946" spans="1:12" x14ac:dyDescent="0.75">
      <c r="A3946" t="s">
        <v>69</v>
      </c>
      <c r="B3946" s="3">
        <v>44979</v>
      </c>
      <c r="C3946">
        <v>1</v>
      </c>
      <c r="D3946" t="s">
        <v>197</v>
      </c>
      <c r="E3946" s="22">
        <f>23-5</f>
        <v>18</v>
      </c>
      <c r="F3946" t="s">
        <v>363</v>
      </c>
      <c r="G3946" t="s">
        <v>792</v>
      </c>
      <c r="I3946" s="116"/>
      <c r="J3946" s="116"/>
      <c r="K3946" t="s">
        <v>892</v>
      </c>
      <c r="L3946" t="s">
        <v>869</v>
      </c>
    </row>
    <row r="3947" spans="1:12" x14ac:dyDescent="0.75">
      <c r="A3947" t="s">
        <v>69</v>
      </c>
      <c r="B3947" s="3">
        <v>44979</v>
      </c>
      <c r="C3947">
        <v>1</v>
      </c>
      <c r="D3947" t="s">
        <v>197</v>
      </c>
      <c r="E3947" s="22">
        <f>42-32</f>
        <v>10</v>
      </c>
      <c r="F3947" t="s">
        <v>363</v>
      </c>
      <c r="G3947" t="s">
        <v>792</v>
      </c>
      <c r="I3947" s="116"/>
      <c r="J3947" s="116"/>
      <c r="K3947" t="s">
        <v>892</v>
      </c>
      <c r="L3947" t="s">
        <v>869</v>
      </c>
    </row>
    <row r="3948" spans="1:12" x14ac:dyDescent="0.75">
      <c r="A3948" t="s">
        <v>69</v>
      </c>
      <c r="B3948" s="3">
        <v>44979</v>
      </c>
      <c r="C3948">
        <v>1</v>
      </c>
      <c r="D3948" t="s">
        <v>191</v>
      </c>
      <c r="E3948" s="22">
        <f>32-27</f>
        <v>5</v>
      </c>
      <c r="F3948" t="s">
        <v>363</v>
      </c>
      <c r="G3948" t="s">
        <v>792</v>
      </c>
      <c r="I3948" s="116"/>
      <c r="J3948" s="116"/>
      <c r="K3948" t="s">
        <v>892</v>
      </c>
      <c r="L3948" t="s">
        <v>869</v>
      </c>
    </row>
    <row r="3949" spans="1:12" x14ac:dyDescent="0.75">
      <c r="A3949" t="s">
        <v>69</v>
      </c>
      <c r="B3949" s="3">
        <v>44979</v>
      </c>
      <c r="C3949">
        <v>1</v>
      </c>
      <c r="D3949" t="s">
        <v>191</v>
      </c>
      <c r="E3949" s="22">
        <f>27-21</f>
        <v>6</v>
      </c>
      <c r="F3949" t="s">
        <v>363</v>
      </c>
      <c r="G3949" t="s">
        <v>792</v>
      </c>
      <c r="I3949" s="116"/>
      <c r="J3949" s="116"/>
      <c r="K3949" t="s">
        <v>892</v>
      </c>
      <c r="L3949" t="s">
        <v>869</v>
      </c>
    </row>
    <row r="3950" spans="1:12" x14ac:dyDescent="0.75">
      <c r="A3950" t="s">
        <v>69</v>
      </c>
      <c r="B3950" s="3">
        <v>44979</v>
      </c>
      <c r="C3950">
        <v>1</v>
      </c>
      <c r="D3950" t="s">
        <v>191</v>
      </c>
      <c r="E3950" s="22">
        <f>21-13</f>
        <v>8</v>
      </c>
      <c r="F3950" t="s">
        <v>363</v>
      </c>
      <c r="G3950" t="s">
        <v>792</v>
      </c>
      <c r="I3950" s="116"/>
      <c r="J3950" s="116"/>
      <c r="K3950" t="s">
        <v>892</v>
      </c>
      <c r="L3950" t="s">
        <v>869</v>
      </c>
    </row>
    <row r="3951" spans="1:12" x14ac:dyDescent="0.75">
      <c r="A3951" t="s">
        <v>69</v>
      </c>
      <c r="B3951" s="3">
        <v>44979</v>
      </c>
      <c r="C3951">
        <v>1</v>
      </c>
      <c r="D3951" t="s">
        <v>191</v>
      </c>
      <c r="E3951" s="22">
        <f>13-2</f>
        <v>11</v>
      </c>
      <c r="F3951" t="s">
        <v>363</v>
      </c>
      <c r="G3951" t="s">
        <v>792</v>
      </c>
      <c r="I3951" s="116"/>
      <c r="J3951" s="116"/>
      <c r="K3951" t="s">
        <v>892</v>
      </c>
      <c r="L3951" t="s">
        <v>869</v>
      </c>
    </row>
    <row r="3952" spans="1:12" x14ac:dyDescent="0.75">
      <c r="A3952" t="s">
        <v>69</v>
      </c>
      <c r="B3952" s="3">
        <v>44979</v>
      </c>
      <c r="C3952">
        <v>1</v>
      </c>
      <c r="D3952" t="s">
        <v>197</v>
      </c>
      <c r="E3952" s="22">
        <f>39-32</f>
        <v>7</v>
      </c>
      <c r="F3952" t="s">
        <v>363</v>
      </c>
      <c r="G3952" t="s">
        <v>792</v>
      </c>
      <c r="I3952" s="116"/>
      <c r="J3952" s="116"/>
      <c r="K3952" t="s">
        <v>892</v>
      </c>
      <c r="L3952" t="s">
        <v>869</v>
      </c>
    </row>
    <row r="3953" spans="1:12" x14ac:dyDescent="0.75">
      <c r="A3953" t="s">
        <v>69</v>
      </c>
      <c r="B3953" s="3">
        <v>44979</v>
      </c>
      <c r="C3953">
        <v>1</v>
      </c>
      <c r="D3953" t="s">
        <v>197</v>
      </c>
      <c r="E3953" s="22">
        <f>32-27</f>
        <v>5</v>
      </c>
      <c r="F3953" t="s">
        <v>363</v>
      </c>
      <c r="G3953" t="s">
        <v>792</v>
      </c>
      <c r="I3953" s="116"/>
      <c r="J3953" s="116"/>
      <c r="K3953" t="s">
        <v>892</v>
      </c>
      <c r="L3953" t="s">
        <v>869</v>
      </c>
    </row>
    <row r="3954" spans="1:12" x14ac:dyDescent="0.75">
      <c r="A3954" t="s">
        <v>69</v>
      </c>
      <c r="B3954" s="3">
        <v>44979</v>
      </c>
      <c r="C3954">
        <v>1</v>
      </c>
      <c r="D3954" t="s">
        <v>194</v>
      </c>
      <c r="E3954" s="22">
        <f>27-19</f>
        <v>8</v>
      </c>
      <c r="F3954" t="s">
        <v>363</v>
      </c>
      <c r="G3954" t="s">
        <v>792</v>
      </c>
      <c r="I3954" s="116"/>
      <c r="J3954" s="116"/>
      <c r="K3954" t="s">
        <v>892</v>
      </c>
      <c r="L3954" t="s">
        <v>869</v>
      </c>
    </row>
    <row r="3955" spans="1:12" x14ac:dyDescent="0.75">
      <c r="A3955" t="s">
        <v>69</v>
      </c>
      <c r="B3955" s="3">
        <v>44979</v>
      </c>
      <c r="C3955">
        <v>1</v>
      </c>
      <c r="D3955" t="s">
        <v>191</v>
      </c>
      <c r="E3955" s="22">
        <f>19-18</f>
        <v>1</v>
      </c>
      <c r="F3955" t="s">
        <v>363</v>
      </c>
      <c r="G3955" t="s">
        <v>792</v>
      </c>
      <c r="I3955" s="116"/>
      <c r="J3955" s="116"/>
      <c r="K3955" t="s">
        <v>892</v>
      </c>
      <c r="L3955" t="s">
        <v>869</v>
      </c>
    </row>
    <row r="3956" spans="1:12" x14ac:dyDescent="0.75">
      <c r="A3956" t="s">
        <v>69</v>
      </c>
      <c r="B3956" s="3">
        <v>44979</v>
      </c>
      <c r="C3956">
        <v>1</v>
      </c>
      <c r="D3956" t="s">
        <v>197</v>
      </c>
      <c r="E3956" s="22">
        <f>18-14</f>
        <v>4</v>
      </c>
      <c r="F3956" t="s">
        <v>363</v>
      </c>
      <c r="G3956" t="s">
        <v>792</v>
      </c>
      <c r="I3956" s="116"/>
      <c r="J3956" s="116"/>
      <c r="K3956" t="s">
        <v>892</v>
      </c>
      <c r="L3956" t="s">
        <v>869</v>
      </c>
    </row>
    <row r="3957" spans="1:12" x14ac:dyDescent="0.75">
      <c r="A3957" t="s">
        <v>69</v>
      </c>
      <c r="B3957" s="3">
        <v>44979</v>
      </c>
      <c r="C3957">
        <v>1</v>
      </c>
      <c r="D3957" t="s">
        <v>194</v>
      </c>
      <c r="E3957" s="22">
        <f>14-3+2</f>
        <v>13</v>
      </c>
      <c r="F3957" t="s">
        <v>363</v>
      </c>
      <c r="G3957" t="s">
        <v>792</v>
      </c>
      <c r="I3957" s="116"/>
      <c r="J3957" s="116"/>
      <c r="K3957" t="s">
        <v>892</v>
      </c>
      <c r="L3957" t="s">
        <v>869</v>
      </c>
    </row>
    <row r="3958" spans="1:12" x14ac:dyDescent="0.75">
      <c r="A3958" t="s">
        <v>69</v>
      </c>
      <c r="B3958" s="3">
        <v>44979</v>
      </c>
      <c r="C3958">
        <v>1</v>
      </c>
      <c r="D3958" t="s">
        <v>191</v>
      </c>
      <c r="E3958" s="22">
        <f>56-47</f>
        <v>9</v>
      </c>
      <c r="F3958" t="s">
        <v>363</v>
      </c>
      <c r="G3958" t="s">
        <v>869</v>
      </c>
      <c r="I3958" s="116"/>
      <c r="J3958" s="116"/>
      <c r="L3958" t="s">
        <v>869</v>
      </c>
    </row>
    <row r="3959" spans="1:12" x14ac:dyDescent="0.75">
      <c r="A3959" t="s">
        <v>69</v>
      </c>
      <c r="B3959" s="3">
        <v>44979</v>
      </c>
      <c r="C3959">
        <v>1</v>
      </c>
      <c r="D3959" t="s">
        <v>191</v>
      </c>
      <c r="E3959" s="22">
        <f>47-43</f>
        <v>4</v>
      </c>
      <c r="F3959" t="s">
        <v>363</v>
      </c>
      <c r="G3959" t="s">
        <v>869</v>
      </c>
      <c r="I3959" s="116"/>
      <c r="J3959" s="116"/>
      <c r="L3959" t="s">
        <v>869</v>
      </c>
    </row>
    <row r="3960" spans="1:12" x14ac:dyDescent="0.75">
      <c r="A3960" t="s">
        <v>69</v>
      </c>
      <c r="B3960" s="3">
        <v>44979</v>
      </c>
      <c r="C3960">
        <v>1</v>
      </c>
      <c r="D3960" t="s">
        <v>191</v>
      </c>
      <c r="E3960" s="22">
        <f>43-39</f>
        <v>4</v>
      </c>
      <c r="F3960" t="s">
        <v>363</v>
      </c>
      <c r="G3960" t="s">
        <v>869</v>
      </c>
      <c r="I3960" s="116"/>
      <c r="J3960" s="116"/>
      <c r="L3960" t="s">
        <v>869</v>
      </c>
    </row>
    <row r="3961" spans="1:12" x14ac:dyDescent="0.75">
      <c r="A3961" t="s">
        <v>69</v>
      </c>
      <c r="B3961" s="3">
        <v>44979</v>
      </c>
      <c r="C3961">
        <v>1</v>
      </c>
      <c r="D3961" t="s">
        <v>191</v>
      </c>
      <c r="E3961" s="22">
        <f>38-33</f>
        <v>5</v>
      </c>
      <c r="F3961" t="s">
        <v>363</v>
      </c>
      <c r="G3961" t="s">
        <v>869</v>
      </c>
      <c r="I3961" s="116"/>
      <c r="J3961" s="116"/>
      <c r="L3961" t="s">
        <v>869</v>
      </c>
    </row>
    <row r="3962" spans="1:12" x14ac:dyDescent="0.75">
      <c r="A3962" t="s">
        <v>69</v>
      </c>
      <c r="B3962" s="3">
        <v>44979</v>
      </c>
      <c r="C3962">
        <v>1</v>
      </c>
      <c r="D3962" t="s">
        <v>194</v>
      </c>
      <c r="E3962" s="22">
        <f>33-32</f>
        <v>1</v>
      </c>
      <c r="F3962" t="s">
        <v>363</v>
      </c>
      <c r="G3962" t="s">
        <v>869</v>
      </c>
      <c r="I3962" s="116"/>
      <c r="J3962" s="116"/>
      <c r="L3962" t="s">
        <v>869</v>
      </c>
    </row>
    <row r="3963" spans="1:12" x14ac:dyDescent="0.75">
      <c r="A3963" t="s">
        <v>69</v>
      </c>
      <c r="B3963" s="3">
        <v>44979</v>
      </c>
      <c r="C3963">
        <v>1</v>
      </c>
      <c r="D3963" t="s">
        <v>197</v>
      </c>
      <c r="E3963" s="22">
        <f>32-30</f>
        <v>2</v>
      </c>
      <c r="F3963" t="s">
        <v>363</v>
      </c>
      <c r="G3963" t="s">
        <v>869</v>
      </c>
      <c r="I3963" s="116"/>
      <c r="J3963" s="116"/>
      <c r="L3963" t="s">
        <v>869</v>
      </c>
    </row>
    <row r="3964" spans="1:12" x14ac:dyDescent="0.75">
      <c r="A3964" t="s">
        <v>69</v>
      </c>
      <c r="B3964" s="3">
        <v>44979</v>
      </c>
      <c r="C3964">
        <v>1</v>
      </c>
      <c r="D3964" t="s">
        <v>194</v>
      </c>
      <c r="E3964" s="22">
        <f>30-15</f>
        <v>15</v>
      </c>
      <c r="F3964" t="s">
        <v>363</v>
      </c>
      <c r="G3964" t="s">
        <v>869</v>
      </c>
      <c r="I3964" s="116"/>
      <c r="J3964" s="116"/>
      <c r="L3964" t="s">
        <v>869</v>
      </c>
    </row>
    <row r="3965" spans="1:12" x14ac:dyDescent="0.75">
      <c r="A3965" t="s">
        <v>69</v>
      </c>
      <c r="B3965" s="3">
        <v>44979</v>
      </c>
      <c r="C3965">
        <v>1</v>
      </c>
      <c r="D3965" t="s">
        <v>194</v>
      </c>
      <c r="E3965" s="22">
        <f>15-9</f>
        <v>6</v>
      </c>
      <c r="F3965" t="s">
        <v>363</v>
      </c>
      <c r="G3965" t="s">
        <v>869</v>
      </c>
      <c r="I3965" s="116"/>
      <c r="J3965" s="116"/>
      <c r="L3965" t="s">
        <v>869</v>
      </c>
    </row>
    <row r="3966" spans="1:12" x14ac:dyDescent="0.75">
      <c r="A3966" t="s">
        <v>69</v>
      </c>
      <c r="B3966" s="3">
        <v>44979</v>
      </c>
      <c r="C3966">
        <v>1</v>
      </c>
      <c r="D3966" t="s">
        <v>197</v>
      </c>
      <c r="E3966" s="22">
        <f>8-7</f>
        <v>1</v>
      </c>
      <c r="F3966" t="s">
        <v>363</v>
      </c>
      <c r="G3966" t="s">
        <v>869</v>
      </c>
      <c r="I3966" s="116"/>
      <c r="J3966" s="116"/>
      <c r="L3966" t="s">
        <v>869</v>
      </c>
    </row>
    <row r="3967" spans="1:12" x14ac:dyDescent="0.75">
      <c r="A3967" t="s">
        <v>69</v>
      </c>
      <c r="B3967" s="3">
        <v>44979</v>
      </c>
      <c r="C3967">
        <v>1</v>
      </c>
      <c r="D3967" t="s">
        <v>191</v>
      </c>
      <c r="E3967" s="22">
        <f>7-0</f>
        <v>7</v>
      </c>
      <c r="F3967" t="s">
        <v>363</v>
      </c>
      <c r="G3967" t="s">
        <v>869</v>
      </c>
      <c r="I3967" s="116"/>
      <c r="J3967" s="116"/>
      <c r="L3967" t="s">
        <v>869</v>
      </c>
    </row>
    <row r="3968" spans="1:12" x14ac:dyDescent="0.75">
      <c r="A3968" t="s">
        <v>69</v>
      </c>
      <c r="B3968" s="3">
        <v>44979</v>
      </c>
      <c r="C3968">
        <v>1</v>
      </c>
      <c r="D3968" t="s">
        <v>191</v>
      </c>
      <c r="E3968" s="22">
        <f>46-6</f>
        <v>40</v>
      </c>
      <c r="F3968" t="s">
        <v>363</v>
      </c>
      <c r="G3968" t="s">
        <v>869</v>
      </c>
      <c r="I3968" s="116"/>
      <c r="J3968" s="116"/>
      <c r="L3968" t="s">
        <v>869</v>
      </c>
    </row>
    <row r="3969" spans="1:12" x14ac:dyDescent="0.75">
      <c r="A3969" t="s">
        <v>69</v>
      </c>
      <c r="B3969" s="3">
        <v>44979</v>
      </c>
      <c r="C3969">
        <v>1</v>
      </c>
      <c r="D3969" t="s">
        <v>194</v>
      </c>
      <c r="E3969" s="22">
        <f>44-19</f>
        <v>25</v>
      </c>
      <c r="F3969" t="s">
        <v>363</v>
      </c>
      <c r="G3969" t="s">
        <v>869</v>
      </c>
      <c r="I3969" s="116"/>
      <c r="J3969" s="116"/>
      <c r="L3969" t="s">
        <v>869</v>
      </c>
    </row>
    <row r="3970" spans="1:12" x14ac:dyDescent="0.75">
      <c r="A3970" t="s">
        <v>69</v>
      </c>
      <c r="B3970" s="3">
        <v>44979</v>
      </c>
      <c r="C3970">
        <v>1</v>
      </c>
      <c r="D3970" t="s">
        <v>203</v>
      </c>
      <c r="E3970" s="22">
        <f>19-16</f>
        <v>3</v>
      </c>
      <c r="F3970" t="s">
        <v>363</v>
      </c>
      <c r="G3970" t="s">
        <v>869</v>
      </c>
      <c r="I3970" s="116"/>
      <c r="J3970" s="116"/>
      <c r="L3970" t="s">
        <v>869</v>
      </c>
    </row>
    <row r="3971" spans="1:12" x14ac:dyDescent="0.75">
      <c r="A3971" t="s">
        <v>69</v>
      </c>
      <c r="B3971" s="3">
        <v>44979</v>
      </c>
      <c r="C3971">
        <v>1</v>
      </c>
      <c r="D3971" t="s">
        <v>191</v>
      </c>
      <c r="E3971" s="22">
        <f>16-14</f>
        <v>2</v>
      </c>
      <c r="F3971" t="s">
        <v>363</v>
      </c>
      <c r="G3971" t="s">
        <v>869</v>
      </c>
      <c r="I3971" s="116"/>
      <c r="J3971" s="116"/>
      <c r="L3971" t="s">
        <v>869</v>
      </c>
    </row>
    <row r="3972" spans="1:12" x14ac:dyDescent="0.75">
      <c r="A3972" t="s">
        <v>69</v>
      </c>
      <c r="B3972" s="3">
        <v>44979</v>
      </c>
      <c r="C3972">
        <v>1</v>
      </c>
      <c r="D3972" t="s">
        <v>201</v>
      </c>
      <c r="E3972" s="22">
        <f>14-4</f>
        <v>10</v>
      </c>
      <c r="F3972" t="s">
        <v>363</v>
      </c>
      <c r="G3972" t="s">
        <v>869</v>
      </c>
      <c r="I3972" s="116"/>
      <c r="J3972" s="116"/>
      <c r="L3972" t="s">
        <v>869</v>
      </c>
    </row>
    <row r="3973" spans="1:12" x14ac:dyDescent="0.75">
      <c r="A3973" t="s">
        <v>69</v>
      </c>
      <c r="B3973" s="3">
        <v>44979</v>
      </c>
      <c r="C3973">
        <v>1</v>
      </c>
      <c r="D3973" t="s">
        <v>194</v>
      </c>
      <c r="E3973" s="22">
        <f>4-0</f>
        <v>4</v>
      </c>
      <c r="F3973" t="s">
        <v>363</v>
      </c>
      <c r="G3973" t="s">
        <v>869</v>
      </c>
      <c r="I3973" s="116"/>
      <c r="J3973" s="116"/>
      <c r="L3973" t="s">
        <v>869</v>
      </c>
    </row>
    <row r="3974" spans="1:12" x14ac:dyDescent="0.75">
      <c r="A3974" t="s">
        <v>69</v>
      </c>
      <c r="B3974" s="3">
        <v>44979</v>
      </c>
      <c r="C3974">
        <v>1</v>
      </c>
      <c r="D3974" t="s">
        <v>191</v>
      </c>
      <c r="E3974" s="22">
        <f>1-0</f>
        <v>1</v>
      </c>
      <c r="F3974" t="s">
        <v>363</v>
      </c>
      <c r="G3974" t="s">
        <v>869</v>
      </c>
      <c r="I3974" s="116"/>
      <c r="J3974" s="116"/>
      <c r="L3974" t="s">
        <v>869</v>
      </c>
    </row>
    <row r="3975" spans="1:12" x14ac:dyDescent="0.75">
      <c r="A3975" t="s">
        <v>69</v>
      </c>
      <c r="B3975" s="3">
        <v>44979</v>
      </c>
      <c r="C3975">
        <v>1</v>
      </c>
      <c r="D3975" t="s">
        <v>191</v>
      </c>
      <c r="E3975" s="22">
        <f>6-2</f>
        <v>4</v>
      </c>
      <c r="F3975" t="s">
        <v>363</v>
      </c>
      <c r="G3975" t="s">
        <v>869</v>
      </c>
      <c r="I3975" s="116"/>
      <c r="J3975" s="116"/>
      <c r="L3975" t="s">
        <v>869</v>
      </c>
    </row>
    <row r="3976" spans="1:12" x14ac:dyDescent="0.75">
      <c r="A3976" t="s">
        <v>69</v>
      </c>
      <c r="B3976" s="3">
        <v>44979</v>
      </c>
      <c r="C3976">
        <v>1</v>
      </c>
      <c r="D3976" t="s">
        <v>194</v>
      </c>
      <c r="E3976" s="22">
        <f>24-19</f>
        <v>5</v>
      </c>
      <c r="F3976" t="s">
        <v>363</v>
      </c>
      <c r="G3976" t="s">
        <v>869</v>
      </c>
      <c r="I3976" s="116"/>
      <c r="J3976" s="116"/>
      <c r="L3976" t="s">
        <v>869</v>
      </c>
    </row>
    <row r="3977" spans="1:12" s="65" customFormat="1" x14ac:dyDescent="0.75">
      <c r="A3977" s="65" t="s">
        <v>69</v>
      </c>
      <c r="B3977" s="140">
        <v>44979</v>
      </c>
      <c r="C3977" s="65">
        <v>2</v>
      </c>
      <c r="D3977" s="65" t="s">
        <v>191</v>
      </c>
      <c r="E3977" s="141">
        <f>36-35</f>
        <v>1</v>
      </c>
      <c r="F3977" s="65" t="s">
        <v>363</v>
      </c>
      <c r="G3977" s="65" t="s">
        <v>361</v>
      </c>
      <c r="L3977" t="s">
        <v>869</v>
      </c>
    </row>
    <row r="3978" spans="1:12" s="65" customFormat="1" x14ac:dyDescent="0.75">
      <c r="A3978" s="65" t="s">
        <v>69</v>
      </c>
      <c r="B3978" s="140">
        <v>44979</v>
      </c>
      <c r="C3978" s="65">
        <v>2</v>
      </c>
      <c r="D3978" s="65" t="s">
        <v>191</v>
      </c>
      <c r="E3978" s="141">
        <f>35-15</f>
        <v>20</v>
      </c>
      <c r="F3978" s="65" t="s">
        <v>363</v>
      </c>
      <c r="G3978" s="65" t="s">
        <v>361</v>
      </c>
      <c r="L3978" t="s">
        <v>869</v>
      </c>
    </row>
    <row r="3979" spans="1:12" s="65" customFormat="1" x14ac:dyDescent="0.75">
      <c r="A3979" s="65" t="s">
        <v>69</v>
      </c>
      <c r="B3979" s="140">
        <v>44979</v>
      </c>
      <c r="C3979" s="65">
        <v>2</v>
      </c>
      <c r="D3979" s="65" t="s">
        <v>197</v>
      </c>
      <c r="E3979" s="141">
        <f>15-4</f>
        <v>11</v>
      </c>
      <c r="F3979" s="65" t="s">
        <v>363</v>
      </c>
      <c r="G3979" s="65" t="s">
        <v>361</v>
      </c>
      <c r="L3979" t="s">
        <v>869</v>
      </c>
    </row>
    <row r="3980" spans="1:12" s="65" customFormat="1" x14ac:dyDescent="0.75">
      <c r="A3980" s="65" t="s">
        <v>69</v>
      </c>
      <c r="B3980" s="140">
        <v>44979</v>
      </c>
      <c r="C3980" s="65">
        <v>2</v>
      </c>
      <c r="D3980" s="65" t="s">
        <v>191</v>
      </c>
      <c r="E3980" s="141">
        <f>4+52-29</f>
        <v>27</v>
      </c>
      <c r="F3980" s="65" t="s">
        <v>363</v>
      </c>
      <c r="G3980" s="65" t="s">
        <v>361</v>
      </c>
      <c r="L3980" t="s">
        <v>869</v>
      </c>
    </row>
    <row r="3981" spans="1:12" s="65" customFormat="1" x14ac:dyDescent="0.75">
      <c r="A3981" s="65" t="s">
        <v>69</v>
      </c>
      <c r="B3981" s="140">
        <v>44979</v>
      </c>
      <c r="C3981" s="65">
        <v>2</v>
      </c>
      <c r="D3981" s="65" t="s">
        <v>168</v>
      </c>
      <c r="E3981" s="141">
        <f>29-15</f>
        <v>14</v>
      </c>
      <c r="F3981" s="65" t="s">
        <v>363</v>
      </c>
      <c r="G3981" s="65" t="s">
        <v>361</v>
      </c>
      <c r="L3981" t="s">
        <v>869</v>
      </c>
    </row>
    <row r="3982" spans="1:12" s="65" customFormat="1" x14ac:dyDescent="0.75">
      <c r="A3982" s="65" t="s">
        <v>69</v>
      </c>
      <c r="B3982" s="140">
        <v>44979</v>
      </c>
      <c r="C3982" s="65">
        <v>2</v>
      </c>
      <c r="D3982" s="65" t="s">
        <v>153</v>
      </c>
      <c r="E3982" s="141">
        <f>15-14</f>
        <v>1</v>
      </c>
      <c r="F3982" s="65" t="s">
        <v>363</v>
      </c>
      <c r="G3982" s="65" t="s">
        <v>361</v>
      </c>
      <c r="L3982" t="s">
        <v>869</v>
      </c>
    </row>
    <row r="3983" spans="1:12" s="65" customFormat="1" x14ac:dyDescent="0.75">
      <c r="A3983" s="65" t="s">
        <v>69</v>
      </c>
      <c r="B3983" s="140">
        <v>44979</v>
      </c>
      <c r="C3983" s="65">
        <v>2</v>
      </c>
      <c r="D3983" s="65" t="s">
        <v>194</v>
      </c>
      <c r="E3983" s="141">
        <f>44-27</f>
        <v>17</v>
      </c>
      <c r="F3983" s="65" t="s">
        <v>363</v>
      </c>
      <c r="G3983" s="65" t="s">
        <v>869</v>
      </c>
      <c r="L3983" t="s">
        <v>869</v>
      </c>
    </row>
    <row r="3984" spans="1:12" s="65" customFormat="1" x14ac:dyDescent="0.75">
      <c r="A3984" s="65" t="s">
        <v>69</v>
      </c>
      <c r="B3984" s="140">
        <v>44979</v>
      </c>
      <c r="C3984" s="65">
        <v>2</v>
      </c>
      <c r="D3984" s="65" t="s">
        <v>197</v>
      </c>
      <c r="E3984" s="141">
        <f>27-24</f>
        <v>3</v>
      </c>
      <c r="F3984" s="65" t="s">
        <v>363</v>
      </c>
      <c r="G3984" s="65" t="s">
        <v>869</v>
      </c>
      <c r="L3984" t="s">
        <v>869</v>
      </c>
    </row>
    <row r="3985" spans="1:12" s="65" customFormat="1" x14ac:dyDescent="0.75">
      <c r="A3985" s="65" t="s">
        <v>69</v>
      </c>
      <c r="B3985" s="140">
        <v>44979</v>
      </c>
      <c r="C3985" s="65">
        <v>2</v>
      </c>
      <c r="D3985" s="65" t="s">
        <v>191</v>
      </c>
      <c r="E3985" s="141">
        <f>24-21</f>
        <v>3</v>
      </c>
      <c r="F3985" s="65" t="s">
        <v>363</v>
      </c>
      <c r="G3985" s="65" t="s">
        <v>869</v>
      </c>
      <c r="L3985" t="s">
        <v>869</v>
      </c>
    </row>
    <row r="3986" spans="1:12" s="65" customFormat="1" x14ac:dyDescent="0.75">
      <c r="A3986" s="65" t="s">
        <v>69</v>
      </c>
      <c r="B3986" s="140">
        <v>44979</v>
      </c>
      <c r="C3986" s="65">
        <v>2</v>
      </c>
      <c r="D3986" s="65" t="s">
        <v>191</v>
      </c>
      <c r="E3986" s="141">
        <f>21-0</f>
        <v>21</v>
      </c>
      <c r="F3986" s="65" t="s">
        <v>363</v>
      </c>
      <c r="G3986" s="65" t="s">
        <v>869</v>
      </c>
      <c r="L3986" t="s">
        <v>869</v>
      </c>
    </row>
    <row r="3987" spans="1:12" s="65" customFormat="1" x14ac:dyDescent="0.75">
      <c r="A3987" s="65" t="s">
        <v>69</v>
      </c>
      <c r="B3987" s="140">
        <v>44979</v>
      </c>
      <c r="C3987" s="65">
        <v>2</v>
      </c>
      <c r="D3987" s="65" t="s">
        <v>201</v>
      </c>
      <c r="E3987" s="141">
        <f>51-10</f>
        <v>41</v>
      </c>
      <c r="F3987" s="65" t="s">
        <v>363</v>
      </c>
      <c r="G3987" s="65" t="s">
        <v>869</v>
      </c>
      <c r="L3987" t="s">
        <v>869</v>
      </c>
    </row>
    <row r="3988" spans="1:12" s="65" customFormat="1" x14ac:dyDescent="0.75">
      <c r="A3988" s="65" t="s">
        <v>69</v>
      </c>
      <c r="B3988" s="140">
        <v>44979</v>
      </c>
      <c r="C3988" s="65">
        <v>2</v>
      </c>
      <c r="D3988" s="65" t="s">
        <v>203</v>
      </c>
      <c r="E3988" s="141">
        <f>10-4</f>
        <v>6</v>
      </c>
      <c r="F3988" s="65" t="s">
        <v>363</v>
      </c>
      <c r="G3988" s="65" t="s">
        <v>869</v>
      </c>
      <c r="L3988" t="s">
        <v>869</v>
      </c>
    </row>
    <row r="3989" spans="1:12" s="65" customFormat="1" x14ac:dyDescent="0.75">
      <c r="A3989" s="65" t="s">
        <v>69</v>
      </c>
      <c r="B3989" s="140">
        <v>44979</v>
      </c>
      <c r="C3989" s="65">
        <v>2</v>
      </c>
      <c r="D3989" s="65" t="s">
        <v>191</v>
      </c>
      <c r="E3989" s="141">
        <f>4-0</f>
        <v>4</v>
      </c>
      <c r="F3989" s="65" t="s">
        <v>363</v>
      </c>
      <c r="G3989" s="65" t="s">
        <v>869</v>
      </c>
      <c r="L3989" t="s">
        <v>869</v>
      </c>
    </row>
    <row r="3990" spans="1:12" s="65" customFormat="1" x14ac:dyDescent="0.75">
      <c r="A3990" s="65" t="s">
        <v>69</v>
      </c>
      <c r="B3990" s="140">
        <v>44979</v>
      </c>
      <c r="C3990" s="65">
        <v>2</v>
      </c>
      <c r="D3990" s="65" t="s">
        <v>191</v>
      </c>
      <c r="E3990" s="141">
        <f>53-50</f>
        <v>3</v>
      </c>
      <c r="F3990" s="65" t="s">
        <v>363</v>
      </c>
      <c r="G3990" s="65" t="s">
        <v>869</v>
      </c>
      <c r="L3990" t="s">
        <v>869</v>
      </c>
    </row>
    <row r="3991" spans="1:12" s="65" customFormat="1" x14ac:dyDescent="0.75">
      <c r="A3991" s="65" t="s">
        <v>69</v>
      </c>
      <c r="B3991" s="140">
        <v>44979</v>
      </c>
      <c r="C3991" s="65">
        <v>2</v>
      </c>
      <c r="D3991" s="65" t="s">
        <v>168</v>
      </c>
      <c r="E3991" s="141">
        <f>50-29</f>
        <v>21</v>
      </c>
      <c r="F3991" s="65" t="s">
        <v>363</v>
      </c>
      <c r="G3991" s="65" t="s">
        <v>869</v>
      </c>
      <c r="L3991" t="s">
        <v>869</v>
      </c>
    </row>
    <row r="3992" spans="1:12" s="65" customFormat="1" x14ac:dyDescent="0.75">
      <c r="A3992" s="65" t="s">
        <v>69</v>
      </c>
      <c r="B3992" s="140">
        <v>44979</v>
      </c>
      <c r="C3992" s="65">
        <v>2</v>
      </c>
      <c r="D3992" s="65" t="s">
        <v>201</v>
      </c>
      <c r="E3992" s="141">
        <f>29-10</f>
        <v>19</v>
      </c>
      <c r="F3992" s="65" t="s">
        <v>363</v>
      </c>
      <c r="G3992" s="65" t="s">
        <v>869</v>
      </c>
      <c r="L3992" t="s">
        <v>869</v>
      </c>
    </row>
    <row r="3993" spans="1:12" s="65" customFormat="1" x14ac:dyDescent="0.75">
      <c r="A3993" s="65" t="s">
        <v>69</v>
      </c>
      <c r="B3993" s="140">
        <v>44979</v>
      </c>
      <c r="C3993" s="65">
        <v>2</v>
      </c>
      <c r="D3993" s="65" t="s">
        <v>168</v>
      </c>
      <c r="E3993" s="141">
        <f>10-3</f>
        <v>7</v>
      </c>
      <c r="F3993" s="65" t="s">
        <v>363</v>
      </c>
      <c r="G3993" s="65" t="s">
        <v>869</v>
      </c>
      <c r="L3993" t="s">
        <v>869</v>
      </c>
    </row>
    <row r="3994" spans="1:12" s="65" customFormat="1" x14ac:dyDescent="0.75">
      <c r="A3994" s="65" t="s">
        <v>69</v>
      </c>
      <c r="B3994" s="140">
        <v>44979</v>
      </c>
      <c r="C3994" s="65">
        <v>2</v>
      </c>
      <c r="D3994" s="65" t="s">
        <v>191</v>
      </c>
      <c r="E3994" s="141">
        <f>32-21</f>
        <v>11</v>
      </c>
      <c r="F3994" s="65" t="s">
        <v>363</v>
      </c>
      <c r="G3994" s="65" t="s">
        <v>792</v>
      </c>
      <c r="K3994" s="65" t="s">
        <v>892</v>
      </c>
      <c r="L3994" t="s">
        <v>869</v>
      </c>
    </row>
    <row r="3995" spans="1:12" s="65" customFormat="1" x14ac:dyDescent="0.75">
      <c r="A3995" s="65" t="s">
        <v>69</v>
      </c>
      <c r="B3995" s="140">
        <v>44979</v>
      </c>
      <c r="C3995" s="65">
        <v>2</v>
      </c>
      <c r="D3995" s="65" t="s">
        <v>191</v>
      </c>
      <c r="E3995" s="141">
        <f>21-10</f>
        <v>11</v>
      </c>
      <c r="F3995" s="65" t="s">
        <v>363</v>
      </c>
      <c r="G3995" s="65" t="s">
        <v>792</v>
      </c>
      <c r="K3995" s="65" t="s">
        <v>892</v>
      </c>
      <c r="L3995" t="s">
        <v>869</v>
      </c>
    </row>
    <row r="3996" spans="1:12" x14ac:dyDescent="0.75">
      <c r="A3996" t="s">
        <v>69</v>
      </c>
      <c r="B3996" s="3">
        <v>44979</v>
      </c>
      <c r="C3996">
        <v>3</v>
      </c>
      <c r="D3996" t="s">
        <v>197</v>
      </c>
      <c r="E3996" s="22">
        <f>14+45-33</f>
        <v>26</v>
      </c>
      <c r="F3996" t="s">
        <v>363</v>
      </c>
      <c r="G3996" t="s">
        <v>361</v>
      </c>
      <c r="I3996" s="116"/>
      <c r="J3996" s="116"/>
      <c r="L3996" t="s">
        <v>869</v>
      </c>
    </row>
    <row r="3997" spans="1:12" x14ac:dyDescent="0.75">
      <c r="A3997" t="s">
        <v>69</v>
      </c>
      <c r="B3997" s="3">
        <v>44979</v>
      </c>
      <c r="C3997">
        <v>3</v>
      </c>
      <c r="D3997" t="s">
        <v>197</v>
      </c>
      <c r="E3997" s="22">
        <f>33-27</f>
        <v>6</v>
      </c>
      <c r="F3997" t="s">
        <v>363</v>
      </c>
      <c r="G3997" t="s">
        <v>361</v>
      </c>
      <c r="I3997" s="116"/>
      <c r="J3997" s="116"/>
      <c r="L3997" t="s">
        <v>869</v>
      </c>
    </row>
    <row r="3998" spans="1:12" x14ac:dyDescent="0.75">
      <c r="A3998" t="s">
        <v>69</v>
      </c>
      <c r="B3998" s="3">
        <v>44979</v>
      </c>
      <c r="C3998">
        <v>3</v>
      </c>
      <c r="D3998" t="s">
        <v>207</v>
      </c>
      <c r="E3998" s="22">
        <f>27-11</f>
        <v>16</v>
      </c>
      <c r="F3998" t="s">
        <v>363</v>
      </c>
      <c r="G3998" t="s">
        <v>361</v>
      </c>
      <c r="I3998" s="116"/>
      <c r="J3998" s="116"/>
      <c r="L3998" t="s">
        <v>869</v>
      </c>
    </row>
    <row r="3999" spans="1:12" x14ac:dyDescent="0.75">
      <c r="A3999" t="s">
        <v>69</v>
      </c>
      <c r="B3999" s="3">
        <v>44979</v>
      </c>
      <c r="C3999">
        <v>3</v>
      </c>
      <c r="D3999" t="s">
        <v>207</v>
      </c>
      <c r="E3999" s="22">
        <f>11-7</f>
        <v>4</v>
      </c>
      <c r="F3999" t="s">
        <v>363</v>
      </c>
      <c r="G3999" t="s">
        <v>361</v>
      </c>
      <c r="I3999" s="116"/>
      <c r="J3999" s="116"/>
      <c r="L3999" t="s">
        <v>869</v>
      </c>
    </row>
    <row r="4000" spans="1:12" x14ac:dyDescent="0.75">
      <c r="A4000" t="s">
        <v>69</v>
      </c>
      <c r="B4000" s="3">
        <v>44979</v>
      </c>
      <c r="C4000">
        <v>3</v>
      </c>
      <c r="D4000" t="s">
        <v>168</v>
      </c>
      <c r="E4000" s="22">
        <f>7+50-46</f>
        <v>11</v>
      </c>
      <c r="F4000" t="s">
        <v>363</v>
      </c>
      <c r="G4000" t="s">
        <v>361</v>
      </c>
      <c r="I4000" s="116"/>
      <c r="J4000" s="116"/>
      <c r="L4000" t="s">
        <v>869</v>
      </c>
    </row>
    <row r="4001" spans="1:12" x14ac:dyDescent="0.75">
      <c r="A4001" t="s">
        <v>69</v>
      </c>
      <c r="B4001" s="3">
        <v>44979</v>
      </c>
      <c r="C4001">
        <v>3</v>
      </c>
      <c r="D4001" t="s">
        <v>168</v>
      </c>
      <c r="E4001" s="22">
        <f>46-41</f>
        <v>5</v>
      </c>
      <c r="F4001" t="s">
        <v>363</v>
      </c>
      <c r="G4001" t="s">
        <v>361</v>
      </c>
      <c r="I4001" s="116"/>
      <c r="J4001" s="116"/>
      <c r="L4001" t="s">
        <v>869</v>
      </c>
    </row>
    <row r="4002" spans="1:12" x14ac:dyDescent="0.75">
      <c r="A4002" t="s">
        <v>69</v>
      </c>
      <c r="B4002" s="3">
        <v>44979</v>
      </c>
      <c r="C4002">
        <v>3</v>
      </c>
      <c r="D4002" t="s">
        <v>207</v>
      </c>
      <c r="E4002">
        <f>41/3</f>
        <v>13.666666666666666</v>
      </c>
      <c r="F4002" t="s">
        <v>363</v>
      </c>
      <c r="G4002" t="s">
        <v>361</v>
      </c>
      <c r="I4002" s="116"/>
      <c r="J4002" s="116"/>
      <c r="K4002" t="s">
        <v>914</v>
      </c>
      <c r="L4002" t="s">
        <v>869</v>
      </c>
    </row>
    <row r="4003" spans="1:12" x14ac:dyDescent="0.75">
      <c r="A4003" t="s">
        <v>69</v>
      </c>
      <c r="B4003" s="3">
        <v>44979</v>
      </c>
      <c r="C4003">
        <v>3</v>
      </c>
      <c r="D4003" t="s">
        <v>207</v>
      </c>
      <c r="E4003">
        <f>41/3</f>
        <v>13.666666666666666</v>
      </c>
      <c r="F4003" t="s">
        <v>363</v>
      </c>
      <c r="G4003" t="s">
        <v>361</v>
      </c>
      <c r="I4003" s="116"/>
      <c r="J4003" s="116"/>
      <c r="K4003" t="s">
        <v>914</v>
      </c>
      <c r="L4003" t="s">
        <v>869</v>
      </c>
    </row>
    <row r="4004" spans="1:12" x14ac:dyDescent="0.75">
      <c r="A4004" t="s">
        <v>69</v>
      </c>
      <c r="B4004" s="3">
        <v>44979</v>
      </c>
      <c r="C4004">
        <v>3</v>
      </c>
      <c r="D4004" t="s">
        <v>207</v>
      </c>
      <c r="E4004">
        <f>41/3</f>
        <v>13.666666666666666</v>
      </c>
      <c r="F4004" t="s">
        <v>363</v>
      </c>
      <c r="G4004" t="s">
        <v>361</v>
      </c>
      <c r="I4004" s="116"/>
      <c r="J4004" s="116"/>
      <c r="K4004" t="s">
        <v>914</v>
      </c>
      <c r="L4004" t="s">
        <v>869</v>
      </c>
    </row>
    <row r="4005" spans="1:12" x14ac:dyDescent="0.75">
      <c r="A4005" t="s">
        <v>69</v>
      </c>
      <c r="B4005" s="3">
        <v>44979</v>
      </c>
      <c r="C4005">
        <v>3</v>
      </c>
      <c r="D4005" t="s">
        <v>168</v>
      </c>
      <c r="E4005" s="22">
        <f>43-33</f>
        <v>10</v>
      </c>
      <c r="F4005" t="s">
        <v>363</v>
      </c>
      <c r="G4005" t="s">
        <v>869</v>
      </c>
      <c r="I4005" s="116"/>
      <c r="J4005" s="116"/>
      <c r="L4005" t="s">
        <v>869</v>
      </c>
    </row>
    <row r="4006" spans="1:12" x14ac:dyDescent="0.75">
      <c r="A4006" t="s">
        <v>69</v>
      </c>
      <c r="B4006" s="3">
        <v>44979</v>
      </c>
      <c r="C4006">
        <v>3</v>
      </c>
      <c r="D4006" t="s">
        <v>207</v>
      </c>
      <c r="E4006" s="22">
        <f>33-30</f>
        <v>3</v>
      </c>
      <c r="F4006" t="s">
        <v>363</v>
      </c>
      <c r="G4006" t="s">
        <v>869</v>
      </c>
      <c r="I4006" s="116"/>
      <c r="J4006" s="116"/>
      <c r="L4006" t="s">
        <v>869</v>
      </c>
    </row>
    <row r="4007" spans="1:12" x14ac:dyDescent="0.75">
      <c r="A4007" t="s">
        <v>69</v>
      </c>
      <c r="B4007" s="3">
        <v>44979</v>
      </c>
      <c r="C4007">
        <v>3</v>
      </c>
      <c r="D4007" t="s">
        <v>207</v>
      </c>
      <c r="E4007" s="22">
        <f>30-28</f>
        <v>2</v>
      </c>
      <c r="F4007" t="s">
        <v>363</v>
      </c>
      <c r="G4007" t="s">
        <v>869</v>
      </c>
      <c r="I4007" s="116"/>
      <c r="J4007" s="116"/>
      <c r="L4007" t="s">
        <v>869</v>
      </c>
    </row>
    <row r="4008" spans="1:12" x14ac:dyDescent="0.75">
      <c r="A4008" t="s">
        <v>69</v>
      </c>
      <c r="B4008" s="3">
        <v>44979</v>
      </c>
      <c r="C4008">
        <v>3</v>
      </c>
      <c r="D4008" t="s">
        <v>207</v>
      </c>
      <c r="E4008" s="22">
        <f>28+3</f>
        <v>31</v>
      </c>
      <c r="F4008" t="s">
        <v>363</v>
      </c>
      <c r="G4008" t="s">
        <v>869</v>
      </c>
      <c r="I4008" s="116"/>
      <c r="J4008" s="116"/>
      <c r="L4008" t="s">
        <v>869</v>
      </c>
    </row>
    <row r="4009" spans="1:12" x14ac:dyDescent="0.75">
      <c r="A4009" t="s">
        <v>69</v>
      </c>
      <c r="B4009" s="3">
        <v>44979</v>
      </c>
      <c r="C4009">
        <v>3</v>
      </c>
      <c r="D4009" t="s">
        <v>207</v>
      </c>
      <c r="E4009" s="22">
        <f>49-45</f>
        <v>4</v>
      </c>
      <c r="F4009" t="s">
        <v>363</v>
      </c>
      <c r="G4009" t="s">
        <v>869</v>
      </c>
      <c r="I4009" s="116"/>
      <c r="J4009" s="116"/>
      <c r="L4009" t="s">
        <v>869</v>
      </c>
    </row>
    <row r="4010" spans="1:12" x14ac:dyDescent="0.75">
      <c r="A4010" t="s">
        <v>69</v>
      </c>
      <c r="B4010" s="3">
        <v>44979</v>
      </c>
      <c r="C4010">
        <v>3</v>
      </c>
      <c r="D4010" t="s">
        <v>207</v>
      </c>
      <c r="E4010" s="22">
        <f>45-40</f>
        <v>5</v>
      </c>
      <c r="F4010" t="s">
        <v>363</v>
      </c>
      <c r="G4010" t="s">
        <v>869</v>
      </c>
      <c r="I4010" s="116"/>
      <c r="J4010" s="116"/>
      <c r="L4010" t="s">
        <v>869</v>
      </c>
    </row>
    <row r="4011" spans="1:12" x14ac:dyDescent="0.75">
      <c r="A4011" t="s">
        <v>69</v>
      </c>
      <c r="B4011" s="3">
        <v>44979</v>
      </c>
      <c r="C4011">
        <v>3</v>
      </c>
      <c r="D4011" t="s">
        <v>207</v>
      </c>
      <c r="E4011" s="22">
        <f>40-29</f>
        <v>11</v>
      </c>
      <c r="F4011" t="s">
        <v>363</v>
      </c>
      <c r="G4011" t="s">
        <v>869</v>
      </c>
      <c r="I4011" s="116"/>
      <c r="J4011" s="116"/>
      <c r="L4011" t="s">
        <v>869</v>
      </c>
    </row>
    <row r="4012" spans="1:12" x14ac:dyDescent="0.75">
      <c r="A4012" t="s">
        <v>69</v>
      </c>
      <c r="B4012" s="3">
        <v>44979</v>
      </c>
      <c r="C4012">
        <v>3</v>
      </c>
      <c r="D4012" t="s">
        <v>207</v>
      </c>
      <c r="E4012" s="22">
        <f>29-27</f>
        <v>2</v>
      </c>
      <c r="F4012" t="s">
        <v>363</v>
      </c>
      <c r="G4012" t="s">
        <v>869</v>
      </c>
      <c r="I4012" s="116"/>
      <c r="J4012" s="116"/>
      <c r="L4012" t="s">
        <v>869</v>
      </c>
    </row>
    <row r="4013" spans="1:12" x14ac:dyDescent="0.75">
      <c r="A4013" t="s">
        <v>69</v>
      </c>
      <c r="B4013" s="3">
        <v>44979</v>
      </c>
      <c r="C4013">
        <v>3</v>
      </c>
      <c r="D4013" t="s">
        <v>207</v>
      </c>
      <c r="E4013" s="22">
        <f>1</f>
        <v>1</v>
      </c>
      <c r="F4013" t="s">
        <v>363</v>
      </c>
      <c r="G4013" t="s">
        <v>869</v>
      </c>
      <c r="I4013" s="116"/>
      <c r="J4013" s="116"/>
      <c r="L4013" t="s">
        <v>869</v>
      </c>
    </row>
    <row r="4014" spans="1:12" x14ac:dyDescent="0.75">
      <c r="A4014" t="s">
        <v>69</v>
      </c>
      <c r="B4014" s="3">
        <v>44979</v>
      </c>
      <c r="C4014">
        <v>3</v>
      </c>
      <c r="D4014" t="s">
        <v>207</v>
      </c>
      <c r="E4014" s="22">
        <f>27-26</f>
        <v>1</v>
      </c>
      <c r="F4014" t="s">
        <v>363</v>
      </c>
      <c r="G4014" t="s">
        <v>869</v>
      </c>
      <c r="I4014" s="116"/>
      <c r="J4014" s="116"/>
      <c r="L4014" t="s">
        <v>869</v>
      </c>
    </row>
    <row r="4015" spans="1:12" x14ac:dyDescent="0.75">
      <c r="A4015" t="s">
        <v>69</v>
      </c>
      <c r="B4015" s="3">
        <v>44979</v>
      </c>
      <c r="C4015">
        <v>3</v>
      </c>
      <c r="D4015" t="s">
        <v>207</v>
      </c>
      <c r="E4015" s="22">
        <f>26-7</f>
        <v>19</v>
      </c>
      <c r="F4015" t="s">
        <v>363</v>
      </c>
      <c r="G4015" t="s">
        <v>869</v>
      </c>
      <c r="I4015" s="116"/>
      <c r="J4015" s="116"/>
      <c r="L4015" t="s">
        <v>869</v>
      </c>
    </row>
    <row r="4016" spans="1:12" x14ac:dyDescent="0.75">
      <c r="A4016" t="s">
        <v>69</v>
      </c>
      <c r="B4016" s="3">
        <v>44979</v>
      </c>
      <c r="C4016">
        <v>3</v>
      </c>
      <c r="D4016" t="s">
        <v>168</v>
      </c>
      <c r="E4016" s="22">
        <f>7-5</f>
        <v>2</v>
      </c>
      <c r="F4016" t="s">
        <v>363</v>
      </c>
      <c r="G4016" t="s">
        <v>869</v>
      </c>
      <c r="I4016" s="116"/>
      <c r="J4016" s="116"/>
      <c r="L4016" t="s">
        <v>869</v>
      </c>
    </row>
    <row r="4017" spans="1:12" x14ac:dyDescent="0.75">
      <c r="A4017" t="s">
        <v>69</v>
      </c>
      <c r="B4017" s="3">
        <v>44979</v>
      </c>
      <c r="C4017">
        <v>3</v>
      </c>
      <c r="D4017" t="s">
        <v>176</v>
      </c>
      <c r="E4017" s="22">
        <f>5+29-16</f>
        <v>18</v>
      </c>
      <c r="F4017" t="s">
        <v>363</v>
      </c>
      <c r="G4017" t="s">
        <v>869</v>
      </c>
      <c r="I4017" s="116"/>
      <c r="J4017" s="116"/>
      <c r="L4017" t="s">
        <v>869</v>
      </c>
    </row>
    <row r="4018" spans="1:12" x14ac:dyDescent="0.75">
      <c r="A4018" t="s">
        <v>69</v>
      </c>
      <c r="B4018" s="3">
        <v>44979</v>
      </c>
      <c r="C4018">
        <v>3</v>
      </c>
      <c r="D4018" t="s">
        <v>197</v>
      </c>
      <c r="E4018" s="22">
        <f>44-4</f>
        <v>40</v>
      </c>
      <c r="F4018" t="s">
        <v>363</v>
      </c>
      <c r="G4018" t="s">
        <v>792</v>
      </c>
      <c r="I4018" s="116"/>
      <c r="J4018" s="116"/>
      <c r="K4018" t="s">
        <v>892</v>
      </c>
      <c r="L4018" t="s">
        <v>869</v>
      </c>
    </row>
    <row r="4019" spans="1:12" x14ac:dyDescent="0.75">
      <c r="A4019" t="s">
        <v>69</v>
      </c>
      <c r="B4019" s="3">
        <v>44979</v>
      </c>
      <c r="C4019">
        <v>3</v>
      </c>
      <c r="D4019" t="s">
        <v>207</v>
      </c>
      <c r="E4019" s="22">
        <f>52-44</f>
        <v>8</v>
      </c>
      <c r="F4019" t="s">
        <v>363</v>
      </c>
      <c r="G4019" t="s">
        <v>792</v>
      </c>
      <c r="I4019" s="116"/>
      <c r="J4019" s="116"/>
      <c r="K4019" t="s">
        <v>892</v>
      </c>
      <c r="L4019" t="s">
        <v>869</v>
      </c>
    </row>
    <row r="4020" spans="1:12" x14ac:dyDescent="0.75">
      <c r="A4020" t="s">
        <v>69</v>
      </c>
      <c r="B4020" s="3">
        <v>44979</v>
      </c>
      <c r="C4020">
        <v>3</v>
      </c>
      <c r="D4020" t="s">
        <v>207</v>
      </c>
      <c r="E4020" s="22">
        <f>44-40</f>
        <v>4</v>
      </c>
      <c r="F4020" t="s">
        <v>363</v>
      </c>
      <c r="G4020" t="s">
        <v>792</v>
      </c>
      <c r="I4020" s="116"/>
      <c r="J4020" s="116"/>
      <c r="K4020" t="s">
        <v>892</v>
      </c>
      <c r="L4020" t="s">
        <v>869</v>
      </c>
    </row>
    <row r="4021" spans="1:12" x14ac:dyDescent="0.75">
      <c r="A4021" t="s">
        <v>69</v>
      </c>
      <c r="B4021" s="3">
        <v>44979</v>
      </c>
      <c r="C4021">
        <v>3</v>
      </c>
      <c r="D4021" t="s">
        <v>168</v>
      </c>
      <c r="E4021" s="22">
        <f>40-34</f>
        <v>6</v>
      </c>
      <c r="F4021" t="s">
        <v>363</v>
      </c>
      <c r="G4021" t="s">
        <v>792</v>
      </c>
      <c r="I4021" s="116"/>
      <c r="J4021" s="116"/>
      <c r="K4021" t="s">
        <v>892</v>
      </c>
      <c r="L4021" t="s">
        <v>869</v>
      </c>
    </row>
    <row r="4022" spans="1:12" x14ac:dyDescent="0.75">
      <c r="A4022" t="s">
        <v>69</v>
      </c>
      <c r="B4022" s="3">
        <v>44979</v>
      </c>
      <c r="C4022">
        <v>3</v>
      </c>
      <c r="D4022" t="s">
        <v>207</v>
      </c>
      <c r="E4022" s="22">
        <f>34-29</f>
        <v>5</v>
      </c>
      <c r="F4022" t="s">
        <v>363</v>
      </c>
      <c r="G4022" t="s">
        <v>792</v>
      </c>
      <c r="I4022" s="116"/>
      <c r="J4022" s="116"/>
      <c r="K4022" t="s">
        <v>892</v>
      </c>
      <c r="L4022" t="s">
        <v>869</v>
      </c>
    </row>
    <row r="4023" spans="1:12" s="65" customFormat="1" x14ac:dyDescent="0.75">
      <c r="A4023" s="65" t="s">
        <v>39</v>
      </c>
      <c r="B4023" s="140">
        <v>44980</v>
      </c>
      <c r="C4023" s="65">
        <v>1</v>
      </c>
      <c r="D4023" s="65" t="s">
        <v>197</v>
      </c>
      <c r="E4023" s="141">
        <f>44-38</f>
        <v>6</v>
      </c>
      <c r="F4023" s="65" t="s">
        <v>363</v>
      </c>
      <c r="G4023" s="65" t="s">
        <v>361</v>
      </c>
      <c r="L4023" t="s">
        <v>869</v>
      </c>
    </row>
    <row r="4024" spans="1:12" s="65" customFormat="1" x14ac:dyDescent="0.75">
      <c r="A4024" s="65" t="s">
        <v>39</v>
      </c>
      <c r="B4024" s="140">
        <v>44980</v>
      </c>
      <c r="C4024" s="65">
        <v>1</v>
      </c>
      <c r="D4024" s="65" t="s">
        <v>176</v>
      </c>
      <c r="E4024" s="141">
        <f>38-32</f>
        <v>6</v>
      </c>
      <c r="F4024" s="65" t="s">
        <v>363</v>
      </c>
      <c r="G4024" s="65" t="s">
        <v>361</v>
      </c>
      <c r="L4024" t="s">
        <v>869</v>
      </c>
    </row>
    <row r="4025" spans="1:12" s="65" customFormat="1" x14ac:dyDescent="0.75">
      <c r="A4025" s="65" t="s">
        <v>39</v>
      </c>
      <c r="B4025" s="140">
        <v>44980</v>
      </c>
      <c r="C4025" s="65">
        <v>1</v>
      </c>
      <c r="D4025" s="65" t="s">
        <v>194</v>
      </c>
      <c r="E4025" s="141">
        <f>47-36</f>
        <v>11</v>
      </c>
      <c r="F4025" s="65" t="s">
        <v>363</v>
      </c>
      <c r="G4025" s="65" t="s">
        <v>869</v>
      </c>
      <c r="L4025" t="s">
        <v>869</v>
      </c>
    </row>
    <row r="4026" spans="1:12" s="65" customFormat="1" x14ac:dyDescent="0.75">
      <c r="A4026" s="65" t="s">
        <v>39</v>
      </c>
      <c r="B4026" s="140">
        <v>44980</v>
      </c>
      <c r="C4026" s="65">
        <v>1</v>
      </c>
      <c r="D4026" s="65" t="s">
        <v>197</v>
      </c>
      <c r="E4026" s="141">
        <f>36-34</f>
        <v>2</v>
      </c>
      <c r="F4026" s="65" t="s">
        <v>363</v>
      </c>
      <c r="G4026" s="65" t="s">
        <v>869</v>
      </c>
      <c r="L4026" t="s">
        <v>869</v>
      </c>
    </row>
    <row r="4027" spans="1:12" s="65" customFormat="1" x14ac:dyDescent="0.75">
      <c r="A4027" s="65" t="s">
        <v>39</v>
      </c>
      <c r="B4027" s="140">
        <v>44980</v>
      </c>
      <c r="C4027" s="65">
        <v>1</v>
      </c>
      <c r="D4027" s="65" t="s">
        <v>201</v>
      </c>
      <c r="E4027" s="141">
        <f>34-20</f>
        <v>14</v>
      </c>
      <c r="F4027" s="65" t="s">
        <v>363</v>
      </c>
      <c r="G4027" s="65" t="s">
        <v>869</v>
      </c>
      <c r="L4027" t="s">
        <v>869</v>
      </c>
    </row>
    <row r="4028" spans="1:12" s="65" customFormat="1" x14ac:dyDescent="0.75">
      <c r="A4028" s="65" t="s">
        <v>39</v>
      </c>
      <c r="B4028" s="140">
        <v>44980</v>
      </c>
      <c r="C4028" s="65">
        <v>1</v>
      </c>
      <c r="D4028" s="65" t="s">
        <v>160</v>
      </c>
      <c r="E4028" s="141">
        <f>52-47</f>
        <v>5</v>
      </c>
      <c r="F4028" s="65">
        <v>948</v>
      </c>
      <c r="G4028" s="65" t="s">
        <v>869</v>
      </c>
      <c r="L4028" t="s">
        <v>869</v>
      </c>
    </row>
    <row r="4029" spans="1:12" x14ac:dyDescent="0.75">
      <c r="A4029" t="s">
        <v>64</v>
      </c>
      <c r="B4029" s="3">
        <v>44980</v>
      </c>
      <c r="C4029">
        <v>1</v>
      </c>
      <c r="D4029" t="s">
        <v>201</v>
      </c>
      <c r="E4029" s="22">
        <f>33-29</f>
        <v>4</v>
      </c>
      <c r="F4029" t="s">
        <v>363</v>
      </c>
      <c r="G4029" t="s">
        <v>361</v>
      </c>
      <c r="I4029" s="116"/>
      <c r="J4029" s="116"/>
      <c r="L4029" t="s">
        <v>869</v>
      </c>
    </row>
    <row r="4030" spans="1:12" x14ac:dyDescent="0.75">
      <c r="A4030" t="s">
        <v>64</v>
      </c>
      <c r="B4030" s="3">
        <v>44980</v>
      </c>
      <c r="C4030">
        <v>1</v>
      </c>
      <c r="D4030" t="s">
        <v>197</v>
      </c>
      <c r="E4030" s="22">
        <f>4-2</f>
        <v>2</v>
      </c>
      <c r="F4030" t="s">
        <v>363</v>
      </c>
      <c r="G4030" t="s">
        <v>869</v>
      </c>
      <c r="I4030" s="116"/>
      <c r="J4030" s="116"/>
      <c r="L4030" t="s">
        <v>869</v>
      </c>
    </row>
    <row r="4031" spans="1:12" s="65" customFormat="1" x14ac:dyDescent="0.75">
      <c r="A4031" s="65" t="s">
        <v>69</v>
      </c>
      <c r="B4031" s="140">
        <v>44985</v>
      </c>
      <c r="C4031" s="65">
        <v>1</v>
      </c>
      <c r="D4031" s="65" t="s">
        <v>191</v>
      </c>
      <c r="E4031" s="141">
        <f>50-46</f>
        <v>4</v>
      </c>
      <c r="F4031" s="65" t="s">
        <v>363</v>
      </c>
      <c r="G4031" s="65" t="s">
        <v>361</v>
      </c>
      <c r="L4031" t="s">
        <v>869</v>
      </c>
    </row>
    <row r="4032" spans="1:12" s="65" customFormat="1" x14ac:dyDescent="0.75">
      <c r="A4032" s="65" t="s">
        <v>69</v>
      </c>
      <c r="B4032" s="140">
        <v>44985</v>
      </c>
      <c r="C4032" s="65">
        <v>1</v>
      </c>
      <c r="D4032" s="65" t="s">
        <v>197</v>
      </c>
      <c r="E4032" s="141">
        <f>46-40</f>
        <v>6</v>
      </c>
      <c r="F4032" s="65" t="s">
        <v>363</v>
      </c>
      <c r="G4032" s="65" t="s">
        <v>361</v>
      </c>
      <c r="L4032" t="s">
        <v>869</v>
      </c>
    </row>
    <row r="4033" spans="1:12" s="65" customFormat="1" x14ac:dyDescent="0.75">
      <c r="A4033" s="65" t="s">
        <v>69</v>
      </c>
      <c r="B4033" s="140">
        <v>44985</v>
      </c>
      <c r="C4033" s="65">
        <v>1</v>
      </c>
      <c r="D4033" s="65" t="s">
        <v>197</v>
      </c>
      <c r="E4033" s="141">
        <f>54-48</f>
        <v>6</v>
      </c>
      <c r="F4033" s="65" t="s">
        <v>363</v>
      </c>
      <c r="G4033" s="65" t="s">
        <v>869</v>
      </c>
      <c r="K4033" s="65" t="s">
        <v>915</v>
      </c>
      <c r="L4033" t="s">
        <v>869</v>
      </c>
    </row>
    <row r="4034" spans="1:12" s="65" customFormat="1" x14ac:dyDescent="0.75">
      <c r="A4034" s="65" t="s">
        <v>69</v>
      </c>
      <c r="B4034" s="140">
        <v>44985</v>
      </c>
      <c r="C4034" s="65">
        <v>1</v>
      </c>
      <c r="D4034" s="65" t="s">
        <v>197</v>
      </c>
      <c r="E4034" s="141">
        <f>48-42</f>
        <v>6</v>
      </c>
      <c r="F4034" s="65" t="s">
        <v>363</v>
      </c>
      <c r="G4034" s="65" t="s">
        <v>869</v>
      </c>
      <c r="L4034" t="s">
        <v>869</v>
      </c>
    </row>
    <row r="4035" spans="1:12" s="65" customFormat="1" x14ac:dyDescent="0.75">
      <c r="A4035" s="65" t="s">
        <v>69</v>
      </c>
      <c r="B4035" s="140">
        <v>44985</v>
      </c>
      <c r="C4035" s="65">
        <v>1</v>
      </c>
      <c r="D4035" s="65" t="s">
        <v>201</v>
      </c>
      <c r="E4035" s="141">
        <f>42-36</f>
        <v>6</v>
      </c>
      <c r="F4035" s="65" t="s">
        <v>363</v>
      </c>
      <c r="G4035" s="65" t="s">
        <v>869</v>
      </c>
      <c r="L4035" t="s">
        <v>869</v>
      </c>
    </row>
    <row r="4036" spans="1:12" s="65" customFormat="1" x14ac:dyDescent="0.75">
      <c r="A4036" s="65" t="s">
        <v>69</v>
      </c>
      <c r="B4036" s="140">
        <v>44985</v>
      </c>
      <c r="C4036" s="65">
        <v>1</v>
      </c>
      <c r="D4036" s="65" t="s">
        <v>191</v>
      </c>
      <c r="E4036" s="141">
        <f>36-28</f>
        <v>8</v>
      </c>
      <c r="F4036" s="65" t="s">
        <v>363</v>
      </c>
      <c r="G4036" s="65" t="s">
        <v>869</v>
      </c>
      <c r="L4036" t="s">
        <v>869</v>
      </c>
    </row>
    <row r="4037" spans="1:12" s="65" customFormat="1" x14ac:dyDescent="0.75">
      <c r="A4037" s="65" t="s">
        <v>69</v>
      </c>
      <c r="B4037" s="140">
        <v>44985</v>
      </c>
      <c r="C4037" s="65">
        <v>1</v>
      </c>
      <c r="D4037" s="65" t="s">
        <v>191</v>
      </c>
      <c r="E4037" s="141">
        <f>28-27</f>
        <v>1</v>
      </c>
      <c r="F4037" s="65" t="s">
        <v>363</v>
      </c>
      <c r="G4037" s="65" t="s">
        <v>869</v>
      </c>
      <c r="L4037" t="s">
        <v>869</v>
      </c>
    </row>
    <row r="4038" spans="1:12" s="65" customFormat="1" x14ac:dyDescent="0.75">
      <c r="A4038" s="65" t="s">
        <v>69</v>
      </c>
      <c r="B4038" s="140">
        <v>44985</v>
      </c>
      <c r="C4038" s="65">
        <v>1</v>
      </c>
      <c r="D4038" s="65" t="s">
        <v>191</v>
      </c>
      <c r="E4038" s="141">
        <f>27-22</f>
        <v>5</v>
      </c>
      <c r="F4038" s="65" t="s">
        <v>363</v>
      </c>
      <c r="G4038" s="65" t="s">
        <v>869</v>
      </c>
      <c r="L4038" t="s">
        <v>869</v>
      </c>
    </row>
    <row r="4039" spans="1:12" s="65" customFormat="1" x14ac:dyDescent="0.75">
      <c r="A4039" s="65" t="s">
        <v>69</v>
      </c>
      <c r="B4039" s="140">
        <v>44985</v>
      </c>
      <c r="C4039" s="65">
        <v>1</v>
      </c>
      <c r="D4039" s="65" t="s">
        <v>215</v>
      </c>
      <c r="E4039" s="141">
        <f>1</f>
        <v>1</v>
      </c>
      <c r="F4039" s="65" t="s">
        <v>363</v>
      </c>
      <c r="G4039" s="65" t="s">
        <v>869</v>
      </c>
      <c r="L4039" t="s">
        <v>869</v>
      </c>
    </row>
    <row r="4040" spans="1:12" s="65" customFormat="1" x14ac:dyDescent="0.75">
      <c r="A4040" s="65" t="s">
        <v>69</v>
      </c>
      <c r="B4040" s="140">
        <v>44985</v>
      </c>
      <c r="C4040" s="65">
        <v>1</v>
      </c>
      <c r="D4040" s="65" t="s">
        <v>191</v>
      </c>
      <c r="E4040" s="141">
        <f>22-21</f>
        <v>1</v>
      </c>
      <c r="F4040" s="65" t="s">
        <v>363</v>
      </c>
      <c r="G4040" s="65" t="s">
        <v>869</v>
      </c>
      <c r="L4040" t="s">
        <v>869</v>
      </c>
    </row>
    <row r="4041" spans="1:12" s="65" customFormat="1" x14ac:dyDescent="0.75">
      <c r="A4041" s="65" t="s">
        <v>69</v>
      </c>
      <c r="B4041" s="140">
        <v>44985</v>
      </c>
      <c r="C4041" s="65">
        <v>1</v>
      </c>
      <c r="D4041" s="65" t="s">
        <v>194</v>
      </c>
      <c r="E4041" s="141">
        <f>21-19</f>
        <v>2</v>
      </c>
      <c r="F4041" s="65" t="s">
        <v>363</v>
      </c>
      <c r="G4041" s="65" t="s">
        <v>869</v>
      </c>
      <c r="L4041" t="s">
        <v>869</v>
      </c>
    </row>
    <row r="4042" spans="1:12" s="65" customFormat="1" x14ac:dyDescent="0.75">
      <c r="A4042" s="65" t="s">
        <v>69</v>
      </c>
      <c r="B4042" s="140">
        <v>44985</v>
      </c>
      <c r="C4042" s="65">
        <v>1</v>
      </c>
      <c r="D4042" s="65" t="s">
        <v>197</v>
      </c>
      <c r="E4042" s="141">
        <f>19-15</f>
        <v>4</v>
      </c>
      <c r="F4042" s="65" t="s">
        <v>363</v>
      </c>
      <c r="G4042" s="65" t="s">
        <v>869</v>
      </c>
      <c r="L4042" t="s">
        <v>869</v>
      </c>
    </row>
    <row r="4043" spans="1:12" s="65" customFormat="1" x14ac:dyDescent="0.75">
      <c r="A4043" s="65" t="s">
        <v>69</v>
      </c>
      <c r="B4043" s="140">
        <v>44985</v>
      </c>
      <c r="C4043" s="65">
        <v>1</v>
      </c>
      <c r="D4043" s="65" t="s">
        <v>207</v>
      </c>
      <c r="E4043" s="141">
        <f>15-14</f>
        <v>1</v>
      </c>
      <c r="F4043" s="65" t="s">
        <v>363</v>
      </c>
      <c r="G4043" s="65" t="s">
        <v>869</v>
      </c>
      <c r="L4043" t="s">
        <v>869</v>
      </c>
    </row>
    <row r="4044" spans="1:12" s="65" customFormat="1" x14ac:dyDescent="0.75">
      <c r="A4044" s="65" t="s">
        <v>69</v>
      </c>
      <c r="B4044" s="140">
        <v>44985</v>
      </c>
      <c r="C4044" s="65">
        <v>1</v>
      </c>
      <c r="D4044" s="65" t="s">
        <v>191</v>
      </c>
      <c r="E4044" s="141">
        <f>14-12</f>
        <v>2</v>
      </c>
      <c r="F4044" s="65" t="s">
        <v>363</v>
      </c>
      <c r="G4044" s="65" t="s">
        <v>869</v>
      </c>
      <c r="L4044" t="s">
        <v>869</v>
      </c>
    </row>
    <row r="4045" spans="1:12" s="65" customFormat="1" x14ac:dyDescent="0.75">
      <c r="A4045" s="65" t="s">
        <v>69</v>
      </c>
      <c r="B4045" s="140">
        <v>44985</v>
      </c>
      <c r="C4045" s="65">
        <v>1</v>
      </c>
      <c r="D4045" s="65" t="s">
        <v>194</v>
      </c>
      <c r="E4045" s="141">
        <f>12-6</f>
        <v>6</v>
      </c>
      <c r="F4045" s="65" t="s">
        <v>363</v>
      </c>
      <c r="G4045" s="65" t="s">
        <v>869</v>
      </c>
      <c r="L4045" t="s">
        <v>869</v>
      </c>
    </row>
    <row r="4046" spans="1:12" x14ac:dyDescent="0.75">
      <c r="A4046" t="s">
        <v>69</v>
      </c>
      <c r="B4046" s="3">
        <v>44985</v>
      </c>
      <c r="C4046">
        <v>2</v>
      </c>
      <c r="D4046" t="s">
        <v>207</v>
      </c>
      <c r="E4046" s="22">
        <f>28-25</f>
        <v>3</v>
      </c>
      <c r="F4046" t="s">
        <v>363</v>
      </c>
      <c r="G4046" t="s">
        <v>361</v>
      </c>
      <c r="I4046" s="116"/>
      <c r="J4046" s="116"/>
      <c r="L4046" t="s">
        <v>869</v>
      </c>
    </row>
    <row r="4047" spans="1:12" x14ac:dyDescent="0.75">
      <c r="A4047" t="s">
        <v>69</v>
      </c>
      <c r="B4047" s="3">
        <v>44985</v>
      </c>
      <c r="C4047">
        <v>2</v>
      </c>
      <c r="D4047" t="s">
        <v>191</v>
      </c>
      <c r="E4047" s="22">
        <f>25-22</f>
        <v>3</v>
      </c>
      <c r="F4047" t="s">
        <v>363</v>
      </c>
      <c r="G4047" t="s">
        <v>361</v>
      </c>
      <c r="I4047" s="116"/>
      <c r="J4047" s="116"/>
      <c r="L4047" t="s">
        <v>869</v>
      </c>
    </row>
    <row r="4048" spans="1:12" x14ac:dyDescent="0.75">
      <c r="A4048" t="s">
        <v>69</v>
      </c>
      <c r="B4048" s="3">
        <v>44985</v>
      </c>
      <c r="C4048">
        <v>2</v>
      </c>
      <c r="D4048" t="s">
        <v>191</v>
      </c>
      <c r="E4048" s="22">
        <f>22-18</f>
        <v>4</v>
      </c>
      <c r="F4048" t="s">
        <v>363</v>
      </c>
      <c r="G4048" t="s">
        <v>361</v>
      </c>
      <c r="I4048" s="116"/>
      <c r="J4048" s="116"/>
      <c r="L4048" t="s">
        <v>869</v>
      </c>
    </row>
    <row r="4049" spans="1:12" x14ac:dyDescent="0.75">
      <c r="A4049" t="s">
        <v>69</v>
      </c>
      <c r="B4049" s="3">
        <v>44985</v>
      </c>
      <c r="C4049">
        <v>2</v>
      </c>
      <c r="D4049" t="s">
        <v>197</v>
      </c>
      <c r="E4049" s="22">
        <f>18-14</f>
        <v>4</v>
      </c>
      <c r="F4049" t="s">
        <v>363</v>
      </c>
      <c r="G4049" t="s">
        <v>361</v>
      </c>
      <c r="I4049" s="116"/>
      <c r="J4049" s="116"/>
      <c r="L4049" t="s">
        <v>869</v>
      </c>
    </row>
    <row r="4050" spans="1:12" x14ac:dyDescent="0.75">
      <c r="A4050" t="s">
        <v>69</v>
      </c>
      <c r="B4050" s="3">
        <v>44985</v>
      </c>
      <c r="C4050">
        <v>2</v>
      </c>
      <c r="D4050" t="s">
        <v>191</v>
      </c>
      <c r="E4050" s="22">
        <f>14-10</f>
        <v>4</v>
      </c>
      <c r="F4050" t="s">
        <v>363</v>
      </c>
      <c r="G4050" t="s">
        <v>361</v>
      </c>
      <c r="I4050" s="116"/>
      <c r="J4050" s="116"/>
      <c r="L4050" t="s">
        <v>869</v>
      </c>
    </row>
    <row r="4051" spans="1:12" x14ac:dyDescent="0.75">
      <c r="A4051" t="s">
        <v>69</v>
      </c>
      <c r="B4051" s="3">
        <v>44985</v>
      </c>
      <c r="C4051">
        <v>2</v>
      </c>
      <c r="D4051" t="s">
        <v>207</v>
      </c>
      <c r="E4051" s="22">
        <f>10-9</f>
        <v>1</v>
      </c>
      <c r="F4051" t="s">
        <v>363</v>
      </c>
      <c r="G4051" t="s">
        <v>361</v>
      </c>
      <c r="I4051" s="116"/>
      <c r="J4051" s="116"/>
      <c r="L4051" t="s">
        <v>869</v>
      </c>
    </row>
    <row r="4052" spans="1:12" x14ac:dyDescent="0.75">
      <c r="A4052" t="s">
        <v>69</v>
      </c>
      <c r="B4052" s="3">
        <v>44985</v>
      </c>
      <c r="C4052">
        <v>2</v>
      </c>
      <c r="D4052" t="s">
        <v>197</v>
      </c>
      <c r="E4052" s="22">
        <f>9-2</f>
        <v>7</v>
      </c>
      <c r="F4052" t="s">
        <v>363</v>
      </c>
      <c r="G4052" t="s">
        <v>361</v>
      </c>
      <c r="I4052" s="116"/>
      <c r="J4052" s="116"/>
      <c r="L4052" t="s">
        <v>869</v>
      </c>
    </row>
    <row r="4053" spans="1:12" x14ac:dyDescent="0.75">
      <c r="A4053" t="s">
        <v>69</v>
      </c>
      <c r="B4053" s="3">
        <v>44985</v>
      </c>
      <c r="C4053">
        <v>2</v>
      </c>
      <c r="D4053" t="s">
        <v>191</v>
      </c>
      <c r="E4053" s="22">
        <f>2+46-40</f>
        <v>8</v>
      </c>
      <c r="F4053" t="s">
        <v>363</v>
      </c>
      <c r="G4053" t="s">
        <v>361</v>
      </c>
      <c r="I4053" s="116"/>
      <c r="J4053" s="116"/>
      <c r="L4053" t="s">
        <v>869</v>
      </c>
    </row>
    <row r="4054" spans="1:12" x14ac:dyDescent="0.75">
      <c r="A4054" t="s">
        <v>69</v>
      </c>
      <c r="B4054" s="3">
        <v>44985</v>
      </c>
      <c r="C4054">
        <v>2</v>
      </c>
      <c r="D4054" t="s">
        <v>191</v>
      </c>
      <c r="E4054" s="22">
        <f>40-31</f>
        <v>9</v>
      </c>
      <c r="F4054" t="s">
        <v>363</v>
      </c>
      <c r="G4054" t="s">
        <v>361</v>
      </c>
      <c r="I4054" s="116"/>
      <c r="J4054" s="116"/>
      <c r="L4054" t="s">
        <v>869</v>
      </c>
    </row>
    <row r="4055" spans="1:12" x14ac:dyDescent="0.75">
      <c r="A4055" t="s">
        <v>69</v>
      </c>
      <c r="B4055" s="3">
        <v>44985</v>
      </c>
      <c r="C4055">
        <v>2</v>
      </c>
      <c r="D4055" t="s">
        <v>194</v>
      </c>
      <c r="E4055" s="22">
        <f>31-26</f>
        <v>5</v>
      </c>
      <c r="F4055" t="s">
        <v>363</v>
      </c>
      <c r="G4055" t="s">
        <v>361</v>
      </c>
      <c r="I4055" s="116"/>
      <c r="J4055" s="116"/>
      <c r="L4055" t="s">
        <v>869</v>
      </c>
    </row>
    <row r="4056" spans="1:12" x14ac:dyDescent="0.75">
      <c r="A4056" t="s">
        <v>69</v>
      </c>
      <c r="B4056" s="3">
        <v>44985</v>
      </c>
      <c r="C4056">
        <v>2</v>
      </c>
      <c r="D4056" t="s">
        <v>197</v>
      </c>
      <c r="E4056" s="22">
        <f>26-20</f>
        <v>6</v>
      </c>
      <c r="F4056" t="s">
        <v>363</v>
      </c>
      <c r="G4056" t="s">
        <v>361</v>
      </c>
      <c r="I4056" s="116"/>
      <c r="J4056" s="116"/>
      <c r="L4056" t="s">
        <v>869</v>
      </c>
    </row>
    <row r="4057" spans="1:12" x14ac:dyDescent="0.75">
      <c r="A4057" t="s">
        <v>69</v>
      </c>
      <c r="B4057" s="3">
        <v>44985</v>
      </c>
      <c r="C4057">
        <v>2</v>
      </c>
      <c r="D4057" t="s">
        <v>164</v>
      </c>
      <c r="E4057" s="22">
        <f>45-26</f>
        <v>19</v>
      </c>
      <c r="F4057" t="s">
        <v>363</v>
      </c>
      <c r="G4057" t="s">
        <v>869</v>
      </c>
      <c r="I4057" s="116"/>
      <c r="J4057" s="116"/>
      <c r="L4057" t="s">
        <v>869</v>
      </c>
    </row>
    <row r="4058" spans="1:12" x14ac:dyDescent="0.75">
      <c r="A4058" t="s">
        <v>69</v>
      </c>
      <c r="B4058" s="3">
        <v>44985</v>
      </c>
      <c r="C4058">
        <v>2</v>
      </c>
      <c r="D4058" t="s">
        <v>201</v>
      </c>
      <c r="E4058" s="22">
        <f>26-22</f>
        <v>4</v>
      </c>
      <c r="F4058" t="s">
        <v>363</v>
      </c>
      <c r="G4058" t="s">
        <v>869</v>
      </c>
      <c r="I4058" s="116"/>
      <c r="J4058" s="116"/>
      <c r="L4058" t="s">
        <v>869</v>
      </c>
    </row>
    <row r="4059" spans="1:12" x14ac:dyDescent="0.75">
      <c r="A4059" t="s">
        <v>69</v>
      </c>
      <c r="B4059" s="3">
        <v>44985</v>
      </c>
      <c r="C4059">
        <v>2</v>
      </c>
      <c r="D4059" t="s">
        <v>197</v>
      </c>
      <c r="E4059" s="22">
        <f>22-13</f>
        <v>9</v>
      </c>
      <c r="F4059" t="s">
        <v>363</v>
      </c>
      <c r="G4059" t="s">
        <v>869</v>
      </c>
      <c r="I4059" s="116"/>
      <c r="J4059" s="116"/>
      <c r="L4059" t="s">
        <v>869</v>
      </c>
    </row>
    <row r="4060" spans="1:12" x14ac:dyDescent="0.75">
      <c r="A4060" t="s">
        <v>69</v>
      </c>
      <c r="B4060" s="3">
        <v>44985</v>
      </c>
      <c r="C4060">
        <v>2</v>
      </c>
      <c r="D4060" t="s">
        <v>191</v>
      </c>
      <c r="E4060" s="22">
        <f>13-11</f>
        <v>2</v>
      </c>
      <c r="F4060" t="s">
        <v>363</v>
      </c>
      <c r="G4060" t="s">
        <v>869</v>
      </c>
      <c r="I4060" s="116"/>
      <c r="J4060" s="116"/>
      <c r="L4060" t="s">
        <v>869</v>
      </c>
    </row>
    <row r="4061" spans="1:12" x14ac:dyDescent="0.75">
      <c r="A4061" t="s">
        <v>69</v>
      </c>
      <c r="B4061" s="3">
        <v>44985</v>
      </c>
      <c r="C4061">
        <v>2</v>
      </c>
      <c r="D4061" t="s">
        <v>191</v>
      </c>
      <c r="E4061" s="22">
        <f>11-8</f>
        <v>3</v>
      </c>
      <c r="F4061" t="s">
        <v>363</v>
      </c>
      <c r="G4061" t="s">
        <v>869</v>
      </c>
      <c r="I4061" s="116"/>
      <c r="J4061" s="116"/>
      <c r="L4061" t="s">
        <v>869</v>
      </c>
    </row>
    <row r="4062" spans="1:12" x14ac:dyDescent="0.75">
      <c r="A4062" t="s">
        <v>69</v>
      </c>
      <c r="B4062" s="3">
        <v>44985</v>
      </c>
      <c r="C4062">
        <v>2</v>
      </c>
      <c r="D4062" t="s">
        <v>187</v>
      </c>
      <c r="E4062" s="22">
        <f>8-6</f>
        <v>2</v>
      </c>
      <c r="F4062" t="s">
        <v>363</v>
      </c>
      <c r="G4062" t="s">
        <v>869</v>
      </c>
      <c r="I4062" s="116"/>
      <c r="J4062" s="116"/>
      <c r="L4062" t="s">
        <v>869</v>
      </c>
    </row>
    <row r="4063" spans="1:12" x14ac:dyDescent="0.75">
      <c r="A4063" t="s">
        <v>69</v>
      </c>
      <c r="B4063" s="3">
        <v>44985</v>
      </c>
      <c r="C4063">
        <v>2</v>
      </c>
      <c r="D4063" t="s">
        <v>197</v>
      </c>
      <c r="E4063" s="22">
        <f>6-2</f>
        <v>4</v>
      </c>
      <c r="F4063" t="s">
        <v>363</v>
      </c>
      <c r="G4063" t="s">
        <v>869</v>
      </c>
      <c r="I4063" s="116"/>
      <c r="J4063" s="116"/>
      <c r="L4063" t="s">
        <v>869</v>
      </c>
    </row>
    <row r="4064" spans="1:12" x14ac:dyDescent="0.75">
      <c r="A4064" t="s">
        <v>69</v>
      </c>
      <c r="B4064" s="3">
        <v>44985</v>
      </c>
      <c r="C4064">
        <v>2</v>
      </c>
      <c r="D4064" t="s">
        <v>197</v>
      </c>
      <c r="E4064" s="22">
        <f>44-35</f>
        <v>9</v>
      </c>
      <c r="F4064" t="s">
        <v>363</v>
      </c>
      <c r="G4064" t="s">
        <v>869</v>
      </c>
      <c r="I4064" s="116"/>
      <c r="J4064" s="116"/>
      <c r="L4064" t="s">
        <v>869</v>
      </c>
    </row>
    <row r="4065" spans="1:12" x14ac:dyDescent="0.75">
      <c r="A4065" t="s">
        <v>69</v>
      </c>
      <c r="B4065" s="3">
        <v>44985</v>
      </c>
      <c r="C4065">
        <v>2</v>
      </c>
      <c r="D4065" t="s">
        <v>194</v>
      </c>
      <c r="E4065" s="22">
        <f>35-27</f>
        <v>8</v>
      </c>
      <c r="F4065" t="s">
        <v>363</v>
      </c>
      <c r="G4065" t="s">
        <v>869</v>
      </c>
      <c r="I4065" s="116"/>
      <c r="J4065" s="116"/>
      <c r="L4065" t="s">
        <v>869</v>
      </c>
    </row>
    <row r="4066" spans="1:12" x14ac:dyDescent="0.75">
      <c r="A4066" t="s">
        <v>69</v>
      </c>
      <c r="B4066" s="3">
        <v>44985</v>
      </c>
      <c r="C4066">
        <v>2</v>
      </c>
      <c r="D4066" t="s">
        <v>197</v>
      </c>
      <c r="E4066" s="22">
        <f>27-23</f>
        <v>4</v>
      </c>
      <c r="F4066" t="s">
        <v>363</v>
      </c>
      <c r="G4066" t="s">
        <v>869</v>
      </c>
      <c r="I4066" s="116"/>
      <c r="J4066" s="116"/>
      <c r="L4066" t="s">
        <v>869</v>
      </c>
    </row>
    <row r="4067" spans="1:12" x14ac:dyDescent="0.75">
      <c r="A4067" t="s">
        <v>69</v>
      </c>
      <c r="B4067" s="3">
        <v>44985</v>
      </c>
      <c r="C4067">
        <v>2</v>
      </c>
      <c r="D4067" t="s">
        <v>194</v>
      </c>
      <c r="E4067" s="22">
        <f>23-12</f>
        <v>11</v>
      </c>
      <c r="F4067" t="s">
        <v>363</v>
      </c>
      <c r="G4067" t="s">
        <v>869</v>
      </c>
      <c r="I4067" s="116"/>
      <c r="J4067" s="116"/>
      <c r="L4067" t="s">
        <v>869</v>
      </c>
    </row>
    <row r="4068" spans="1:12" x14ac:dyDescent="0.75">
      <c r="A4068" t="s">
        <v>69</v>
      </c>
      <c r="B4068" s="3">
        <v>44985</v>
      </c>
      <c r="C4068">
        <v>2</v>
      </c>
      <c r="D4068" t="s">
        <v>197</v>
      </c>
      <c r="E4068" s="22">
        <f>12-7</f>
        <v>5</v>
      </c>
      <c r="F4068" t="s">
        <v>363</v>
      </c>
      <c r="G4068" t="s">
        <v>869</v>
      </c>
      <c r="I4068" s="116"/>
      <c r="J4068" s="116"/>
      <c r="L4068" t="s">
        <v>869</v>
      </c>
    </row>
    <row r="4069" spans="1:12" x14ac:dyDescent="0.75">
      <c r="A4069" t="s">
        <v>69</v>
      </c>
      <c r="B4069" s="3">
        <v>44985</v>
      </c>
      <c r="C4069">
        <v>2</v>
      </c>
      <c r="D4069" t="s">
        <v>191</v>
      </c>
      <c r="E4069" s="22">
        <f>7-2</f>
        <v>5</v>
      </c>
      <c r="F4069" t="s">
        <v>363</v>
      </c>
      <c r="G4069" t="s">
        <v>869</v>
      </c>
      <c r="I4069" s="116"/>
      <c r="J4069" s="116"/>
      <c r="L4069" t="s">
        <v>869</v>
      </c>
    </row>
    <row r="4070" spans="1:12" x14ac:dyDescent="0.75">
      <c r="A4070" t="s">
        <v>69</v>
      </c>
      <c r="B4070" s="3">
        <v>44985</v>
      </c>
      <c r="C4070">
        <v>2</v>
      </c>
      <c r="D4070" t="s">
        <v>191</v>
      </c>
      <c r="E4070" s="22">
        <f>46-40</f>
        <v>6</v>
      </c>
      <c r="F4070" t="s">
        <v>363</v>
      </c>
      <c r="G4070" t="s">
        <v>869</v>
      </c>
      <c r="I4070" s="116"/>
      <c r="J4070" s="116"/>
      <c r="L4070" t="s">
        <v>869</v>
      </c>
    </row>
    <row r="4071" spans="1:12" x14ac:dyDescent="0.75">
      <c r="A4071" t="s">
        <v>69</v>
      </c>
      <c r="B4071" s="3">
        <v>44985</v>
      </c>
      <c r="C4071">
        <v>2</v>
      </c>
      <c r="D4071" t="s">
        <v>197</v>
      </c>
      <c r="E4071" s="22">
        <f>40-38</f>
        <v>2</v>
      </c>
      <c r="F4071" t="s">
        <v>363</v>
      </c>
      <c r="G4071" t="s">
        <v>869</v>
      </c>
      <c r="I4071" s="116"/>
      <c r="J4071" s="116"/>
      <c r="L4071" t="s">
        <v>869</v>
      </c>
    </row>
    <row r="4072" spans="1:12" x14ac:dyDescent="0.75">
      <c r="A4072" t="s">
        <v>69</v>
      </c>
      <c r="B4072" s="3">
        <v>44985</v>
      </c>
      <c r="C4072">
        <v>2</v>
      </c>
      <c r="D4072" t="s">
        <v>164</v>
      </c>
      <c r="E4072" s="22">
        <f>38-37</f>
        <v>1</v>
      </c>
      <c r="F4072" t="s">
        <v>363</v>
      </c>
      <c r="G4072" t="s">
        <v>869</v>
      </c>
      <c r="I4072" s="116"/>
      <c r="J4072" s="116"/>
      <c r="L4072" t="s">
        <v>869</v>
      </c>
    </row>
    <row r="4073" spans="1:12" x14ac:dyDescent="0.75">
      <c r="A4073" t="s">
        <v>69</v>
      </c>
      <c r="B4073" s="3">
        <v>44985</v>
      </c>
      <c r="C4073">
        <v>2</v>
      </c>
      <c r="D4073" t="s">
        <v>197</v>
      </c>
      <c r="E4073" s="22">
        <f>37-35</f>
        <v>2</v>
      </c>
      <c r="F4073" t="s">
        <v>363</v>
      </c>
      <c r="G4073" t="s">
        <v>869</v>
      </c>
      <c r="I4073" s="116"/>
      <c r="J4073" s="116"/>
      <c r="L4073" t="s">
        <v>869</v>
      </c>
    </row>
    <row r="4074" spans="1:12" x14ac:dyDescent="0.75">
      <c r="A4074" t="s">
        <v>69</v>
      </c>
      <c r="B4074" s="3">
        <v>44985</v>
      </c>
      <c r="C4074">
        <v>2</v>
      </c>
      <c r="D4074" t="s">
        <v>207</v>
      </c>
      <c r="E4074" s="22">
        <f>35-28</f>
        <v>7</v>
      </c>
      <c r="F4074" t="s">
        <v>363</v>
      </c>
      <c r="G4074" t="s">
        <v>869</v>
      </c>
      <c r="I4074" s="116"/>
      <c r="J4074" s="116"/>
      <c r="L4074" t="s">
        <v>869</v>
      </c>
    </row>
    <row r="4075" spans="1:12" s="65" customFormat="1" x14ac:dyDescent="0.75">
      <c r="A4075" s="65" t="s">
        <v>69</v>
      </c>
      <c r="B4075" s="140">
        <v>44985</v>
      </c>
      <c r="C4075" s="65">
        <v>3</v>
      </c>
      <c r="D4075" s="65" t="s">
        <v>197</v>
      </c>
      <c r="E4075" s="141">
        <f>42-38</f>
        <v>4</v>
      </c>
      <c r="F4075" s="65" t="s">
        <v>363</v>
      </c>
      <c r="G4075" s="65" t="s">
        <v>361</v>
      </c>
      <c r="L4075" t="s">
        <v>869</v>
      </c>
    </row>
    <row r="4076" spans="1:12" s="65" customFormat="1" x14ac:dyDescent="0.75">
      <c r="A4076" s="65" t="s">
        <v>69</v>
      </c>
      <c r="B4076" s="140">
        <v>44985</v>
      </c>
      <c r="C4076" s="65">
        <v>3</v>
      </c>
      <c r="D4076" s="65" t="s">
        <v>207</v>
      </c>
      <c r="E4076" s="141">
        <f>38-32</f>
        <v>6</v>
      </c>
      <c r="F4076" s="65" t="s">
        <v>363</v>
      </c>
      <c r="G4076" s="65" t="s">
        <v>361</v>
      </c>
      <c r="L4076" t="s">
        <v>869</v>
      </c>
    </row>
    <row r="4077" spans="1:12" s="65" customFormat="1" x14ac:dyDescent="0.75">
      <c r="A4077" s="65" t="s">
        <v>69</v>
      </c>
      <c r="B4077" s="140">
        <v>44985</v>
      </c>
      <c r="C4077" s="65">
        <v>3</v>
      </c>
      <c r="D4077" s="65" t="s">
        <v>207</v>
      </c>
      <c r="E4077" s="141">
        <f>32-25</f>
        <v>7</v>
      </c>
      <c r="F4077" s="65" t="s">
        <v>363</v>
      </c>
      <c r="G4077" s="65" t="s">
        <v>361</v>
      </c>
      <c r="L4077" t="s">
        <v>869</v>
      </c>
    </row>
    <row r="4078" spans="1:12" s="65" customFormat="1" x14ac:dyDescent="0.75">
      <c r="A4078" s="65" t="s">
        <v>69</v>
      </c>
      <c r="B4078" s="140">
        <v>44985</v>
      </c>
      <c r="C4078" s="65">
        <v>3</v>
      </c>
      <c r="D4078" s="65" t="s">
        <v>191</v>
      </c>
      <c r="E4078" s="141">
        <f>25-22</f>
        <v>3</v>
      </c>
      <c r="F4078" s="65" t="s">
        <v>363</v>
      </c>
      <c r="G4078" s="65" t="s">
        <v>361</v>
      </c>
      <c r="L4078" t="s">
        <v>869</v>
      </c>
    </row>
    <row r="4079" spans="1:12" s="65" customFormat="1" x14ac:dyDescent="0.75">
      <c r="A4079" s="65" t="s">
        <v>69</v>
      </c>
      <c r="B4079" s="140">
        <v>44985</v>
      </c>
      <c r="C4079" s="65">
        <v>3</v>
      </c>
      <c r="D4079" s="65" t="s">
        <v>164</v>
      </c>
      <c r="E4079" s="141">
        <f>22-16</f>
        <v>6</v>
      </c>
      <c r="F4079" s="65" t="s">
        <v>363</v>
      </c>
      <c r="G4079" s="65" t="s">
        <v>361</v>
      </c>
      <c r="L4079" t="s">
        <v>869</v>
      </c>
    </row>
    <row r="4080" spans="1:12" s="65" customFormat="1" x14ac:dyDescent="0.75">
      <c r="A4080" s="65" t="s">
        <v>69</v>
      </c>
      <c r="B4080" s="140">
        <v>44985</v>
      </c>
      <c r="C4080" s="65">
        <v>3</v>
      </c>
      <c r="D4080" s="65" t="s">
        <v>197</v>
      </c>
      <c r="E4080" s="141">
        <f>16-14</f>
        <v>2</v>
      </c>
      <c r="F4080" s="65" t="s">
        <v>363</v>
      </c>
      <c r="G4080" s="65" t="s">
        <v>361</v>
      </c>
      <c r="L4080" t="s">
        <v>869</v>
      </c>
    </row>
    <row r="4081" spans="1:12" s="65" customFormat="1" x14ac:dyDescent="0.75">
      <c r="A4081" s="65" t="s">
        <v>69</v>
      </c>
      <c r="B4081" s="140">
        <v>44985</v>
      </c>
      <c r="C4081" s="65">
        <v>3</v>
      </c>
      <c r="D4081" s="65" t="s">
        <v>164</v>
      </c>
      <c r="E4081" s="141">
        <f>14</f>
        <v>14</v>
      </c>
      <c r="F4081" s="65" t="s">
        <v>363</v>
      </c>
      <c r="G4081" s="65" t="s">
        <v>361</v>
      </c>
      <c r="L4081" t="s">
        <v>869</v>
      </c>
    </row>
    <row r="4082" spans="1:12" s="65" customFormat="1" x14ac:dyDescent="0.75">
      <c r="A4082" s="65" t="s">
        <v>69</v>
      </c>
      <c r="B4082" s="140">
        <v>44985</v>
      </c>
      <c r="C4082" s="65">
        <v>3</v>
      </c>
      <c r="D4082" s="65" t="s">
        <v>197</v>
      </c>
      <c r="E4082" s="141">
        <f>20-15</f>
        <v>5</v>
      </c>
      <c r="F4082" s="65" t="s">
        <v>363</v>
      </c>
      <c r="G4082" s="65" t="s">
        <v>361</v>
      </c>
      <c r="L4082" t="s">
        <v>869</v>
      </c>
    </row>
    <row r="4083" spans="1:12" s="65" customFormat="1" x14ac:dyDescent="0.75">
      <c r="A4083" s="65" t="s">
        <v>69</v>
      </c>
      <c r="B4083" s="140">
        <v>44985</v>
      </c>
      <c r="C4083" s="65">
        <v>3</v>
      </c>
      <c r="D4083" s="65" t="s">
        <v>191</v>
      </c>
      <c r="E4083" s="141">
        <f>15-10</f>
        <v>5</v>
      </c>
      <c r="F4083" s="65" t="s">
        <v>363</v>
      </c>
      <c r="G4083" s="65" t="s">
        <v>361</v>
      </c>
      <c r="L4083" t="s">
        <v>869</v>
      </c>
    </row>
    <row r="4084" spans="1:12" s="65" customFormat="1" x14ac:dyDescent="0.75">
      <c r="A4084" s="65" t="s">
        <v>69</v>
      </c>
      <c r="B4084" s="140">
        <v>44985</v>
      </c>
      <c r="C4084" s="65">
        <v>3</v>
      </c>
      <c r="D4084" s="65" t="s">
        <v>197</v>
      </c>
      <c r="E4084" s="141">
        <f>10-2</f>
        <v>8</v>
      </c>
      <c r="F4084" s="65" t="s">
        <v>363</v>
      </c>
      <c r="G4084" s="65" t="s">
        <v>361</v>
      </c>
      <c r="L4084" t="s">
        <v>869</v>
      </c>
    </row>
    <row r="4085" spans="1:12" s="65" customFormat="1" x14ac:dyDescent="0.75">
      <c r="A4085" s="65" t="s">
        <v>69</v>
      </c>
      <c r="B4085" s="140">
        <v>44985</v>
      </c>
      <c r="C4085" s="65">
        <v>3</v>
      </c>
      <c r="D4085" s="65" t="s">
        <v>176</v>
      </c>
      <c r="E4085" s="141">
        <f>2+5</f>
        <v>7</v>
      </c>
      <c r="F4085" s="65" t="s">
        <v>363</v>
      </c>
      <c r="G4085" s="65" t="s">
        <v>361</v>
      </c>
      <c r="H4085" s="65" t="s">
        <v>390</v>
      </c>
      <c r="L4085" t="s">
        <v>869</v>
      </c>
    </row>
    <row r="4086" spans="1:12" s="65" customFormat="1" x14ac:dyDescent="0.75">
      <c r="A4086" s="65" t="s">
        <v>69</v>
      </c>
      <c r="B4086" s="140">
        <v>44985</v>
      </c>
      <c r="C4086" s="65">
        <v>3</v>
      </c>
      <c r="D4086" s="65" t="s">
        <v>207</v>
      </c>
      <c r="E4086" s="141">
        <f>28-27</f>
        <v>1</v>
      </c>
      <c r="F4086" s="65" t="s">
        <v>363</v>
      </c>
      <c r="G4086" s="65" t="s">
        <v>869</v>
      </c>
      <c r="L4086" t="s">
        <v>869</v>
      </c>
    </row>
    <row r="4087" spans="1:12" s="65" customFormat="1" x14ac:dyDescent="0.75">
      <c r="A4087" s="65" t="s">
        <v>69</v>
      </c>
      <c r="B4087" s="140">
        <v>44985</v>
      </c>
      <c r="C4087" s="65">
        <v>3</v>
      </c>
      <c r="D4087" s="65" t="s">
        <v>207</v>
      </c>
      <c r="E4087" s="141">
        <f>27-22</f>
        <v>5</v>
      </c>
      <c r="F4087" s="65" t="s">
        <v>363</v>
      </c>
      <c r="G4087" s="65" t="s">
        <v>869</v>
      </c>
      <c r="L4087" t="s">
        <v>869</v>
      </c>
    </row>
    <row r="4088" spans="1:12" s="65" customFormat="1" x14ac:dyDescent="0.75">
      <c r="A4088" s="65" t="s">
        <v>69</v>
      </c>
      <c r="B4088" s="140">
        <v>44985</v>
      </c>
      <c r="C4088" s="65">
        <v>3</v>
      </c>
      <c r="D4088" s="65" t="s">
        <v>207</v>
      </c>
      <c r="E4088" s="141">
        <f>22-20</f>
        <v>2</v>
      </c>
      <c r="F4088" s="65" t="s">
        <v>363</v>
      </c>
      <c r="G4088" s="65" t="s">
        <v>869</v>
      </c>
      <c r="L4088" t="s">
        <v>869</v>
      </c>
    </row>
    <row r="4089" spans="1:12" s="65" customFormat="1" x14ac:dyDescent="0.75">
      <c r="A4089" s="65" t="s">
        <v>69</v>
      </c>
      <c r="B4089" s="140">
        <v>44985</v>
      </c>
      <c r="C4089" s="65">
        <v>3</v>
      </c>
      <c r="D4089" s="65" t="s">
        <v>207</v>
      </c>
      <c r="E4089" s="141">
        <f>20-19</f>
        <v>1</v>
      </c>
      <c r="F4089" s="65" t="s">
        <v>363</v>
      </c>
      <c r="G4089" s="65" t="s">
        <v>869</v>
      </c>
      <c r="L4089" t="s">
        <v>869</v>
      </c>
    </row>
    <row r="4090" spans="1:12" s="65" customFormat="1" x14ac:dyDescent="0.75">
      <c r="A4090" s="65" t="s">
        <v>69</v>
      </c>
      <c r="B4090" s="140">
        <v>44985</v>
      </c>
      <c r="C4090" s="65">
        <v>3</v>
      </c>
      <c r="D4090" s="65" t="s">
        <v>191</v>
      </c>
      <c r="E4090" s="141">
        <f>19-16</f>
        <v>3</v>
      </c>
      <c r="F4090" s="65" t="s">
        <v>363</v>
      </c>
      <c r="G4090" s="65" t="s">
        <v>869</v>
      </c>
      <c r="L4090" t="s">
        <v>869</v>
      </c>
    </row>
    <row r="4091" spans="1:12" s="65" customFormat="1" x14ac:dyDescent="0.75">
      <c r="A4091" s="65" t="s">
        <v>69</v>
      </c>
      <c r="B4091" s="140">
        <v>44985</v>
      </c>
      <c r="C4091" s="65">
        <v>3</v>
      </c>
      <c r="D4091" s="65" t="s">
        <v>197</v>
      </c>
      <c r="E4091" s="141">
        <f>16-9</f>
        <v>7</v>
      </c>
      <c r="F4091" s="65" t="s">
        <v>363</v>
      </c>
      <c r="G4091" s="65" t="s">
        <v>869</v>
      </c>
      <c r="L4091" t="s">
        <v>869</v>
      </c>
    </row>
    <row r="4092" spans="1:12" s="65" customFormat="1" x14ac:dyDescent="0.75">
      <c r="A4092" s="65" t="s">
        <v>69</v>
      </c>
      <c r="B4092" s="140">
        <v>44985</v>
      </c>
      <c r="C4092" s="65">
        <v>3</v>
      </c>
      <c r="D4092" s="65" t="s">
        <v>197</v>
      </c>
      <c r="E4092" s="141">
        <f>9-8</f>
        <v>1</v>
      </c>
      <c r="F4092" s="65" t="s">
        <v>363</v>
      </c>
      <c r="G4092" s="65" t="s">
        <v>869</v>
      </c>
      <c r="L4092" t="s">
        <v>869</v>
      </c>
    </row>
    <row r="4093" spans="1:12" s="65" customFormat="1" x14ac:dyDescent="0.75">
      <c r="A4093" s="65" t="s">
        <v>69</v>
      </c>
      <c r="B4093" s="140">
        <v>44985</v>
      </c>
      <c r="C4093" s="65">
        <v>3</v>
      </c>
      <c r="D4093" s="65" t="s">
        <v>197</v>
      </c>
      <c r="E4093" s="141">
        <f>8</f>
        <v>8</v>
      </c>
      <c r="F4093" s="65" t="s">
        <v>363</v>
      </c>
      <c r="G4093" s="65" t="s">
        <v>869</v>
      </c>
      <c r="L4093" t="s">
        <v>869</v>
      </c>
    </row>
    <row r="4094" spans="1:12" s="65" customFormat="1" x14ac:dyDescent="0.75">
      <c r="A4094" s="65" t="s">
        <v>69</v>
      </c>
      <c r="B4094" s="140">
        <v>44985</v>
      </c>
      <c r="C4094" s="65">
        <v>3</v>
      </c>
      <c r="D4094" s="65" t="s">
        <v>197</v>
      </c>
      <c r="E4094" s="141">
        <f>3</f>
        <v>3</v>
      </c>
      <c r="F4094" s="65" t="s">
        <v>363</v>
      </c>
      <c r="G4094" s="65" t="s">
        <v>869</v>
      </c>
      <c r="L4094" t="s">
        <v>869</v>
      </c>
    </row>
    <row r="4095" spans="1:12" s="65" customFormat="1" x14ac:dyDescent="0.75">
      <c r="A4095" s="65" t="s">
        <v>69</v>
      </c>
      <c r="B4095" s="140">
        <v>44985</v>
      </c>
      <c r="C4095" s="65">
        <v>3</v>
      </c>
      <c r="D4095" s="65" t="s">
        <v>194</v>
      </c>
      <c r="E4095" s="141">
        <f>3</f>
        <v>3</v>
      </c>
      <c r="F4095" s="65" t="s">
        <v>363</v>
      </c>
      <c r="G4095" s="65" t="s">
        <v>869</v>
      </c>
      <c r="L4095" t="s">
        <v>869</v>
      </c>
    </row>
    <row r="4096" spans="1:12" s="65" customFormat="1" x14ac:dyDescent="0.75">
      <c r="A4096" s="65" t="s">
        <v>69</v>
      </c>
      <c r="B4096" s="140">
        <v>44985</v>
      </c>
      <c r="C4096" s="65">
        <v>3</v>
      </c>
      <c r="D4096" s="65" t="s">
        <v>207</v>
      </c>
      <c r="E4096" s="141">
        <f>1</f>
        <v>1</v>
      </c>
      <c r="F4096" s="65" t="s">
        <v>363</v>
      </c>
      <c r="G4096" s="65" t="s">
        <v>869</v>
      </c>
      <c r="L4096" t="s">
        <v>869</v>
      </c>
    </row>
    <row r="4097" spans="1:12" s="65" customFormat="1" x14ac:dyDescent="0.75">
      <c r="A4097" s="65" t="s">
        <v>69</v>
      </c>
      <c r="B4097" s="140">
        <v>44985</v>
      </c>
      <c r="C4097" s="65">
        <v>3</v>
      </c>
      <c r="D4097" s="65" t="s">
        <v>197</v>
      </c>
      <c r="E4097" s="141">
        <f>49-42</f>
        <v>7</v>
      </c>
      <c r="F4097" s="65" t="s">
        <v>363</v>
      </c>
      <c r="G4097" s="65" t="s">
        <v>869</v>
      </c>
      <c r="L4097" t="s">
        <v>869</v>
      </c>
    </row>
    <row r="4098" spans="1:12" s="65" customFormat="1" x14ac:dyDescent="0.75">
      <c r="A4098" s="65" t="s">
        <v>69</v>
      </c>
      <c r="B4098" s="140">
        <v>44985</v>
      </c>
      <c r="C4098" s="65">
        <v>3</v>
      </c>
      <c r="D4098" s="65" t="s">
        <v>194</v>
      </c>
      <c r="E4098" s="141">
        <f>35-29</f>
        <v>6</v>
      </c>
      <c r="F4098" s="65" t="s">
        <v>363</v>
      </c>
      <c r="G4098" s="65" t="s">
        <v>869</v>
      </c>
      <c r="L4098" t="s">
        <v>869</v>
      </c>
    </row>
    <row r="4099" spans="1:12" s="65" customFormat="1" x14ac:dyDescent="0.75">
      <c r="A4099" s="65" t="s">
        <v>69</v>
      </c>
      <c r="B4099" s="140">
        <v>44985</v>
      </c>
      <c r="C4099" s="65">
        <v>3</v>
      </c>
      <c r="D4099" s="65" t="s">
        <v>197</v>
      </c>
      <c r="E4099" s="141">
        <f>29-25</f>
        <v>4</v>
      </c>
      <c r="F4099" s="65" t="s">
        <v>363</v>
      </c>
      <c r="G4099" s="65" t="s">
        <v>869</v>
      </c>
      <c r="L4099" t="s">
        <v>869</v>
      </c>
    </row>
    <row r="4100" spans="1:12" s="65" customFormat="1" x14ac:dyDescent="0.75">
      <c r="A4100" s="65" t="s">
        <v>69</v>
      </c>
      <c r="B4100" s="140">
        <v>44985</v>
      </c>
      <c r="C4100" s="65">
        <v>3</v>
      </c>
      <c r="D4100" s="65" t="s">
        <v>207</v>
      </c>
      <c r="E4100" s="141">
        <f>25-4</f>
        <v>21</v>
      </c>
      <c r="F4100" s="65" t="s">
        <v>363</v>
      </c>
      <c r="G4100" s="65" t="s">
        <v>869</v>
      </c>
      <c r="L4100" t="s">
        <v>869</v>
      </c>
    </row>
    <row r="4101" spans="1:12" s="65" customFormat="1" x14ac:dyDescent="0.75">
      <c r="A4101" s="65" t="s">
        <v>69</v>
      </c>
      <c r="B4101" s="140">
        <v>44985</v>
      </c>
      <c r="C4101" s="65">
        <v>3</v>
      </c>
      <c r="D4101" s="65" t="s">
        <v>194</v>
      </c>
      <c r="E4101" s="141">
        <f>4-2</f>
        <v>2</v>
      </c>
      <c r="F4101" s="65" t="s">
        <v>363</v>
      </c>
      <c r="G4101" s="65" t="s">
        <v>869</v>
      </c>
      <c r="L4101" t="s">
        <v>869</v>
      </c>
    </row>
    <row r="4102" spans="1:12" s="65" customFormat="1" x14ac:dyDescent="0.75">
      <c r="A4102" s="65" t="s">
        <v>69</v>
      </c>
      <c r="B4102" s="140">
        <v>44985</v>
      </c>
      <c r="C4102" s="65">
        <v>3</v>
      </c>
      <c r="D4102" s="65" t="s">
        <v>194</v>
      </c>
      <c r="E4102" s="141">
        <f>53-49</f>
        <v>4</v>
      </c>
      <c r="F4102" s="65" t="s">
        <v>363</v>
      </c>
      <c r="G4102" s="65" t="s">
        <v>869</v>
      </c>
      <c r="L4102" t="s">
        <v>869</v>
      </c>
    </row>
    <row r="4103" spans="1:12" s="65" customFormat="1" x14ac:dyDescent="0.75">
      <c r="A4103" s="65" t="s">
        <v>69</v>
      </c>
      <c r="B4103" s="140">
        <v>44985</v>
      </c>
      <c r="C4103" s="65">
        <v>3</v>
      </c>
      <c r="D4103" s="65" t="s">
        <v>191</v>
      </c>
      <c r="E4103" s="141">
        <f>49-39</f>
        <v>10</v>
      </c>
      <c r="F4103" s="65" t="s">
        <v>363</v>
      </c>
      <c r="G4103" s="65" t="s">
        <v>869</v>
      </c>
      <c r="L4103" t="s">
        <v>869</v>
      </c>
    </row>
    <row r="4104" spans="1:12" s="65" customFormat="1" x14ac:dyDescent="0.75">
      <c r="A4104" s="65" t="s">
        <v>69</v>
      </c>
      <c r="B4104" s="140">
        <v>44985</v>
      </c>
      <c r="C4104" s="65">
        <v>3</v>
      </c>
      <c r="D4104" s="65" t="s">
        <v>191</v>
      </c>
      <c r="E4104" s="141">
        <f>39-36</f>
        <v>3</v>
      </c>
      <c r="F4104" s="65" t="s">
        <v>363</v>
      </c>
      <c r="G4104" s="65" t="s">
        <v>869</v>
      </c>
      <c r="L4104" t="s">
        <v>869</v>
      </c>
    </row>
    <row r="4105" spans="1:12" s="65" customFormat="1" x14ac:dyDescent="0.75">
      <c r="A4105" s="65" t="s">
        <v>69</v>
      </c>
      <c r="B4105" s="140">
        <v>44985</v>
      </c>
      <c r="C4105" s="65">
        <v>3</v>
      </c>
      <c r="D4105" s="65" t="s">
        <v>191</v>
      </c>
      <c r="E4105" s="141">
        <f>36-34</f>
        <v>2</v>
      </c>
      <c r="F4105" s="65" t="s">
        <v>363</v>
      </c>
      <c r="G4105" s="65" t="s">
        <v>869</v>
      </c>
      <c r="L4105" t="s">
        <v>869</v>
      </c>
    </row>
    <row r="4106" spans="1:12" s="65" customFormat="1" x14ac:dyDescent="0.75">
      <c r="A4106" s="65" t="s">
        <v>69</v>
      </c>
      <c r="B4106" s="140">
        <v>44985</v>
      </c>
      <c r="C4106" s="65">
        <v>3</v>
      </c>
      <c r="D4106" s="65" t="s">
        <v>191</v>
      </c>
      <c r="E4106" s="141">
        <f>34-32</f>
        <v>2</v>
      </c>
      <c r="F4106" s="65" t="s">
        <v>363</v>
      </c>
      <c r="G4106" s="65" t="s">
        <v>869</v>
      </c>
      <c r="H4106" s="65" t="s">
        <v>390</v>
      </c>
      <c r="L4106" t="s">
        <v>869</v>
      </c>
    </row>
    <row r="4107" spans="1:12" s="65" customFormat="1" x14ac:dyDescent="0.75">
      <c r="A4107" s="65" t="s">
        <v>69</v>
      </c>
      <c r="B4107" s="140">
        <v>44985</v>
      </c>
      <c r="C4107" s="65">
        <v>3</v>
      </c>
      <c r="D4107" s="65" t="s">
        <v>160</v>
      </c>
      <c r="E4107" s="141">
        <f>32-20</f>
        <v>12</v>
      </c>
      <c r="F4107" s="65" t="s">
        <v>363</v>
      </c>
      <c r="G4107" s="65" t="s">
        <v>869</v>
      </c>
      <c r="H4107" s="65" t="s">
        <v>390</v>
      </c>
      <c r="L4107" t="s">
        <v>869</v>
      </c>
    </row>
    <row r="4108" spans="1:12" s="65" customFormat="1" x14ac:dyDescent="0.75">
      <c r="A4108" s="65" t="s">
        <v>69</v>
      </c>
      <c r="B4108" s="140">
        <v>44985</v>
      </c>
      <c r="C4108" s="65">
        <v>3</v>
      </c>
      <c r="D4108" s="65" t="s">
        <v>191</v>
      </c>
      <c r="E4108" s="141">
        <f>20-5</f>
        <v>15</v>
      </c>
      <c r="F4108" s="65" t="s">
        <v>363</v>
      </c>
      <c r="G4108" s="65" t="s">
        <v>869</v>
      </c>
      <c r="L4108" t="s">
        <v>869</v>
      </c>
    </row>
    <row r="4109" spans="1:12" s="65" customFormat="1" x14ac:dyDescent="0.75">
      <c r="A4109" s="65" t="s">
        <v>69</v>
      </c>
      <c r="B4109" s="140">
        <v>44985</v>
      </c>
      <c r="C4109" s="65">
        <v>3</v>
      </c>
      <c r="D4109" s="65" t="s">
        <v>191</v>
      </c>
      <c r="E4109" s="141">
        <f>1+1+2</f>
        <v>4</v>
      </c>
      <c r="F4109" s="65" t="s">
        <v>363</v>
      </c>
      <c r="G4109" s="65" t="s">
        <v>869</v>
      </c>
      <c r="L4109" t="s">
        <v>869</v>
      </c>
    </row>
    <row r="4110" spans="1:12" x14ac:dyDescent="0.75">
      <c r="A4110" t="s">
        <v>69</v>
      </c>
      <c r="B4110" s="3">
        <v>44986</v>
      </c>
      <c r="C4110">
        <v>1</v>
      </c>
      <c r="D4110" t="s">
        <v>197</v>
      </c>
      <c r="E4110" s="22">
        <f>52-47</f>
        <v>5</v>
      </c>
      <c r="F4110" t="s">
        <v>363</v>
      </c>
      <c r="G4110" t="s">
        <v>869</v>
      </c>
      <c r="I4110" s="116"/>
      <c r="J4110" s="116"/>
      <c r="L4110" t="s">
        <v>869</v>
      </c>
    </row>
    <row r="4111" spans="1:12" x14ac:dyDescent="0.75">
      <c r="A4111" t="s">
        <v>69</v>
      </c>
      <c r="B4111" s="3">
        <v>44986</v>
      </c>
      <c r="C4111">
        <v>1</v>
      </c>
      <c r="D4111" t="s">
        <v>197</v>
      </c>
      <c r="E4111" s="22">
        <f>52-45</f>
        <v>7</v>
      </c>
      <c r="F4111" t="s">
        <v>363</v>
      </c>
      <c r="G4111" t="s">
        <v>361</v>
      </c>
      <c r="I4111" s="116"/>
      <c r="J4111" s="116"/>
      <c r="L4111" t="s">
        <v>869</v>
      </c>
    </row>
    <row r="4112" spans="1:12" x14ac:dyDescent="0.75">
      <c r="A4112" t="s">
        <v>69</v>
      </c>
      <c r="B4112" s="3">
        <v>44986</v>
      </c>
      <c r="C4112">
        <v>1</v>
      </c>
      <c r="D4112" t="s">
        <v>191</v>
      </c>
      <c r="E4112" s="22">
        <f>45-40</f>
        <v>5</v>
      </c>
      <c r="F4112" t="s">
        <v>363</v>
      </c>
      <c r="G4112" t="s">
        <v>361</v>
      </c>
      <c r="I4112" s="116"/>
      <c r="J4112" s="116"/>
      <c r="L4112" t="s">
        <v>869</v>
      </c>
    </row>
    <row r="4113" spans="1:12" s="58" customFormat="1" x14ac:dyDescent="0.75">
      <c r="A4113" s="58" t="s">
        <v>69</v>
      </c>
      <c r="B4113" s="59">
        <v>44986</v>
      </c>
      <c r="C4113" s="58">
        <v>2</v>
      </c>
      <c r="D4113" s="58" t="s">
        <v>168</v>
      </c>
      <c r="E4113" s="60">
        <f>47-32</f>
        <v>15</v>
      </c>
      <c r="F4113" s="58" t="s">
        <v>363</v>
      </c>
      <c r="G4113" s="58" t="s">
        <v>869</v>
      </c>
      <c r="L4113" t="s">
        <v>869</v>
      </c>
    </row>
    <row r="4114" spans="1:12" s="58" customFormat="1" x14ac:dyDescent="0.75">
      <c r="A4114" s="58" t="s">
        <v>69</v>
      </c>
      <c r="B4114" s="59">
        <v>44986</v>
      </c>
      <c r="C4114" s="58">
        <v>2</v>
      </c>
      <c r="D4114" s="58" t="s">
        <v>168</v>
      </c>
      <c r="E4114" s="60">
        <f>32-22</f>
        <v>10</v>
      </c>
      <c r="F4114" s="58" t="s">
        <v>363</v>
      </c>
      <c r="G4114" s="58" t="s">
        <v>869</v>
      </c>
      <c r="H4114" s="58" t="s">
        <v>390</v>
      </c>
      <c r="L4114" t="s">
        <v>869</v>
      </c>
    </row>
    <row r="4115" spans="1:12" s="58" customFormat="1" x14ac:dyDescent="0.75">
      <c r="A4115" s="58" t="s">
        <v>69</v>
      </c>
      <c r="B4115" s="59">
        <v>44986</v>
      </c>
      <c r="C4115" s="58">
        <v>2</v>
      </c>
      <c r="D4115" s="58" t="s">
        <v>160</v>
      </c>
      <c r="E4115" s="60">
        <f>22-20</f>
        <v>2</v>
      </c>
      <c r="F4115" s="58" t="s">
        <v>363</v>
      </c>
      <c r="G4115" s="58" t="s">
        <v>869</v>
      </c>
      <c r="L4115" t="s">
        <v>869</v>
      </c>
    </row>
    <row r="4116" spans="1:12" s="58" customFormat="1" x14ac:dyDescent="0.75">
      <c r="A4116" s="58" t="s">
        <v>69</v>
      </c>
      <c r="B4116" s="59">
        <v>44986</v>
      </c>
      <c r="C4116" s="58">
        <v>2</v>
      </c>
      <c r="D4116" s="58" t="s">
        <v>168</v>
      </c>
      <c r="E4116" s="60">
        <f>20-15</f>
        <v>5</v>
      </c>
      <c r="F4116" s="58" t="s">
        <v>363</v>
      </c>
      <c r="G4116" s="58" t="s">
        <v>869</v>
      </c>
      <c r="L4116" t="s">
        <v>869</v>
      </c>
    </row>
    <row r="4117" spans="1:12" s="58" customFormat="1" x14ac:dyDescent="0.75">
      <c r="A4117" s="58" t="s">
        <v>69</v>
      </c>
      <c r="B4117" s="59">
        <v>44986</v>
      </c>
      <c r="C4117" s="58">
        <v>2</v>
      </c>
      <c r="D4117" s="58" t="s">
        <v>191</v>
      </c>
      <c r="E4117" s="60">
        <f>15-10</f>
        <v>5</v>
      </c>
      <c r="F4117" s="58" t="s">
        <v>363</v>
      </c>
      <c r="G4117" s="58" t="s">
        <v>869</v>
      </c>
      <c r="L4117" t="s">
        <v>869</v>
      </c>
    </row>
    <row r="4118" spans="1:12" s="58" customFormat="1" x14ac:dyDescent="0.75">
      <c r="A4118" s="58" t="s">
        <v>69</v>
      </c>
      <c r="B4118" s="59">
        <v>44986</v>
      </c>
      <c r="C4118" s="58">
        <v>2</v>
      </c>
      <c r="D4118" s="58" t="s">
        <v>201</v>
      </c>
      <c r="E4118" s="60">
        <f>48-30</f>
        <v>18</v>
      </c>
      <c r="F4118" s="58" t="s">
        <v>363</v>
      </c>
      <c r="G4118" s="58" t="s">
        <v>869</v>
      </c>
      <c r="L4118" t="s">
        <v>869</v>
      </c>
    </row>
    <row r="4119" spans="1:12" s="58" customFormat="1" x14ac:dyDescent="0.75">
      <c r="A4119" s="58" t="s">
        <v>69</v>
      </c>
      <c r="B4119" s="59">
        <v>44986</v>
      </c>
      <c r="C4119" s="58">
        <v>2</v>
      </c>
      <c r="D4119" s="58" t="s">
        <v>207</v>
      </c>
      <c r="E4119" s="60">
        <f>30-28</f>
        <v>2</v>
      </c>
      <c r="F4119" s="58" t="s">
        <v>363</v>
      </c>
      <c r="G4119" s="58" t="s">
        <v>869</v>
      </c>
      <c r="L4119" t="s">
        <v>869</v>
      </c>
    </row>
    <row r="4120" spans="1:12" s="58" customFormat="1" x14ac:dyDescent="0.75">
      <c r="A4120" s="58" t="s">
        <v>69</v>
      </c>
      <c r="B4120" s="59">
        <v>44986</v>
      </c>
      <c r="C4120" s="58">
        <v>2</v>
      </c>
      <c r="D4120" s="58" t="s">
        <v>176</v>
      </c>
      <c r="E4120" s="60">
        <f>28-18</f>
        <v>10</v>
      </c>
      <c r="F4120" s="58" t="s">
        <v>363</v>
      </c>
      <c r="G4120" s="58" t="s">
        <v>869</v>
      </c>
      <c r="L4120" t="s">
        <v>869</v>
      </c>
    </row>
    <row r="4121" spans="1:12" s="58" customFormat="1" x14ac:dyDescent="0.75">
      <c r="A4121" s="58" t="s">
        <v>69</v>
      </c>
      <c r="B4121" s="59">
        <v>44986</v>
      </c>
      <c r="C4121" s="58">
        <v>2</v>
      </c>
      <c r="D4121" s="58" t="s">
        <v>207</v>
      </c>
      <c r="E4121" s="60">
        <f>18-15</f>
        <v>3</v>
      </c>
      <c r="F4121" s="58" t="s">
        <v>363</v>
      </c>
      <c r="G4121" s="58" t="s">
        <v>869</v>
      </c>
      <c r="L4121" t="s">
        <v>869</v>
      </c>
    </row>
    <row r="4122" spans="1:12" s="58" customFormat="1" x14ac:dyDescent="0.75">
      <c r="A4122" s="58" t="s">
        <v>69</v>
      </c>
      <c r="B4122" s="59">
        <v>44986</v>
      </c>
      <c r="C4122" s="58">
        <v>2</v>
      </c>
      <c r="D4122" s="58" t="s">
        <v>207</v>
      </c>
      <c r="E4122" s="60">
        <f>15-6</f>
        <v>9</v>
      </c>
      <c r="F4122" s="58" t="s">
        <v>363</v>
      </c>
      <c r="G4122" s="58" t="s">
        <v>869</v>
      </c>
      <c r="L4122" t="s">
        <v>869</v>
      </c>
    </row>
    <row r="4123" spans="1:12" s="58" customFormat="1" x14ac:dyDescent="0.75">
      <c r="A4123" s="58" t="s">
        <v>69</v>
      </c>
      <c r="B4123" s="59">
        <v>44986</v>
      </c>
      <c r="C4123" s="58">
        <v>2</v>
      </c>
      <c r="D4123" s="58" t="s">
        <v>207</v>
      </c>
      <c r="E4123" s="60">
        <f>6-5</f>
        <v>1</v>
      </c>
      <c r="F4123" s="58" t="s">
        <v>363</v>
      </c>
      <c r="G4123" s="58" t="s">
        <v>869</v>
      </c>
      <c r="L4123" t="s">
        <v>869</v>
      </c>
    </row>
    <row r="4124" spans="1:12" s="58" customFormat="1" x14ac:dyDescent="0.75">
      <c r="A4124" s="58" t="s">
        <v>69</v>
      </c>
      <c r="B4124" s="59">
        <v>44986</v>
      </c>
      <c r="C4124" s="58">
        <v>2</v>
      </c>
      <c r="D4124" s="58" t="s">
        <v>207</v>
      </c>
      <c r="E4124" s="60">
        <f>5-1</f>
        <v>4</v>
      </c>
      <c r="F4124" s="58" t="s">
        <v>363</v>
      </c>
      <c r="G4124" s="58" t="s">
        <v>869</v>
      </c>
      <c r="L4124" t="s">
        <v>869</v>
      </c>
    </row>
    <row r="4125" spans="1:12" s="58" customFormat="1" x14ac:dyDescent="0.75">
      <c r="A4125" s="58" t="s">
        <v>69</v>
      </c>
      <c r="B4125" s="59">
        <v>44986</v>
      </c>
      <c r="C4125" s="58">
        <v>2</v>
      </c>
      <c r="D4125" s="58" t="s">
        <v>207</v>
      </c>
      <c r="E4125" s="60">
        <f>1-0</f>
        <v>1</v>
      </c>
      <c r="F4125" s="58" t="s">
        <v>363</v>
      </c>
      <c r="G4125" s="58" t="s">
        <v>869</v>
      </c>
      <c r="L4125" t="s">
        <v>869</v>
      </c>
    </row>
    <row r="4126" spans="1:12" s="58" customFormat="1" x14ac:dyDescent="0.75">
      <c r="A4126" s="58" t="s">
        <v>69</v>
      </c>
      <c r="B4126" s="59">
        <v>44986</v>
      </c>
      <c r="C4126" s="58">
        <v>2</v>
      </c>
      <c r="D4126" s="58" t="s">
        <v>172</v>
      </c>
      <c r="E4126" s="60">
        <f>10-8</f>
        <v>2</v>
      </c>
      <c r="F4126" s="58" t="s">
        <v>363</v>
      </c>
      <c r="G4126" s="58" t="s">
        <v>869</v>
      </c>
      <c r="L4126" t="s">
        <v>869</v>
      </c>
    </row>
    <row r="4127" spans="1:12" s="58" customFormat="1" x14ac:dyDescent="0.75">
      <c r="A4127" s="58" t="s">
        <v>69</v>
      </c>
      <c r="B4127" s="59">
        <v>44986</v>
      </c>
      <c r="C4127" s="58">
        <v>2</v>
      </c>
      <c r="D4127" s="58" t="s">
        <v>207</v>
      </c>
      <c r="E4127" s="60">
        <f>8-5</f>
        <v>3</v>
      </c>
      <c r="F4127" s="58" t="s">
        <v>363</v>
      </c>
      <c r="G4127" s="58" t="s">
        <v>869</v>
      </c>
      <c r="L4127" t="s">
        <v>869</v>
      </c>
    </row>
    <row r="4128" spans="1:12" s="58" customFormat="1" x14ac:dyDescent="0.75">
      <c r="A4128" s="58" t="s">
        <v>69</v>
      </c>
      <c r="B4128" s="59">
        <v>44986</v>
      </c>
      <c r="C4128" s="58">
        <v>2</v>
      </c>
      <c r="D4128" s="58" t="s">
        <v>207</v>
      </c>
      <c r="E4128" s="60">
        <f>5-4</f>
        <v>1</v>
      </c>
      <c r="F4128" s="58" t="s">
        <v>363</v>
      </c>
      <c r="G4128" s="58" t="s">
        <v>869</v>
      </c>
      <c r="L4128" t="s">
        <v>869</v>
      </c>
    </row>
    <row r="4129" spans="1:12" s="58" customFormat="1" x14ac:dyDescent="0.75">
      <c r="A4129" s="58" t="s">
        <v>69</v>
      </c>
      <c r="B4129" s="59">
        <v>44986</v>
      </c>
      <c r="C4129" s="58">
        <v>2</v>
      </c>
      <c r="D4129" s="58" t="s">
        <v>207</v>
      </c>
      <c r="E4129" s="60">
        <f>43-37</f>
        <v>6</v>
      </c>
      <c r="F4129" s="58" t="s">
        <v>363</v>
      </c>
      <c r="G4129" s="58" t="s">
        <v>869</v>
      </c>
      <c r="L4129" t="s">
        <v>869</v>
      </c>
    </row>
    <row r="4130" spans="1:12" s="58" customFormat="1" x14ac:dyDescent="0.75">
      <c r="A4130" s="58" t="s">
        <v>69</v>
      </c>
      <c r="B4130" s="59">
        <v>44986</v>
      </c>
      <c r="C4130" s="58">
        <v>2</v>
      </c>
      <c r="D4130" s="58" t="s">
        <v>168</v>
      </c>
      <c r="E4130" s="60">
        <f>37-4</f>
        <v>33</v>
      </c>
      <c r="F4130" s="58" t="s">
        <v>363</v>
      </c>
      <c r="G4130" s="58" t="s">
        <v>869</v>
      </c>
      <c r="L4130" t="s">
        <v>869</v>
      </c>
    </row>
    <row r="4131" spans="1:12" s="58" customFormat="1" x14ac:dyDescent="0.75">
      <c r="A4131" s="58" t="s">
        <v>69</v>
      </c>
      <c r="B4131" s="59">
        <v>44986</v>
      </c>
      <c r="C4131" s="58">
        <v>2</v>
      </c>
      <c r="D4131" s="58" t="s">
        <v>207</v>
      </c>
      <c r="E4131" s="60">
        <f>4-3</f>
        <v>1</v>
      </c>
      <c r="F4131" s="58" t="s">
        <v>363</v>
      </c>
      <c r="G4131" s="58" t="s">
        <v>869</v>
      </c>
      <c r="L4131" t="s">
        <v>869</v>
      </c>
    </row>
    <row r="4132" spans="1:12" s="58" customFormat="1" x14ac:dyDescent="0.75">
      <c r="A4132" s="58" t="s">
        <v>69</v>
      </c>
      <c r="B4132" s="59">
        <v>44986</v>
      </c>
      <c r="C4132" s="58">
        <v>2</v>
      </c>
      <c r="D4132" s="58" t="s">
        <v>207</v>
      </c>
      <c r="E4132" s="60">
        <f>3-1</f>
        <v>2</v>
      </c>
      <c r="F4132" s="58" t="s">
        <v>363</v>
      </c>
      <c r="G4132" s="58" t="s">
        <v>869</v>
      </c>
      <c r="L4132" t="s">
        <v>869</v>
      </c>
    </row>
    <row r="4133" spans="1:12" s="58" customFormat="1" x14ac:dyDescent="0.75">
      <c r="A4133" s="58" t="s">
        <v>69</v>
      </c>
      <c r="B4133" s="59">
        <v>44986</v>
      </c>
      <c r="C4133" s="58">
        <v>2</v>
      </c>
      <c r="D4133" s="58" t="s">
        <v>207</v>
      </c>
      <c r="E4133" s="60">
        <f>41-35</f>
        <v>6</v>
      </c>
      <c r="F4133" s="58" t="s">
        <v>363</v>
      </c>
      <c r="G4133" s="58" t="s">
        <v>361</v>
      </c>
      <c r="L4133" t="s">
        <v>869</v>
      </c>
    </row>
    <row r="4134" spans="1:12" s="58" customFormat="1" x14ac:dyDescent="0.75">
      <c r="A4134" s="58" t="s">
        <v>69</v>
      </c>
      <c r="B4134" s="59">
        <v>44986</v>
      </c>
      <c r="C4134" s="58">
        <v>2</v>
      </c>
      <c r="D4134" s="58" t="s">
        <v>201</v>
      </c>
      <c r="E4134" s="60">
        <f>35-30</f>
        <v>5</v>
      </c>
      <c r="F4134" s="58" t="s">
        <v>363</v>
      </c>
      <c r="G4134" s="58" t="s">
        <v>361</v>
      </c>
      <c r="L4134" t="s">
        <v>869</v>
      </c>
    </row>
    <row r="4135" spans="1:12" s="58" customFormat="1" x14ac:dyDescent="0.75">
      <c r="A4135" s="58" t="s">
        <v>69</v>
      </c>
      <c r="B4135" s="59">
        <v>44986</v>
      </c>
      <c r="C4135" s="58">
        <v>2</v>
      </c>
      <c r="D4135" s="58" t="s">
        <v>197</v>
      </c>
      <c r="E4135" s="60">
        <f>30-15</f>
        <v>15</v>
      </c>
      <c r="F4135" s="58" t="s">
        <v>363</v>
      </c>
      <c r="G4135" s="58" t="s">
        <v>361</v>
      </c>
      <c r="H4135" s="58" t="s">
        <v>390</v>
      </c>
      <c r="L4135" t="s">
        <v>869</v>
      </c>
    </row>
    <row r="4136" spans="1:12" s="58" customFormat="1" x14ac:dyDescent="0.75">
      <c r="A4136" s="58" t="s">
        <v>69</v>
      </c>
      <c r="B4136" s="59">
        <v>44986</v>
      </c>
      <c r="C4136" s="58">
        <v>2</v>
      </c>
      <c r="D4136" s="58" t="s">
        <v>168</v>
      </c>
      <c r="E4136" s="60">
        <f>15-7</f>
        <v>8</v>
      </c>
      <c r="F4136" s="58" t="s">
        <v>363</v>
      </c>
      <c r="G4136" s="58" t="s">
        <v>361</v>
      </c>
      <c r="L4136" t="s">
        <v>869</v>
      </c>
    </row>
    <row r="4137" spans="1:12" s="58" customFormat="1" x14ac:dyDescent="0.75">
      <c r="A4137" s="58" t="s">
        <v>69</v>
      </c>
      <c r="B4137" s="59">
        <v>44986</v>
      </c>
      <c r="C4137" s="58">
        <v>2</v>
      </c>
      <c r="D4137" s="58" t="s">
        <v>207</v>
      </c>
      <c r="E4137" s="60">
        <f>7-0</f>
        <v>7</v>
      </c>
      <c r="F4137" s="58" t="s">
        <v>363</v>
      </c>
      <c r="G4137" s="58" t="s">
        <v>361</v>
      </c>
      <c r="L4137" t="s">
        <v>869</v>
      </c>
    </row>
    <row r="4138" spans="1:12" s="58" customFormat="1" x14ac:dyDescent="0.75">
      <c r="A4138" s="58" t="s">
        <v>69</v>
      </c>
      <c r="B4138" s="59">
        <v>44986</v>
      </c>
      <c r="C4138" s="58">
        <v>2</v>
      </c>
      <c r="D4138" s="58" t="s">
        <v>191</v>
      </c>
      <c r="E4138" s="60">
        <f>14-8</f>
        <v>6</v>
      </c>
      <c r="F4138" s="58" t="s">
        <v>363</v>
      </c>
      <c r="G4138" s="58" t="s">
        <v>361</v>
      </c>
      <c r="L4138" t="s">
        <v>869</v>
      </c>
    </row>
    <row r="4139" spans="1:12" s="58" customFormat="1" x14ac:dyDescent="0.75">
      <c r="A4139" s="58" t="s">
        <v>69</v>
      </c>
      <c r="B4139" s="59">
        <v>44986</v>
      </c>
      <c r="C4139" s="58">
        <v>2</v>
      </c>
      <c r="D4139" s="58" t="s">
        <v>191</v>
      </c>
      <c r="E4139" s="60">
        <f>8-3</f>
        <v>5</v>
      </c>
      <c r="F4139" s="58">
        <v>952</v>
      </c>
      <c r="G4139" s="58" t="s">
        <v>361</v>
      </c>
      <c r="H4139" s="58" t="s">
        <v>390</v>
      </c>
      <c r="L4139" t="s">
        <v>869</v>
      </c>
    </row>
    <row r="4140" spans="1:12" s="58" customFormat="1" x14ac:dyDescent="0.75">
      <c r="A4140" s="58" t="s">
        <v>69</v>
      </c>
      <c r="B4140" s="59">
        <v>44986</v>
      </c>
      <c r="C4140" s="58">
        <v>2</v>
      </c>
      <c r="D4140" s="58" t="s">
        <v>201</v>
      </c>
      <c r="E4140" s="60">
        <f>3-0</f>
        <v>3</v>
      </c>
      <c r="F4140" s="58" t="s">
        <v>363</v>
      </c>
      <c r="G4140" s="58" t="s">
        <v>361</v>
      </c>
      <c r="L4140" t="s">
        <v>869</v>
      </c>
    </row>
    <row r="4141" spans="1:12" x14ac:dyDescent="0.75">
      <c r="A4141" t="s">
        <v>69</v>
      </c>
      <c r="B4141" s="3">
        <v>44986</v>
      </c>
      <c r="C4141">
        <v>3</v>
      </c>
      <c r="D4141" t="s">
        <v>197</v>
      </c>
      <c r="E4141" s="22">
        <f>35-33</f>
        <v>2</v>
      </c>
      <c r="F4141">
        <v>3988</v>
      </c>
      <c r="G4141" t="s">
        <v>869</v>
      </c>
      <c r="H4141" t="s">
        <v>390</v>
      </c>
      <c r="I4141" s="116" t="s">
        <v>360</v>
      </c>
      <c r="J4141" s="216">
        <v>45187</v>
      </c>
      <c r="L4141" t="s">
        <v>869</v>
      </c>
    </row>
    <row r="4142" spans="1:12" x14ac:dyDescent="0.75">
      <c r="A4142" t="s">
        <v>69</v>
      </c>
      <c r="B4142" s="3">
        <v>44986</v>
      </c>
      <c r="C4142">
        <v>3</v>
      </c>
      <c r="D4142" t="s">
        <v>172</v>
      </c>
      <c r="E4142" s="22">
        <f>33-28</f>
        <v>5</v>
      </c>
      <c r="F4142" t="s">
        <v>363</v>
      </c>
      <c r="G4142" t="s">
        <v>869</v>
      </c>
      <c r="I4142" s="116"/>
      <c r="J4142" s="116"/>
      <c r="L4142" t="s">
        <v>869</v>
      </c>
    </row>
    <row r="4143" spans="1:12" x14ac:dyDescent="0.75">
      <c r="A4143" t="s">
        <v>69</v>
      </c>
      <c r="B4143" s="3">
        <v>44986</v>
      </c>
      <c r="C4143">
        <v>3</v>
      </c>
      <c r="D4143" t="s">
        <v>207</v>
      </c>
      <c r="E4143" s="22">
        <f>28-27</f>
        <v>1</v>
      </c>
      <c r="F4143" t="s">
        <v>363</v>
      </c>
      <c r="G4143" t="s">
        <v>869</v>
      </c>
      <c r="I4143" s="116"/>
      <c r="J4143" s="116"/>
      <c r="L4143" t="s">
        <v>869</v>
      </c>
    </row>
    <row r="4144" spans="1:12" x14ac:dyDescent="0.75">
      <c r="A4144" t="s">
        <v>69</v>
      </c>
      <c r="B4144" s="3">
        <v>44986</v>
      </c>
      <c r="C4144">
        <v>3</v>
      </c>
      <c r="D4144" t="s">
        <v>191</v>
      </c>
      <c r="E4144" s="22">
        <f>27-19</f>
        <v>8</v>
      </c>
      <c r="F4144" t="s">
        <v>363</v>
      </c>
      <c r="G4144" t="s">
        <v>869</v>
      </c>
      <c r="I4144" s="116"/>
      <c r="J4144" s="116"/>
      <c r="L4144" t="s">
        <v>869</v>
      </c>
    </row>
    <row r="4145" spans="1:12" x14ac:dyDescent="0.75">
      <c r="A4145" t="s">
        <v>69</v>
      </c>
      <c r="B4145" s="3">
        <v>44986</v>
      </c>
      <c r="C4145">
        <v>3</v>
      </c>
      <c r="D4145" t="s">
        <v>172</v>
      </c>
      <c r="E4145" s="22">
        <f>52-30</f>
        <v>22</v>
      </c>
      <c r="F4145" t="s">
        <v>363</v>
      </c>
      <c r="G4145" t="s">
        <v>869</v>
      </c>
      <c r="I4145" s="116"/>
      <c r="J4145" s="116"/>
      <c r="L4145" t="s">
        <v>869</v>
      </c>
    </row>
    <row r="4146" spans="1:12" x14ac:dyDescent="0.75">
      <c r="A4146" t="s">
        <v>69</v>
      </c>
      <c r="B4146" s="3">
        <v>44986</v>
      </c>
      <c r="C4146">
        <v>3</v>
      </c>
      <c r="D4146" t="s">
        <v>172</v>
      </c>
      <c r="E4146" s="22">
        <f>30-22</f>
        <v>8</v>
      </c>
      <c r="F4146" t="s">
        <v>363</v>
      </c>
      <c r="G4146" t="s">
        <v>869</v>
      </c>
      <c r="I4146" s="116"/>
      <c r="J4146" s="116"/>
      <c r="L4146" t="s">
        <v>869</v>
      </c>
    </row>
    <row r="4147" spans="1:12" x14ac:dyDescent="0.75">
      <c r="A4147" t="s">
        <v>69</v>
      </c>
      <c r="B4147" s="3">
        <v>44986</v>
      </c>
      <c r="C4147">
        <v>3</v>
      </c>
      <c r="D4147" t="s">
        <v>168</v>
      </c>
      <c r="E4147" s="22">
        <f>22-21</f>
        <v>1</v>
      </c>
      <c r="F4147" t="s">
        <v>363</v>
      </c>
      <c r="G4147" t="s">
        <v>869</v>
      </c>
      <c r="I4147" s="116"/>
      <c r="J4147" s="116"/>
      <c r="L4147" t="s">
        <v>869</v>
      </c>
    </row>
    <row r="4148" spans="1:12" x14ac:dyDescent="0.75">
      <c r="A4148" t="s">
        <v>69</v>
      </c>
      <c r="B4148" s="3">
        <v>44986</v>
      </c>
      <c r="C4148">
        <v>3</v>
      </c>
      <c r="D4148" t="s">
        <v>168</v>
      </c>
      <c r="E4148" s="22">
        <f>21-18</f>
        <v>3</v>
      </c>
      <c r="F4148" t="s">
        <v>363</v>
      </c>
      <c r="G4148" t="s">
        <v>869</v>
      </c>
      <c r="I4148" s="116"/>
      <c r="J4148" s="116"/>
      <c r="L4148" t="s">
        <v>869</v>
      </c>
    </row>
    <row r="4149" spans="1:12" x14ac:dyDescent="0.75">
      <c r="A4149" t="s">
        <v>69</v>
      </c>
      <c r="B4149" s="3">
        <v>44986</v>
      </c>
      <c r="C4149">
        <v>3</v>
      </c>
      <c r="D4149" t="s">
        <v>168</v>
      </c>
      <c r="E4149" s="22">
        <f>45-25</f>
        <v>20</v>
      </c>
      <c r="F4149" t="s">
        <v>363</v>
      </c>
      <c r="G4149" t="s">
        <v>869</v>
      </c>
      <c r="I4149" s="116"/>
      <c r="J4149" s="116"/>
      <c r="L4149" t="s">
        <v>869</v>
      </c>
    </row>
    <row r="4150" spans="1:12" x14ac:dyDescent="0.75">
      <c r="A4150" t="s">
        <v>69</v>
      </c>
      <c r="B4150" s="3">
        <v>44986</v>
      </c>
      <c r="C4150">
        <v>3</v>
      </c>
      <c r="D4150" t="s">
        <v>172</v>
      </c>
      <c r="E4150" s="22">
        <f>25-19</f>
        <v>6</v>
      </c>
      <c r="F4150" t="s">
        <v>363</v>
      </c>
      <c r="G4150" t="s">
        <v>869</v>
      </c>
      <c r="I4150" s="116"/>
      <c r="J4150" s="116"/>
      <c r="L4150" t="s">
        <v>869</v>
      </c>
    </row>
    <row r="4151" spans="1:12" x14ac:dyDescent="0.75">
      <c r="A4151" t="s">
        <v>69</v>
      </c>
      <c r="B4151" s="3">
        <v>44986</v>
      </c>
      <c r="C4151">
        <v>3</v>
      </c>
      <c r="D4151" t="s">
        <v>172</v>
      </c>
      <c r="E4151" s="22">
        <f>19-18</f>
        <v>1</v>
      </c>
      <c r="F4151" t="s">
        <v>363</v>
      </c>
      <c r="G4151" t="s">
        <v>869</v>
      </c>
      <c r="I4151" s="116"/>
      <c r="J4151" s="116"/>
      <c r="L4151" t="s">
        <v>869</v>
      </c>
    </row>
    <row r="4152" spans="1:12" x14ac:dyDescent="0.75">
      <c r="A4152" t="s">
        <v>69</v>
      </c>
      <c r="B4152" s="3">
        <v>44986</v>
      </c>
      <c r="C4152">
        <v>3</v>
      </c>
      <c r="D4152" t="s">
        <v>207</v>
      </c>
      <c r="E4152" s="22">
        <f>18-15</f>
        <v>3</v>
      </c>
      <c r="F4152" t="s">
        <v>363</v>
      </c>
      <c r="G4152" t="s">
        <v>869</v>
      </c>
      <c r="I4152" s="116"/>
      <c r="J4152" s="116"/>
      <c r="L4152" t="s">
        <v>869</v>
      </c>
    </row>
    <row r="4153" spans="1:12" x14ac:dyDescent="0.75">
      <c r="A4153" t="s">
        <v>69</v>
      </c>
      <c r="B4153" s="3">
        <v>44986</v>
      </c>
      <c r="C4153">
        <v>3</v>
      </c>
      <c r="D4153" t="s">
        <v>207</v>
      </c>
      <c r="E4153" s="22">
        <f>15-14</f>
        <v>1</v>
      </c>
      <c r="F4153">
        <v>906</v>
      </c>
      <c r="G4153" t="s">
        <v>869</v>
      </c>
      <c r="H4153" t="s">
        <v>390</v>
      </c>
      <c r="I4153" s="116"/>
      <c r="J4153" s="116"/>
      <c r="L4153" t="s">
        <v>869</v>
      </c>
    </row>
    <row r="4154" spans="1:12" x14ac:dyDescent="0.75">
      <c r="A4154" t="s">
        <v>69</v>
      </c>
      <c r="B4154" s="3">
        <v>44986</v>
      </c>
      <c r="C4154">
        <v>3</v>
      </c>
      <c r="D4154" t="s">
        <v>197</v>
      </c>
      <c r="E4154" s="22">
        <f>14-10</f>
        <v>4</v>
      </c>
      <c r="F4154" t="s">
        <v>363</v>
      </c>
      <c r="G4154" t="s">
        <v>869</v>
      </c>
      <c r="I4154" s="116"/>
      <c r="J4154" s="116"/>
      <c r="L4154" t="s">
        <v>869</v>
      </c>
    </row>
    <row r="4155" spans="1:12" x14ac:dyDescent="0.75">
      <c r="A4155" t="s">
        <v>69</v>
      </c>
      <c r="B4155" s="3">
        <v>44986</v>
      </c>
      <c r="C4155">
        <v>3</v>
      </c>
      <c r="D4155" t="s">
        <v>168</v>
      </c>
      <c r="E4155" s="22">
        <f>10-5</f>
        <v>5</v>
      </c>
      <c r="F4155" t="s">
        <v>363</v>
      </c>
      <c r="G4155" t="s">
        <v>869</v>
      </c>
      <c r="I4155" s="116"/>
      <c r="J4155" s="116"/>
      <c r="L4155" t="s">
        <v>869</v>
      </c>
    </row>
    <row r="4156" spans="1:12" x14ac:dyDescent="0.75">
      <c r="A4156" t="s">
        <v>69</v>
      </c>
      <c r="B4156" s="3">
        <v>44986</v>
      </c>
      <c r="C4156">
        <v>3</v>
      </c>
      <c r="D4156" t="s">
        <v>168</v>
      </c>
      <c r="E4156" s="22">
        <f>18-12</f>
        <v>6</v>
      </c>
      <c r="F4156" t="s">
        <v>363</v>
      </c>
      <c r="G4156" t="s">
        <v>869</v>
      </c>
      <c r="I4156" s="116"/>
      <c r="J4156" s="116"/>
      <c r="L4156" t="s">
        <v>869</v>
      </c>
    </row>
    <row r="4157" spans="1:12" x14ac:dyDescent="0.75">
      <c r="A4157" t="s">
        <v>69</v>
      </c>
      <c r="B4157" s="3">
        <v>44986</v>
      </c>
      <c r="C4157">
        <v>3</v>
      </c>
      <c r="D4157" t="s">
        <v>172</v>
      </c>
      <c r="E4157" s="22">
        <f>12-0+19-13</f>
        <v>18</v>
      </c>
      <c r="F4157" t="s">
        <v>363</v>
      </c>
      <c r="G4157" t="s">
        <v>869</v>
      </c>
      <c r="I4157" s="116"/>
      <c r="J4157" s="116"/>
      <c r="L4157" t="s">
        <v>869</v>
      </c>
    </row>
    <row r="4158" spans="1:12" x14ac:dyDescent="0.75">
      <c r="A4158" t="s">
        <v>69</v>
      </c>
      <c r="B4158" s="3">
        <v>44986</v>
      </c>
      <c r="C4158">
        <v>3</v>
      </c>
      <c r="D4158" t="s">
        <v>168</v>
      </c>
      <c r="E4158" s="22">
        <f>13-0</f>
        <v>13</v>
      </c>
      <c r="F4158" t="s">
        <v>363</v>
      </c>
      <c r="G4158" t="s">
        <v>869</v>
      </c>
      <c r="I4158" s="116"/>
      <c r="J4158" s="116"/>
      <c r="L4158" t="s">
        <v>869</v>
      </c>
    </row>
    <row r="4159" spans="1:12" x14ac:dyDescent="0.75">
      <c r="A4159" t="s">
        <v>69</v>
      </c>
      <c r="B4159" s="3">
        <v>44986</v>
      </c>
      <c r="C4159">
        <v>3</v>
      </c>
      <c r="D4159" t="s">
        <v>172</v>
      </c>
      <c r="E4159" s="22">
        <f>10-1</f>
        <v>9</v>
      </c>
      <c r="F4159" t="s">
        <v>363</v>
      </c>
      <c r="G4159" t="s">
        <v>869</v>
      </c>
      <c r="I4159" s="116"/>
      <c r="J4159" s="116"/>
      <c r="L4159" t="s">
        <v>869</v>
      </c>
    </row>
    <row r="4160" spans="1:12" x14ac:dyDescent="0.75">
      <c r="A4160" t="s">
        <v>69</v>
      </c>
      <c r="B4160" s="3">
        <v>44986</v>
      </c>
      <c r="C4160">
        <v>3</v>
      </c>
      <c r="D4160" t="s">
        <v>207</v>
      </c>
      <c r="E4160" s="22">
        <f>4-1</f>
        <v>3</v>
      </c>
      <c r="F4160" t="s">
        <v>363</v>
      </c>
      <c r="G4160" t="s">
        <v>869</v>
      </c>
      <c r="I4160" s="116"/>
      <c r="J4160" s="116"/>
      <c r="L4160" t="s">
        <v>869</v>
      </c>
    </row>
    <row r="4161" spans="1:12" x14ac:dyDescent="0.75">
      <c r="A4161" t="s">
        <v>69</v>
      </c>
      <c r="B4161" s="3">
        <v>44986</v>
      </c>
      <c r="C4161">
        <v>3</v>
      </c>
      <c r="D4161" t="s">
        <v>207</v>
      </c>
      <c r="E4161" s="22">
        <f>2-0</f>
        <v>2</v>
      </c>
      <c r="F4161" t="s">
        <v>363</v>
      </c>
      <c r="G4161" t="s">
        <v>869</v>
      </c>
      <c r="I4161" s="116"/>
      <c r="J4161" s="116"/>
      <c r="L4161" t="s">
        <v>869</v>
      </c>
    </row>
    <row r="4162" spans="1:12" x14ac:dyDescent="0.75">
      <c r="A4162" t="s">
        <v>69</v>
      </c>
      <c r="B4162" s="3">
        <v>44986</v>
      </c>
      <c r="C4162">
        <v>3</v>
      </c>
      <c r="D4162" t="s">
        <v>197</v>
      </c>
      <c r="E4162" s="22">
        <f>49-0+56-46</f>
        <v>59</v>
      </c>
      <c r="F4162" t="s">
        <v>363</v>
      </c>
      <c r="G4162" t="s">
        <v>869</v>
      </c>
      <c r="I4162" s="116"/>
      <c r="J4162" s="116"/>
      <c r="L4162" t="s">
        <v>869</v>
      </c>
    </row>
    <row r="4163" spans="1:12" x14ac:dyDescent="0.75">
      <c r="A4163" t="s">
        <v>69</v>
      </c>
      <c r="B4163" s="3">
        <v>44986</v>
      </c>
      <c r="C4163">
        <v>3</v>
      </c>
      <c r="D4163" t="s">
        <v>191</v>
      </c>
      <c r="E4163" s="22">
        <f>46-39</f>
        <v>7</v>
      </c>
      <c r="F4163" t="s">
        <v>363</v>
      </c>
      <c r="G4163" t="s">
        <v>869</v>
      </c>
      <c r="I4163" s="116"/>
      <c r="J4163" s="116"/>
      <c r="L4163" t="s">
        <v>869</v>
      </c>
    </row>
    <row r="4164" spans="1:12" x14ac:dyDescent="0.75">
      <c r="A4164" t="s">
        <v>69</v>
      </c>
      <c r="B4164" s="3">
        <v>44986</v>
      </c>
      <c r="C4164">
        <v>3</v>
      </c>
      <c r="D4164" t="s">
        <v>191</v>
      </c>
      <c r="E4164" s="22">
        <f>39-0</f>
        <v>39</v>
      </c>
      <c r="F4164" t="s">
        <v>363</v>
      </c>
      <c r="G4164" t="s">
        <v>869</v>
      </c>
      <c r="I4164" s="116"/>
      <c r="J4164" s="116"/>
      <c r="L4164" t="s">
        <v>869</v>
      </c>
    </row>
    <row r="4165" spans="1:12" x14ac:dyDescent="0.75">
      <c r="A4165" t="s">
        <v>69</v>
      </c>
      <c r="B4165" s="3">
        <v>44986</v>
      </c>
      <c r="C4165">
        <v>3</v>
      </c>
      <c r="D4165" t="s">
        <v>207</v>
      </c>
      <c r="E4165" s="22">
        <f>1</f>
        <v>1</v>
      </c>
      <c r="F4165" t="s">
        <v>363</v>
      </c>
      <c r="G4165" t="s">
        <v>869</v>
      </c>
      <c r="I4165" s="116"/>
      <c r="J4165" s="116"/>
      <c r="L4165" t="s">
        <v>869</v>
      </c>
    </row>
    <row r="4166" spans="1:12" x14ac:dyDescent="0.75">
      <c r="A4166" t="s">
        <v>69</v>
      </c>
      <c r="B4166" s="3">
        <v>44986</v>
      </c>
      <c r="C4166">
        <v>3</v>
      </c>
      <c r="D4166" t="s">
        <v>168</v>
      </c>
      <c r="E4166" s="22">
        <f>50-36</f>
        <v>14</v>
      </c>
      <c r="F4166" t="s">
        <v>363</v>
      </c>
      <c r="G4166" t="s">
        <v>361</v>
      </c>
      <c r="I4166" s="116"/>
      <c r="J4166" s="116"/>
      <c r="L4166" t="s">
        <v>869</v>
      </c>
    </row>
    <row r="4167" spans="1:12" x14ac:dyDescent="0.75">
      <c r="A4167" t="s">
        <v>69</v>
      </c>
      <c r="B4167" s="3">
        <v>44986</v>
      </c>
      <c r="C4167">
        <v>3</v>
      </c>
      <c r="D4167" t="s">
        <v>207</v>
      </c>
      <c r="E4167" s="22">
        <f>36-34</f>
        <v>2</v>
      </c>
      <c r="F4167">
        <v>908</v>
      </c>
      <c r="G4167" t="s">
        <v>361</v>
      </c>
      <c r="I4167" s="116"/>
      <c r="J4167" s="116"/>
      <c r="L4167" t="s">
        <v>869</v>
      </c>
    </row>
    <row r="4168" spans="1:12" x14ac:dyDescent="0.75">
      <c r="A4168" t="s">
        <v>69</v>
      </c>
      <c r="B4168" s="3">
        <v>44986</v>
      </c>
      <c r="C4168">
        <v>3</v>
      </c>
      <c r="D4168" t="s">
        <v>172</v>
      </c>
      <c r="E4168" s="22">
        <f>34-26</f>
        <v>8</v>
      </c>
      <c r="F4168" t="s">
        <v>363</v>
      </c>
      <c r="G4168" t="s">
        <v>361</v>
      </c>
      <c r="I4168" s="116"/>
      <c r="J4168" s="116"/>
      <c r="L4168" t="s">
        <v>869</v>
      </c>
    </row>
    <row r="4169" spans="1:12" x14ac:dyDescent="0.75">
      <c r="A4169" t="s">
        <v>69</v>
      </c>
      <c r="B4169" s="3">
        <v>44986</v>
      </c>
      <c r="C4169">
        <v>3</v>
      </c>
      <c r="D4169" t="s">
        <v>168</v>
      </c>
      <c r="E4169" s="22">
        <f>26-20</f>
        <v>6</v>
      </c>
      <c r="F4169" t="s">
        <v>363</v>
      </c>
      <c r="G4169" t="s">
        <v>361</v>
      </c>
      <c r="I4169" s="116"/>
      <c r="J4169" s="116"/>
      <c r="L4169" t="s">
        <v>869</v>
      </c>
    </row>
    <row r="4170" spans="1:12" x14ac:dyDescent="0.75">
      <c r="A4170" t="s">
        <v>69</v>
      </c>
      <c r="B4170" s="3">
        <v>44986</v>
      </c>
      <c r="C4170">
        <v>3</v>
      </c>
      <c r="D4170" t="s">
        <v>191</v>
      </c>
      <c r="E4170" s="22">
        <f>20-14</f>
        <v>6</v>
      </c>
      <c r="F4170" t="s">
        <v>363</v>
      </c>
      <c r="G4170" t="s">
        <v>361</v>
      </c>
      <c r="I4170" s="116"/>
      <c r="J4170" s="116"/>
      <c r="L4170" t="s">
        <v>869</v>
      </c>
    </row>
    <row r="4171" spans="1:12" x14ac:dyDescent="0.75">
      <c r="A4171" t="s">
        <v>69</v>
      </c>
      <c r="B4171" s="3">
        <v>44986</v>
      </c>
      <c r="C4171">
        <v>3</v>
      </c>
      <c r="D4171" t="s">
        <v>168</v>
      </c>
      <c r="E4171" s="22">
        <f>14-7</f>
        <v>7</v>
      </c>
      <c r="F4171" t="s">
        <v>363</v>
      </c>
      <c r="G4171" t="s">
        <v>361</v>
      </c>
      <c r="I4171" s="116"/>
      <c r="J4171" s="116"/>
      <c r="K4171" t="s">
        <v>916</v>
      </c>
      <c r="L4171" t="s">
        <v>869</v>
      </c>
    </row>
    <row r="4172" spans="1:12" x14ac:dyDescent="0.75">
      <c r="A4172" t="s">
        <v>69</v>
      </c>
      <c r="B4172" s="3">
        <v>44986</v>
      </c>
      <c r="C4172">
        <v>3</v>
      </c>
      <c r="D4172" t="s">
        <v>191</v>
      </c>
      <c r="E4172" s="22">
        <f>7-0+46-20</f>
        <v>33</v>
      </c>
      <c r="F4172" t="s">
        <v>363</v>
      </c>
      <c r="G4172" t="s">
        <v>361</v>
      </c>
      <c r="I4172" s="116"/>
      <c r="J4172" s="116"/>
      <c r="L4172" t="s">
        <v>869</v>
      </c>
    </row>
    <row r="4173" spans="1:12" x14ac:dyDescent="0.75">
      <c r="A4173" t="s">
        <v>69</v>
      </c>
      <c r="B4173" s="3">
        <v>44986</v>
      </c>
      <c r="C4173">
        <v>3</v>
      </c>
      <c r="D4173" t="s">
        <v>191</v>
      </c>
      <c r="E4173" s="22">
        <f>20-0</f>
        <v>20</v>
      </c>
      <c r="F4173" t="s">
        <v>363</v>
      </c>
      <c r="G4173" t="s">
        <v>361</v>
      </c>
      <c r="I4173" s="116"/>
      <c r="J4173" s="116"/>
      <c r="L4173" t="s">
        <v>869</v>
      </c>
    </row>
    <row r="4174" spans="1:12" s="58" customFormat="1" x14ac:dyDescent="0.75">
      <c r="A4174" s="58" t="s">
        <v>69</v>
      </c>
      <c r="B4174" s="59">
        <v>44987</v>
      </c>
      <c r="C4174" s="58">
        <v>1</v>
      </c>
      <c r="D4174" s="58" t="s">
        <v>191</v>
      </c>
      <c r="E4174" s="60">
        <f>43-28</f>
        <v>15</v>
      </c>
      <c r="F4174" s="58" t="s">
        <v>363</v>
      </c>
      <c r="G4174" s="58" t="s">
        <v>869</v>
      </c>
      <c r="L4174" t="s">
        <v>869</v>
      </c>
    </row>
    <row r="4175" spans="1:12" s="58" customFormat="1" x14ac:dyDescent="0.75">
      <c r="A4175" s="58" t="s">
        <v>69</v>
      </c>
      <c r="B4175" s="59">
        <v>44987</v>
      </c>
      <c r="C4175" s="58">
        <v>1</v>
      </c>
      <c r="D4175" s="58" t="s">
        <v>201</v>
      </c>
      <c r="E4175" s="60">
        <f>46-43</f>
        <v>3</v>
      </c>
      <c r="F4175" s="58">
        <v>3993</v>
      </c>
      <c r="G4175" s="58" t="s">
        <v>869</v>
      </c>
      <c r="L4175" t="s">
        <v>869</v>
      </c>
    </row>
    <row r="4176" spans="1:12" x14ac:dyDescent="0.75">
      <c r="A4176" t="s">
        <v>69</v>
      </c>
      <c r="B4176" s="3">
        <v>44987</v>
      </c>
      <c r="C4176">
        <v>2</v>
      </c>
      <c r="D4176" t="s">
        <v>207</v>
      </c>
      <c r="E4176" s="22">
        <f>53-47</f>
        <v>6</v>
      </c>
      <c r="F4176" t="s">
        <v>363</v>
      </c>
      <c r="G4176" t="s">
        <v>733</v>
      </c>
      <c r="I4176" s="116"/>
      <c r="J4176" s="116"/>
      <c r="L4176" t="s">
        <v>869</v>
      </c>
    </row>
    <row r="4177" spans="1:12" x14ac:dyDescent="0.75">
      <c r="A4177" t="s">
        <v>69</v>
      </c>
      <c r="B4177" s="3">
        <v>44987</v>
      </c>
      <c r="C4177">
        <v>2</v>
      </c>
      <c r="D4177" t="s">
        <v>207</v>
      </c>
      <c r="E4177" s="22">
        <f>47-45</f>
        <v>2</v>
      </c>
      <c r="F4177" t="s">
        <v>363</v>
      </c>
      <c r="G4177" t="s">
        <v>733</v>
      </c>
      <c r="I4177" s="116"/>
      <c r="J4177" s="116"/>
      <c r="L4177" t="s">
        <v>869</v>
      </c>
    </row>
    <row r="4178" spans="1:12" x14ac:dyDescent="0.75">
      <c r="A4178" t="s">
        <v>69</v>
      </c>
      <c r="B4178" s="3">
        <v>44987</v>
      </c>
      <c r="C4178">
        <v>2</v>
      </c>
      <c r="D4178" t="s">
        <v>207</v>
      </c>
      <c r="E4178" s="22">
        <f>45-40</f>
        <v>5</v>
      </c>
      <c r="F4178" t="s">
        <v>363</v>
      </c>
      <c r="G4178" t="s">
        <v>733</v>
      </c>
      <c r="I4178" s="116"/>
      <c r="J4178" s="116"/>
      <c r="L4178" t="s">
        <v>869</v>
      </c>
    </row>
    <row r="4179" spans="1:12" s="58" customFormat="1" x14ac:dyDescent="0.75">
      <c r="A4179" s="58" t="s">
        <v>100</v>
      </c>
      <c r="B4179" s="59">
        <v>44987</v>
      </c>
      <c r="C4179" s="58">
        <v>1</v>
      </c>
      <c r="D4179" s="58" t="s">
        <v>160</v>
      </c>
      <c r="E4179" s="60">
        <f>40-36</f>
        <v>4</v>
      </c>
      <c r="F4179" s="58" t="s">
        <v>363</v>
      </c>
      <c r="G4179" s="58" t="s">
        <v>733</v>
      </c>
      <c r="L4179" t="s">
        <v>869</v>
      </c>
    </row>
    <row r="4180" spans="1:12" s="58" customFormat="1" x14ac:dyDescent="0.75">
      <c r="A4180" s="58" t="s">
        <v>100</v>
      </c>
      <c r="B4180" s="59">
        <v>44987</v>
      </c>
      <c r="C4180" s="58">
        <v>1</v>
      </c>
      <c r="D4180" s="58" t="s">
        <v>207</v>
      </c>
      <c r="E4180" s="60">
        <f>36-27</f>
        <v>9</v>
      </c>
      <c r="F4180" s="58" t="s">
        <v>363</v>
      </c>
      <c r="G4180" s="58" t="s">
        <v>733</v>
      </c>
      <c r="L4180" t="s">
        <v>869</v>
      </c>
    </row>
    <row r="4181" spans="1:12" s="58" customFormat="1" x14ac:dyDescent="0.75">
      <c r="A4181" s="58" t="s">
        <v>100</v>
      </c>
      <c r="B4181" s="59">
        <v>44987</v>
      </c>
      <c r="C4181" s="58">
        <v>1</v>
      </c>
      <c r="D4181" s="58" t="s">
        <v>207</v>
      </c>
      <c r="E4181" s="60">
        <f>27-26</f>
        <v>1</v>
      </c>
      <c r="F4181" s="58" t="s">
        <v>363</v>
      </c>
      <c r="G4181" s="58" t="s">
        <v>733</v>
      </c>
      <c r="L4181" t="s">
        <v>869</v>
      </c>
    </row>
    <row r="4182" spans="1:12" s="58" customFormat="1" x14ac:dyDescent="0.75">
      <c r="A4182" s="58" t="s">
        <v>100</v>
      </c>
      <c r="B4182" s="59">
        <v>44987</v>
      </c>
      <c r="C4182" s="58">
        <v>1</v>
      </c>
      <c r="D4182" s="58" t="s">
        <v>207</v>
      </c>
      <c r="E4182" s="60">
        <f>26-21</f>
        <v>5</v>
      </c>
      <c r="F4182" s="58" t="s">
        <v>363</v>
      </c>
      <c r="G4182" s="58" t="s">
        <v>733</v>
      </c>
      <c r="L4182" t="s">
        <v>869</v>
      </c>
    </row>
    <row r="4183" spans="1:12" s="58" customFormat="1" x14ac:dyDescent="0.75">
      <c r="A4183" s="58" t="s">
        <v>100</v>
      </c>
      <c r="B4183" s="59">
        <v>44987</v>
      </c>
      <c r="C4183" s="58">
        <v>1</v>
      </c>
      <c r="D4183" s="58" t="s">
        <v>207</v>
      </c>
      <c r="E4183" s="60">
        <f>21-13</f>
        <v>8</v>
      </c>
      <c r="F4183" s="58" t="s">
        <v>363</v>
      </c>
      <c r="G4183" s="58" t="s">
        <v>733</v>
      </c>
      <c r="L4183" t="s">
        <v>869</v>
      </c>
    </row>
    <row r="4184" spans="1:12" s="58" customFormat="1" x14ac:dyDescent="0.75">
      <c r="A4184" s="58" t="s">
        <v>100</v>
      </c>
      <c r="B4184" s="59">
        <v>44987</v>
      </c>
      <c r="C4184" s="58">
        <v>1</v>
      </c>
      <c r="D4184" s="58" t="s">
        <v>207</v>
      </c>
      <c r="E4184" s="60">
        <f>13-12</f>
        <v>1</v>
      </c>
      <c r="F4184" s="58" t="s">
        <v>363</v>
      </c>
      <c r="G4184" s="58" t="s">
        <v>733</v>
      </c>
      <c r="L4184" t="s">
        <v>869</v>
      </c>
    </row>
    <row r="4185" spans="1:12" s="58" customFormat="1" x14ac:dyDescent="0.75">
      <c r="A4185" s="58" t="s">
        <v>100</v>
      </c>
      <c r="B4185" s="59">
        <v>44987</v>
      </c>
      <c r="C4185" s="58">
        <v>1</v>
      </c>
      <c r="D4185" s="58" t="s">
        <v>168</v>
      </c>
      <c r="E4185" s="60">
        <f>12-1+36-24</f>
        <v>23</v>
      </c>
      <c r="F4185" s="58" t="s">
        <v>363</v>
      </c>
      <c r="G4185" s="58" t="s">
        <v>733</v>
      </c>
      <c r="L4185" t="s">
        <v>869</v>
      </c>
    </row>
    <row r="4186" spans="1:12" s="58" customFormat="1" x14ac:dyDescent="0.75">
      <c r="A4186" s="58" t="s">
        <v>100</v>
      </c>
      <c r="B4186" s="59">
        <v>44987</v>
      </c>
      <c r="C4186" s="58">
        <v>1</v>
      </c>
      <c r="D4186" s="58" t="s">
        <v>164</v>
      </c>
      <c r="E4186" s="60">
        <f>41-19</f>
        <v>22</v>
      </c>
      <c r="F4186" s="58" t="s">
        <v>363</v>
      </c>
      <c r="G4186" s="58" t="s">
        <v>792</v>
      </c>
      <c r="K4186" s="58" t="s">
        <v>917</v>
      </c>
      <c r="L4186" t="s">
        <v>869</v>
      </c>
    </row>
    <row r="4187" spans="1:12" s="58" customFormat="1" x14ac:dyDescent="0.75">
      <c r="A4187" s="58" t="s">
        <v>100</v>
      </c>
      <c r="B4187" s="59">
        <v>44987</v>
      </c>
      <c r="C4187" s="58">
        <v>1</v>
      </c>
      <c r="D4187" s="58" t="s">
        <v>191</v>
      </c>
      <c r="E4187" s="60">
        <f>19-10</f>
        <v>9</v>
      </c>
      <c r="F4187" s="58" t="s">
        <v>363</v>
      </c>
      <c r="G4187" s="58" t="s">
        <v>792</v>
      </c>
      <c r="K4187" s="58" t="s">
        <v>917</v>
      </c>
      <c r="L4187" t="s">
        <v>869</v>
      </c>
    </row>
    <row r="4188" spans="1:12" s="58" customFormat="1" x14ac:dyDescent="0.75">
      <c r="A4188" s="58" t="s">
        <v>100</v>
      </c>
      <c r="B4188" s="59">
        <v>44987</v>
      </c>
      <c r="C4188" s="58">
        <v>1</v>
      </c>
      <c r="D4188" s="58" t="s">
        <v>168</v>
      </c>
      <c r="E4188" s="60">
        <f>10+35-31</f>
        <v>14</v>
      </c>
      <c r="F4188" s="58" t="s">
        <v>363</v>
      </c>
      <c r="G4188" s="58" t="s">
        <v>897</v>
      </c>
      <c r="K4188" s="58" t="s">
        <v>918</v>
      </c>
      <c r="L4188" t="s">
        <v>869</v>
      </c>
    </row>
    <row r="4189" spans="1:12" s="58" customFormat="1" x14ac:dyDescent="0.75">
      <c r="A4189" s="58" t="s">
        <v>100</v>
      </c>
      <c r="B4189" s="59">
        <v>44987</v>
      </c>
      <c r="C4189" s="58">
        <v>1</v>
      </c>
      <c r="D4189" s="58" t="s">
        <v>172</v>
      </c>
      <c r="E4189" s="58" t="s">
        <v>363</v>
      </c>
      <c r="F4189" s="58" t="s">
        <v>363</v>
      </c>
      <c r="G4189" s="58" t="s">
        <v>897</v>
      </c>
      <c r="K4189" s="58" t="s">
        <v>919</v>
      </c>
      <c r="L4189" t="s">
        <v>869</v>
      </c>
    </row>
    <row r="4190" spans="1:12" s="58" customFormat="1" x14ac:dyDescent="0.75">
      <c r="A4190" s="58" t="s">
        <v>100</v>
      </c>
      <c r="B4190" s="59">
        <v>44987</v>
      </c>
      <c r="C4190" s="58">
        <v>1</v>
      </c>
      <c r="D4190" s="58" t="s">
        <v>160</v>
      </c>
      <c r="E4190" s="60">
        <f>42-28</f>
        <v>14</v>
      </c>
      <c r="F4190" s="58" t="s">
        <v>363</v>
      </c>
      <c r="G4190" s="58" t="s">
        <v>869</v>
      </c>
      <c r="L4190" t="s">
        <v>869</v>
      </c>
    </row>
    <row r="4191" spans="1:12" s="58" customFormat="1" x14ac:dyDescent="0.75">
      <c r="A4191" s="58" t="s">
        <v>100</v>
      </c>
      <c r="B4191" s="59">
        <v>44987</v>
      </c>
      <c r="C4191" s="58">
        <v>1</v>
      </c>
      <c r="D4191" s="58" t="s">
        <v>207</v>
      </c>
      <c r="E4191" s="60">
        <f>28-26</f>
        <v>2</v>
      </c>
      <c r="F4191" s="58" t="s">
        <v>363</v>
      </c>
      <c r="G4191" s="58" t="s">
        <v>869</v>
      </c>
      <c r="L4191" t="s">
        <v>869</v>
      </c>
    </row>
    <row r="4192" spans="1:12" s="58" customFormat="1" x14ac:dyDescent="0.75">
      <c r="A4192" s="58" t="s">
        <v>100</v>
      </c>
      <c r="B4192" s="59">
        <v>44987</v>
      </c>
      <c r="C4192" s="58">
        <v>1</v>
      </c>
      <c r="D4192" s="58" t="s">
        <v>207</v>
      </c>
      <c r="E4192" s="60">
        <f>26-22</f>
        <v>4</v>
      </c>
      <c r="F4192" s="58" t="s">
        <v>363</v>
      </c>
      <c r="G4192" s="58" t="s">
        <v>869</v>
      </c>
      <c r="L4192" t="s">
        <v>869</v>
      </c>
    </row>
    <row r="4193" spans="1:12" s="58" customFormat="1" x14ac:dyDescent="0.75">
      <c r="A4193" s="58" t="s">
        <v>100</v>
      </c>
      <c r="B4193" s="59">
        <v>44987</v>
      </c>
      <c r="C4193" s="58">
        <v>1</v>
      </c>
      <c r="D4193" s="58" t="s">
        <v>207</v>
      </c>
      <c r="E4193" s="60">
        <f>22-20</f>
        <v>2</v>
      </c>
      <c r="F4193" s="58" t="s">
        <v>363</v>
      </c>
      <c r="G4193" s="58" t="s">
        <v>869</v>
      </c>
      <c r="L4193" t="s">
        <v>869</v>
      </c>
    </row>
    <row r="4194" spans="1:12" s="58" customFormat="1" x14ac:dyDescent="0.75">
      <c r="A4194" s="58" t="s">
        <v>100</v>
      </c>
      <c r="B4194" s="59">
        <v>44987</v>
      </c>
      <c r="C4194" s="58">
        <v>1</v>
      </c>
      <c r="D4194" s="58" t="s">
        <v>207</v>
      </c>
      <c r="E4194" s="60">
        <f>20-11</f>
        <v>9</v>
      </c>
      <c r="F4194" s="58" t="s">
        <v>363</v>
      </c>
      <c r="G4194" s="58" t="s">
        <v>869</v>
      </c>
      <c r="L4194" t="s">
        <v>869</v>
      </c>
    </row>
    <row r="4195" spans="1:12" s="58" customFormat="1" x14ac:dyDescent="0.75">
      <c r="A4195" s="58" t="s">
        <v>100</v>
      </c>
      <c r="B4195" s="59">
        <v>44987</v>
      </c>
      <c r="C4195" s="58">
        <v>1</v>
      </c>
      <c r="D4195" s="58" t="s">
        <v>207</v>
      </c>
      <c r="E4195" s="60">
        <f>11-7</f>
        <v>4</v>
      </c>
      <c r="F4195" s="58" t="s">
        <v>363</v>
      </c>
      <c r="G4195" s="58" t="s">
        <v>869</v>
      </c>
      <c r="L4195" t="s">
        <v>869</v>
      </c>
    </row>
    <row r="4196" spans="1:12" s="58" customFormat="1" x14ac:dyDescent="0.75">
      <c r="A4196" s="58" t="s">
        <v>100</v>
      </c>
      <c r="B4196" s="59">
        <v>44987</v>
      </c>
      <c r="C4196" s="58">
        <v>1</v>
      </c>
      <c r="D4196" s="58" t="s">
        <v>207</v>
      </c>
      <c r="E4196" s="60">
        <f>7-2</f>
        <v>5</v>
      </c>
      <c r="F4196" s="58" t="s">
        <v>363</v>
      </c>
      <c r="G4196" s="58" t="s">
        <v>869</v>
      </c>
      <c r="L4196" t="s">
        <v>869</v>
      </c>
    </row>
    <row r="4197" spans="1:12" s="58" customFormat="1" x14ac:dyDescent="0.75">
      <c r="A4197" s="58" t="s">
        <v>100</v>
      </c>
      <c r="B4197" s="59">
        <v>44987</v>
      </c>
      <c r="C4197" s="58">
        <v>1</v>
      </c>
      <c r="D4197" s="58" t="s">
        <v>207</v>
      </c>
      <c r="E4197" s="60">
        <f>2-0</f>
        <v>2</v>
      </c>
      <c r="F4197" s="58" t="s">
        <v>363</v>
      </c>
      <c r="G4197" s="58" t="s">
        <v>869</v>
      </c>
      <c r="L4197" t="s">
        <v>869</v>
      </c>
    </row>
    <row r="4198" spans="1:12" s="58" customFormat="1" x14ac:dyDescent="0.75">
      <c r="A4198" s="58" t="s">
        <v>100</v>
      </c>
      <c r="B4198" s="59">
        <v>44987</v>
      </c>
      <c r="C4198" s="58">
        <v>1</v>
      </c>
      <c r="D4198" s="58" t="s">
        <v>207</v>
      </c>
      <c r="E4198" s="60">
        <f>49-43</f>
        <v>6</v>
      </c>
      <c r="F4198" s="58" t="s">
        <v>363</v>
      </c>
      <c r="G4198" s="58" t="s">
        <v>869</v>
      </c>
      <c r="L4198" t="s">
        <v>869</v>
      </c>
    </row>
    <row r="4199" spans="1:12" s="58" customFormat="1" x14ac:dyDescent="0.75">
      <c r="A4199" s="58" t="s">
        <v>100</v>
      </c>
      <c r="B4199" s="59">
        <v>44987</v>
      </c>
      <c r="C4199" s="58">
        <v>1</v>
      </c>
      <c r="D4199" s="58" t="s">
        <v>168</v>
      </c>
      <c r="E4199" s="60">
        <f>43-39</f>
        <v>4</v>
      </c>
      <c r="F4199" s="58" t="s">
        <v>363</v>
      </c>
      <c r="G4199" s="58" t="s">
        <v>869</v>
      </c>
      <c r="L4199" t="s">
        <v>869</v>
      </c>
    </row>
    <row r="4200" spans="1:12" s="58" customFormat="1" x14ac:dyDescent="0.75">
      <c r="A4200" s="58" t="s">
        <v>100</v>
      </c>
      <c r="B4200" s="59">
        <v>44987</v>
      </c>
      <c r="C4200" s="58">
        <v>1</v>
      </c>
      <c r="D4200" s="58" t="s">
        <v>168</v>
      </c>
      <c r="E4200" s="60">
        <f>39-38</f>
        <v>1</v>
      </c>
      <c r="F4200" s="58" t="s">
        <v>363</v>
      </c>
      <c r="G4200" s="58" t="s">
        <v>869</v>
      </c>
      <c r="L4200" t="s">
        <v>869</v>
      </c>
    </row>
    <row r="4201" spans="1:12" s="58" customFormat="1" x14ac:dyDescent="0.75">
      <c r="A4201" s="58" t="s">
        <v>100</v>
      </c>
      <c r="B4201" s="59">
        <v>44987</v>
      </c>
      <c r="C4201" s="58">
        <v>1</v>
      </c>
      <c r="D4201" s="58" t="s">
        <v>207</v>
      </c>
      <c r="E4201" s="60">
        <f>38-37</f>
        <v>1</v>
      </c>
      <c r="F4201" s="58" t="s">
        <v>363</v>
      </c>
      <c r="G4201" s="58" t="s">
        <v>869</v>
      </c>
      <c r="L4201" t="s">
        <v>869</v>
      </c>
    </row>
    <row r="4202" spans="1:12" s="58" customFormat="1" x14ac:dyDescent="0.75">
      <c r="A4202" s="58" t="s">
        <v>100</v>
      </c>
      <c r="B4202" s="59">
        <v>44987</v>
      </c>
      <c r="C4202" s="58">
        <v>1</v>
      </c>
      <c r="D4202" s="58" t="s">
        <v>168</v>
      </c>
      <c r="E4202" s="60">
        <f>37-35</f>
        <v>2</v>
      </c>
      <c r="F4202" s="58" t="s">
        <v>363</v>
      </c>
      <c r="G4202" s="58" t="s">
        <v>869</v>
      </c>
      <c r="L4202" t="s">
        <v>869</v>
      </c>
    </row>
    <row r="4203" spans="1:12" s="58" customFormat="1" x14ac:dyDescent="0.75">
      <c r="A4203" s="58" t="s">
        <v>100</v>
      </c>
      <c r="B4203" s="59">
        <v>44987</v>
      </c>
      <c r="C4203" s="58">
        <v>1</v>
      </c>
      <c r="D4203" s="58" t="s">
        <v>207</v>
      </c>
      <c r="E4203" s="60">
        <f>35-33</f>
        <v>2</v>
      </c>
      <c r="F4203" s="58" t="s">
        <v>363</v>
      </c>
      <c r="G4203" s="58" t="s">
        <v>869</v>
      </c>
      <c r="L4203" t="s">
        <v>869</v>
      </c>
    </row>
    <row r="4204" spans="1:12" s="58" customFormat="1" x14ac:dyDescent="0.75">
      <c r="A4204" s="58" t="s">
        <v>100</v>
      </c>
      <c r="B4204" s="59">
        <v>44987</v>
      </c>
      <c r="C4204" s="58">
        <v>1</v>
      </c>
      <c r="D4204" s="58" t="s">
        <v>207</v>
      </c>
      <c r="E4204" s="60">
        <f>29-23</f>
        <v>6</v>
      </c>
      <c r="F4204" s="58" t="s">
        <v>363</v>
      </c>
      <c r="G4204" s="58" t="s">
        <v>869</v>
      </c>
      <c r="L4204" t="s">
        <v>869</v>
      </c>
    </row>
    <row r="4205" spans="1:12" s="58" customFormat="1" x14ac:dyDescent="0.75">
      <c r="A4205" s="58" t="s">
        <v>100</v>
      </c>
      <c r="B4205" s="59">
        <v>44987</v>
      </c>
      <c r="C4205" s="58">
        <v>1</v>
      </c>
      <c r="D4205" s="58" t="s">
        <v>172</v>
      </c>
      <c r="E4205" s="60">
        <f>15-2</f>
        <v>13</v>
      </c>
      <c r="F4205" s="58" t="s">
        <v>363</v>
      </c>
      <c r="G4205" s="58" t="s">
        <v>869</v>
      </c>
      <c r="L4205" t="s">
        <v>869</v>
      </c>
    </row>
    <row r="4206" spans="1:12" s="58" customFormat="1" x14ac:dyDescent="0.75">
      <c r="A4206" s="58" t="s">
        <v>100</v>
      </c>
      <c r="B4206" s="59">
        <v>44987</v>
      </c>
      <c r="C4206" s="58">
        <v>1</v>
      </c>
      <c r="D4206" s="58" t="s">
        <v>207</v>
      </c>
      <c r="E4206" s="60">
        <f>2-1</f>
        <v>1</v>
      </c>
      <c r="F4206" s="58" t="s">
        <v>363</v>
      </c>
      <c r="G4206" s="58" t="s">
        <v>869</v>
      </c>
      <c r="L4206" t="s">
        <v>869</v>
      </c>
    </row>
    <row r="4207" spans="1:12" x14ac:dyDescent="0.75">
      <c r="A4207" t="s">
        <v>91</v>
      </c>
      <c r="B4207" s="3">
        <v>44987</v>
      </c>
      <c r="C4207">
        <v>1</v>
      </c>
      <c r="D4207" t="s">
        <v>201</v>
      </c>
      <c r="E4207" s="22">
        <f>24-13</f>
        <v>11</v>
      </c>
      <c r="F4207" t="s">
        <v>363</v>
      </c>
      <c r="G4207" t="s">
        <v>733</v>
      </c>
      <c r="I4207" s="116"/>
      <c r="J4207" s="116"/>
      <c r="L4207" t="s">
        <v>869</v>
      </c>
    </row>
    <row r="4208" spans="1:12" x14ac:dyDescent="0.75">
      <c r="A4208" t="s">
        <v>91</v>
      </c>
      <c r="B4208" s="3">
        <v>44987</v>
      </c>
      <c r="C4208">
        <v>1</v>
      </c>
      <c r="D4208" t="s">
        <v>160</v>
      </c>
      <c r="E4208" s="22">
        <f>13-0</f>
        <v>13</v>
      </c>
      <c r="F4208" t="s">
        <v>363</v>
      </c>
      <c r="G4208" t="s">
        <v>733</v>
      </c>
      <c r="I4208" s="116"/>
      <c r="J4208" s="116"/>
      <c r="L4208" t="s">
        <v>869</v>
      </c>
    </row>
    <row r="4209" spans="1:12" x14ac:dyDescent="0.75">
      <c r="A4209" t="s">
        <v>91</v>
      </c>
      <c r="B4209" s="3">
        <v>44987</v>
      </c>
      <c r="C4209">
        <v>1</v>
      </c>
      <c r="D4209" t="s">
        <v>153</v>
      </c>
      <c r="E4209" s="22">
        <f>43-37</f>
        <v>6</v>
      </c>
      <c r="F4209" t="s">
        <v>363</v>
      </c>
      <c r="G4209" t="s">
        <v>733</v>
      </c>
      <c r="I4209" s="116"/>
      <c r="J4209" s="116"/>
      <c r="L4209" t="s">
        <v>869</v>
      </c>
    </row>
    <row r="4210" spans="1:12" x14ac:dyDescent="0.75">
      <c r="A4210" t="s">
        <v>91</v>
      </c>
      <c r="B4210" s="3">
        <v>44987</v>
      </c>
      <c r="C4210">
        <v>1</v>
      </c>
      <c r="D4210" t="s">
        <v>197</v>
      </c>
      <c r="E4210" s="22">
        <f>37-6</f>
        <v>31</v>
      </c>
      <c r="F4210" t="s">
        <v>363</v>
      </c>
      <c r="G4210" t="s">
        <v>733</v>
      </c>
      <c r="I4210" s="116"/>
      <c r="J4210" s="116"/>
      <c r="L4210" t="s">
        <v>869</v>
      </c>
    </row>
    <row r="4211" spans="1:12" x14ac:dyDescent="0.75">
      <c r="A4211" t="s">
        <v>91</v>
      </c>
      <c r="B4211" s="3">
        <v>44987</v>
      </c>
      <c r="C4211">
        <v>1</v>
      </c>
      <c r="D4211" t="s">
        <v>197</v>
      </c>
      <c r="E4211" s="22">
        <f>50-45</f>
        <v>5</v>
      </c>
      <c r="F4211" t="s">
        <v>363</v>
      </c>
      <c r="G4211" t="s">
        <v>792</v>
      </c>
      <c r="I4211" s="116"/>
      <c r="J4211" s="116"/>
      <c r="K4211" t="s">
        <v>917</v>
      </c>
      <c r="L4211" t="s">
        <v>869</v>
      </c>
    </row>
    <row r="4212" spans="1:12" x14ac:dyDescent="0.75">
      <c r="A4212" t="s">
        <v>91</v>
      </c>
      <c r="B4212" s="3">
        <v>44987</v>
      </c>
      <c r="C4212">
        <v>1</v>
      </c>
      <c r="D4212" t="s">
        <v>207</v>
      </c>
      <c r="E4212" s="22">
        <f>38-31</f>
        <v>7</v>
      </c>
      <c r="F4212" t="s">
        <v>363</v>
      </c>
      <c r="G4212" t="s">
        <v>869</v>
      </c>
      <c r="I4212" s="116"/>
      <c r="J4212" s="116"/>
      <c r="L4212" t="s">
        <v>869</v>
      </c>
    </row>
    <row r="4213" spans="1:12" x14ac:dyDescent="0.75">
      <c r="A4213" t="s">
        <v>91</v>
      </c>
      <c r="B4213" s="3">
        <v>44987</v>
      </c>
      <c r="C4213">
        <v>1</v>
      </c>
      <c r="D4213" t="s">
        <v>207</v>
      </c>
      <c r="E4213" s="22">
        <f>31-29</f>
        <v>2</v>
      </c>
      <c r="F4213" t="s">
        <v>363</v>
      </c>
      <c r="G4213" t="s">
        <v>869</v>
      </c>
      <c r="I4213" s="116"/>
      <c r="J4213" s="116"/>
      <c r="L4213" t="s">
        <v>869</v>
      </c>
    </row>
    <row r="4214" spans="1:12" x14ac:dyDescent="0.75">
      <c r="A4214" t="s">
        <v>91</v>
      </c>
      <c r="B4214" s="3">
        <v>44987</v>
      </c>
      <c r="C4214">
        <v>1</v>
      </c>
      <c r="D4214" t="s">
        <v>207</v>
      </c>
      <c r="E4214" s="22">
        <f>1</f>
        <v>1</v>
      </c>
      <c r="F4214" t="s">
        <v>363</v>
      </c>
      <c r="G4214" t="s">
        <v>869</v>
      </c>
      <c r="I4214" s="116"/>
      <c r="J4214" s="116"/>
      <c r="L4214" t="s">
        <v>869</v>
      </c>
    </row>
    <row r="4215" spans="1:12" x14ac:dyDescent="0.75">
      <c r="A4215" t="s">
        <v>91</v>
      </c>
      <c r="B4215" s="3">
        <v>44987</v>
      </c>
      <c r="C4215">
        <v>1</v>
      </c>
      <c r="D4215" t="s">
        <v>153</v>
      </c>
      <c r="E4215" s="22">
        <f>29-23</f>
        <v>6</v>
      </c>
      <c r="F4215" t="s">
        <v>363</v>
      </c>
      <c r="G4215" t="s">
        <v>869</v>
      </c>
      <c r="I4215" s="116"/>
      <c r="J4215" s="116"/>
      <c r="L4215" t="s">
        <v>869</v>
      </c>
    </row>
    <row r="4216" spans="1:12" x14ac:dyDescent="0.75">
      <c r="A4216" t="s">
        <v>91</v>
      </c>
      <c r="B4216" s="3">
        <v>44987</v>
      </c>
      <c r="C4216">
        <v>1</v>
      </c>
      <c r="D4216" t="s">
        <v>207</v>
      </c>
      <c r="E4216" s="22">
        <f>23+40-29</f>
        <v>34</v>
      </c>
      <c r="F4216" t="s">
        <v>363</v>
      </c>
      <c r="G4216" t="s">
        <v>869</v>
      </c>
      <c r="I4216" s="116"/>
      <c r="J4216" s="116"/>
      <c r="L4216" t="s">
        <v>869</v>
      </c>
    </row>
    <row r="4217" spans="1:12" s="58" customFormat="1" x14ac:dyDescent="0.75">
      <c r="A4217" s="58" t="s">
        <v>96</v>
      </c>
      <c r="B4217" s="59">
        <v>44992</v>
      </c>
      <c r="C4217" s="58">
        <v>1</v>
      </c>
      <c r="D4217" s="58" t="s">
        <v>194</v>
      </c>
      <c r="E4217" s="60">
        <f>49-47</f>
        <v>2</v>
      </c>
      <c r="F4217" s="58" t="s">
        <v>363</v>
      </c>
      <c r="G4217" s="58" t="s">
        <v>733</v>
      </c>
      <c r="L4217" t="s">
        <v>869</v>
      </c>
    </row>
    <row r="4218" spans="1:12" s="58" customFormat="1" x14ac:dyDescent="0.75">
      <c r="A4218" s="58" t="s">
        <v>96</v>
      </c>
      <c r="B4218" s="59">
        <v>44992</v>
      </c>
      <c r="C4218" s="58">
        <v>1</v>
      </c>
      <c r="D4218" s="58" t="s">
        <v>194</v>
      </c>
      <c r="E4218" s="60">
        <f>47-35</f>
        <v>12</v>
      </c>
      <c r="F4218" s="58" t="s">
        <v>363</v>
      </c>
      <c r="G4218" s="58" t="s">
        <v>733</v>
      </c>
      <c r="L4218" t="s">
        <v>869</v>
      </c>
    </row>
    <row r="4219" spans="1:12" s="58" customFormat="1" x14ac:dyDescent="0.75">
      <c r="A4219" s="58" t="s">
        <v>96</v>
      </c>
      <c r="B4219" s="59">
        <v>44992</v>
      </c>
      <c r="C4219" s="58">
        <v>1</v>
      </c>
      <c r="D4219" s="58" t="s">
        <v>194</v>
      </c>
      <c r="E4219" s="60">
        <f>35-27</f>
        <v>8</v>
      </c>
      <c r="F4219" s="58" t="s">
        <v>363</v>
      </c>
      <c r="G4219" s="58" t="s">
        <v>733</v>
      </c>
      <c r="L4219" t="s">
        <v>869</v>
      </c>
    </row>
    <row r="4220" spans="1:12" s="58" customFormat="1" x14ac:dyDescent="0.75">
      <c r="A4220" s="58" t="s">
        <v>96</v>
      </c>
      <c r="B4220" s="59">
        <v>44992</v>
      </c>
      <c r="C4220" s="58">
        <v>1</v>
      </c>
      <c r="D4220" s="58" t="s">
        <v>191</v>
      </c>
      <c r="E4220" s="60">
        <f>27-14</f>
        <v>13</v>
      </c>
      <c r="F4220" s="58" t="s">
        <v>363</v>
      </c>
      <c r="G4220" s="58" t="s">
        <v>733</v>
      </c>
      <c r="L4220" t="s">
        <v>869</v>
      </c>
    </row>
    <row r="4221" spans="1:12" s="58" customFormat="1" x14ac:dyDescent="0.75">
      <c r="A4221" s="58" t="s">
        <v>96</v>
      </c>
      <c r="B4221" s="59">
        <v>44992</v>
      </c>
      <c r="C4221" s="58">
        <v>1</v>
      </c>
      <c r="D4221" s="58" t="s">
        <v>203</v>
      </c>
      <c r="E4221" s="60">
        <f>14-7</f>
        <v>7</v>
      </c>
      <c r="F4221" s="58" t="s">
        <v>363</v>
      </c>
      <c r="G4221" s="58" t="s">
        <v>733</v>
      </c>
      <c r="L4221" t="s">
        <v>869</v>
      </c>
    </row>
    <row r="4222" spans="1:12" s="58" customFormat="1" x14ac:dyDescent="0.75">
      <c r="A4222" s="58" t="s">
        <v>96</v>
      </c>
      <c r="B4222" s="59">
        <v>44992</v>
      </c>
      <c r="C4222" s="58">
        <v>1</v>
      </c>
      <c r="D4222" s="58" t="s">
        <v>197</v>
      </c>
      <c r="E4222" s="60">
        <f>7-3</f>
        <v>4</v>
      </c>
      <c r="F4222" s="58" t="s">
        <v>363</v>
      </c>
      <c r="G4222" s="58" t="s">
        <v>733</v>
      </c>
      <c r="L4222" t="s">
        <v>869</v>
      </c>
    </row>
    <row r="4223" spans="1:12" s="58" customFormat="1" x14ac:dyDescent="0.75">
      <c r="A4223" s="58" t="s">
        <v>96</v>
      </c>
      <c r="B4223" s="59">
        <v>44992</v>
      </c>
      <c r="C4223" s="58">
        <v>1</v>
      </c>
      <c r="D4223" s="58" t="s">
        <v>207</v>
      </c>
      <c r="E4223" s="60">
        <f>3-2</f>
        <v>1</v>
      </c>
      <c r="F4223" s="58" t="s">
        <v>363</v>
      </c>
      <c r="G4223" s="58" t="s">
        <v>733</v>
      </c>
      <c r="L4223" t="s">
        <v>869</v>
      </c>
    </row>
    <row r="4224" spans="1:12" s="58" customFormat="1" x14ac:dyDescent="0.75">
      <c r="A4224" s="58" t="s">
        <v>96</v>
      </c>
      <c r="B4224" s="59">
        <v>44992</v>
      </c>
      <c r="C4224" s="58">
        <v>1</v>
      </c>
      <c r="D4224" s="58" t="s">
        <v>191</v>
      </c>
      <c r="E4224" s="60">
        <f>53-49</f>
        <v>4</v>
      </c>
      <c r="F4224" s="58" t="s">
        <v>363</v>
      </c>
      <c r="G4224" s="58" t="s">
        <v>361</v>
      </c>
      <c r="L4224" t="s">
        <v>869</v>
      </c>
    </row>
    <row r="4225" spans="1:12" s="58" customFormat="1" x14ac:dyDescent="0.75">
      <c r="A4225" s="58" t="s">
        <v>96</v>
      </c>
      <c r="B4225" s="59">
        <v>44992</v>
      </c>
      <c r="C4225" s="58">
        <v>1</v>
      </c>
      <c r="D4225" s="58" t="s">
        <v>207</v>
      </c>
      <c r="E4225" s="60">
        <f>49-45</f>
        <v>4</v>
      </c>
      <c r="F4225" s="58" t="s">
        <v>363</v>
      </c>
      <c r="G4225" s="58" t="s">
        <v>361</v>
      </c>
      <c r="L4225" t="s">
        <v>869</v>
      </c>
    </row>
    <row r="4226" spans="1:12" s="58" customFormat="1" x14ac:dyDescent="0.75">
      <c r="A4226" s="58" t="s">
        <v>96</v>
      </c>
      <c r="B4226" s="59">
        <v>44992</v>
      </c>
      <c r="C4226" s="58">
        <v>1</v>
      </c>
      <c r="D4226" s="58" t="s">
        <v>207</v>
      </c>
      <c r="E4226" s="60">
        <f>45-42</f>
        <v>3</v>
      </c>
      <c r="F4226" s="58" t="s">
        <v>363</v>
      </c>
      <c r="G4226" s="58" t="s">
        <v>361</v>
      </c>
      <c r="L4226" t="s">
        <v>869</v>
      </c>
    </row>
    <row r="4227" spans="1:12" x14ac:dyDescent="0.75">
      <c r="A4227" t="s">
        <v>96</v>
      </c>
      <c r="B4227" s="3">
        <v>44992</v>
      </c>
      <c r="C4227">
        <v>2</v>
      </c>
      <c r="D4227" t="s">
        <v>197</v>
      </c>
      <c r="E4227" s="22">
        <f>2+50-46</f>
        <v>6</v>
      </c>
      <c r="F4227" t="s">
        <v>363</v>
      </c>
      <c r="G4227" t="s">
        <v>733</v>
      </c>
      <c r="I4227" s="116"/>
      <c r="J4227" s="116"/>
      <c r="L4227" t="s">
        <v>869</v>
      </c>
    </row>
    <row r="4228" spans="1:12" x14ac:dyDescent="0.75">
      <c r="A4228" t="s">
        <v>96</v>
      </c>
      <c r="B4228" s="3">
        <v>44992</v>
      </c>
      <c r="C4228">
        <v>2</v>
      </c>
      <c r="D4228" t="s">
        <v>191</v>
      </c>
      <c r="E4228" s="22">
        <f>46-39</f>
        <v>7</v>
      </c>
      <c r="F4228" t="s">
        <v>363</v>
      </c>
      <c r="G4228" t="s">
        <v>733</v>
      </c>
      <c r="I4228" s="116"/>
      <c r="J4228" s="116"/>
      <c r="L4228" t="s">
        <v>869</v>
      </c>
    </row>
    <row r="4229" spans="1:12" x14ac:dyDescent="0.75">
      <c r="A4229" t="s">
        <v>96</v>
      </c>
      <c r="B4229" s="3">
        <v>44992</v>
      </c>
      <c r="C4229">
        <v>2</v>
      </c>
      <c r="D4229" t="s">
        <v>194</v>
      </c>
      <c r="E4229" s="22">
        <f>39-25</f>
        <v>14</v>
      </c>
      <c r="F4229" t="s">
        <v>363</v>
      </c>
      <c r="G4229" t="s">
        <v>733</v>
      </c>
      <c r="I4229" s="116"/>
      <c r="J4229" s="116"/>
      <c r="L4229" t="s">
        <v>869</v>
      </c>
    </row>
    <row r="4230" spans="1:12" x14ac:dyDescent="0.75">
      <c r="A4230" t="s">
        <v>96</v>
      </c>
      <c r="B4230" s="3">
        <v>44992</v>
      </c>
      <c r="C4230">
        <v>2</v>
      </c>
      <c r="D4230" t="s">
        <v>197</v>
      </c>
      <c r="E4230" s="22">
        <f>25-17</f>
        <v>8</v>
      </c>
      <c r="F4230" t="s">
        <v>363</v>
      </c>
      <c r="G4230" t="s">
        <v>733</v>
      </c>
      <c r="I4230" s="116"/>
      <c r="J4230" s="116"/>
      <c r="L4230" t="s">
        <v>869</v>
      </c>
    </row>
    <row r="4231" spans="1:12" x14ac:dyDescent="0.75">
      <c r="A4231" t="s">
        <v>96</v>
      </c>
      <c r="B4231" s="3">
        <v>44992</v>
      </c>
      <c r="C4231">
        <v>2</v>
      </c>
      <c r="D4231" t="s">
        <v>194</v>
      </c>
      <c r="E4231" s="22">
        <f>16-6</f>
        <v>10</v>
      </c>
      <c r="F4231" t="s">
        <v>363</v>
      </c>
      <c r="G4231" t="s">
        <v>733</v>
      </c>
      <c r="I4231" s="116"/>
      <c r="J4231" s="116"/>
      <c r="L4231" t="s">
        <v>869</v>
      </c>
    </row>
    <row r="4232" spans="1:12" x14ac:dyDescent="0.75">
      <c r="A4232" t="s">
        <v>96</v>
      </c>
      <c r="B4232" s="3">
        <v>44992</v>
      </c>
      <c r="C4232">
        <v>2</v>
      </c>
      <c r="D4232" t="s">
        <v>197</v>
      </c>
      <c r="E4232" s="22">
        <f>42-29</f>
        <v>13</v>
      </c>
      <c r="F4232" t="s">
        <v>363</v>
      </c>
      <c r="G4232" t="s">
        <v>361</v>
      </c>
      <c r="I4232" s="116"/>
      <c r="J4232" s="116"/>
      <c r="L4232" t="s">
        <v>869</v>
      </c>
    </row>
    <row r="4233" spans="1:12" x14ac:dyDescent="0.75">
      <c r="A4233" t="s">
        <v>96</v>
      </c>
      <c r="B4233" s="3">
        <v>44992</v>
      </c>
      <c r="C4233">
        <v>2</v>
      </c>
      <c r="D4233" t="s">
        <v>197</v>
      </c>
      <c r="E4233" s="22">
        <f>29-16</f>
        <v>13</v>
      </c>
      <c r="F4233" t="s">
        <v>363</v>
      </c>
      <c r="G4233" t="s">
        <v>361</v>
      </c>
      <c r="I4233" s="116"/>
      <c r="J4233" s="116"/>
      <c r="L4233" t="s">
        <v>869</v>
      </c>
    </row>
    <row r="4234" spans="1:12" x14ac:dyDescent="0.75">
      <c r="A4234" t="s">
        <v>96</v>
      </c>
      <c r="B4234" s="3">
        <v>44992</v>
      </c>
      <c r="C4234">
        <v>2</v>
      </c>
      <c r="D4234" t="s">
        <v>197</v>
      </c>
      <c r="E4234" s="22">
        <f>16-1</f>
        <v>15</v>
      </c>
      <c r="F4234" t="s">
        <v>363</v>
      </c>
      <c r="G4234" t="s">
        <v>361</v>
      </c>
      <c r="I4234" s="116"/>
      <c r="J4234" s="116"/>
      <c r="L4234" t="s">
        <v>869</v>
      </c>
    </row>
    <row r="4235" spans="1:12" x14ac:dyDescent="0.75">
      <c r="A4235" t="s">
        <v>96</v>
      </c>
      <c r="B4235" s="3">
        <v>44992</v>
      </c>
      <c r="C4235">
        <v>2</v>
      </c>
      <c r="D4235" t="s">
        <v>194</v>
      </c>
      <c r="E4235" s="22">
        <f>1</f>
        <v>1</v>
      </c>
      <c r="F4235" t="s">
        <v>363</v>
      </c>
      <c r="G4235" t="s">
        <v>361</v>
      </c>
      <c r="I4235" s="116"/>
      <c r="J4235" s="116"/>
      <c r="L4235" t="s">
        <v>869</v>
      </c>
    </row>
    <row r="4236" spans="1:12" x14ac:dyDescent="0.75">
      <c r="A4236" t="s">
        <v>96</v>
      </c>
      <c r="B4236" s="3">
        <v>44992</v>
      </c>
      <c r="C4236">
        <v>2</v>
      </c>
      <c r="D4236" t="s">
        <v>191</v>
      </c>
      <c r="E4236" s="22">
        <f>46-41</f>
        <v>5</v>
      </c>
      <c r="F4236" t="s">
        <v>363</v>
      </c>
      <c r="G4236" t="s">
        <v>361</v>
      </c>
      <c r="I4236" s="116"/>
      <c r="J4236" s="116"/>
      <c r="L4236" t="s">
        <v>869</v>
      </c>
    </row>
    <row r="4237" spans="1:12" s="58" customFormat="1" x14ac:dyDescent="0.75">
      <c r="A4237" s="58" t="s">
        <v>28</v>
      </c>
      <c r="B4237" s="59">
        <v>44992</v>
      </c>
      <c r="C4237" s="58">
        <v>1</v>
      </c>
      <c r="D4237" s="58" t="s">
        <v>160</v>
      </c>
      <c r="E4237" s="60">
        <f>6-4</f>
        <v>2</v>
      </c>
      <c r="F4237" s="58" t="s">
        <v>363</v>
      </c>
      <c r="G4237" s="58" t="s">
        <v>733</v>
      </c>
      <c r="L4237" t="s">
        <v>869</v>
      </c>
    </row>
    <row r="4238" spans="1:12" s="58" customFormat="1" x14ac:dyDescent="0.75">
      <c r="A4238" s="58" t="s">
        <v>28</v>
      </c>
      <c r="B4238" s="59">
        <v>44992</v>
      </c>
      <c r="C4238" s="58">
        <v>1</v>
      </c>
      <c r="D4238" s="58" t="s">
        <v>168</v>
      </c>
      <c r="E4238" s="60">
        <f>4+52-39</f>
        <v>17</v>
      </c>
      <c r="F4238" s="58" t="s">
        <v>363</v>
      </c>
      <c r="G4238" s="58" t="s">
        <v>733</v>
      </c>
      <c r="L4238" t="s">
        <v>869</v>
      </c>
    </row>
    <row r="4239" spans="1:12" s="58" customFormat="1" x14ac:dyDescent="0.75">
      <c r="A4239" s="58" t="s">
        <v>28</v>
      </c>
      <c r="B4239" s="59">
        <v>44992</v>
      </c>
      <c r="C4239" s="58">
        <v>1</v>
      </c>
      <c r="D4239" s="58" t="s">
        <v>168</v>
      </c>
      <c r="E4239" s="60">
        <f>39-35</f>
        <v>4</v>
      </c>
      <c r="F4239" s="58" t="s">
        <v>363</v>
      </c>
      <c r="G4239" s="58" t="s">
        <v>733</v>
      </c>
      <c r="L4239" t="s">
        <v>869</v>
      </c>
    </row>
    <row r="4240" spans="1:12" s="58" customFormat="1" x14ac:dyDescent="0.75">
      <c r="A4240" s="58" t="s">
        <v>28</v>
      </c>
      <c r="B4240" s="59">
        <v>44992</v>
      </c>
      <c r="C4240" s="58">
        <v>1</v>
      </c>
      <c r="D4240" s="58" t="s">
        <v>207</v>
      </c>
      <c r="E4240" s="58" t="s">
        <v>363</v>
      </c>
      <c r="F4240" s="58" t="s">
        <v>363</v>
      </c>
      <c r="G4240" s="58" t="s">
        <v>733</v>
      </c>
      <c r="H4240" s="58" t="s">
        <v>390</v>
      </c>
      <c r="K4240" s="58" t="s">
        <v>806</v>
      </c>
      <c r="L4240" t="s">
        <v>869</v>
      </c>
    </row>
    <row r="4241" spans="1:12" s="58" customFormat="1" x14ac:dyDescent="0.75">
      <c r="A4241" s="58" t="s">
        <v>28</v>
      </c>
      <c r="B4241" s="59">
        <v>44992</v>
      </c>
      <c r="C4241" s="58">
        <v>1</v>
      </c>
      <c r="D4241" s="58" t="s">
        <v>168</v>
      </c>
      <c r="E4241" s="60">
        <f>41-29</f>
        <v>12</v>
      </c>
      <c r="F4241" s="58" t="s">
        <v>363</v>
      </c>
      <c r="G4241" s="58" t="s">
        <v>361</v>
      </c>
      <c r="L4241" t="s">
        <v>869</v>
      </c>
    </row>
    <row r="4242" spans="1:12" x14ac:dyDescent="0.75">
      <c r="A4242" t="s">
        <v>48</v>
      </c>
      <c r="B4242" s="3">
        <v>44993</v>
      </c>
      <c r="C4242">
        <v>1</v>
      </c>
      <c r="D4242" t="s">
        <v>191</v>
      </c>
      <c r="E4242" s="22">
        <f>49-32</f>
        <v>17</v>
      </c>
      <c r="F4242" t="s">
        <v>363</v>
      </c>
      <c r="G4242" t="s">
        <v>361</v>
      </c>
      <c r="I4242" s="116"/>
      <c r="J4242" s="116"/>
      <c r="L4242" t="s">
        <v>869</v>
      </c>
    </row>
    <row r="4243" spans="1:12" s="58" customFormat="1" x14ac:dyDescent="0.75">
      <c r="A4243" s="58" t="s">
        <v>44</v>
      </c>
      <c r="B4243" s="59">
        <v>44994</v>
      </c>
      <c r="C4243" s="58">
        <v>1</v>
      </c>
      <c r="D4243" s="58" t="s">
        <v>201</v>
      </c>
      <c r="E4243" s="60">
        <f>54-51</f>
        <v>3</v>
      </c>
      <c r="F4243" s="58" t="s">
        <v>363</v>
      </c>
      <c r="G4243" s="58" t="s">
        <v>733</v>
      </c>
      <c r="H4243" s="58" t="s">
        <v>390</v>
      </c>
      <c r="L4243" t="s">
        <v>869</v>
      </c>
    </row>
    <row r="4244" spans="1:12" s="58" customFormat="1" x14ac:dyDescent="0.75">
      <c r="A4244" s="58" t="s">
        <v>44</v>
      </c>
      <c r="B4244" s="59">
        <v>44994</v>
      </c>
      <c r="C4244" s="58">
        <v>1</v>
      </c>
      <c r="D4244" s="58" t="s">
        <v>197</v>
      </c>
      <c r="E4244" s="60">
        <f>51-44</f>
        <v>7</v>
      </c>
      <c r="F4244" s="58" t="s">
        <v>363</v>
      </c>
      <c r="G4244" s="58" t="s">
        <v>733</v>
      </c>
      <c r="L4244" t="s">
        <v>869</v>
      </c>
    </row>
    <row r="4245" spans="1:12" s="58" customFormat="1" x14ac:dyDescent="0.75">
      <c r="A4245" s="58" t="s">
        <v>44</v>
      </c>
      <c r="B4245" s="59">
        <v>44994</v>
      </c>
      <c r="C4245" s="58">
        <v>1</v>
      </c>
      <c r="D4245" s="58" t="s">
        <v>164</v>
      </c>
      <c r="E4245" s="60">
        <f>44-17</f>
        <v>27</v>
      </c>
      <c r="F4245" s="58" t="s">
        <v>363</v>
      </c>
      <c r="G4245" s="58" t="s">
        <v>733</v>
      </c>
      <c r="H4245" s="58" t="s">
        <v>390</v>
      </c>
      <c r="L4245" t="s">
        <v>869</v>
      </c>
    </row>
    <row r="4246" spans="1:12" x14ac:dyDescent="0.75">
      <c r="A4246" t="s">
        <v>60</v>
      </c>
      <c r="B4246" s="3">
        <v>44994</v>
      </c>
      <c r="C4246">
        <v>1</v>
      </c>
      <c r="D4246" t="s">
        <v>207</v>
      </c>
      <c r="E4246" s="22">
        <f>6+46-44</f>
        <v>8</v>
      </c>
      <c r="F4246" t="s">
        <v>363</v>
      </c>
      <c r="G4246" t="s">
        <v>733</v>
      </c>
      <c r="I4246" s="116"/>
      <c r="J4246" s="116"/>
      <c r="L4246" t="s">
        <v>869</v>
      </c>
    </row>
    <row r="4247" spans="1:12" s="58" customFormat="1" x14ac:dyDescent="0.75">
      <c r="A4247" s="58" t="s">
        <v>74</v>
      </c>
      <c r="B4247" s="59">
        <v>44999</v>
      </c>
      <c r="C4247" s="58">
        <v>1</v>
      </c>
      <c r="D4247" s="58" t="s">
        <v>191</v>
      </c>
      <c r="E4247" s="60">
        <f>44-12</f>
        <v>32</v>
      </c>
      <c r="F4247" s="58" t="s">
        <v>363</v>
      </c>
      <c r="G4247" s="58" t="s">
        <v>733</v>
      </c>
      <c r="L4247" t="s">
        <v>869</v>
      </c>
    </row>
    <row r="4248" spans="1:12" s="58" customFormat="1" x14ac:dyDescent="0.75">
      <c r="A4248" s="58" t="s">
        <v>74</v>
      </c>
      <c r="B4248" s="59">
        <v>44999</v>
      </c>
      <c r="C4248" s="58">
        <v>1</v>
      </c>
      <c r="D4248" s="58" t="s">
        <v>160</v>
      </c>
      <c r="E4248" s="60">
        <f>12+46-38</f>
        <v>20</v>
      </c>
      <c r="F4248" s="58" t="s">
        <v>363</v>
      </c>
      <c r="G4248" s="58" t="s">
        <v>733</v>
      </c>
      <c r="L4248" t="s">
        <v>869</v>
      </c>
    </row>
    <row r="4249" spans="1:12" s="58" customFormat="1" x14ac:dyDescent="0.75">
      <c r="A4249" s="58" t="s">
        <v>74</v>
      </c>
      <c r="B4249" s="59">
        <v>44999</v>
      </c>
      <c r="C4249" s="58">
        <v>1</v>
      </c>
      <c r="D4249" s="58" t="s">
        <v>197</v>
      </c>
      <c r="E4249" s="60">
        <f>50-37</f>
        <v>13</v>
      </c>
      <c r="F4249" s="58" t="s">
        <v>363</v>
      </c>
      <c r="G4249" s="58" t="s">
        <v>361</v>
      </c>
      <c r="L4249" t="s">
        <v>869</v>
      </c>
    </row>
    <row r="4250" spans="1:12" s="58" customFormat="1" x14ac:dyDescent="0.75">
      <c r="A4250" s="58" t="s">
        <v>74</v>
      </c>
      <c r="B4250" s="59">
        <v>44999</v>
      </c>
      <c r="C4250" s="58">
        <v>1</v>
      </c>
      <c r="D4250" s="58" t="s">
        <v>207</v>
      </c>
      <c r="E4250" s="60">
        <f>37-31</f>
        <v>6</v>
      </c>
      <c r="F4250" s="58" t="s">
        <v>363</v>
      </c>
      <c r="G4250" s="58" t="s">
        <v>361</v>
      </c>
      <c r="L4250" t="s">
        <v>869</v>
      </c>
    </row>
    <row r="4251" spans="1:12" x14ac:dyDescent="0.75">
      <c r="A4251" t="s">
        <v>87</v>
      </c>
      <c r="B4251" s="3">
        <v>44999</v>
      </c>
      <c r="C4251">
        <v>1</v>
      </c>
      <c r="D4251" t="s">
        <v>207</v>
      </c>
      <c r="E4251" s="22">
        <f>38-34</f>
        <v>4</v>
      </c>
      <c r="F4251" t="s">
        <v>363</v>
      </c>
      <c r="G4251" t="s">
        <v>733</v>
      </c>
      <c r="I4251" s="116"/>
      <c r="J4251" s="116"/>
      <c r="L4251" t="s">
        <v>869</v>
      </c>
    </row>
    <row r="4252" spans="1:12" x14ac:dyDescent="0.75">
      <c r="A4252" t="s">
        <v>87</v>
      </c>
      <c r="B4252" s="3">
        <v>44999</v>
      </c>
      <c r="C4252">
        <v>1</v>
      </c>
      <c r="D4252" t="s">
        <v>207</v>
      </c>
      <c r="E4252" s="22">
        <f>34-28</f>
        <v>6</v>
      </c>
      <c r="F4252" t="s">
        <v>363</v>
      </c>
      <c r="G4252" t="s">
        <v>733</v>
      </c>
      <c r="I4252" s="116"/>
      <c r="J4252" s="116"/>
      <c r="L4252" t="s">
        <v>869</v>
      </c>
    </row>
    <row r="4253" spans="1:12" x14ac:dyDescent="0.75">
      <c r="A4253" t="s">
        <v>87</v>
      </c>
      <c r="B4253" s="3">
        <v>44999</v>
      </c>
      <c r="C4253">
        <v>1</v>
      </c>
      <c r="D4253" t="s">
        <v>160</v>
      </c>
      <c r="E4253" s="22">
        <f>28+40-30</f>
        <v>38</v>
      </c>
      <c r="F4253">
        <v>119</v>
      </c>
      <c r="G4253" t="s">
        <v>733</v>
      </c>
      <c r="H4253" t="s">
        <v>390</v>
      </c>
      <c r="I4253" s="116"/>
      <c r="J4253" s="116"/>
      <c r="L4253" t="s">
        <v>869</v>
      </c>
    </row>
    <row r="4254" spans="1:12" x14ac:dyDescent="0.75">
      <c r="A4254" t="s">
        <v>87</v>
      </c>
      <c r="B4254" s="3">
        <v>44999</v>
      </c>
      <c r="C4254">
        <v>1</v>
      </c>
      <c r="D4254" t="s">
        <v>160</v>
      </c>
      <c r="E4254" s="22">
        <f>30-25</f>
        <v>5</v>
      </c>
      <c r="F4254">
        <v>120</v>
      </c>
      <c r="G4254" t="s">
        <v>361</v>
      </c>
      <c r="I4254" s="116"/>
      <c r="J4254" s="116"/>
      <c r="L4254" t="s">
        <v>869</v>
      </c>
    </row>
    <row r="4255" spans="1:12" x14ac:dyDescent="0.75">
      <c r="A4255" t="s">
        <v>87</v>
      </c>
      <c r="B4255" s="3">
        <v>44999</v>
      </c>
      <c r="C4255">
        <v>1</v>
      </c>
      <c r="D4255" t="s">
        <v>160</v>
      </c>
      <c r="E4255" s="22">
        <f>25-23</f>
        <v>2</v>
      </c>
      <c r="F4255">
        <v>117</v>
      </c>
      <c r="G4255" t="s">
        <v>361</v>
      </c>
      <c r="I4255" s="116"/>
      <c r="J4255" s="116"/>
      <c r="L4255" t="s">
        <v>869</v>
      </c>
    </row>
    <row r="4256" spans="1:12" s="58" customFormat="1" x14ac:dyDescent="0.75">
      <c r="A4256" s="58" t="s">
        <v>52</v>
      </c>
      <c r="B4256" s="59">
        <v>44999</v>
      </c>
      <c r="C4256" s="58">
        <v>1</v>
      </c>
      <c r="D4256" s="58" t="s">
        <v>207</v>
      </c>
      <c r="E4256" s="60">
        <f>31-20</f>
        <v>11</v>
      </c>
      <c r="F4256" s="58" t="s">
        <v>363</v>
      </c>
      <c r="G4256" s="58" t="s">
        <v>733</v>
      </c>
      <c r="L4256" t="s">
        <v>869</v>
      </c>
    </row>
    <row r="4257" spans="1:12" s="58" customFormat="1" x14ac:dyDescent="0.75">
      <c r="A4257" s="58" t="s">
        <v>52</v>
      </c>
      <c r="B4257" s="59">
        <v>44999</v>
      </c>
      <c r="C4257" s="58">
        <v>1</v>
      </c>
      <c r="D4257" s="58" t="s">
        <v>207</v>
      </c>
      <c r="E4257" s="60">
        <f>20-16</f>
        <v>4</v>
      </c>
      <c r="F4257" s="58" t="s">
        <v>363</v>
      </c>
      <c r="G4257" s="58" t="s">
        <v>733</v>
      </c>
      <c r="L4257" t="s">
        <v>869</v>
      </c>
    </row>
    <row r="4258" spans="1:12" s="58" customFormat="1" x14ac:dyDescent="0.75">
      <c r="A4258" s="58" t="s">
        <v>52</v>
      </c>
      <c r="B4258" s="59">
        <v>44999</v>
      </c>
      <c r="C4258" s="58">
        <v>1</v>
      </c>
      <c r="D4258" s="58" t="s">
        <v>168</v>
      </c>
      <c r="E4258" s="60">
        <f>16-10</f>
        <v>6</v>
      </c>
      <c r="F4258" s="58" t="s">
        <v>363</v>
      </c>
      <c r="G4258" s="58" t="s">
        <v>733</v>
      </c>
      <c r="L4258" t="s">
        <v>869</v>
      </c>
    </row>
    <row r="4259" spans="1:12" s="58" customFormat="1" x14ac:dyDescent="0.75">
      <c r="A4259" s="58" t="s">
        <v>52</v>
      </c>
      <c r="B4259" s="59">
        <v>44999</v>
      </c>
      <c r="C4259" s="58">
        <v>1</v>
      </c>
      <c r="D4259" s="58" t="s">
        <v>207</v>
      </c>
      <c r="E4259" s="60">
        <f>10-7</f>
        <v>3</v>
      </c>
      <c r="F4259" s="58" t="s">
        <v>363</v>
      </c>
      <c r="G4259" s="58" t="s">
        <v>733</v>
      </c>
      <c r="L4259" t="s">
        <v>869</v>
      </c>
    </row>
    <row r="4260" spans="1:12" s="58" customFormat="1" x14ac:dyDescent="0.75">
      <c r="A4260" s="58" t="s">
        <v>52</v>
      </c>
      <c r="B4260" s="59">
        <v>44999</v>
      </c>
      <c r="C4260" s="58">
        <v>1</v>
      </c>
      <c r="D4260" s="58" t="s">
        <v>207</v>
      </c>
      <c r="E4260" s="60">
        <f>7</f>
        <v>7</v>
      </c>
      <c r="F4260" s="58" t="s">
        <v>363</v>
      </c>
      <c r="G4260" s="58" t="s">
        <v>733</v>
      </c>
      <c r="L4260" t="s">
        <v>869</v>
      </c>
    </row>
    <row r="4261" spans="1:12" s="58" customFormat="1" x14ac:dyDescent="0.75">
      <c r="A4261" s="58" t="s">
        <v>52</v>
      </c>
      <c r="B4261" s="59">
        <v>44999</v>
      </c>
      <c r="C4261" s="58">
        <v>1</v>
      </c>
      <c r="D4261" s="58" t="s">
        <v>191</v>
      </c>
      <c r="E4261" s="60">
        <f>23-1</f>
        <v>22</v>
      </c>
      <c r="F4261" s="58" t="s">
        <v>363</v>
      </c>
      <c r="G4261" s="58" t="s">
        <v>361</v>
      </c>
      <c r="L4261" t="s">
        <v>869</v>
      </c>
    </row>
    <row r="4262" spans="1:12" s="58" customFormat="1" x14ac:dyDescent="0.75">
      <c r="A4262" s="58" t="s">
        <v>52</v>
      </c>
      <c r="B4262" s="59">
        <v>44999</v>
      </c>
      <c r="C4262" s="58">
        <v>1</v>
      </c>
      <c r="D4262" s="58" t="s">
        <v>194</v>
      </c>
      <c r="E4262" s="60">
        <f>1+43-34</f>
        <v>10</v>
      </c>
      <c r="F4262" s="58" t="s">
        <v>363</v>
      </c>
      <c r="G4262" s="58" t="s">
        <v>361</v>
      </c>
      <c r="L4262" t="s">
        <v>869</v>
      </c>
    </row>
    <row r="4263" spans="1:12" s="58" customFormat="1" x14ac:dyDescent="0.75">
      <c r="A4263" s="58" t="s">
        <v>52</v>
      </c>
      <c r="B4263" s="59">
        <v>44999</v>
      </c>
      <c r="C4263" s="58">
        <v>1</v>
      </c>
      <c r="D4263" s="58" t="s">
        <v>197</v>
      </c>
      <c r="E4263" s="60">
        <f>34-25</f>
        <v>9</v>
      </c>
      <c r="F4263" s="58" t="s">
        <v>363</v>
      </c>
      <c r="G4263" s="58" t="s">
        <v>361</v>
      </c>
      <c r="L4263" t="s">
        <v>869</v>
      </c>
    </row>
    <row r="4264" spans="1:12" s="58" customFormat="1" x14ac:dyDescent="0.75">
      <c r="A4264" s="58" t="s">
        <v>52</v>
      </c>
      <c r="B4264" s="59">
        <v>44999</v>
      </c>
      <c r="C4264" s="58">
        <v>1</v>
      </c>
      <c r="D4264" s="58" t="s">
        <v>207</v>
      </c>
      <c r="E4264" s="60">
        <f>25-16</f>
        <v>9</v>
      </c>
      <c r="F4264" s="58" t="s">
        <v>363</v>
      </c>
      <c r="G4264" s="58" t="s">
        <v>361</v>
      </c>
      <c r="L4264" t="s">
        <v>869</v>
      </c>
    </row>
    <row r="4265" spans="1:12" s="58" customFormat="1" x14ac:dyDescent="0.75">
      <c r="A4265" s="58" t="s">
        <v>52</v>
      </c>
      <c r="B4265" s="59">
        <v>44999</v>
      </c>
      <c r="C4265" s="58">
        <v>1</v>
      </c>
      <c r="D4265" s="58" t="s">
        <v>207</v>
      </c>
      <c r="E4265" s="60">
        <f>16-4</f>
        <v>12</v>
      </c>
      <c r="F4265" s="58" t="s">
        <v>363</v>
      </c>
      <c r="G4265" s="58" t="s">
        <v>361</v>
      </c>
      <c r="L4265" t="s">
        <v>869</v>
      </c>
    </row>
    <row r="4266" spans="1:12" s="58" customFormat="1" x14ac:dyDescent="0.75">
      <c r="A4266" s="58" t="s">
        <v>52</v>
      </c>
      <c r="B4266" s="59">
        <v>44999</v>
      </c>
      <c r="C4266" s="58">
        <v>1</v>
      </c>
      <c r="D4266" s="58" t="s">
        <v>207</v>
      </c>
      <c r="E4266" s="60">
        <f>4-1</f>
        <v>3</v>
      </c>
      <c r="F4266" s="58" t="s">
        <v>363</v>
      </c>
      <c r="G4266" s="58" t="s">
        <v>361</v>
      </c>
      <c r="L4266" t="s">
        <v>869</v>
      </c>
    </row>
    <row r="4267" spans="1:12" s="58" customFormat="1" x14ac:dyDescent="0.75">
      <c r="A4267" s="58" t="s">
        <v>52</v>
      </c>
      <c r="B4267" s="59">
        <v>44999</v>
      </c>
      <c r="C4267" s="58">
        <v>1</v>
      </c>
      <c r="D4267" s="58" t="s">
        <v>207</v>
      </c>
      <c r="E4267" s="60">
        <f>1</f>
        <v>1</v>
      </c>
      <c r="F4267" s="58" t="s">
        <v>363</v>
      </c>
      <c r="G4267" s="58" t="s">
        <v>361</v>
      </c>
      <c r="L4267" t="s">
        <v>869</v>
      </c>
    </row>
    <row r="4268" spans="1:12" s="58" customFormat="1" x14ac:dyDescent="0.75">
      <c r="A4268" s="58" t="s">
        <v>52</v>
      </c>
      <c r="B4268" s="59">
        <v>44999</v>
      </c>
      <c r="C4268" s="58">
        <v>1</v>
      </c>
      <c r="D4268" s="58" t="s">
        <v>197</v>
      </c>
      <c r="E4268" s="60">
        <f>40-22</f>
        <v>18</v>
      </c>
      <c r="F4268" s="58" t="s">
        <v>363</v>
      </c>
      <c r="G4268" s="58" t="s">
        <v>361</v>
      </c>
      <c r="L4268" t="s">
        <v>869</v>
      </c>
    </row>
    <row r="4269" spans="1:12" s="145" customFormat="1" x14ac:dyDescent="0.75">
      <c r="A4269" s="145" t="s">
        <v>52</v>
      </c>
      <c r="B4269" s="146">
        <v>44999</v>
      </c>
      <c r="C4269" s="145">
        <v>2</v>
      </c>
      <c r="D4269" s="145" t="s">
        <v>197</v>
      </c>
      <c r="E4269" s="147">
        <f>23-5</f>
        <v>18</v>
      </c>
      <c r="F4269" s="145" t="s">
        <v>363</v>
      </c>
      <c r="G4269" s="145" t="s">
        <v>361</v>
      </c>
      <c r="L4269" t="s">
        <v>869</v>
      </c>
    </row>
    <row r="4270" spans="1:12" s="58" customFormat="1" x14ac:dyDescent="0.75">
      <c r="A4270" s="58" t="s">
        <v>33</v>
      </c>
      <c r="B4270" s="59">
        <v>45000</v>
      </c>
      <c r="C4270" s="58">
        <v>1</v>
      </c>
      <c r="D4270" s="58" t="s">
        <v>191</v>
      </c>
      <c r="E4270" s="60">
        <f>34+44-35</f>
        <v>43</v>
      </c>
      <c r="F4270" s="58" t="s">
        <v>363</v>
      </c>
      <c r="G4270" s="58" t="s">
        <v>733</v>
      </c>
      <c r="L4270" t="s">
        <v>869</v>
      </c>
    </row>
    <row r="4271" spans="1:12" s="58" customFormat="1" x14ac:dyDescent="0.75">
      <c r="A4271" s="58" t="s">
        <v>33</v>
      </c>
      <c r="B4271" s="59">
        <v>45000</v>
      </c>
      <c r="C4271" s="58">
        <v>1</v>
      </c>
      <c r="D4271" s="58" t="s">
        <v>197</v>
      </c>
      <c r="E4271" s="60">
        <f>35+45-20+20</f>
        <v>80</v>
      </c>
      <c r="F4271" s="58" t="s">
        <v>363</v>
      </c>
      <c r="G4271" s="58" t="s">
        <v>859</v>
      </c>
      <c r="L4271" t="s">
        <v>869</v>
      </c>
    </row>
    <row r="4272" spans="1:12" s="58" customFormat="1" x14ac:dyDescent="0.75">
      <c r="A4272" s="58" t="s">
        <v>33</v>
      </c>
      <c r="B4272" s="59">
        <v>45000</v>
      </c>
      <c r="C4272" s="58">
        <v>1</v>
      </c>
      <c r="D4272" s="58" t="s">
        <v>207</v>
      </c>
      <c r="E4272" s="60">
        <f>20-18</f>
        <v>2</v>
      </c>
      <c r="F4272" s="58" t="s">
        <v>363</v>
      </c>
      <c r="G4272" s="58" t="s">
        <v>733</v>
      </c>
      <c r="L4272" t="s">
        <v>869</v>
      </c>
    </row>
    <row r="4273" spans="1:12" s="58" customFormat="1" x14ac:dyDescent="0.75">
      <c r="A4273" s="58" t="s">
        <v>33</v>
      </c>
      <c r="B4273" s="59">
        <v>45000</v>
      </c>
      <c r="C4273" s="58">
        <v>1</v>
      </c>
      <c r="D4273" s="58" t="s">
        <v>207</v>
      </c>
      <c r="E4273" s="60">
        <f>18-11</f>
        <v>7</v>
      </c>
      <c r="F4273" s="58" t="s">
        <v>363</v>
      </c>
      <c r="G4273" s="58" t="s">
        <v>733</v>
      </c>
      <c r="L4273" t="s">
        <v>869</v>
      </c>
    </row>
    <row r="4274" spans="1:12" s="58" customFormat="1" x14ac:dyDescent="0.75">
      <c r="A4274" s="58" t="s">
        <v>33</v>
      </c>
      <c r="B4274" s="59">
        <v>45000</v>
      </c>
      <c r="C4274" s="58">
        <v>1</v>
      </c>
      <c r="D4274" s="58" t="s">
        <v>197</v>
      </c>
      <c r="E4274" s="60">
        <f>5+41-2</f>
        <v>44</v>
      </c>
      <c r="F4274" s="58" t="s">
        <v>363</v>
      </c>
      <c r="G4274" s="58" t="s">
        <v>733</v>
      </c>
      <c r="L4274" t="s">
        <v>869</v>
      </c>
    </row>
    <row r="4275" spans="1:12" x14ac:dyDescent="0.75">
      <c r="A4275" t="s">
        <v>112</v>
      </c>
      <c r="B4275" s="3">
        <v>45000</v>
      </c>
      <c r="C4275">
        <v>1</v>
      </c>
      <c r="D4275" s="10"/>
      <c r="E4275" s="22">
        <f>11</f>
        <v>11</v>
      </c>
      <c r="F4275" t="s">
        <v>363</v>
      </c>
      <c r="G4275" t="s">
        <v>733</v>
      </c>
      <c r="I4275" s="116"/>
      <c r="J4275" s="116"/>
      <c r="K4275" s="10" t="s">
        <v>920</v>
      </c>
      <c r="L4275" t="s">
        <v>869</v>
      </c>
    </row>
    <row r="4276" spans="1:12" s="58" customFormat="1" x14ac:dyDescent="0.75">
      <c r="A4276" s="58" t="s">
        <v>104</v>
      </c>
      <c r="B4276" s="59">
        <v>45000</v>
      </c>
      <c r="C4276" s="58">
        <v>1</v>
      </c>
      <c r="D4276" s="58" t="s">
        <v>168</v>
      </c>
      <c r="E4276" s="60">
        <f>45-17</f>
        <v>28</v>
      </c>
      <c r="F4276" s="58" t="s">
        <v>363</v>
      </c>
      <c r="G4276" s="58" t="s">
        <v>733</v>
      </c>
      <c r="L4276" t="s">
        <v>869</v>
      </c>
    </row>
    <row r="4277" spans="1:12" s="58" customFormat="1" x14ac:dyDescent="0.75">
      <c r="A4277" s="58" t="s">
        <v>104</v>
      </c>
      <c r="B4277" s="59">
        <v>45000</v>
      </c>
      <c r="C4277" s="58">
        <v>1</v>
      </c>
      <c r="D4277" s="58" t="s">
        <v>207</v>
      </c>
      <c r="E4277" s="60">
        <f>17+40+18-10</f>
        <v>65</v>
      </c>
      <c r="F4277" s="58" t="s">
        <v>363</v>
      </c>
      <c r="G4277" s="58" t="s">
        <v>733</v>
      </c>
      <c r="L4277" t="s">
        <v>869</v>
      </c>
    </row>
    <row r="4278" spans="1:12" x14ac:dyDescent="0.75">
      <c r="A4278" t="s">
        <v>116</v>
      </c>
      <c r="B4278" s="3">
        <v>45000</v>
      </c>
      <c r="C4278">
        <v>1</v>
      </c>
      <c r="D4278" t="s">
        <v>207</v>
      </c>
      <c r="E4278" s="22">
        <f>47-41</f>
        <v>6</v>
      </c>
      <c r="F4278" t="s">
        <v>363</v>
      </c>
      <c r="G4278" t="s">
        <v>733</v>
      </c>
      <c r="I4278" s="116"/>
      <c r="J4278" s="116"/>
      <c r="L4278" t="s">
        <v>869</v>
      </c>
    </row>
    <row r="4279" spans="1:12" x14ac:dyDescent="0.75">
      <c r="A4279" t="s">
        <v>116</v>
      </c>
      <c r="B4279" s="3">
        <v>45000</v>
      </c>
      <c r="C4279">
        <v>1</v>
      </c>
      <c r="D4279" t="s">
        <v>176</v>
      </c>
      <c r="E4279" s="22">
        <f>41-31</f>
        <v>10</v>
      </c>
      <c r="F4279" t="s">
        <v>363</v>
      </c>
      <c r="G4279" t="s">
        <v>733</v>
      </c>
      <c r="I4279" s="116"/>
      <c r="J4279" s="116"/>
      <c r="L4279" t="s">
        <v>869</v>
      </c>
    </row>
    <row r="4280" spans="1:12" x14ac:dyDescent="0.75">
      <c r="A4280" t="s">
        <v>116</v>
      </c>
      <c r="B4280" s="3">
        <v>45000</v>
      </c>
      <c r="C4280">
        <v>1</v>
      </c>
      <c r="D4280" t="s">
        <v>172</v>
      </c>
      <c r="E4280" s="22">
        <f>31-14</f>
        <v>17</v>
      </c>
      <c r="F4280" t="s">
        <v>363</v>
      </c>
      <c r="G4280" t="s">
        <v>733</v>
      </c>
      <c r="I4280" s="116"/>
      <c r="J4280" s="116"/>
      <c r="L4280" t="s">
        <v>869</v>
      </c>
    </row>
    <row r="4281" spans="1:12" x14ac:dyDescent="0.75">
      <c r="A4281" t="s">
        <v>116</v>
      </c>
      <c r="B4281" s="3">
        <v>45000</v>
      </c>
      <c r="C4281">
        <v>1</v>
      </c>
      <c r="D4281" t="s">
        <v>168</v>
      </c>
      <c r="E4281" s="22">
        <f>14+59+10</f>
        <v>83</v>
      </c>
      <c r="F4281" t="s">
        <v>363</v>
      </c>
      <c r="G4281" t="s">
        <v>733</v>
      </c>
      <c r="I4281" s="116"/>
      <c r="J4281" s="116"/>
      <c r="K4281" t="s">
        <v>921</v>
      </c>
      <c r="L4281" t="s">
        <v>869</v>
      </c>
    </row>
    <row r="4282" spans="1:12" s="58" customFormat="1" x14ac:dyDescent="0.75">
      <c r="A4282" s="58" t="s">
        <v>116</v>
      </c>
      <c r="B4282" s="59">
        <v>45006</v>
      </c>
      <c r="C4282" s="58">
        <v>1</v>
      </c>
      <c r="D4282" s="58" t="s">
        <v>207</v>
      </c>
      <c r="E4282" s="60">
        <f>44-28</f>
        <v>16</v>
      </c>
      <c r="F4282" s="58">
        <v>926</v>
      </c>
      <c r="G4282" s="58" t="s">
        <v>733</v>
      </c>
      <c r="L4282" t="s">
        <v>869</v>
      </c>
    </row>
    <row r="4283" spans="1:12" s="58" customFormat="1" x14ac:dyDescent="0.75">
      <c r="A4283" s="58" t="s">
        <v>116</v>
      </c>
      <c r="B4283" s="59">
        <v>45006</v>
      </c>
      <c r="C4283" s="58">
        <v>1</v>
      </c>
      <c r="D4283" s="58" t="s">
        <v>207</v>
      </c>
      <c r="E4283" s="60">
        <f>28-18</f>
        <v>10</v>
      </c>
      <c r="F4283" s="58">
        <v>912</v>
      </c>
      <c r="G4283" s="58" t="s">
        <v>733</v>
      </c>
      <c r="L4283" t="s">
        <v>869</v>
      </c>
    </row>
    <row r="4284" spans="1:12" s="58" customFormat="1" x14ac:dyDescent="0.75">
      <c r="A4284" s="58" t="s">
        <v>116</v>
      </c>
      <c r="B4284" s="59">
        <v>45006</v>
      </c>
      <c r="C4284" s="58">
        <v>1</v>
      </c>
      <c r="D4284" s="58" t="s">
        <v>191</v>
      </c>
      <c r="E4284" s="60">
        <f>18-7</f>
        <v>11</v>
      </c>
      <c r="F4284" s="58" t="s">
        <v>363</v>
      </c>
      <c r="G4284" s="58" t="s">
        <v>733</v>
      </c>
      <c r="L4284" t="s">
        <v>869</v>
      </c>
    </row>
    <row r="4285" spans="1:12" s="58" customFormat="1" x14ac:dyDescent="0.75">
      <c r="A4285" s="58" t="s">
        <v>116</v>
      </c>
      <c r="B4285" s="59">
        <v>45006</v>
      </c>
      <c r="C4285" s="58">
        <v>1</v>
      </c>
      <c r="D4285" s="58" t="s">
        <v>191</v>
      </c>
      <c r="E4285" s="60">
        <f>7+46-44</f>
        <v>9</v>
      </c>
      <c r="F4285" s="58" t="s">
        <v>363</v>
      </c>
      <c r="G4285" s="58" t="s">
        <v>733</v>
      </c>
      <c r="L4285" t="s">
        <v>869</v>
      </c>
    </row>
    <row r="4286" spans="1:12" s="58" customFormat="1" x14ac:dyDescent="0.75">
      <c r="A4286" s="58" t="s">
        <v>116</v>
      </c>
      <c r="B4286" s="59">
        <v>45006</v>
      </c>
      <c r="C4286" s="58">
        <v>1</v>
      </c>
      <c r="D4286" s="58" t="s">
        <v>207</v>
      </c>
      <c r="E4286" s="60">
        <f>45-44</f>
        <v>1</v>
      </c>
      <c r="F4286" s="58">
        <v>949</v>
      </c>
      <c r="G4286" s="58" t="s">
        <v>869</v>
      </c>
      <c r="L4286" t="s">
        <v>869</v>
      </c>
    </row>
    <row r="4287" spans="1:12" s="58" customFormat="1" x14ac:dyDescent="0.75">
      <c r="A4287" s="58" t="s">
        <v>116</v>
      </c>
      <c r="B4287" s="59">
        <v>45006</v>
      </c>
      <c r="C4287" s="58">
        <v>1</v>
      </c>
      <c r="D4287" s="58" t="s">
        <v>207</v>
      </c>
      <c r="E4287" s="60">
        <f>44-20</f>
        <v>24</v>
      </c>
      <c r="F4287" s="58">
        <v>920</v>
      </c>
      <c r="G4287" s="58" t="s">
        <v>869</v>
      </c>
      <c r="L4287" t="s">
        <v>869</v>
      </c>
    </row>
    <row r="4288" spans="1:12" s="58" customFormat="1" x14ac:dyDescent="0.75">
      <c r="A4288" s="58" t="s">
        <v>116</v>
      </c>
      <c r="B4288" s="59">
        <v>45006</v>
      </c>
      <c r="C4288" s="58">
        <v>1</v>
      </c>
      <c r="D4288" s="58" t="s">
        <v>197</v>
      </c>
      <c r="E4288" s="60">
        <f>20-15</f>
        <v>5</v>
      </c>
      <c r="F4288" s="58" t="s">
        <v>363</v>
      </c>
      <c r="G4288" s="58" t="s">
        <v>869</v>
      </c>
      <c r="L4288" t="s">
        <v>869</v>
      </c>
    </row>
    <row r="4289" spans="1:12" s="58" customFormat="1" x14ac:dyDescent="0.75">
      <c r="A4289" s="58" t="s">
        <v>116</v>
      </c>
      <c r="B4289" s="59">
        <v>45006</v>
      </c>
      <c r="C4289" s="58">
        <v>1</v>
      </c>
      <c r="D4289" s="58" t="s">
        <v>191</v>
      </c>
      <c r="E4289" s="60">
        <f>15-13</f>
        <v>2</v>
      </c>
      <c r="F4289" s="58" t="s">
        <v>363</v>
      </c>
      <c r="G4289" s="58" t="s">
        <v>869</v>
      </c>
      <c r="L4289" t="s">
        <v>869</v>
      </c>
    </row>
    <row r="4290" spans="1:12" s="58" customFormat="1" x14ac:dyDescent="0.75">
      <c r="A4290" s="58" t="s">
        <v>116</v>
      </c>
      <c r="B4290" s="59">
        <v>45006</v>
      </c>
      <c r="C4290" s="58">
        <v>1</v>
      </c>
      <c r="D4290" s="58" t="s">
        <v>164</v>
      </c>
      <c r="E4290" s="60">
        <f>45-10</f>
        <v>35</v>
      </c>
      <c r="F4290" s="58">
        <v>911</v>
      </c>
      <c r="G4290" s="58" t="s">
        <v>869</v>
      </c>
      <c r="L4290" t="s">
        <v>869</v>
      </c>
    </row>
    <row r="4291" spans="1:12" s="58" customFormat="1" x14ac:dyDescent="0.75">
      <c r="A4291" s="58" t="s">
        <v>116</v>
      </c>
      <c r="B4291" s="59">
        <v>45006</v>
      </c>
      <c r="C4291" s="58">
        <v>1</v>
      </c>
      <c r="D4291" s="58" t="s">
        <v>191</v>
      </c>
      <c r="E4291" s="60">
        <f>41-18</f>
        <v>23</v>
      </c>
      <c r="F4291" s="58" t="s">
        <v>363</v>
      </c>
      <c r="G4291" s="58" t="s">
        <v>869</v>
      </c>
      <c r="L4291" t="s">
        <v>869</v>
      </c>
    </row>
    <row r="4292" spans="1:12" s="58" customFormat="1" x14ac:dyDescent="0.75">
      <c r="A4292" s="58" t="s">
        <v>116</v>
      </c>
      <c r="B4292" s="59">
        <v>45006</v>
      </c>
      <c r="C4292" s="58">
        <v>1</v>
      </c>
      <c r="D4292" s="58" t="s">
        <v>194</v>
      </c>
      <c r="E4292" s="60">
        <f>18-14</f>
        <v>4</v>
      </c>
      <c r="F4292" s="58" t="s">
        <v>363</v>
      </c>
      <c r="G4292" s="58" t="s">
        <v>869</v>
      </c>
      <c r="L4292" t="s">
        <v>869</v>
      </c>
    </row>
    <row r="4293" spans="1:12" x14ac:dyDescent="0.75">
      <c r="A4293" t="s">
        <v>116</v>
      </c>
      <c r="B4293" s="3">
        <v>45006</v>
      </c>
      <c r="C4293">
        <v>2</v>
      </c>
      <c r="D4293" t="s">
        <v>191</v>
      </c>
      <c r="E4293" s="22">
        <f>44-29</f>
        <v>15</v>
      </c>
      <c r="F4293" t="s">
        <v>363</v>
      </c>
      <c r="G4293" t="s">
        <v>733</v>
      </c>
      <c r="L4293" t="s">
        <v>869</v>
      </c>
    </row>
    <row r="4294" spans="1:12" x14ac:dyDescent="0.75">
      <c r="A4294" t="s">
        <v>116</v>
      </c>
      <c r="B4294" s="3">
        <v>45006</v>
      </c>
      <c r="C4294">
        <v>2</v>
      </c>
      <c r="D4294" t="s">
        <v>201</v>
      </c>
      <c r="E4294" s="22">
        <f>29-24</f>
        <v>5</v>
      </c>
      <c r="F4294" t="s">
        <v>363</v>
      </c>
      <c r="G4294" t="s">
        <v>733</v>
      </c>
      <c r="L4294" t="s">
        <v>869</v>
      </c>
    </row>
    <row r="4295" spans="1:12" x14ac:dyDescent="0.75">
      <c r="A4295" t="s">
        <v>116</v>
      </c>
      <c r="B4295" s="3">
        <v>45006</v>
      </c>
      <c r="C4295">
        <v>2</v>
      </c>
      <c r="D4295" t="s">
        <v>191</v>
      </c>
      <c r="E4295" s="22">
        <f>24-21</f>
        <v>3</v>
      </c>
      <c r="F4295" t="s">
        <v>363</v>
      </c>
      <c r="G4295" t="s">
        <v>733</v>
      </c>
      <c r="L4295" t="s">
        <v>869</v>
      </c>
    </row>
    <row r="4296" spans="1:12" x14ac:dyDescent="0.75">
      <c r="A4296" t="s">
        <v>116</v>
      </c>
      <c r="B4296" s="3">
        <v>45006</v>
      </c>
      <c r="C4296">
        <v>2</v>
      </c>
      <c r="D4296" t="s">
        <v>194</v>
      </c>
      <c r="E4296" s="22">
        <f>21-9</f>
        <v>12</v>
      </c>
      <c r="F4296" t="s">
        <v>363</v>
      </c>
      <c r="G4296" t="s">
        <v>733</v>
      </c>
      <c r="L4296" t="s">
        <v>869</v>
      </c>
    </row>
    <row r="4297" spans="1:12" x14ac:dyDescent="0.75">
      <c r="A4297" t="s">
        <v>116</v>
      </c>
      <c r="B4297" s="3">
        <v>45006</v>
      </c>
      <c r="C4297">
        <v>2</v>
      </c>
      <c r="D4297" t="s">
        <v>191</v>
      </c>
      <c r="E4297" s="22">
        <f>9+44-11</f>
        <v>42</v>
      </c>
      <c r="F4297" t="s">
        <v>363</v>
      </c>
      <c r="G4297" t="s">
        <v>733</v>
      </c>
      <c r="L4297" t="s">
        <v>869</v>
      </c>
    </row>
    <row r="4298" spans="1:12" x14ac:dyDescent="0.75">
      <c r="A4298" t="s">
        <v>116</v>
      </c>
      <c r="B4298" s="3">
        <v>45006</v>
      </c>
      <c r="C4298">
        <v>2</v>
      </c>
      <c r="D4298" t="s">
        <v>197</v>
      </c>
      <c r="E4298" s="22">
        <f>11-3</f>
        <v>8</v>
      </c>
      <c r="F4298" t="s">
        <v>363</v>
      </c>
      <c r="G4298" t="s">
        <v>733</v>
      </c>
      <c r="L4298" t="s">
        <v>869</v>
      </c>
    </row>
    <row r="4299" spans="1:12" x14ac:dyDescent="0.75">
      <c r="A4299" t="s">
        <v>116</v>
      </c>
      <c r="B4299" s="3">
        <v>45006</v>
      </c>
      <c r="C4299">
        <v>2</v>
      </c>
      <c r="D4299" t="s">
        <v>191</v>
      </c>
      <c r="E4299" s="22">
        <f>3</f>
        <v>3</v>
      </c>
      <c r="F4299" t="s">
        <v>363</v>
      </c>
      <c r="G4299" t="s">
        <v>733</v>
      </c>
      <c r="L4299" t="s">
        <v>869</v>
      </c>
    </row>
    <row r="4300" spans="1:12" x14ac:dyDescent="0.75">
      <c r="A4300" t="s">
        <v>116</v>
      </c>
      <c r="B4300" s="3">
        <v>45006</v>
      </c>
      <c r="C4300">
        <v>2</v>
      </c>
      <c r="D4300" t="s">
        <v>201</v>
      </c>
      <c r="E4300" s="22">
        <f>50-44</f>
        <v>6</v>
      </c>
      <c r="F4300" t="s">
        <v>363</v>
      </c>
      <c r="G4300" t="s">
        <v>869</v>
      </c>
      <c r="L4300" t="s">
        <v>869</v>
      </c>
    </row>
    <row r="4301" spans="1:12" x14ac:dyDescent="0.75">
      <c r="A4301" t="s">
        <v>116</v>
      </c>
      <c r="B4301" s="3">
        <v>45006</v>
      </c>
      <c r="C4301">
        <v>2</v>
      </c>
      <c r="D4301" t="s">
        <v>164</v>
      </c>
      <c r="E4301" s="22">
        <f>45+52-12</f>
        <v>85</v>
      </c>
      <c r="F4301">
        <v>940</v>
      </c>
      <c r="G4301" t="s">
        <v>869</v>
      </c>
      <c r="L4301" t="s">
        <v>869</v>
      </c>
    </row>
    <row r="4302" spans="1:12" x14ac:dyDescent="0.75">
      <c r="A4302" t="s">
        <v>116</v>
      </c>
      <c r="B4302" s="3">
        <v>45006</v>
      </c>
      <c r="C4302">
        <v>2</v>
      </c>
      <c r="D4302" t="s">
        <v>176</v>
      </c>
      <c r="E4302" s="22">
        <f>12-2</f>
        <v>10</v>
      </c>
      <c r="F4302">
        <v>928</v>
      </c>
      <c r="G4302" t="s">
        <v>869</v>
      </c>
      <c r="L4302" t="s">
        <v>869</v>
      </c>
    </row>
    <row r="4303" spans="1:12" x14ac:dyDescent="0.75">
      <c r="A4303" t="s">
        <v>116</v>
      </c>
      <c r="B4303" s="3">
        <v>45006</v>
      </c>
      <c r="C4303">
        <v>2</v>
      </c>
      <c r="D4303" t="s">
        <v>191</v>
      </c>
      <c r="E4303" s="22">
        <f>38-35</f>
        <v>3</v>
      </c>
      <c r="F4303" t="s">
        <v>363</v>
      </c>
      <c r="G4303" t="s">
        <v>869</v>
      </c>
      <c r="L4303" t="s">
        <v>869</v>
      </c>
    </row>
    <row r="4304" spans="1:12" x14ac:dyDescent="0.75">
      <c r="A4304" t="s">
        <v>116</v>
      </c>
      <c r="B4304" s="3">
        <v>45006</v>
      </c>
      <c r="C4304">
        <v>2</v>
      </c>
      <c r="D4304" t="s">
        <v>191</v>
      </c>
      <c r="E4304" s="22">
        <f>35-33</f>
        <v>2</v>
      </c>
      <c r="F4304" t="s">
        <v>363</v>
      </c>
      <c r="G4304" t="s">
        <v>869</v>
      </c>
      <c r="L4304" t="s">
        <v>869</v>
      </c>
    </row>
    <row r="4305" spans="1:12" x14ac:dyDescent="0.75">
      <c r="A4305" t="s">
        <v>116</v>
      </c>
      <c r="B4305" s="3">
        <v>45006</v>
      </c>
      <c r="C4305">
        <v>2</v>
      </c>
      <c r="D4305" t="s">
        <v>197</v>
      </c>
      <c r="E4305" s="22">
        <f>32-30</f>
        <v>2</v>
      </c>
      <c r="F4305" t="s">
        <v>363</v>
      </c>
      <c r="G4305" t="s">
        <v>869</v>
      </c>
      <c r="L4305" t="s">
        <v>869</v>
      </c>
    </row>
    <row r="4306" spans="1:12" x14ac:dyDescent="0.75">
      <c r="A4306" t="s">
        <v>116</v>
      </c>
      <c r="B4306" s="3">
        <v>45006</v>
      </c>
      <c r="C4306">
        <v>2</v>
      </c>
      <c r="D4306" t="s">
        <v>191</v>
      </c>
      <c r="E4306" s="22">
        <f>30-28</f>
        <v>2</v>
      </c>
      <c r="F4306" t="s">
        <v>363</v>
      </c>
      <c r="G4306" t="s">
        <v>869</v>
      </c>
      <c r="L4306" t="s">
        <v>869</v>
      </c>
    </row>
    <row r="4307" spans="1:12" x14ac:dyDescent="0.75">
      <c r="A4307" t="s">
        <v>116</v>
      </c>
      <c r="B4307" s="3">
        <v>45006</v>
      </c>
      <c r="C4307">
        <v>2</v>
      </c>
      <c r="D4307" t="s">
        <v>194</v>
      </c>
      <c r="E4307" s="22">
        <f>28-22</f>
        <v>6</v>
      </c>
      <c r="F4307" t="s">
        <v>363</v>
      </c>
      <c r="G4307" t="s">
        <v>869</v>
      </c>
      <c r="L4307" t="s">
        <v>869</v>
      </c>
    </row>
    <row r="4308" spans="1:12" x14ac:dyDescent="0.75">
      <c r="A4308" t="s">
        <v>116</v>
      </c>
      <c r="B4308" s="3">
        <v>45006</v>
      </c>
      <c r="C4308">
        <v>2</v>
      </c>
      <c r="D4308" t="s">
        <v>191</v>
      </c>
      <c r="E4308" s="22">
        <f>22-17</f>
        <v>5</v>
      </c>
      <c r="F4308" t="s">
        <v>363</v>
      </c>
      <c r="G4308" t="s">
        <v>869</v>
      </c>
      <c r="L4308" t="s">
        <v>869</v>
      </c>
    </row>
    <row r="4309" spans="1:12" x14ac:dyDescent="0.75">
      <c r="A4309" t="s">
        <v>116</v>
      </c>
      <c r="B4309" s="3">
        <v>45006</v>
      </c>
      <c r="C4309">
        <v>2</v>
      </c>
      <c r="D4309" t="s">
        <v>191</v>
      </c>
      <c r="E4309" s="22">
        <f>17+47-31</f>
        <v>33</v>
      </c>
      <c r="F4309" t="s">
        <v>363</v>
      </c>
      <c r="G4309" t="s">
        <v>869</v>
      </c>
      <c r="L4309" t="s">
        <v>869</v>
      </c>
    </row>
    <row r="4310" spans="1:12" x14ac:dyDescent="0.75">
      <c r="A4310" t="s">
        <v>116</v>
      </c>
      <c r="B4310" s="3">
        <v>45006</v>
      </c>
      <c r="C4310">
        <v>2</v>
      </c>
      <c r="D4310" t="s">
        <v>191</v>
      </c>
      <c r="E4310" s="22">
        <f>31-27</f>
        <v>4</v>
      </c>
      <c r="F4310" t="s">
        <v>363</v>
      </c>
      <c r="G4310" t="s">
        <v>869</v>
      </c>
      <c r="L4310" t="s">
        <v>869</v>
      </c>
    </row>
    <row r="4311" spans="1:12" x14ac:dyDescent="0.75">
      <c r="A4311" t="s">
        <v>116</v>
      </c>
      <c r="B4311" s="3">
        <v>45006</v>
      </c>
      <c r="C4311">
        <v>2</v>
      </c>
      <c r="D4311" t="s">
        <v>197</v>
      </c>
      <c r="E4311" s="22">
        <f>27-13</f>
        <v>14</v>
      </c>
      <c r="F4311" t="s">
        <v>363</v>
      </c>
      <c r="G4311" t="s">
        <v>869</v>
      </c>
      <c r="L4311" t="s">
        <v>869</v>
      </c>
    </row>
    <row r="4312" spans="1:12" x14ac:dyDescent="0.75">
      <c r="A4312" t="s">
        <v>116</v>
      </c>
      <c r="B4312" s="3">
        <v>45006</v>
      </c>
      <c r="C4312">
        <v>2</v>
      </c>
      <c r="D4312" t="s">
        <v>164</v>
      </c>
      <c r="E4312" s="22">
        <f>13-6</f>
        <v>7</v>
      </c>
      <c r="F4312" t="s">
        <v>363</v>
      </c>
      <c r="G4312" t="s">
        <v>869</v>
      </c>
      <c r="L4312" t="s">
        <v>869</v>
      </c>
    </row>
    <row r="4313" spans="1:12" x14ac:dyDescent="0.75">
      <c r="A4313" t="s">
        <v>116</v>
      </c>
      <c r="B4313" s="3">
        <v>45006</v>
      </c>
      <c r="C4313">
        <v>2</v>
      </c>
      <c r="D4313" t="s">
        <v>201</v>
      </c>
      <c r="E4313" s="22">
        <f>6-0</f>
        <v>6</v>
      </c>
      <c r="F4313" t="s">
        <v>363</v>
      </c>
      <c r="G4313" t="s">
        <v>869</v>
      </c>
      <c r="L4313" t="s">
        <v>869</v>
      </c>
    </row>
    <row r="4314" spans="1:12" s="58" customFormat="1" x14ac:dyDescent="0.75">
      <c r="A4314" s="58" t="s">
        <v>116</v>
      </c>
      <c r="B4314" s="59">
        <v>45007</v>
      </c>
      <c r="C4314" s="58">
        <v>1</v>
      </c>
      <c r="D4314" s="58" t="s">
        <v>201</v>
      </c>
      <c r="E4314" s="60">
        <f>52-3</f>
        <v>49</v>
      </c>
      <c r="F4314" s="58">
        <v>923</v>
      </c>
      <c r="G4314" s="58" t="s">
        <v>733</v>
      </c>
      <c r="L4314" t="s">
        <v>869</v>
      </c>
    </row>
    <row r="4315" spans="1:12" s="58" customFormat="1" x14ac:dyDescent="0.75">
      <c r="A4315" s="58" t="s">
        <v>116</v>
      </c>
      <c r="B4315" s="59">
        <v>45007</v>
      </c>
      <c r="C4315" s="58">
        <v>1</v>
      </c>
      <c r="D4315" s="58" t="s">
        <v>164</v>
      </c>
      <c r="E4315" s="60">
        <f>3+47-40</f>
        <v>10</v>
      </c>
      <c r="F4315" s="58">
        <v>922</v>
      </c>
      <c r="G4315" s="58" t="s">
        <v>733</v>
      </c>
      <c r="K4315" s="58" t="s">
        <v>922</v>
      </c>
      <c r="L4315" t="s">
        <v>869</v>
      </c>
    </row>
    <row r="4316" spans="1:12" s="58" customFormat="1" x14ac:dyDescent="0.75">
      <c r="A4316" s="58" t="s">
        <v>116</v>
      </c>
      <c r="B4316" s="59">
        <v>45007</v>
      </c>
      <c r="C4316" s="58">
        <v>1</v>
      </c>
      <c r="D4316" s="58" t="s">
        <v>201</v>
      </c>
      <c r="E4316" s="60">
        <f>40+48+44-12</f>
        <v>120</v>
      </c>
      <c r="F4316" s="58">
        <v>983</v>
      </c>
      <c r="G4316" s="58" t="s">
        <v>733</v>
      </c>
      <c r="L4316" t="s">
        <v>869</v>
      </c>
    </row>
    <row r="4317" spans="1:12" s="58" customFormat="1" x14ac:dyDescent="0.75">
      <c r="A4317" s="58" t="s">
        <v>116</v>
      </c>
      <c r="B4317" s="59">
        <v>45007</v>
      </c>
      <c r="C4317" s="58">
        <v>1</v>
      </c>
      <c r="D4317" s="58" t="s">
        <v>191</v>
      </c>
      <c r="E4317" s="60">
        <f>7</f>
        <v>7</v>
      </c>
      <c r="F4317" s="58" t="s">
        <v>363</v>
      </c>
      <c r="G4317" s="58" t="s">
        <v>733</v>
      </c>
      <c r="L4317" t="s">
        <v>869</v>
      </c>
    </row>
    <row r="4318" spans="1:12" s="58" customFormat="1" x14ac:dyDescent="0.75">
      <c r="A4318" s="58" t="s">
        <v>116</v>
      </c>
      <c r="B4318" s="59">
        <v>45007</v>
      </c>
      <c r="C4318" s="58">
        <v>1</v>
      </c>
      <c r="D4318" s="58" t="s">
        <v>194</v>
      </c>
      <c r="E4318" s="60">
        <f>10</f>
        <v>10</v>
      </c>
      <c r="F4318" s="58" t="s">
        <v>363</v>
      </c>
      <c r="G4318" s="58" t="s">
        <v>733</v>
      </c>
      <c r="L4318" t="s">
        <v>869</v>
      </c>
    </row>
    <row r="4319" spans="1:12" s="58" customFormat="1" x14ac:dyDescent="0.75">
      <c r="A4319" s="58" t="s">
        <v>116</v>
      </c>
      <c r="B4319" s="59">
        <v>45007</v>
      </c>
      <c r="C4319" s="58">
        <v>1</v>
      </c>
      <c r="D4319" s="58" t="s">
        <v>201</v>
      </c>
      <c r="E4319" s="60">
        <f>12-0</f>
        <v>12</v>
      </c>
      <c r="F4319" s="58">
        <v>921</v>
      </c>
      <c r="G4319" s="58" t="s">
        <v>733</v>
      </c>
      <c r="L4319" t="s">
        <v>869</v>
      </c>
    </row>
    <row r="4320" spans="1:12" s="58" customFormat="1" x14ac:dyDescent="0.75">
      <c r="A4320" s="58" t="s">
        <v>116</v>
      </c>
      <c r="B4320" s="59">
        <v>45007</v>
      </c>
      <c r="C4320" s="58">
        <v>1</v>
      </c>
      <c r="D4320" s="58" t="s">
        <v>191</v>
      </c>
      <c r="E4320" s="58" t="s">
        <v>363</v>
      </c>
      <c r="F4320" s="58" t="s">
        <v>363</v>
      </c>
      <c r="G4320" s="58" t="s">
        <v>792</v>
      </c>
      <c r="K4320" s="58" t="s">
        <v>923</v>
      </c>
      <c r="L4320" t="s">
        <v>869</v>
      </c>
    </row>
    <row r="4321" spans="1:12" s="58" customFormat="1" x14ac:dyDescent="0.75">
      <c r="A4321" s="58" t="s">
        <v>116</v>
      </c>
      <c r="B4321" s="59">
        <v>45007</v>
      </c>
      <c r="C4321" s="58">
        <v>1</v>
      </c>
      <c r="D4321" s="58" t="s">
        <v>197</v>
      </c>
      <c r="E4321" s="58" t="s">
        <v>363</v>
      </c>
      <c r="F4321" s="58" t="s">
        <v>363</v>
      </c>
      <c r="G4321" s="58" t="s">
        <v>792</v>
      </c>
      <c r="K4321" s="58" t="s">
        <v>923</v>
      </c>
      <c r="L4321" t="s">
        <v>869</v>
      </c>
    </row>
    <row r="4322" spans="1:12" s="58" customFormat="1" x14ac:dyDescent="0.75">
      <c r="A4322" s="58" t="s">
        <v>116</v>
      </c>
      <c r="B4322" s="59">
        <v>45007</v>
      </c>
      <c r="C4322" s="58">
        <v>1</v>
      </c>
      <c r="D4322" s="58" t="s">
        <v>191</v>
      </c>
      <c r="E4322" s="60">
        <f>26+48-40</f>
        <v>34</v>
      </c>
      <c r="F4322" s="58" t="s">
        <v>363</v>
      </c>
      <c r="G4322" s="58" t="s">
        <v>792</v>
      </c>
      <c r="K4322" s="58" t="s">
        <v>924</v>
      </c>
      <c r="L4322" t="s">
        <v>869</v>
      </c>
    </row>
    <row r="4323" spans="1:12" s="58" customFormat="1" x14ac:dyDescent="0.75">
      <c r="A4323" s="58" t="s">
        <v>116</v>
      </c>
      <c r="B4323" s="59">
        <v>45007</v>
      </c>
      <c r="C4323" s="58">
        <v>1</v>
      </c>
      <c r="D4323" s="58" t="s">
        <v>197</v>
      </c>
      <c r="E4323" s="58" t="s">
        <v>363</v>
      </c>
      <c r="F4323" s="58" t="s">
        <v>363</v>
      </c>
      <c r="G4323" s="58" t="s">
        <v>792</v>
      </c>
      <c r="K4323" s="58" t="s">
        <v>923</v>
      </c>
      <c r="L4323" t="s">
        <v>869</v>
      </c>
    </row>
    <row r="4324" spans="1:12" x14ac:dyDescent="0.75">
      <c r="A4324" t="s">
        <v>116</v>
      </c>
      <c r="B4324" s="3">
        <v>45007</v>
      </c>
      <c r="C4324">
        <v>2</v>
      </c>
      <c r="D4324" t="s">
        <v>201</v>
      </c>
      <c r="E4324" s="22">
        <f>50+45+50-27</f>
        <v>118</v>
      </c>
      <c r="F4324" t="s">
        <v>363</v>
      </c>
      <c r="G4324" t="s">
        <v>733</v>
      </c>
      <c r="I4324" s="116"/>
      <c r="J4324" s="116"/>
      <c r="L4324" t="s">
        <v>869</v>
      </c>
    </row>
    <row r="4325" spans="1:12" x14ac:dyDescent="0.75">
      <c r="A4325" t="s">
        <v>116</v>
      </c>
      <c r="B4325" s="3">
        <v>45007</v>
      </c>
      <c r="C4325">
        <v>2</v>
      </c>
      <c r="D4325" t="s">
        <v>164</v>
      </c>
      <c r="E4325" t="s">
        <v>363</v>
      </c>
      <c r="F4325">
        <v>941</v>
      </c>
      <c r="G4325" t="s">
        <v>733</v>
      </c>
      <c r="I4325" s="116"/>
      <c r="J4325" s="116"/>
      <c r="K4325" t="s">
        <v>925</v>
      </c>
      <c r="L4325" t="s">
        <v>869</v>
      </c>
    </row>
    <row r="4326" spans="1:12" x14ac:dyDescent="0.75">
      <c r="A4326" t="s">
        <v>116</v>
      </c>
      <c r="B4326" s="3">
        <v>45007</v>
      </c>
      <c r="C4326">
        <v>2</v>
      </c>
      <c r="D4326" t="s">
        <v>201</v>
      </c>
      <c r="E4326" s="22">
        <f>4</f>
        <v>4</v>
      </c>
      <c r="F4326" t="s">
        <v>363</v>
      </c>
      <c r="G4326" t="s">
        <v>733</v>
      </c>
      <c r="I4326" s="116"/>
      <c r="J4326" s="116"/>
      <c r="L4326" t="s">
        <v>869</v>
      </c>
    </row>
    <row r="4327" spans="1:12" x14ac:dyDescent="0.75">
      <c r="A4327" t="s">
        <v>116</v>
      </c>
      <c r="B4327" s="3">
        <v>45007</v>
      </c>
      <c r="C4327">
        <v>2</v>
      </c>
      <c r="D4327" t="s">
        <v>201</v>
      </c>
      <c r="E4327" s="22">
        <f>45-31</f>
        <v>14</v>
      </c>
      <c r="F4327" t="s">
        <v>363</v>
      </c>
      <c r="G4327" t="s">
        <v>733</v>
      </c>
      <c r="I4327" s="116"/>
      <c r="J4327" s="116"/>
      <c r="L4327" t="s">
        <v>869</v>
      </c>
    </row>
    <row r="4328" spans="1:12" x14ac:dyDescent="0.75">
      <c r="A4328" t="s">
        <v>116</v>
      </c>
      <c r="B4328" s="3">
        <v>45007</v>
      </c>
      <c r="C4328">
        <v>2</v>
      </c>
      <c r="D4328" t="s">
        <v>191</v>
      </c>
      <c r="E4328" s="22">
        <f>31+41+31+50-38+45-35</f>
        <v>125</v>
      </c>
      <c r="F4328" t="s">
        <v>363</v>
      </c>
      <c r="G4328" t="s">
        <v>926</v>
      </c>
      <c r="I4328" s="116"/>
      <c r="J4328" s="116"/>
      <c r="K4328" t="s">
        <v>927</v>
      </c>
      <c r="L4328" t="s">
        <v>869</v>
      </c>
    </row>
    <row r="4329" spans="1:12" x14ac:dyDescent="0.75">
      <c r="A4329" t="s">
        <v>116</v>
      </c>
      <c r="B4329" s="3">
        <v>45007</v>
      </c>
      <c r="C4329">
        <v>2</v>
      </c>
      <c r="D4329" t="s">
        <v>168</v>
      </c>
      <c r="E4329" s="22">
        <f>35-4</f>
        <v>31</v>
      </c>
      <c r="F4329" t="s">
        <v>363</v>
      </c>
      <c r="G4329" t="s">
        <v>792</v>
      </c>
      <c r="I4329" s="116"/>
      <c r="J4329" s="116"/>
      <c r="K4329" t="s">
        <v>924</v>
      </c>
      <c r="L4329" t="s">
        <v>869</v>
      </c>
    </row>
    <row r="4330" spans="1:12" x14ac:dyDescent="0.75">
      <c r="A4330" t="s">
        <v>116</v>
      </c>
      <c r="B4330" s="3">
        <v>45007</v>
      </c>
      <c r="C4330">
        <v>2</v>
      </c>
      <c r="D4330" t="s">
        <v>194</v>
      </c>
      <c r="E4330" s="22">
        <f>4</f>
        <v>4</v>
      </c>
      <c r="F4330" t="s">
        <v>363</v>
      </c>
      <c r="G4330" t="s">
        <v>792</v>
      </c>
      <c r="I4330" s="116"/>
      <c r="J4330" s="116"/>
      <c r="K4330" t="s">
        <v>924</v>
      </c>
      <c r="L4330" t="s">
        <v>869</v>
      </c>
    </row>
    <row r="4331" spans="1:12" x14ac:dyDescent="0.75">
      <c r="A4331" t="s">
        <v>116</v>
      </c>
      <c r="B4331" s="3">
        <v>45007</v>
      </c>
      <c r="C4331">
        <v>2</v>
      </c>
      <c r="D4331" t="s">
        <v>201</v>
      </c>
      <c r="E4331" t="s">
        <v>363</v>
      </c>
      <c r="F4331" t="s">
        <v>363</v>
      </c>
      <c r="G4331" t="s">
        <v>792</v>
      </c>
      <c r="I4331" s="116"/>
      <c r="J4331" s="116"/>
      <c r="K4331" t="s">
        <v>924</v>
      </c>
      <c r="L4331" t="s">
        <v>869</v>
      </c>
    </row>
    <row r="4332" spans="1:12" s="58" customFormat="1" x14ac:dyDescent="0.75">
      <c r="A4332" s="58" t="s">
        <v>96</v>
      </c>
      <c r="B4332" s="59">
        <v>45007</v>
      </c>
      <c r="C4332" s="58">
        <v>1</v>
      </c>
      <c r="D4332" s="58" t="s">
        <v>160</v>
      </c>
      <c r="E4332" s="58">
        <f>27+48-17</f>
        <v>58</v>
      </c>
      <c r="F4332" s="58" t="s">
        <v>363</v>
      </c>
      <c r="G4332" s="58" t="s">
        <v>733</v>
      </c>
      <c r="H4332" s="58" t="s">
        <v>928</v>
      </c>
      <c r="L4332" t="s">
        <v>869</v>
      </c>
    </row>
    <row r="4333" spans="1:12" x14ac:dyDescent="0.75">
      <c r="A4333" t="s">
        <v>116</v>
      </c>
      <c r="B4333" s="3">
        <v>45008</v>
      </c>
      <c r="C4333">
        <v>1</v>
      </c>
      <c r="D4333" t="s">
        <v>201</v>
      </c>
      <c r="E4333" s="22">
        <f>50-32</f>
        <v>18</v>
      </c>
      <c r="F4333" t="s">
        <v>363</v>
      </c>
      <c r="G4333" t="s">
        <v>733</v>
      </c>
      <c r="L4333" t="s">
        <v>869</v>
      </c>
    </row>
    <row r="4334" spans="1:12" x14ac:dyDescent="0.75">
      <c r="A4334" t="s">
        <v>116</v>
      </c>
      <c r="B4334" s="3">
        <v>45008</v>
      </c>
      <c r="C4334">
        <v>1</v>
      </c>
      <c r="D4334" t="s">
        <v>201</v>
      </c>
      <c r="E4334" s="22">
        <f>32-9</f>
        <v>23</v>
      </c>
      <c r="F4334" t="s">
        <v>363</v>
      </c>
      <c r="G4334" t="s">
        <v>733</v>
      </c>
      <c r="H4334" t="s">
        <v>390</v>
      </c>
      <c r="L4334" t="s">
        <v>869</v>
      </c>
    </row>
    <row r="4335" spans="1:12" x14ac:dyDescent="0.75">
      <c r="A4335" t="s">
        <v>116</v>
      </c>
      <c r="B4335" s="3">
        <v>45008</v>
      </c>
      <c r="C4335">
        <v>1</v>
      </c>
      <c r="D4335" t="s">
        <v>197</v>
      </c>
      <c r="E4335" s="22">
        <f>9-4</f>
        <v>5</v>
      </c>
      <c r="F4335" t="s">
        <v>363</v>
      </c>
      <c r="G4335" t="s">
        <v>733</v>
      </c>
      <c r="L4335" t="s">
        <v>869</v>
      </c>
    </row>
    <row r="4336" spans="1:12" x14ac:dyDescent="0.75">
      <c r="A4336" t="s">
        <v>116</v>
      </c>
      <c r="B4336" s="3">
        <v>45008</v>
      </c>
      <c r="C4336">
        <v>1</v>
      </c>
      <c r="D4336" t="s">
        <v>164</v>
      </c>
      <c r="E4336" s="22">
        <f>4+38-33</f>
        <v>9</v>
      </c>
      <c r="F4336" t="s">
        <v>363</v>
      </c>
      <c r="G4336" t="s">
        <v>733</v>
      </c>
      <c r="L4336" t="s">
        <v>869</v>
      </c>
    </row>
    <row r="4337" spans="1:12" x14ac:dyDescent="0.75">
      <c r="A4337" t="s">
        <v>116</v>
      </c>
      <c r="B4337" s="3">
        <v>45008</v>
      </c>
      <c r="C4337">
        <v>1</v>
      </c>
      <c r="D4337" t="s">
        <v>176</v>
      </c>
      <c r="E4337" s="22">
        <f>33-24</f>
        <v>9</v>
      </c>
      <c r="F4337" t="s">
        <v>363</v>
      </c>
      <c r="G4337" t="s">
        <v>733</v>
      </c>
      <c r="L4337" t="s">
        <v>869</v>
      </c>
    </row>
    <row r="4338" spans="1:12" x14ac:dyDescent="0.75">
      <c r="A4338" t="s">
        <v>116</v>
      </c>
      <c r="B4338" s="3">
        <v>45008</v>
      </c>
      <c r="C4338">
        <v>1</v>
      </c>
      <c r="D4338" t="s">
        <v>164</v>
      </c>
      <c r="E4338" s="22">
        <f>24-8</f>
        <v>16</v>
      </c>
      <c r="F4338">
        <v>918</v>
      </c>
      <c r="G4338" t="s">
        <v>733</v>
      </c>
      <c r="L4338" t="s">
        <v>869</v>
      </c>
    </row>
    <row r="4339" spans="1:12" x14ac:dyDescent="0.75">
      <c r="A4339" t="s">
        <v>116</v>
      </c>
      <c r="B4339" s="3">
        <v>45008</v>
      </c>
      <c r="C4339">
        <v>1</v>
      </c>
      <c r="D4339" t="s">
        <v>176</v>
      </c>
      <c r="E4339" s="22">
        <f>7+37-17</f>
        <v>27</v>
      </c>
      <c r="F4339">
        <v>977</v>
      </c>
      <c r="G4339" t="s">
        <v>733</v>
      </c>
      <c r="L4339" t="s">
        <v>869</v>
      </c>
    </row>
    <row r="4340" spans="1:12" x14ac:dyDescent="0.75">
      <c r="A4340" t="s">
        <v>116</v>
      </c>
      <c r="B4340" s="3">
        <v>45008</v>
      </c>
      <c r="C4340">
        <v>1</v>
      </c>
      <c r="D4340" t="s">
        <v>164</v>
      </c>
      <c r="E4340" s="22">
        <f>17</f>
        <v>17</v>
      </c>
      <c r="F4340">
        <v>917</v>
      </c>
      <c r="G4340" t="s">
        <v>733</v>
      </c>
      <c r="L4340" t="s">
        <v>869</v>
      </c>
    </row>
    <row r="4341" spans="1:12" x14ac:dyDescent="0.75">
      <c r="A4341" t="s">
        <v>116</v>
      </c>
      <c r="B4341" s="3">
        <v>45008</v>
      </c>
      <c r="C4341">
        <v>1</v>
      </c>
      <c r="D4341" t="s">
        <v>201</v>
      </c>
      <c r="E4341" s="22">
        <f>49-38</f>
        <v>11</v>
      </c>
      <c r="F4341" t="s">
        <v>363</v>
      </c>
      <c r="G4341" t="s">
        <v>361</v>
      </c>
      <c r="L4341" t="s">
        <v>869</v>
      </c>
    </row>
    <row r="4342" spans="1:12" x14ac:dyDescent="0.75">
      <c r="A4342" t="s">
        <v>116</v>
      </c>
      <c r="B4342" s="3">
        <v>45008</v>
      </c>
      <c r="C4342">
        <v>1</v>
      </c>
      <c r="D4342" t="s">
        <v>201</v>
      </c>
      <c r="E4342" s="22">
        <f>38-33</f>
        <v>5</v>
      </c>
      <c r="F4342">
        <v>914</v>
      </c>
      <c r="G4342" t="s">
        <v>361</v>
      </c>
      <c r="L4342" t="s">
        <v>869</v>
      </c>
    </row>
    <row r="4343" spans="1:12" x14ac:dyDescent="0.75">
      <c r="A4343" t="s">
        <v>116</v>
      </c>
      <c r="B4343" s="3">
        <v>45008</v>
      </c>
      <c r="C4343">
        <v>1</v>
      </c>
      <c r="D4343" t="s">
        <v>164</v>
      </c>
      <c r="E4343" s="22">
        <f>33-28</f>
        <v>5</v>
      </c>
      <c r="F4343">
        <v>979</v>
      </c>
      <c r="G4343" t="s">
        <v>361</v>
      </c>
      <c r="L4343" t="s">
        <v>869</v>
      </c>
    </row>
    <row r="4344" spans="1:12" x14ac:dyDescent="0.75">
      <c r="A4344" t="s">
        <v>116</v>
      </c>
      <c r="B4344" s="3">
        <v>45008</v>
      </c>
      <c r="C4344">
        <v>1</v>
      </c>
      <c r="D4344" t="s">
        <v>164</v>
      </c>
      <c r="E4344" s="22">
        <f>28-5</f>
        <v>23</v>
      </c>
      <c r="F4344">
        <v>976</v>
      </c>
      <c r="G4344" t="s">
        <v>361</v>
      </c>
      <c r="L4344" t="s">
        <v>869</v>
      </c>
    </row>
    <row r="4345" spans="1:12" x14ac:dyDescent="0.75">
      <c r="A4345" t="s">
        <v>116</v>
      </c>
      <c r="B4345" s="3">
        <v>45008</v>
      </c>
      <c r="C4345">
        <v>1</v>
      </c>
      <c r="D4345" t="s">
        <v>176</v>
      </c>
      <c r="E4345" s="22">
        <f>5+39-23</f>
        <v>21</v>
      </c>
      <c r="F4345">
        <v>978</v>
      </c>
      <c r="G4345" t="s">
        <v>361</v>
      </c>
      <c r="L4345" t="s">
        <v>869</v>
      </c>
    </row>
    <row r="4346" spans="1:12" x14ac:dyDescent="0.75">
      <c r="A4346" t="s">
        <v>116</v>
      </c>
      <c r="B4346" s="3">
        <v>45008</v>
      </c>
      <c r="C4346">
        <v>1</v>
      </c>
      <c r="D4346" t="s">
        <v>194</v>
      </c>
      <c r="E4346" s="22">
        <f>23-4</f>
        <v>19</v>
      </c>
      <c r="F4346" t="s">
        <v>363</v>
      </c>
      <c r="G4346" t="s">
        <v>361</v>
      </c>
      <c r="L4346" t="s">
        <v>869</v>
      </c>
    </row>
    <row r="4347" spans="1:12" x14ac:dyDescent="0.75">
      <c r="A4347" t="s">
        <v>116</v>
      </c>
      <c r="B4347" s="3">
        <v>45008</v>
      </c>
      <c r="C4347">
        <v>1</v>
      </c>
      <c r="D4347" t="s">
        <v>191</v>
      </c>
      <c r="E4347" s="22">
        <f>4</f>
        <v>4</v>
      </c>
      <c r="F4347" t="s">
        <v>363</v>
      </c>
      <c r="G4347" t="s">
        <v>361</v>
      </c>
      <c r="L4347" t="s">
        <v>869</v>
      </c>
    </row>
    <row r="4348" spans="1:12" x14ac:dyDescent="0.75">
      <c r="A4348" t="s">
        <v>116</v>
      </c>
      <c r="B4348" s="3">
        <v>45008</v>
      </c>
      <c r="C4348">
        <v>1</v>
      </c>
      <c r="D4348" t="s">
        <v>201</v>
      </c>
      <c r="E4348" s="22">
        <f>18</f>
        <v>18</v>
      </c>
      <c r="F4348" t="s">
        <v>363</v>
      </c>
      <c r="G4348" t="s">
        <v>361</v>
      </c>
      <c r="L4348" t="s">
        <v>869</v>
      </c>
    </row>
    <row r="4349" spans="1:12" s="58" customFormat="1" x14ac:dyDescent="0.75">
      <c r="A4349" s="58" t="s">
        <v>116</v>
      </c>
      <c r="B4349" s="59">
        <v>45008</v>
      </c>
      <c r="C4349" s="58">
        <v>2</v>
      </c>
      <c r="D4349" s="58" t="s">
        <v>164</v>
      </c>
      <c r="E4349" s="60">
        <f>43-35</f>
        <v>8</v>
      </c>
      <c r="F4349" s="58" t="s">
        <v>363</v>
      </c>
      <c r="G4349" s="58" t="s">
        <v>733</v>
      </c>
      <c r="L4349" t="s">
        <v>869</v>
      </c>
    </row>
    <row r="4350" spans="1:12" s="58" customFormat="1" x14ac:dyDescent="0.75">
      <c r="A4350" s="58" t="s">
        <v>116</v>
      </c>
      <c r="B4350" s="59">
        <v>45008</v>
      </c>
      <c r="C4350" s="58">
        <v>2</v>
      </c>
      <c r="D4350" s="58" t="s">
        <v>157</v>
      </c>
      <c r="E4350" s="60">
        <f>35-29</f>
        <v>6</v>
      </c>
      <c r="F4350" s="58">
        <v>999</v>
      </c>
      <c r="G4350" s="58" t="s">
        <v>733</v>
      </c>
      <c r="L4350" t="s">
        <v>869</v>
      </c>
    </row>
    <row r="4351" spans="1:12" s="58" customFormat="1" x14ac:dyDescent="0.75">
      <c r="A4351" s="58" t="s">
        <v>116</v>
      </c>
      <c r="B4351" s="59">
        <v>45008</v>
      </c>
      <c r="C4351" s="58">
        <v>2</v>
      </c>
      <c r="D4351" s="58" t="s">
        <v>164</v>
      </c>
      <c r="E4351" s="60">
        <f>28-24</f>
        <v>4</v>
      </c>
      <c r="F4351" s="58">
        <v>967</v>
      </c>
      <c r="G4351" s="58" t="s">
        <v>733</v>
      </c>
      <c r="L4351" t="s">
        <v>869</v>
      </c>
    </row>
    <row r="4352" spans="1:12" s="58" customFormat="1" x14ac:dyDescent="0.75">
      <c r="A4352" s="58" t="s">
        <v>116</v>
      </c>
      <c r="B4352" s="59">
        <v>45008</v>
      </c>
      <c r="C4352" s="58">
        <v>2</v>
      </c>
      <c r="D4352" s="58" t="s">
        <v>207</v>
      </c>
      <c r="E4352" s="60">
        <f>24-23</f>
        <v>1</v>
      </c>
      <c r="F4352" s="58" t="s">
        <v>363</v>
      </c>
      <c r="G4352" s="58" t="s">
        <v>733</v>
      </c>
      <c r="L4352" t="s">
        <v>869</v>
      </c>
    </row>
    <row r="4353" spans="1:12" s="58" customFormat="1" x14ac:dyDescent="0.75">
      <c r="A4353" s="58" t="s">
        <v>116</v>
      </c>
      <c r="B4353" s="59">
        <v>45008</v>
      </c>
      <c r="C4353" s="58">
        <v>2</v>
      </c>
      <c r="D4353" s="58" t="s">
        <v>164</v>
      </c>
      <c r="E4353" s="60">
        <f>23-20</f>
        <v>3</v>
      </c>
      <c r="F4353" s="58" t="s">
        <v>363</v>
      </c>
      <c r="G4353" s="58" t="s">
        <v>733</v>
      </c>
      <c r="L4353" t="s">
        <v>869</v>
      </c>
    </row>
    <row r="4354" spans="1:12" s="58" customFormat="1" x14ac:dyDescent="0.75">
      <c r="A4354" s="58" t="s">
        <v>116</v>
      </c>
      <c r="B4354" s="59">
        <v>45008</v>
      </c>
      <c r="C4354" s="58">
        <v>2</v>
      </c>
      <c r="D4354" s="58" t="s">
        <v>197</v>
      </c>
      <c r="E4354" s="60">
        <f>20-12</f>
        <v>8</v>
      </c>
      <c r="F4354" s="58" t="s">
        <v>363</v>
      </c>
      <c r="G4354" s="58" t="s">
        <v>733</v>
      </c>
      <c r="L4354" t="s">
        <v>869</v>
      </c>
    </row>
    <row r="4355" spans="1:12" s="58" customFormat="1" x14ac:dyDescent="0.75">
      <c r="A4355" s="58" t="s">
        <v>116</v>
      </c>
      <c r="B4355" s="59">
        <v>45008</v>
      </c>
      <c r="C4355" s="58">
        <v>2</v>
      </c>
      <c r="D4355" s="58" t="s">
        <v>201</v>
      </c>
      <c r="E4355" s="60">
        <f>40-10</f>
        <v>30</v>
      </c>
      <c r="F4355" s="58">
        <v>938</v>
      </c>
      <c r="G4355" s="58" t="s">
        <v>361</v>
      </c>
      <c r="L4355" t="s">
        <v>869</v>
      </c>
    </row>
    <row r="4356" spans="1:12" s="58" customFormat="1" x14ac:dyDescent="0.75">
      <c r="A4356" s="58" t="s">
        <v>116</v>
      </c>
      <c r="B4356" s="59">
        <v>45008</v>
      </c>
      <c r="C4356" s="58">
        <v>2</v>
      </c>
      <c r="D4356" s="58" t="s">
        <v>164</v>
      </c>
      <c r="E4356" s="60">
        <f>10-0</f>
        <v>10</v>
      </c>
      <c r="F4356" s="58" t="s">
        <v>363</v>
      </c>
      <c r="G4356" s="58" t="s">
        <v>361</v>
      </c>
      <c r="L4356" t="s">
        <v>869</v>
      </c>
    </row>
    <row r="4357" spans="1:12" s="58" customFormat="1" x14ac:dyDescent="0.75">
      <c r="A4357" s="58" t="s">
        <v>116</v>
      </c>
      <c r="B4357" s="59">
        <v>45008</v>
      </c>
      <c r="C4357" s="58">
        <v>2</v>
      </c>
      <c r="D4357" s="58" t="s">
        <v>164</v>
      </c>
      <c r="E4357" s="60">
        <f>55-33</f>
        <v>22</v>
      </c>
      <c r="F4357" s="58">
        <v>975</v>
      </c>
      <c r="G4357" s="58" t="s">
        <v>361</v>
      </c>
      <c r="L4357" t="s">
        <v>869</v>
      </c>
    </row>
    <row r="4358" spans="1:12" s="58" customFormat="1" x14ac:dyDescent="0.75">
      <c r="A4358" s="58" t="s">
        <v>116</v>
      </c>
      <c r="B4358" s="59">
        <v>45008</v>
      </c>
      <c r="C4358" s="58">
        <v>2</v>
      </c>
      <c r="D4358" s="58" t="s">
        <v>164</v>
      </c>
      <c r="E4358" s="60">
        <f>33+54-50</f>
        <v>37</v>
      </c>
      <c r="F4358" s="58">
        <v>966</v>
      </c>
      <c r="G4358" s="58" t="s">
        <v>361</v>
      </c>
      <c r="L4358" t="s">
        <v>869</v>
      </c>
    </row>
    <row r="4359" spans="1:12" x14ac:dyDescent="0.75">
      <c r="A4359" t="s">
        <v>116</v>
      </c>
      <c r="B4359" s="3">
        <v>45008</v>
      </c>
      <c r="C4359">
        <v>3</v>
      </c>
      <c r="D4359" t="s">
        <v>194</v>
      </c>
      <c r="E4359" s="22">
        <f>8-5</f>
        <v>3</v>
      </c>
      <c r="F4359" t="s">
        <v>363</v>
      </c>
      <c r="G4359" t="s">
        <v>733</v>
      </c>
      <c r="I4359" s="116"/>
      <c r="J4359" s="116"/>
      <c r="L4359" t="s">
        <v>869</v>
      </c>
    </row>
    <row r="4360" spans="1:12" x14ac:dyDescent="0.75">
      <c r="A4360" t="s">
        <v>116</v>
      </c>
      <c r="B4360" s="3">
        <v>45008</v>
      </c>
      <c r="C4360">
        <v>3</v>
      </c>
      <c r="D4360" t="s">
        <v>197</v>
      </c>
      <c r="E4360" s="22">
        <f>13-8</f>
        <v>5</v>
      </c>
      <c r="F4360" t="s">
        <v>363</v>
      </c>
      <c r="G4360" t="s">
        <v>733</v>
      </c>
      <c r="I4360" s="116"/>
      <c r="J4360" s="116"/>
      <c r="L4360" t="s">
        <v>869</v>
      </c>
    </row>
    <row r="4361" spans="1:12" x14ac:dyDescent="0.75">
      <c r="A4361" t="s">
        <v>116</v>
      </c>
      <c r="B4361" s="3">
        <v>45008</v>
      </c>
      <c r="C4361">
        <v>3</v>
      </c>
      <c r="D4361" t="s">
        <v>194</v>
      </c>
      <c r="E4361" s="22">
        <f>5+42-33</f>
        <v>14</v>
      </c>
      <c r="F4361" t="s">
        <v>363</v>
      </c>
      <c r="G4361" t="s">
        <v>733</v>
      </c>
      <c r="I4361" s="116"/>
      <c r="J4361" s="116"/>
      <c r="L4361" t="s">
        <v>869</v>
      </c>
    </row>
    <row r="4362" spans="1:12" x14ac:dyDescent="0.75">
      <c r="A4362" t="s">
        <v>116</v>
      </c>
      <c r="B4362" s="3">
        <v>45008</v>
      </c>
      <c r="C4362">
        <v>3</v>
      </c>
      <c r="D4362" t="s">
        <v>194</v>
      </c>
      <c r="E4362" s="22">
        <f>33-20</f>
        <v>13</v>
      </c>
      <c r="F4362" t="s">
        <v>363</v>
      </c>
      <c r="G4362" t="s">
        <v>733</v>
      </c>
      <c r="I4362" s="116"/>
      <c r="J4362" s="116"/>
      <c r="L4362" t="s">
        <v>869</v>
      </c>
    </row>
    <row r="4363" spans="1:12" x14ac:dyDescent="0.75">
      <c r="A4363" t="s">
        <v>116</v>
      </c>
      <c r="B4363" s="3">
        <v>45008</v>
      </c>
      <c r="C4363">
        <v>3</v>
      </c>
      <c r="D4363" t="s">
        <v>191</v>
      </c>
      <c r="E4363" s="22">
        <f>20-15</f>
        <v>5</v>
      </c>
      <c r="F4363" t="s">
        <v>363</v>
      </c>
      <c r="G4363" t="s">
        <v>733</v>
      </c>
      <c r="I4363" s="116"/>
      <c r="J4363" s="116"/>
      <c r="L4363" t="s">
        <v>869</v>
      </c>
    </row>
    <row r="4364" spans="1:12" x14ac:dyDescent="0.75">
      <c r="A4364" t="s">
        <v>116</v>
      </c>
      <c r="B4364" s="3">
        <v>45008</v>
      </c>
      <c r="C4364">
        <v>3</v>
      </c>
      <c r="D4364" t="s">
        <v>201</v>
      </c>
      <c r="E4364" s="22">
        <f>15-6</f>
        <v>9</v>
      </c>
      <c r="F4364" t="s">
        <v>363</v>
      </c>
      <c r="G4364" t="s">
        <v>733</v>
      </c>
      <c r="I4364" s="116"/>
      <c r="J4364" s="116"/>
      <c r="L4364" t="s">
        <v>869</v>
      </c>
    </row>
    <row r="4365" spans="1:12" x14ac:dyDescent="0.75">
      <c r="A4365" t="s">
        <v>116</v>
      </c>
      <c r="B4365" s="3">
        <v>45008</v>
      </c>
      <c r="C4365">
        <v>3</v>
      </c>
      <c r="D4365" t="s">
        <v>176</v>
      </c>
      <c r="E4365" t="s">
        <v>363</v>
      </c>
      <c r="F4365" t="s">
        <v>363</v>
      </c>
      <c r="G4365" t="s">
        <v>361</v>
      </c>
      <c r="I4365" s="116"/>
      <c r="J4365" s="116"/>
      <c r="K4365" t="s">
        <v>885</v>
      </c>
      <c r="L4365" t="s">
        <v>869</v>
      </c>
    </row>
    <row r="4366" spans="1:12" x14ac:dyDescent="0.75">
      <c r="A4366" t="s">
        <v>116</v>
      </c>
      <c r="B4366" s="3">
        <v>45008</v>
      </c>
      <c r="C4366">
        <v>3</v>
      </c>
      <c r="D4366" t="s">
        <v>187</v>
      </c>
      <c r="E4366" t="s">
        <v>363</v>
      </c>
      <c r="F4366">
        <v>916</v>
      </c>
      <c r="G4366" t="s">
        <v>361</v>
      </c>
      <c r="H4366" t="s">
        <v>390</v>
      </c>
      <c r="I4366" s="116"/>
      <c r="J4366" s="116"/>
      <c r="K4366" t="s">
        <v>929</v>
      </c>
      <c r="L4366" t="s">
        <v>869</v>
      </c>
    </row>
    <row r="4367" spans="1:12" x14ac:dyDescent="0.75">
      <c r="A4367" t="s">
        <v>116</v>
      </c>
      <c r="B4367" s="3">
        <v>45008</v>
      </c>
      <c r="C4367">
        <v>3</v>
      </c>
      <c r="D4367" t="s">
        <v>201</v>
      </c>
      <c r="E4367" s="22">
        <f>45-26</f>
        <v>19</v>
      </c>
      <c r="F4367" t="s">
        <v>363</v>
      </c>
      <c r="G4367" t="s">
        <v>361</v>
      </c>
      <c r="I4367" s="116"/>
      <c r="J4367" s="116"/>
      <c r="L4367" t="s">
        <v>869</v>
      </c>
    </row>
    <row r="4368" spans="1:12" x14ac:dyDescent="0.75">
      <c r="A4368" t="s">
        <v>116</v>
      </c>
      <c r="B4368" s="3">
        <v>45008</v>
      </c>
      <c r="C4368">
        <v>3</v>
      </c>
      <c r="D4368" t="s">
        <v>201</v>
      </c>
      <c r="E4368" s="22">
        <f>26-23</f>
        <v>3</v>
      </c>
      <c r="F4368">
        <v>980</v>
      </c>
      <c r="G4368" t="s">
        <v>361</v>
      </c>
      <c r="H4368" t="s">
        <v>390</v>
      </c>
      <c r="I4368" s="116"/>
      <c r="J4368" s="116"/>
      <c r="L4368" t="s">
        <v>869</v>
      </c>
    </row>
    <row r="4369" spans="1:12" x14ac:dyDescent="0.75">
      <c r="A4369" t="s">
        <v>116</v>
      </c>
      <c r="B4369" s="3">
        <v>45008</v>
      </c>
      <c r="C4369">
        <v>3</v>
      </c>
      <c r="D4369" t="s">
        <v>176</v>
      </c>
      <c r="E4369" s="22">
        <f>23-19</f>
        <v>4</v>
      </c>
      <c r="F4369" t="s">
        <v>363</v>
      </c>
      <c r="G4369" t="s">
        <v>361</v>
      </c>
      <c r="I4369" s="116"/>
      <c r="J4369" s="116"/>
      <c r="L4369" t="s">
        <v>869</v>
      </c>
    </row>
    <row r="4370" spans="1:12" x14ac:dyDescent="0.75">
      <c r="A4370" t="s">
        <v>116</v>
      </c>
      <c r="B4370" s="3">
        <v>45008</v>
      </c>
      <c r="C4370">
        <v>3</v>
      </c>
      <c r="D4370" t="s">
        <v>164</v>
      </c>
      <c r="E4370" s="22">
        <f>19-6</f>
        <v>13</v>
      </c>
      <c r="F4370" t="s">
        <v>363</v>
      </c>
      <c r="G4370" t="s">
        <v>361</v>
      </c>
      <c r="I4370" s="116"/>
      <c r="J4370" s="116"/>
      <c r="L4370" t="s">
        <v>869</v>
      </c>
    </row>
    <row r="4371" spans="1:12" x14ac:dyDescent="0.75">
      <c r="A4371" t="s">
        <v>116</v>
      </c>
      <c r="B4371" s="3">
        <v>45008</v>
      </c>
      <c r="C4371">
        <v>3</v>
      </c>
      <c r="D4371" t="s">
        <v>201</v>
      </c>
      <c r="E4371" s="22">
        <f>6-0</f>
        <v>6</v>
      </c>
      <c r="F4371" t="s">
        <v>363</v>
      </c>
      <c r="G4371" t="s">
        <v>361</v>
      </c>
      <c r="I4371" s="116"/>
      <c r="J4371" s="116"/>
      <c r="L4371" t="s">
        <v>869</v>
      </c>
    </row>
    <row r="4372" spans="1:12" s="23" customFormat="1" x14ac:dyDescent="0.75">
      <c r="A4372" s="23" t="s">
        <v>116</v>
      </c>
      <c r="B4372" s="24">
        <v>45021</v>
      </c>
      <c r="C4372" s="23">
        <v>1</v>
      </c>
      <c r="D4372" s="23" t="s">
        <v>191</v>
      </c>
      <c r="E4372" s="52">
        <f>64-42</f>
        <v>22</v>
      </c>
      <c r="F4372" s="23" t="s">
        <v>363</v>
      </c>
      <c r="G4372" s="23" t="s">
        <v>627</v>
      </c>
      <c r="H4372" s="23" t="s">
        <v>928</v>
      </c>
      <c r="L4372" s="23" t="s">
        <v>869</v>
      </c>
    </row>
    <row r="4373" spans="1:12" s="23" customFormat="1" x14ac:dyDescent="0.75">
      <c r="A4373" s="23" t="s">
        <v>116</v>
      </c>
      <c r="B4373" s="24">
        <v>45021</v>
      </c>
      <c r="C4373" s="23">
        <v>1</v>
      </c>
      <c r="D4373" s="23" t="s">
        <v>191</v>
      </c>
      <c r="E4373" s="52">
        <f>42-30</f>
        <v>12</v>
      </c>
      <c r="F4373" s="23" t="s">
        <v>363</v>
      </c>
      <c r="G4373" s="23" t="s">
        <v>627</v>
      </c>
      <c r="H4373" s="23" t="s">
        <v>928</v>
      </c>
      <c r="L4373" s="23" t="s">
        <v>869</v>
      </c>
    </row>
    <row r="4374" spans="1:12" s="23" customFormat="1" x14ac:dyDescent="0.75">
      <c r="A4374" s="23" t="s">
        <v>116</v>
      </c>
      <c r="B4374" s="24">
        <v>45021</v>
      </c>
      <c r="C4374" s="23">
        <v>1</v>
      </c>
      <c r="D4374" s="23" t="s">
        <v>194</v>
      </c>
      <c r="E4374" s="52" t="s">
        <v>930</v>
      </c>
      <c r="F4374" s="23" t="s">
        <v>363</v>
      </c>
      <c r="G4374" s="23" t="s">
        <v>627</v>
      </c>
      <c r="H4374" s="23" t="s">
        <v>928</v>
      </c>
      <c r="K4374" s="23" t="s">
        <v>931</v>
      </c>
      <c r="L4374" s="23" t="s">
        <v>869</v>
      </c>
    </row>
    <row r="4375" spans="1:12" s="23" customFormat="1" x14ac:dyDescent="0.75">
      <c r="A4375" s="23" t="s">
        <v>116</v>
      </c>
      <c r="B4375" s="24">
        <v>45021</v>
      </c>
      <c r="C4375" s="23">
        <v>1</v>
      </c>
      <c r="D4375" s="23" t="s">
        <v>194</v>
      </c>
      <c r="E4375" s="52">
        <f>76-36</f>
        <v>40</v>
      </c>
      <c r="F4375" s="23" t="s">
        <v>363</v>
      </c>
      <c r="G4375" s="23" t="s">
        <v>361</v>
      </c>
      <c r="H4375" s="23" t="s">
        <v>928</v>
      </c>
      <c r="L4375" s="23" t="s">
        <v>869</v>
      </c>
    </row>
    <row r="4376" spans="1:12" s="23" customFormat="1" x14ac:dyDescent="0.75">
      <c r="A4376" s="23" t="s">
        <v>116</v>
      </c>
      <c r="B4376" s="24">
        <v>45021</v>
      </c>
      <c r="C4376" s="23">
        <v>1</v>
      </c>
      <c r="D4376" s="23" t="s">
        <v>191</v>
      </c>
      <c r="E4376" s="52">
        <f>36-24</f>
        <v>12</v>
      </c>
      <c r="F4376" s="23" t="s">
        <v>363</v>
      </c>
      <c r="G4376" s="23" t="s">
        <v>361</v>
      </c>
      <c r="H4376" s="23" t="s">
        <v>928</v>
      </c>
      <c r="L4376" s="23" t="s">
        <v>869</v>
      </c>
    </row>
    <row r="4377" spans="1:12" s="23" customFormat="1" x14ac:dyDescent="0.75">
      <c r="A4377" s="23" t="s">
        <v>116</v>
      </c>
      <c r="B4377" s="24">
        <v>45021</v>
      </c>
      <c r="C4377" s="23">
        <v>1</v>
      </c>
      <c r="D4377" s="23" t="s">
        <v>191</v>
      </c>
      <c r="E4377" s="52">
        <f>24-18</f>
        <v>6</v>
      </c>
      <c r="F4377" s="23" t="s">
        <v>363</v>
      </c>
      <c r="G4377" s="23" t="s">
        <v>361</v>
      </c>
      <c r="H4377" s="23" t="s">
        <v>928</v>
      </c>
      <c r="L4377" s="23" t="s">
        <v>869</v>
      </c>
    </row>
    <row r="4378" spans="1:12" s="23" customFormat="1" x14ac:dyDescent="0.75">
      <c r="A4378" s="23" t="s">
        <v>116</v>
      </c>
      <c r="B4378" s="24">
        <v>45021</v>
      </c>
      <c r="C4378" s="23">
        <v>1</v>
      </c>
      <c r="D4378" s="23" t="s">
        <v>201</v>
      </c>
      <c r="E4378" s="52">
        <f>18-6</f>
        <v>12</v>
      </c>
      <c r="F4378" s="23" t="s">
        <v>363</v>
      </c>
      <c r="G4378" s="23" t="s">
        <v>361</v>
      </c>
      <c r="H4378" s="23" t="s">
        <v>928</v>
      </c>
      <c r="L4378" s="23" t="s">
        <v>869</v>
      </c>
    </row>
    <row r="4379" spans="1:12" s="23" customFormat="1" x14ac:dyDescent="0.75">
      <c r="A4379" s="23" t="s">
        <v>116</v>
      </c>
      <c r="B4379" s="24">
        <v>45021</v>
      </c>
      <c r="C4379" s="23">
        <v>1</v>
      </c>
      <c r="D4379" s="23" t="s">
        <v>197</v>
      </c>
      <c r="E4379" s="52">
        <f>42-34</f>
        <v>8</v>
      </c>
      <c r="F4379" s="23" t="s">
        <v>363</v>
      </c>
      <c r="G4379" s="23" t="s">
        <v>869</v>
      </c>
      <c r="H4379" s="23" t="s">
        <v>928</v>
      </c>
      <c r="L4379" s="23" t="s">
        <v>869</v>
      </c>
    </row>
    <row r="4380" spans="1:12" s="23" customFormat="1" x14ac:dyDescent="0.75">
      <c r="A4380" s="23" t="s">
        <v>116</v>
      </c>
      <c r="B4380" s="24">
        <v>45021</v>
      </c>
      <c r="C4380" s="23">
        <v>1</v>
      </c>
      <c r="D4380" s="23" t="s">
        <v>194</v>
      </c>
      <c r="E4380" s="52">
        <f>34-16</f>
        <v>18</v>
      </c>
      <c r="F4380" s="23" t="s">
        <v>363</v>
      </c>
      <c r="G4380" s="23" t="s">
        <v>869</v>
      </c>
      <c r="H4380" s="23" t="s">
        <v>390</v>
      </c>
      <c r="L4380" s="23" t="s">
        <v>869</v>
      </c>
    </row>
    <row r="4381" spans="1:12" s="23" customFormat="1" x14ac:dyDescent="0.75">
      <c r="A4381" s="23" t="s">
        <v>116</v>
      </c>
      <c r="B4381" s="24">
        <v>45021</v>
      </c>
      <c r="C4381" s="23">
        <v>1</v>
      </c>
      <c r="D4381" s="23" t="s">
        <v>164</v>
      </c>
      <c r="E4381" s="52">
        <f>16-10</f>
        <v>6</v>
      </c>
      <c r="F4381" s="23" t="s">
        <v>363</v>
      </c>
      <c r="G4381" s="23" t="s">
        <v>869</v>
      </c>
      <c r="H4381" s="23" t="s">
        <v>928</v>
      </c>
      <c r="L4381" s="23" t="s">
        <v>869</v>
      </c>
    </row>
    <row r="4382" spans="1:12" s="23" customFormat="1" x14ac:dyDescent="0.75">
      <c r="A4382" s="23" t="s">
        <v>116</v>
      </c>
      <c r="B4382" s="24">
        <v>45021</v>
      </c>
      <c r="C4382" s="23">
        <v>1</v>
      </c>
      <c r="D4382" s="23" t="s">
        <v>191</v>
      </c>
      <c r="E4382" s="52">
        <f>10-0+42-34</f>
        <v>18</v>
      </c>
      <c r="F4382" s="23" t="s">
        <v>363</v>
      </c>
      <c r="G4382" s="23" t="s">
        <v>869</v>
      </c>
      <c r="H4382" s="23" t="s">
        <v>928</v>
      </c>
      <c r="L4382" s="23" t="s">
        <v>869</v>
      </c>
    </row>
    <row r="4383" spans="1:12" s="23" customFormat="1" x14ac:dyDescent="0.75">
      <c r="A4383" s="23" t="s">
        <v>116</v>
      </c>
      <c r="B4383" s="24">
        <v>45021</v>
      </c>
      <c r="C4383" s="23">
        <v>1</v>
      </c>
      <c r="D4383" s="23" t="s">
        <v>191</v>
      </c>
      <c r="E4383" s="52">
        <f>34-30</f>
        <v>4</v>
      </c>
      <c r="F4383" s="23" t="s">
        <v>363</v>
      </c>
      <c r="G4383" s="23" t="s">
        <v>869</v>
      </c>
      <c r="H4383" s="23" t="s">
        <v>928</v>
      </c>
      <c r="L4383" s="23" t="s">
        <v>869</v>
      </c>
    </row>
    <row r="4384" spans="1:12" s="23" customFormat="1" x14ac:dyDescent="0.75">
      <c r="A4384" s="23" t="s">
        <v>116</v>
      </c>
      <c r="B4384" s="24">
        <v>45021</v>
      </c>
      <c r="C4384" s="23">
        <v>1</v>
      </c>
      <c r="D4384" s="23" t="s">
        <v>164</v>
      </c>
      <c r="E4384" s="52">
        <f>50-33</f>
        <v>17</v>
      </c>
      <c r="F4384" s="23">
        <v>1000</v>
      </c>
      <c r="G4384" s="23" t="s">
        <v>869</v>
      </c>
      <c r="H4384" s="23" t="s">
        <v>390</v>
      </c>
      <c r="L4384" s="23" t="s">
        <v>869</v>
      </c>
    </row>
    <row r="4385" spans="1:12" s="23" customFormat="1" x14ac:dyDescent="0.75">
      <c r="A4385" s="23" t="s">
        <v>116</v>
      </c>
      <c r="B4385" s="24">
        <v>45021</v>
      </c>
      <c r="C4385" s="23">
        <v>1</v>
      </c>
      <c r="D4385" s="23" t="s">
        <v>215</v>
      </c>
      <c r="E4385" s="52">
        <f>30-26</f>
        <v>4</v>
      </c>
      <c r="F4385" s="23" t="s">
        <v>363</v>
      </c>
      <c r="G4385" s="23" t="s">
        <v>869</v>
      </c>
      <c r="H4385" s="23" t="s">
        <v>928</v>
      </c>
      <c r="L4385" s="23" t="s">
        <v>869</v>
      </c>
    </row>
    <row r="4386" spans="1:12" s="23" customFormat="1" x14ac:dyDescent="0.75">
      <c r="A4386" s="23" t="s">
        <v>116</v>
      </c>
      <c r="B4386" s="24">
        <v>45021</v>
      </c>
      <c r="C4386" s="23">
        <v>1</v>
      </c>
      <c r="D4386" s="23" t="s">
        <v>201</v>
      </c>
      <c r="E4386" s="52">
        <f>26-25</f>
        <v>1</v>
      </c>
      <c r="F4386" s="23">
        <v>914</v>
      </c>
      <c r="G4386" s="23" t="s">
        <v>869</v>
      </c>
      <c r="H4386" s="23" t="s">
        <v>390</v>
      </c>
      <c r="L4386" s="23" t="s">
        <v>869</v>
      </c>
    </row>
    <row r="4387" spans="1:12" s="23" customFormat="1" x14ac:dyDescent="0.75">
      <c r="A4387" s="23" t="s">
        <v>116</v>
      </c>
      <c r="B4387" s="24">
        <v>45021</v>
      </c>
      <c r="C4387" s="23">
        <v>1</v>
      </c>
      <c r="D4387" s="23" t="s">
        <v>201</v>
      </c>
      <c r="E4387" s="52">
        <f>46-6</f>
        <v>40</v>
      </c>
      <c r="F4387" s="23">
        <v>929</v>
      </c>
      <c r="G4387" s="23" t="s">
        <v>869</v>
      </c>
      <c r="H4387" s="23" t="s">
        <v>390</v>
      </c>
      <c r="L4387" s="23" t="s">
        <v>869</v>
      </c>
    </row>
    <row r="4388" spans="1:12" s="23" customFormat="1" x14ac:dyDescent="0.75">
      <c r="A4388" s="23" t="s">
        <v>116</v>
      </c>
      <c r="B4388" s="24">
        <v>45021</v>
      </c>
      <c r="C4388" s="23">
        <v>1</v>
      </c>
      <c r="D4388" s="23" t="s">
        <v>176</v>
      </c>
      <c r="E4388" s="52">
        <f>48-28</f>
        <v>20</v>
      </c>
      <c r="F4388" s="23">
        <v>910</v>
      </c>
      <c r="G4388" s="23" t="s">
        <v>869</v>
      </c>
      <c r="H4388" s="23" t="s">
        <v>390</v>
      </c>
      <c r="L4388" s="23" t="s">
        <v>869</v>
      </c>
    </row>
    <row r="4389" spans="1:12" x14ac:dyDescent="0.75">
      <c r="A4389" t="s">
        <v>116</v>
      </c>
      <c r="B4389" s="3">
        <v>45021</v>
      </c>
      <c r="C4389">
        <v>2</v>
      </c>
      <c r="D4389" t="s">
        <v>176</v>
      </c>
      <c r="E4389" s="22">
        <f>6-0</f>
        <v>6</v>
      </c>
      <c r="F4389" t="s">
        <v>363</v>
      </c>
      <c r="G4389" t="s">
        <v>361</v>
      </c>
      <c r="H4389" t="s">
        <v>928</v>
      </c>
      <c r="L4389" t="s">
        <v>869</v>
      </c>
    </row>
    <row r="4390" spans="1:12" x14ac:dyDescent="0.75">
      <c r="A4390" t="s">
        <v>116</v>
      </c>
      <c r="B4390" s="3">
        <v>45021</v>
      </c>
      <c r="C4390">
        <v>2</v>
      </c>
      <c r="D4390" t="s">
        <v>201</v>
      </c>
      <c r="E4390" s="22">
        <f>33-0+24-13</f>
        <v>44</v>
      </c>
      <c r="F4390" t="s">
        <v>363</v>
      </c>
      <c r="G4390" t="s">
        <v>361</v>
      </c>
      <c r="H4390" t="s">
        <v>928</v>
      </c>
      <c r="L4390" t="s">
        <v>869</v>
      </c>
    </row>
    <row r="4391" spans="1:12" x14ac:dyDescent="0.75">
      <c r="A4391" t="s">
        <v>116</v>
      </c>
      <c r="B4391" s="3">
        <v>45021</v>
      </c>
      <c r="C4391">
        <v>2</v>
      </c>
      <c r="D4391" t="s">
        <v>176</v>
      </c>
      <c r="E4391" s="22">
        <f>13-10</f>
        <v>3</v>
      </c>
      <c r="F4391" t="s">
        <v>363</v>
      </c>
      <c r="G4391" t="s">
        <v>361</v>
      </c>
      <c r="H4391" t="s">
        <v>928</v>
      </c>
      <c r="L4391" t="s">
        <v>869</v>
      </c>
    </row>
    <row r="4392" spans="1:12" x14ac:dyDescent="0.75">
      <c r="A4392" t="s">
        <v>116</v>
      </c>
      <c r="B4392" s="3">
        <v>45021</v>
      </c>
      <c r="C4392">
        <v>2</v>
      </c>
      <c r="D4392" t="s">
        <v>191</v>
      </c>
      <c r="E4392" s="22">
        <f>10-6</f>
        <v>4</v>
      </c>
      <c r="F4392" t="s">
        <v>363</v>
      </c>
      <c r="G4392" t="s">
        <v>361</v>
      </c>
      <c r="H4392" t="s">
        <v>928</v>
      </c>
      <c r="L4392" t="s">
        <v>869</v>
      </c>
    </row>
    <row r="4393" spans="1:12" x14ac:dyDescent="0.75">
      <c r="A4393" t="s">
        <v>116</v>
      </c>
      <c r="B4393" s="3">
        <v>45021</v>
      </c>
      <c r="C4393">
        <v>2</v>
      </c>
      <c r="D4393" t="s">
        <v>164</v>
      </c>
      <c r="E4393" s="22">
        <f>6-0+3-0+56-46-2</f>
        <v>17</v>
      </c>
      <c r="F4393" t="s">
        <v>363</v>
      </c>
      <c r="G4393" t="s">
        <v>361</v>
      </c>
      <c r="H4393" t="s">
        <v>928</v>
      </c>
      <c r="K4393" t="s">
        <v>932</v>
      </c>
      <c r="L4393" t="s">
        <v>869</v>
      </c>
    </row>
    <row r="4394" spans="1:12" x14ac:dyDescent="0.75">
      <c r="A4394" t="s">
        <v>116</v>
      </c>
      <c r="B4394" s="3">
        <v>45021</v>
      </c>
      <c r="C4394">
        <v>2</v>
      </c>
      <c r="D4394" t="s">
        <v>191</v>
      </c>
      <c r="E4394" s="22">
        <f>42-32</f>
        <v>10</v>
      </c>
      <c r="F4394" t="s">
        <v>363</v>
      </c>
      <c r="G4394" t="s">
        <v>361</v>
      </c>
      <c r="H4394" t="s">
        <v>928</v>
      </c>
      <c r="L4394" t="s">
        <v>869</v>
      </c>
    </row>
    <row r="4395" spans="1:12" x14ac:dyDescent="0.75">
      <c r="A4395" t="s">
        <v>116</v>
      </c>
      <c r="B4395" s="3">
        <v>45021</v>
      </c>
      <c r="C4395">
        <v>2</v>
      </c>
      <c r="D4395" t="s">
        <v>191</v>
      </c>
      <c r="E4395" s="22">
        <f>32-27</f>
        <v>5</v>
      </c>
      <c r="F4395" t="s">
        <v>363</v>
      </c>
      <c r="G4395" t="s">
        <v>361</v>
      </c>
      <c r="H4395" t="s">
        <v>928</v>
      </c>
      <c r="L4395" t="s">
        <v>869</v>
      </c>
    </row>
    <row r="4396" spans="1:12" x14ac:dyDescent="0.75">
      <c r="A4396" t="s">
        <v>116</v>
      </c>
      <c r="B4396" s="3">
        <v>45021</v>
      </c>
      <c r="C4396">
        <v>2</v>
      </c>
      <c r="D4396" t="s">
        <v>164</v>
      </c>
      <c r="E4396" s="22">
        <f>27-10</f>
        <v>17</v>
      </c>
      <c r="F4396" t="s">
        <v>363</v>
      </c>
      <c r="G4396" t="s">
        <v>361</v>
      </c>
      <c r="H4396" t="s">
        <v>928</v>
      </c>
      <c r="L4396" t="s">
        <v>869</v>
      </c>
    </row>
    <row r="4397" spans="1:12" x14ac:dyDescent="0.75">
      <c r="A4397" t="s">
        <v>116</v>
      </c>
      <c r="B4397" s="3">
        <v>45021</v>
      </c>
      <c r="C4397">
        <v>2</v>
      </c>
      <c r="D4397" t="s">
        <v>168</v>
      </c>
      <c r="E4397" s="22">
        <f>10-0+45-13-2</f>
        <v>40</v>
      </c>
      <c r="F4397" t="s">
        <v>363</v>
      </c>
      <c r="G4397" t="s">
        <v>361</v>
      </c>
      <c r="H4397" t="s">
        <v>928</v>
      </c>
      <c r="K4397" t="s">
        <v>932</v>
      </c>
      <c r="L4397" t="s">
        <v>869</v>
      </c>
    </row>
    <row r="4398" spans="1:12" x14ac:dyDescent="0.75">
      <c r="A4398" t="s">
        <v>116</v>
      </c>
      <c r="B4398" s="3">
        <v>45021</v>
      </c>
      <c r="C4398">
        <v>2</v>
      </c>
      <c r="D4398" t="s">
        <v>191</v>
      </c>
      <c r="E4398" s="22">
        <f>13-0+18-0</f>
        <v>31</v>
      </c>
      <c r="F4398" t="s">
        <v>363</v>
      </c>
      <c r="G4398" t="s">
        <v>361</v>
      </c>
      <c r="H4398" t="s">
        <v>928</v>
      </c>
      <c r="L4398" t="s">
        <v>869</v>
      </c>
    </row>
    <row r="4399" spans="1:12" x14ac:dyDescent="0.75">
      <c r="A4399" t="s">
        <v>116</v>
      </c>
      <c r="B4399" s="3">
        <v>45021</v>
      </c>
      <c r="C4399">
        <v>2</v>
      </c>
      <c r="D4399" t="s">
        <v>191</v>
      </c>
      <c r="E4399" s="22">
        <f>22-10</f>
        <v>12</v>
      </c>
      <c r="F4399" t="s">
        <v>363</v>
      </c>
      <c r="G4399" t="s">
        <v>627</v>
      </c>
      <c r="H4399" t="s">
        <v>928</v>
      </c>
      <c r="L4399" t="s">
        <v>869</v>
      </c>
    </row>
    <row r="4400" spans="1:12" x14ac:dyDescent="0.75">
      <c r="A4400" t="s">
        <v>116</v>
      </c>
      <c r="B4400" s="3">
        <v>45021</v>
      </c>
      <c r="C4400">
        <v>2</v>
      </c>
      <c r="D4400" t="s">
        <v>201</v>
      </c>
      <c r="E4400" s="22">
        <f>10-0+46-14</f>
        <v>42</v>
      </c>
      <c r="F4400" t="s">
        <v>363</v>
      </c>
      <c r="G4400" t="s">
        <v>627</v>
      </c>
      <c r="H4400" t="s">
        <v>928</v>
      </c>
      <c r="L4400" t="s">
        <v>869</v>
      </c>
    </row>
    <row r="4401" spans="1:12" x14ac:dyDescent="0.75">
      <c r="A4401" t="s">
        <v>116</v>
      </c>
      <c r="B4401" s="3">
        <v>45021</v>
      </c>
      <c r="C4401">
        <v>2</v>
      </c>
      <c r="D4401" t="s">
        <v>197</v>
      </c>
      <c r="E4401" s="22">
        <f>14-0+51-17</f>
        <v>48</v>
      </c>
      <c r="F4401" t="s">
        <v>363</v>
      </c>
      <c r="G4401" t="s">
        <v>627</v>
      </c>
      <c r="H4401" t="s">
        <v>928</v>
      </c>
      <c r="L4401" t="s">
        <v>869</v>
      </c>
    </row>
    <row r="4402" spans="1:12" x14ac:dyDescent="0.75">
      <c r="A4402" t="s">
        <v>116</v>
      </c>
      <c r="B4402" s="3">
        <v>45021</v>
      </c>
      <c r="C4402">
        <v>2</v>
      </c>
      <c r="D4402" t="s">
        <v>197</v>
      </c>
      <c r="E4402" s="22">
        <f>17-0+44-25</f>
        <v>36</v>
      </c>
      <c r="F4402" t="s">
        <v>363</v>
      </c>
      <c r="G4402" t="s">
        <v>627</v>
      </c>
      <c r="H4402" t="s">
        <v>928</v>
      </c>
      <c r="L4402" t="s">
        <v>869</v>
      </c>
    </row>
    <row r="4403" spans="1:12" x14ac:dyDescent="0.75">
      <c r="A4403" t="s">
        <v>116</v>
      </c>
      <c r="B4403" s="3">
        <v>45021</v>
      </c>
      <c r="C4403">
        <v>2</v>
      </c>
      <c r="D4403" t="s">
        <v>194</v>
      </c>
      <c r="E4403" s="22">
        <f>25-20</f>
        <v>5</v>
      </c>
      <c r="F4403" t="s">
        <v>363</v>
      </c>
      <c r="G4403" t="s">
        <v>627</v>
      </c>
      <c r="H4403" t="s">
        <v>928</v>
      </c>
      <c r="L4403" t="s">
        <v>869</v>
      </c>
    </row>
    <row r="4404" spans="1:12" x14ac:dyDescent="0.75">
      <c r="A4404" t="s">
        <v>116</v>
      </c>
      <c r="B4404" s="3">
        <v>45021</v>
      </c>
      <c r="C4404">
        <v>2</v>
      </c>
      <c r="D4404" t="s">
        <v>191</v>
      </c>
      <c r="E4404" s="22">
        <f>20-13</f>
        <v>7</v>
      </c>
      <c r="F4404" t="s">
        <v>363</v>
      </c>
      <c r="G4404" t="s">
        <v>627</v>
      </c>
      <c r="H4404" t="s">
        <v>928</v>
      </c>
      <c r="L4404" t="s">
        <v>869</v>
      </c>
    </row>
    <row r="4405" spans="1:12" s="23" customFormat="1" x14ac:dyDescent="0.75">
      <c r="A4405" s="23" t="s">
        <v>116</v>
      </c>
      <c r="B4405" s="24">
        <v>45021</v>
      </c>
      <c r="C4405" s="23">
        <v>3</v>
      </c>
      <c r="D4405" s="23" t="s">
        <v>191</v>
      </c>
      <c r="E4405" s="52">
        <f>37-0</f>
        <v>37</v>
      </c>
      <c r="F4405" s="23" t="s">
        <v>363</v>
      </c>
      <c r="G4405" s="23" t="s">
        <v>627</v>
      </c>
      <c r="H4405" s="23" t="s">
        <v>928</v>
      </c>
      <c r="L4405" s="23" t="s">
        <v>869</v>
      </c>
    </row>
    <row r="4406" spans="1:12" s="23" customFormat="1" x14ac:dyDescent="0.75">
      <c r="A4406" s="23" t="s">
        <v>116</v>
      </c>
      <c r="B4406" s="24">
        <v>45021</v>
      </c>
      <c r="C4406" s="23">
        <v>3</v>
      </c>
      <c r="D4406" s="23" t="s">
        <v>176</v>
      </c>
      <c r="E4406" s="52">
        <f>28-21</f>
        <v>7</v>
      </c>
      <c r="F4406" s="23" t="s">
        <v>363</v>
      </c>
      <c r="G4406" s="23" t="s">
        <v>361</v>
      </c>
      <c r="H4406" s="23" t="s">
        <v>928</v>
      </c>
      <c r="L4406" s="23" t="s">
        <v>869</v>
      </c>
    </row>
    <row r="4407" spans="1:12" s="23" customFormat="1" x14ac:dyDescent="0.75">
      <c r="A4407" s="23" t="s">
        <v>116</v>
      </c>
      <c r="B4407" s="24">
        <v>45021</v>
      </c>
      <c r="C4407" s="23">
        <v>3</v>
      </c>
      <c r="D4407" s="23" t="s">
        <v>191</v>
      </c>
      <c r="E4407" s="52">
        <f>21-14</f>
        <v>7</v>
      </c>
      <c r="F4407" s="23" t="s">
        <v>363</v>
      </c>
      <c r="G4407" s="23" t="s">
        <v>361</v>
      </c>
      <c r="H4407" s="23" t="s">
        <v>928</v>
      </c>
      <c r="L4407" s="23" t="s">
        <v>869</v>
      </c>
    </row>
    <row r="4408" spans="1:12" s="23" customFormat="1" x14ac:dyDescent="0.75">
      <c r="A4408" s="23" t="s">
        <v>116</v>
      </c>
      <c r="B4408" s="24">
        <v>45021</v>
      </c>
      <c r="C4408" s="23">
        <v>3</v>
      </c>
      <c r="D4408" s="23" t="s">
        <v>191</v>
      </c>
      <c r="E4408" s="52">
        <f>14-8</f>
        <v>6</v>
      </c>
      <c r="F4408" s="23" t="s">
        <v>363</v>
      </c>
      <c r="G4408" s="23" t="s">
        <v>361</v>
      </c>
      <c r="H4408" s="23" t="s">
        <v>928</v>
      </c>
      <c r="L4408" s="23" t="s">
        <v>869</v>
      </c>
    </row>
    <row r="4409" spans="1:12" s="23" customFormat="1" x14ac:dyDescent="0.75">
      <c r="A4409" s="23" t="s">
        <v>116</v>
      </c>
      <c r="B4409" s="24">
        <v>45021</v>
      </c>
      <c r="C4409" s="23">
        <v>3</v>
      </c>
      <c r="D4409" s="23" t="s">
        <v>176</v>
      </c>
      <c r="E4409" s="52">
        <f>8-0</f>
        <v>8</v>
      </c>
      <c r="F4409" s="23" t="s">
        <v>363</v>
      </c>
      <c r="G4409" s="23" t="s">
        <v>361</v>
      </c>
      <c r="H4409" s="23" t="s">
        <v>928</v>
      </c>
      <c r="L4409" s="23" t="s">
        <v>869</v>
      </c>
    </row>
    <row r="4410" spans="1:12" x14ac:dyDescent="0.75">
      <c r="A4410" t="s">
        <v>116</v>
      </c>
      <c r="B4410" s="3">
        <v>45027</v>
      </c>
      <c r="C4410">
        <v>1</v>
      </c>
      <c r="D4410" t="s">
        <v>201</v>
      </c>
      <c r="E4410" s="22">
        <f>46-20</f>
        <v>26</v>
      </c>
      <c r="F4410">
        <v>981</v>
      </c>
      <c r="G4410" t="s">
        <v>869</v>
      </c>
      <c r="H4410" t="s">
        <v>928</v>
      </c>
      <c r="L4410" t="s">
        <v>869</v>
      </c>
    </row>
    <row r="4411" spans="1:12" x14ac:dyDescent="0.75">
      <c r="A4411" t="s">
        <v>116</v>
      </c>
      <c r="B4411" s="3">
        <v>45027</v>
      </c>
      <c r="C4411">
        <v>1</v>
      </c>
      <c r="D4411" t="s">
        <v>201</v>
      </c>
      <c r="E4411" s="22">
        <f>20-0+46-24</f>
        <v>42</v>
      </c>
      <c r="F4411" t="s">
        <v>363</v>
      </c>
      <c r="G4411" t="s">
        <v>869</v>
      </c>
      <c r="H4411" t="s">
        <v>390</v>
      </c>
      <c r="L4411" t="s">
        <v>869</v>
      </c>
    </row>
    <row r="4412" spans="1:12" x14ac:dyDescent="0.75">
      <c r="A4412" t="s">
        <v>116</v>
      </c>
      <c r="B4412" s="3">
        <v>45027</v>
      </c>
      <c r="C4412">
        <v>1</v>
      </c>
      <c r="D4412" t="s">
        <v>176</v>
      </c>
      <c r="E4412" s="22">
        <f>24-19</f>
        <v>5</v>
      </c>
      <c r="F4412" t="s">
        <v>363</v>
      </c>
      <c r="G4412" t="s">
        <v>869</v>
      </c>
      <c r="H4412" t="s">
        <v>390</v>
      </c>
      <c r="L4412" t="s">
        <v>869</v>
      </c>
    </row>
    <row r="4413" spans="1:12" x14ac:dyDescent="0.75">
      <c r="A4413" t="s">
        <v>116</v>
      </c>
      <c r="B4413" s="3">
        <v>45027</v>
      </c>
      <c r="C4413">
        <v>1</v>
      </c>
      <c r="D4413" t="s">
        <v>191</v>
      </c>
      <c r="E4413" s="22">
        <f>19-8</f>
        <v>11</v>
      </c>
      <c r="F4413" t="s">
        <v>363</v>
      </c>
      <c r="G4413" t="s">
        <v>869</v>
      </c>
      <c r="H4413" t="s">
        <v>928</v>
      </c>
      <c r="L4413" t="s">
        <v>869</v>
      </c>
    </row>
    <row r="4414" spans="1:12" x14ac:dyDescent="0.75">
      <c r="A4414" t="s">
        <v>116</v>
      </c>
      <c r="B4414" s="3">
        <v>45027</v>
      </c>
      <c r="C4414">
        <v>1</v>
      </c>
      <c r="D4414" t="s">
        <v>191</v>
      </c>
      <c r="E4414" s="22">
        <f>8-0+48-41</f>
        <v>15</v>
      </c>
      <c r="F4414" t="s">
        <v>363</v>
      </c>
      <c r="G4414" t="s">
        <v>869</v>
      </c>
      <c r="H4414" t="s">
        <v>928</v>
      </c>
      <c r="L4414" t="s">
        <v>869</v>
      </c>
    </row>
    <row r="4415" spans="1:12" x14ac:dyDescent="0.75">
      <c r="A4415" t="s">
        <v>116</v>
      </c>
      <c r="B4415" s="3">
        <v>45027</v>
      </c>
      <c r="C4415">
        <v>1</v>
      </c>
      <c r="D4415" t="s">
        <v>164</v>
      </c>
      <c r="E4415" s="22">
        <f>41-25</f>
        <v>16</v>
      </c>
      <c r="F4415" t="s">
        <v>363</v>
      </c>
      <c r="G4415" t="s">
        <v>869</v>
      </c>
      <c r="H4415" t="s">
        <v>390</v>
      </c>
      <c r="L4415" t="s">
        <v>869</v>
      </c>
    </row>
    <row r="4416" spans="1:12" x14ac:dyDescent="0.75">
      <c r="A4416" t="s">
        <v>116</v>
      </c>
      <c r="B4416" s="3">
        <v>45027</v>
      </c>
      <c r="C4416">
        <v>1</v>
      </c>
      <c r="D4416" t="s">
        <v>191</v>
      </c>
      <c r="E4416" s="22">
        <f>25-5</f>
        <v>20</v>
      </c>
      <c r="F4416" t="s">
        <v>363</v>
      </c>
      <c r="G4416" t="s">
        <v>869</v>
      </c>
      <c r="H4416" t="s">
        <v>928</v>
      </c>
      <c r="L4416" t="s">
        <v>869</v>
      </c>
    </row>
    <row r="4417" spans="1:12" x14ac:dyDescent="0.75">
      <c r="A4417" t="s">
        <v>116</v>
      </c>
      <c r="B4417" s="3">
        <v>45027</v>
      </c>
      <c r="C4417">
        <v>1</v>
      </c>
      <c r="D4417" t="s">
        <v>191</v>
      </c>
      <c r="E4417" s="22">
        <f>5-0</f>
        <v>5</v>
      </c>
      <c r="F4417" t="s">
        <v>363</v>
      </c>
      <c r="G4417" t="s">
        <v>869</v>
      </c>
      <c r="H4417" t="s">
        <v>928</v>
      </c>
      <c r="L4417" t="s">
        <v>869</v>
      </c>
    </row>
    <row r="4418" spans="1:12" x14ac:dyDescent="0.75">
      <c r="A4418" t="s">
        <v>116</v>
      </c>
      <c r="B4418" s="3">
        <v>45027</v>
      </c>
      <c r="C4418">
        <v>1</v>
      </c>
      <c r="D4418" t="s">
        <v>168</v>
      </c>
      <c r="E4418" s="22">
        <f>49-12</f>
        <v>37</v>
      </c>
      <c r="F4418" t="s">
        <v>363</v>
      </c>
      <c r="G4418" t="s">
        <v>869</v>
      </c>
      <c r="H4418" t="s">
        <v>390</v>
      </c>
      <c r="L4418" t="s">
        <v>869</v>
      </c>
    </row>
    <row r="4419" spans="1:12" x14ac:dyDescent="0.75">
      <c r="A4419" t="s">
        <v>116</v>
      </c>
      <c r="B4419" s="3">
        <v>45027</v>
      </c>
      <c r="C4419">
        <v>1</v>
      </c>
      <c r="D4419" t="s">
        <v>164</v>
      </c>
      <c r="E4419" s="22">
        <f>12-0+51-43</f>
        <v>20</v>
      </c>
      <c r="F4419" t="s">
        <v>363</v>
      </c>
      <c r="G4419" t="s">
        <v>869</v>
      </c>
      <c r="H4419" t="s">
        <v>390</v>
      </c>
      <c r="L4419" t="s">
        <v>869</v>
      </c>
    </row>
    <row r="4420" spans="1:12" x14ac:dyDescent="0.75">
      <c r="A4420" t="s">
        <v>116</v>
      </c>
      <c r="B4420" s="3">
        <v>45027</v>
      </c>
      <c r="C4420">
        <v>1</v>
      </c>
      <c r="D4420" t="s">
        <v>191</v>
      </c>
      <c r="E4420" s="22">
        <f>43-22</f>
        <v>21</v>
      </c>
      <c r="F4420" t="s">
        <v>363</v>
      </c>
      <c r="G4420" t="s">
        <v>869</v>
      </c>
      <c r="H4420" t="s">
        <v>390</v>
      </c>
      <c r="L4420" t="s">
        <v>869</v>
      </c>
    </row>
    <row r="4421" spans="1:12" x14ac:dyDescent="0.75">
      <c r="A4421" t="s">
        <v>116</v>
      </c>
      <c r="B4421" s="3">
        <v>45027</v>
      </c>
      <c r="C4421">
        <v>1</v>
      </c>
      <c r="D4421" t="s">
        <v>191</v>
      </c>
      <c r="E4421" s="22">
        <f>22-21</f>
        <v>1</v>
      </c>
      <c r="F4421" t="s">
        <v>363</v>
      </c>
      <c r="G4421" t="s">
        <v>869</v>
      </c>
      <c r="H4421" t="s">
        <v>928</v>
      </c>
      <c r="L4421" t="s">
        <v>869</v>
      </c>
    </row>
    <row r="4422" spans="1:12" x14ac:dyDescent="0.75">
      <c r="A4422" t="s">
        <v>116</v>
      </c>
      <c r="B4422" s="3">
        <v>45027</v>
      </c>
      <c r="C4422">
        <v>1</v>
      </c>
      <c r="D4422" t="s">
        <v>191</v>
      </c>
      <c r="E4422" s="22">
        <f>21-10</f>
        <v>11</v>
      </c>
      <c r="F4422" t="s">
        <v>363</v>
      </c>
      <c r="G4422" t="s">
        <v>869</v>
      </c>
      <c r="H4422" t="s">
        <v>928</v>
      </c>
      <c r="L4422" t="s">
        <v>869</v>
      </c>
    </row>
    <row r="4423" spans="1:12" x14ac:dyDescent="0.75">
      <c r="A4423" t="s">
        <v>116</v>
      </c>
      <c r="B4423" s="3">
        <v>45027</v>
      </c>
      <c r="C4423">
        <v>1</v>
      </c>
      <c r="D4423" t="s">
        <v>191</v>
      </c>
      <c r="E4423" s="22">
        <f>10-0+48-42</f>
        <v>16</v>
      </c>
      <c r="F4423" t="s">
        <v>363</v>
      </c>
      <c r="G4423" t="s">
        <v>869</v>
      </c>
      <c r="H4423" t="s">
        <v>928</v>
      </c>
      <c r="L4423" t="s">
        <v>869</v>
      </c>
    </row>
    <row r="4424" spans="1:12" x14ac:dyDescent="0.75">
      <c r="A4424" t="s">
        <v>116</v>
      </c>
      <c r="B4424" s="3">
        <v>45027</v>
      </c>
      <c r="C4424">
        <v>1</v>
      </c>
      <c r="D4424" t="s">
        <v>191</v>
      </c>
      <c r="E4424" s="22">
        <f>42-0+41-39</f>
        <v>44</v>
      </c>
      <c r="F4424" t="s">
        <v>363</v>
      </c>
      <c r="G4424" t="s">
        <v>869</v>
      </c>
      <c r="H4424" t="s">
        <v>928</v>
      </c>
      <c r="L4424" t="s">
        <v>869</v>
      </c>
    </row>
    <row r="4425" spans="1:12" x14ac:dyDescent="0.75">
      <c r="A4425" t="s">
        <v>116</v>
      </c>
      <c r="B4425" s="3">
        <v>45027</v>
      </c>
      <c r="C4425">
        <v>1</v>
      </c>
      <c r="D4425" t="s">
        <v>191</v>
      </c>
      <c r="E4425" s="22">
        <f>39-25</f>
        <v>14</v>
      </c>
      <c r="F4425" t="s">
        <v>363</v>
      </c>
      <c r="G4425" t="s">
        <v>869</v>
      </c>
      <c r="H4425" t="s">
        <v>928</v>
      </c>
      <c r="L4425" t="s">
        <v>869</v>
      </c>
    </row>
    <row r="4426" spans="1:12" x14ac:dyDescent="0.75">
      <c r="A4426" t="s">
        <v>116</v>
      </c>
      <c r="B4426" s="3">
        <v>45027</v>
      </c>
      <c r="C4426">
        <v>1</v>
      </c>
      <c r="D4426" t="s">
        <v>194</v>
      </c>
      <c r="E4426" s="22">
        <f>24-8</f>
        <v>16</v>
      </c>
      <c r="F4426" t="s">
        <v>363</v>
      </c>
      <c r="G4426" t="s">
        <v>869</v>
      </c>
      <c r="H4426" t="s">
        <v>928</v>
      </c>
      <c r="L4426" t="s">
        <v>869</v>
      </c>
    </row>
    <row r="4427" spans="1:12" x14ac:dyDescent="0.75">
      <c r="A4427" t="s">
        <v>116</v>
      </c>
      <c r="B4427" s="3">
        <v>45027</v>
      </c>
      <c r="C4427">
        <v>1</v>
      </c>
      <c r="D4427" t="s">
        <v>191</v>
      </c>
      <c r="E4427" s="22">
        <f>8-0+50-44</f>
        <v>14</v>
      </c>
      <c r="F4427" t="s">
        <v>363</v>
      </c>
      <c r="G4427" t="s">
        <v>869</v>
      </c>
      <c r="H4427" t="s">
        <v>928</v>
      </c>
      <c r="L4427" t="s">
        <v>869</v>
      </c>
    </row>
    <row r="4428" spans="1:12" x14ac:dyDescent="0.75">
      <c r="A4428" t="s">
        <v>116</v>
      </c>
      <c r="B4428" s="3">
        <v>45027</v>
      </c>
      <c r="C4428">
        <v>1</v>
      </c>
      <c r="D4428" t="s">
        <v>201</v>
      </c>
      <c r="E4428" s="22">
        <f>49-23</f>
        <v>26</v>
      </c>
      <c r="F4428" t="s">
        <v>363</v>
      </c>
      <c r="G4428" t="s">
        <v>627</v>
      </c>
      <c r="H4428" t="s">
        <v>390</v>
      </c>
      <c r="L4428" t="s">
        <v>869</v>
      </c>
    </row>
    <row r="4429" spans="1:12" x14ac:dyDescent="0.75">
      <c r="A4429" t="s">
        <v>116</v>
      </c>
      <c r="B4429" s="3">
        <v>45027</v>
      </c>
      <c r="C4429">
        <v>1</v>
      </c>
      <c r="D4429" t="s">
        <v>191</v>
      </c>
      <c r="E4429" s="22">
        <f>16-13</f>
        <v>3</v>
      </c>
      <c r="F4429" t="s">
        <v>363</v>
      </c>
      <c r="G4429" t="s">
        <v>627</v>
      </c>
      <c r="H4429" t="s">
        <v>928</v>
      </c>
      <c r="L4429" t="s">
        <v>869</v>
      </c>
    </row>
    <row r="4430" spans="1:12" x14ac:dyDescent="0.75">
      <c r="A4430" t="s">
        <v>116</v>
      </c>
      <c r="B4430" s="3">
        <v>45027</v>
      </c>
      <c r="C4430">
        <v>1</v>
      </c>
      <c r="D4430" t="s">
        <v>191</v>
      </c>
      <c r="E4430" s="22">
        <f>13-8</f>
        <v>5</v>
      </c>
      <c r="F4430" t="s">
        <v>363</v>
      </c>
      <c r="G4430" t="s">
        <v>627</v>
      </c>
      <c r="H4430" t="s">
        <v>928</v>
      </c>
      <c r="L4430" t="s">
        <v>869</v>
      </c>
    </row>
    <row r="4431" spans="1:12" x14ac:dyDescent="0.75">
      <c r="A4431" t="s">
        <v>116</v>
      </c>
      <c r="B4431" s="3">
        <v>45027</v>
      </c>
      <c r="C4431">
        <v>1</v>
      </c>
      <c r="D4431" t="s">
        <v>191</v>
      </c>
      <c r="E4431" s="22">
        <f>8-0</f>
        <v>8</v>
      </c>
      <c r="F4431" t="s">
        <v>363</v>
      </c>
      <c r="G4431" t="s">
        <v>627</v>
      </c>
      <c r="H4431" t="s">
        <v>928</v>
      </c>
      <c r="L4431" t="s">
        <v>869</v>
      </c>
    </row>
    <row r="4432" spans="1:12" x14ac:dyDescent="0.75">
      <c r="A4432" t="s">
        <v>116</v>
      </c>
      <c r="B4432" s="3">
        <v>45027</v>
      </c>
      <c r="C4432">
        <v>1</v>
      </c>
      <c r="D4432" t="s">
        <v>191</v>
      </c>
      <c r="E4432" s="22">
        <f>54-44</f>
        <v>10</v>
      </c>
      <c r="F4432" t="s">
        <v>363</v>
      </c>
      <c r="G4432" t="s">
        <v>627</v>
      </c>
      <c r="H4432" t="s">
        <v>928</v>
      </c>
      <c r="K4432" t="s">
        <v>933</v>
      </c>
      <c r="L4432" t="s">
        <v>869</v>
      </c>
    </row>
    <row r="4433" spans="1:12" x14ac:dyDescent="0.75">
      <c r="A4433" t="s">
        <v>116</v>
      </c>
      <c r="B4433" s="3">
        <v>45027</v>
      </c>
      <c r="C4433">
        <v>1</v>
      </c>
      <c r="D4433" t="s">
        <v>191</v>
      </c>
      <c r="E4433" s="22">
        <f>44-0</f>
        <v>44</v>
      </c>
      <c r="F4433" t="s">
        <v>363</v>
      </c>
      <c r="G4433" t="s">
        <v>627</v>
      </c>
      <c r="H4433" t="s">
        <v>928</v>
      </c>
      <c r="K4433" t="s">
        <v>934</v>
      </c>
      <c r="L4433" t="s">
        <v>869</v>
      </c>
    </row>
    <row r="4434" spans="1:12" x14ac:dyDescent="0.75">
      <c r="A4434" t="s">
        <v>116</v>
      </c>
      <c r="B4434" s="3">
        <v>45027</v>
      </c>
      <c r="C4434">
        <v>1</v>
      </c>
      <c r="D4434" t="s">
        <v>191</v>
      </c>
      <c r="E4434" s="22">
        <f>41-0+47-10</f>
        <v>78</v>
      </c>
      <c r="F4434" t="s">
        <v>363</v>
      </c>
      <c r="G4434" t="s">
        <v>627</v>
      </c>
      <c r="H4434" t="s">
        <v>928</v>
      </c>
      <c r="L4434" t="s">
        <v>869</v>
      </c>
    </row>
    <row r="4435" spans="1:12" x14ac:dyDescent="0.75">
      <c r="A4435" t="s">
        <v>116</v>
      </c>
      <c r="B4435" s="3">
        <v>45027</v>
      </c>
      <c r="C4435">
        <v>1</v>
      </c>
      <c r="D4435" t="s">
        <v>197</v>
      </c>
      <c r="E4435" s="22">
        <f>56-46</f>
        <v>10</v>
      </c>
      <c r="F4435" t="s">
        <v>363</v>
      </c>
      <c r="G4435" t="s">
        <v>361</v>
      </c>
      <c r="H4435" t="s">
        <v>928</v>
      </c>
      <c r="L4435" t="s">
        <v>869</v>
      </c>
    </row>
    <row r="4436" spans="1:12" x14ac:dyDescent="0.75">
      <c r="A4436" t="s">
        <v>116</v>
      </c>
      <c r="B4436" s="3">
        <v>45027</v>
      </c>
      <c r="C4436">
        <v>1</v>
      </c>
      <c r="D4436" t="s">
        <v>201</v>
      </c>
      <c r="E4436" s="22">
        <f>46-44</f>
        <v>2</v>
      </c>
      <c r="F4436" t="s">
        <v>363</v>
      </c>
      <c r="G4436" t="s">
        <v>361</v>
      </c>
      <c r="H4436" t="s">
        <v>928</v>
      </c>
      <c r="L4436" t="s">
        <v>869</v>
      </c>
    </row>
    <row r="4437" spans="1:12" x14ac:dyDescent="0.75">
      <c r="A4437" t="s">
        <v>116</v>
      </c>
      <c r="B4437" s="3">
        <v>45027</v>
      </c>
      <c r="C4437">
        <v>1</v>
      </c>
      <c r="D4437" t="s">
        <v>191</v>
      </c>
      <c r="E4437" s="22">
        <f>44-27</f>
        <v>17</v>
      </c>
      <c r="F4437" t="s">
        <v>363</v>
      </c>
      <c r="G4437" t="s">
        <v>361</v>
      </c>
      <c r="H4437" t="s">
        <v>928</v>
      </c>
      <c r="L4437" t="s">
        <v>869</v>
      </c>
    </row>
    <row r="4438" spans="1:12" x14ac:dyDescent="0.75">
      <c r="A4438" t="s">
        <v>116</v>
      </c>
      <c r="B4438" s="3">
        <v>45027</v>
      </c>
      <c r="C4438">
        <v>1</v>
      </c>
      <c r="D4438" t="s">
        <v>191</v>
      </c>
      <c r="E4438" s="22">
        <f>27-16</f>
        <v>11</v>
      </c>
      <c r="F4438" t="s">
        <v>363</v>
      </c>
      <c r="G4438" t="s">
        <v>361</v>
      </c>
      <c r="H4438" t="s">
        <v>928</v>
      </c>
      <c r="L4438" t="s">
        <v>869</v>
      </c>
    </row>
    <row r="4439" spans="1:12" x14ac:dyDescent="0.75">
      <c r="A4439" t="s">
        <v>116</v>
      </c>
      <c r="B4439" s="3">
        <v>45027</v>
      </c>
      <c r="C4439">
        <v>1</v>
      </c>
      <c r="D4439" t="s">
        <v>201</v>
      </c>
      <c r="E4439" s="22">
        <f>16-12</f>
        <v>4</v>
      </c>
      <c r="F4439" t="s">
        <v>363</v>
      </c>
      <c r="G4439" t="s">
        <v>361</v>
      </c>
      <c r="H4439" t="s">
        <v>928</v>
      </c>
      <c r="L4439" t="s">
        <v>869</v>
      </c>
    </row>
    <row r="4440" spans="1:12" x14ac:dyDescent="0.75">
      <c r="A4440" t="s">
        <v>116</v>
      </c>
      <c r="B4440" s="3">
        <v>45027</v>
      </c>
      <c r="C4440">
        <v>1</v>
      </c>
      <c r="D4440" t="s">
        <v>191</v>
      </c>
      <c r="E4440" s="22">
        <f>12-2</f>
        <v>10</v>
      </c>
      <c r="F4440" t="s">
        <v>363</v>
      </c>
      <c r="G4440" t="s">
        <v>361</v>
      </c>
      <c r="H4440" t="s">
        <v>928</v>
      </c>
      <c r="L4440" t="s">
        <v>869</v>
      </c>
    </row>
    <row r="4441" spans="1:12" s="23" customFormat="1" x14ac:dyDescent="0.75">
      <c r="A4441" s="23" t="s">
        <v>116</v>
      </c>
      <c r="B4441" s="24">
        <v>45027</v>
      </c>
      <c r="C4441" s="23">
        <v>2</v>
      </c>
      <c r="D4441" s="23" t="s">
        <v>191</v>
      </c>
      <c r="E4441" s="52">
        <f>13-0-2</f>
        <v>11</v>
      </c>
      <c r="F4441" s="23" t="s">
        <v>363</v>
      </c>
      <c r="G4441" s="23" t="s">
        <v>361</v>
      </c>
      <c r="H4441" s="23" t="s">
        <v>928</v>
      </c>
      <c r="K4441" s="23" t="s">
        <v>933</v>
      </c>
      <c r="L4441" s="23" t="s">
        <v>869</v>
      </c>
    </row>
    <row r="4442" spans="1:12" s="23" customFormat="1" x14ac:dyDescent="0.75">
      <c r="A4442" s="23" t="s">
        <v>116</v>
      </c>
      <c r="B4442" s="24">
        <v>45027</v>
      </c>
      <c r="C4442" s="23">
        <v>2</v>
      </c>
      <c r="D4442" s="23" t="s">
        <v>207</v>
      </c>
      <c r="E4442" s="52">
        <f>36-31-1</f>
        <v>4</v>
      </c>
      <c r="F4442" s="23" t="s">
        <v>363</v>
      </c>
      <c r="G4442" s="23" t="s">
        <v>361</v>
      </c>
      <c r="H4442" s="23" t="s">
        <v>928</v>
      </c>
      <c r="K4442" s="23" t="s">
        <v>935</v>
      </c>
      <c r="L4442" s="23" t="s">
        <v>869</v>
      </c>
    </row>
    <row r="4443" spans="1:12" s="23" customFormat="1" x14ac:dyDescent="0.75">
      <c r="A4443" s="23" t="s">
        <v>116</v>
      </c>
      <c r="B4443" s="24">
        <v>45027</v>
      </c>
      <c r="C4443" s="23">
        <v>2</v>
      </c>
      <c r="D4443" s="23" t="s">
        <v>176</v>
      </c>
      <c r="E4443" s="52">
        <f>31-29</f>
        <v>2</v>
      </c>
      <c r="F4443" s="23" t="s">
        <v>363</v>
      </c>
      <c r="G4443" s="23" t="s">
        <v>361</v>
      </c>
      <c r="H4443" s="23" t="s">
        <v>928</v>
      </c>
      <c r="L4443" s="23" t="s">
        <v>869</v>
      </c>
    </row>
    <row r="4444" spans="1:12" s="23" customFormat="1" x14ac:dyDescent="0.75">
      <c r="A4444" s="23" t="s">
        <v>116</v>
      </c>
      <c r="B4444" s="24">
        <v>45027</v>
      </c>
      <c r="C4444" s="23">
        <v>2</v>
      </c>
      <c r="D4444" s="23" t="s">
        <v>191</v>
      </c>
      <c r="E4444" s="52">
        <f>29-21</f>
        <v>8</v>
      </c>
      <c r="F4444" s="23" t="s">
        <v>363</v>
      </c>
      <c r="G4444" s="23" t="s">
        <v>361</v>
      </c>
      <c r="H4444" s="23" t="s">
        <v>928</v>
      </c>
      <c r="L4444" s="23" t="s">
        <v>869</v>
      </c>
    </row>
    <row r="4445" spans="1:12" s="23" customFormat="1" x14ac:dyDescent="0.75">
      <c r="A4445" s="23" t="s">
        <v>116</v>
      </c>
      <c r="B4445" s="24">
        <v>45027</v>
      </c>
      <c r="C4445" s="23">
        <v>2</v>
      </c>
      <c r="D4445" s="23" t="s">
        <v>176</v>
      </c>
      <c r="E4445" s="52">
        <f>21-13</f>
        <v>8</v>
      </c>
      <c r="F4445" s="23" t="s">
        <v>363</v>
      </c>
      <c r="G4445" s="23" t="s">
        <v>361</v>
      </c>
      <c r="H4445" s="23" t="s">
        <v>928</v>
      </c>
      <c r="L4445" s="23" t="s">
        <v>869</v>
      </c>
    </row>
    <row r="4446" spans="1:12" s="23" customFormat="1" x14ac:dyDescent="0.75">
      <c r="A4446" s="23" t="s">
        <v>116</v>
      </c>
      <c r="B4446" s="24">
        <v>45027</v>
      </c>
      <c r="C4446" s="23">
        <v>2</v>
      </c>
      <c r="D4446" s="23" t="s">
        <v>201</v>
      </c>
      <c r="E4446" s="52">
        <f>13-7</f>
        <v>6</v>
      </c>
      <c r="F4446" s="23" t="s">
        <v>363</v>
      </c>
      <c r="G4446" s="23" t="s">
        <v>361</v>
      </c>
      <c r="H4446" s="23" t="s">
        <v>928</v>
      </c>
      <c r="L4446" s="23" t="s">
        <v>869</v>
      </c>
    </row>
    <row r="4447" spans="1:12" s="23" customFormat="1" x14ac:dyDescent="0.75">
      <c r="A4447" s="23" t="s">
        <v>116</v>
      </c>
      <c r="B4447" s="24">
        <v>45027</v>
      </c>
      <c r="C4447" s="23">
        <v>2</v>
      </c>
      <c r="D4447" s="23" t="s">
        <v>191</v>
      </c>
      <c r="E4447" s="52">
        <f>46-42</f>
        <v>4</v>
      </c>
      <c r="F4447" s="23" t="s">
        <v>363</v>
      </c>
      <c r="G4447" s="23" t="s">
        <v>869</v>
      </c>
      <c r="H4447" s="23" t="s">
        <v>928</v>
      </c>
      <c r="L4447" s="23" t="s">
        <v>869</v>
      </c>
    </row>
    <row r="4448" spans="1:12" s="23" customFormat="1" x14ac:dyDescent="0.75">
      <c r="A4448" s="23" t="s">
        <v>116</v>
      </c>
      <c r="B4448" s="24">
        <v>45027</v>
      </c>
      <c r="C4448" s="23">
        <v>2</v>
      </c>
      <c r="D4448" s="23" t="s">
        <v>191</v>
      </c>
      <c r="E4448" s="52">
        <f>42-40</f>
        <v>2</v>
      </c>
      <c r="F4448" s="23" t="s">
        <v>363</v>
      </c>
      <c r="G4448" s="23" t="s">
        <v>869</v>
      </c>
      <c r="H4448" s="23" t="s">
        <v>928</v>
      </c>
      <c r="L4448" s="23" t="s">
        <v>869</v>
      </c>
    </row>
    <row r="4449" spans="1:12" s="23" customFormat="1" x14ac:dyDescent="0.75">
      <c r="A4449" s="23" t="s">
        <v>116</v>
      </c>
      <c r="B4449" s="24">
        <v>45027</v>
      </c>
      <c r="C4449" s="23">
        <v>2</v>
      </c>
      <c r="D4449" s="23" t="s">
        <v>207</v>
      </c>
      <c r="E4449" s="52">
        <f>40-27</f>
        <v>13</v>
      </c>
      <c r="F4449" s="23" t="s">
        <v>363</v>
      </c>
      <c r="G4449" s="23" t="s">
        <v>869</v>
      </c>
      <c r="H4449" s="23" t="s">
        <v>928</v>
      </c>
      <c r="L4449" s="23" t="s">
        <v>869</v>
      </c>
    </row>
    <row r="4450" spans="1:12" s="23" customFormat="1" x14ac:dyDescent="0.75">
      <c r="A4450" s="23" t="s">
        <v>116</v>
      </c>
      <c r="B4450" s="24">
        <v>45027</v>
      </c>
      <c r="C4450" s="23">
        <v>2</v>
      </c>
      <c r="D4450" s="23" t="s">
        <v>191</v>
      </c>
      <c r="E4450" s="52">
        <f>27-0+45-0+7-0</f>
        <v>79</v>
      </c>
      <c r="F4450" s="23" t="s">
        <v>363</v>
      </c>
      <c r="G4450" s="23" t="s">
        <v>869</v>
      </c>
      <c r="H4450" s="23" t="s">
        <v>928</v>
      </c>
      <c r="L4450" s="23" t="s">
        <v>869</v>
      </c>
    </row>
    <row r="4451" spans="1:12" x14ac:dyDescent="0.75">
      <c r="A4451" t="s">
        <v>23</v>
      </c>
      <c r="B4451" s="3">
        <v>45028</v>
      </c>
      <c r="C4451">
        <v>1</v>
      </c>
      <c r="D4451" t="s">
        <v>191</v>
      </c>
      <c r="E4451" s="22">
        <f>8-0+56-47-2</f>
        <v>15</v>
      </c>
      <c r="F4451" t="s">
        <v>363</v>
      </c>
      <c r="G4451" t="s">
        <v>627</v>
      </c>
      <c r="H4451" t="s">
        <v>928</v>
      </c>
      <c r="K4451" t="s">
        <v>933</v>
      </c>
      <c r="L4451" t="s">
        <v>869</v>
      </c>
    </row>
    <row r="4452" spans="1:12" x14ac:dyDescent="0.75">
      <c r="A4452" t="s">
        <v>23</v>
      </c>
      <c r="B4452" s="3">
        <v>45028</v>
      </c>
      <c r="C4452">
        <v>1</v>
      </c>
      <c r="D4452" t="s">
        <v>205</v>
      </c>
      <c r="E4452" s="22">
        <f>47-42</f>
        <v>5</v>
      </c>
      <c r="F4452" t="s">
        <v>363</v>
      </c>
      <c r="G4452" t="s">
        <v>627</v>
      </c>
      <c r="H4452" t="s">
        <v>928</v>
      </c>
      <c r="L4452" t="s">
        <v>869</v>
      </c>
    </row>
    <row r="4453" spans="1:12" x14ac:dyDescent="0.75">
      <c r="A4453" t="s">
        <v>23</v>
      </c>
      <c r="B4453" s="3">
        <v>45028</v>
      </c>
      <c r="C4453">
        <v>1</v>
      </c>
      <c r="D4453" t="s">
        <v>191</v>
      </c>
      <c r="E4453" s="22">
        <f>42-27</f>
        <v>15</v>
      </c>
      <c r="F4453" t="s">
        <v>363</v>
      </c>
      <c r="G4453" t="s">
        <v>627</v>
      </c>
      <c r="H4453" t="s">
        <v>928</v>
      </c>
      <c r="L4453" t="s">
        <v>869</v>
      </c>
    </row>
    <row r="4454" spans="1:12" x14ac:dyDescent="0.75">
      <c r="A4454" t="s">
        <v>23</v>
      </c>
      <c r="B4454" s="3">
        <v>45028</v>
      </c>
      <c r="C4454">
        <v>1</v>
      </c>
      <c r="D4454" t="s">
        <v>176</v>
      </c>
      <c r="E4454" s="22">
        <f>27-9</f>
        <v>18</v>
      </c>
      <c r="F4454" t="s">
        <v>363</v>
      </c>
      <c r="G4454" t="s">
        <v>627</v>
      </c>
      <c r="H4454" t="s">
        <v>928</v>
      </c>
      <c r="L4454" t="s">
        <v>869</v>
      </c>
    </row>
    <row r="4455" spans="1:12" x14ac:dyDescent="0.75">
      <c r="A4455" t="s">
        <v>23</v>
      </c>
      <c r="B4455" s="3">
        <v>45028</v>
      </c>
      <c r="C4455">
        <v>1</v>
      </c>
      <c r="D4455" t="s">
        <v>191</v>
      </c>
      <c r="E4455" s="22">
        <f>9-7</f>
        <v>2</v>
      </c>
      <c r="F4455" t="s">
        <v>363</v>
      </c>
      <c r="G4455" t="s">
        <v>627</v>
      </c>
      <c r="H4455" t="s">
        <v>928</v>
      </c>
      <c r="L4455" t="s">
        <v>869</v>
      </c>
    </row>
    <row r="4456" spans="1:12" x14ac:dyDescent="0.75">
      <c r="A4456" t="s">
        <v>23</v>
      </c>
      <c r="B4456" s="3">
        <v>45028</v>
      </c>
      <c r="C4456">
        <v>1</v>
      </c>
      <c r="D4456" t="s">
        <v>164</v>
      </c>
      <c r="E4456" s="22">
        <f>51-25-2</f>
        <v>24</v>
      </c>
      <c r="F4456" t="s">
        <v>363</v>
      </c>
      <c r="G4456" t="s">
        <v>361</v>
      </c>
      <c r="H4456" t="s">
        <v>928</v>
      </c>
      <c r="K4456" t="s">
        <v>933</v>
      </c>
      <c r="L4456" t="s">
        <v>869</v>
      </c>
    </row>
    <row r="4457" spans="1:12" s="23" customFormat="1" x14ac:dyDescent="0.75">
      <c r="A4457" s="23" t="s">
        <v>39</v>
      </c>
      <c r="B4457" s="24">
        <v>45028</v>
      </c>
      <c r="C4457" s="23">
        <v>1</v>
      </c>
      <c r="D4457" s="23" t="s">
        <v>194</v>
      </c>
      <c r="E4457" s="52">
        <f>55-42</f>
        <v>13</v>
      </c>
      <c r="F4457" s="23" t="s">
        <v>363</v>
      </c>
      <c r="G4457" s="23" t="s">
        <v>627</v>
      </c>
      <c r="H4457" s="23" t="s">
        <v>928</v>
      </c>
      <c r="L4457" s="23" t="s">
        <v>869</v>
      </c>
    </row>
    <row r="4458" spans="1:12" s="23" customFormat="1" x14ac:dyDescent="0.75">
      <c r="A4458" s="23" t="s">
        <v>39</v>
      </c>
      <c r="B4458" s="24">
        <v>45028</v>
      </c>
      <c r="C4458" s="23">
        <v>1</v>
      </c>
      <c r="D4458" s="23" t="s">
        <v>197</v>
      </c>
      <c r="E4458" s="52" t="s">
        <v>930</v>
      </c>
      <c r="F4458" s="23" t="s">
        <v>363</v>
      </c>
      <c r="G4458" s="23" t="s">
        <v>627</v>
      </c>
      <c r="H4458" s="23" t="s">
        <v>928</v>
      </c>
      <c r="K4458" s="23" t="s">
        <v>936</v>
      </c>
      <c r="L4458" s="23" t="s">
        <v>869</v>
      </c>
    </row>
    <row r="4459" spans="1:12" x14ac:dyDescent="0.75">
      <c r="A4459" t="s">
        <v>64</v>
      </c>
      <c r="B4459" s="3">
        <v>45028</v>
      </c>
      <c r="C4459">
        <v>1</v>
      </c>
      <c r="D4459" t="s">
        <v>207</v>
      </c>
      <c r="E4459" s="22">
        <f>37-24</f>
        <v>13</v>
      </c>
      <c r="F4459" t="s">
        <v>363</v>
      </c>
      <c r="G4459" t="s">
        <v>627</v>
      </c>
      <c r="H4459" t="s">
        <v>928</v>
      </c>
      <c r="L4459" t="s">
        <v>869</v>
      </c>
    </row>
    <row r="4460" spans="1:12" x14ac:dyDescent="0.75">
      <c r="A4460" t="s">
        <v>64</v>
      </c>
      <c r="B4460" s="3">
        <v>45028</v>
      </c>
      <c r="C4460">
        <v>1</v>
      </c>
      <c r="D4460" t="s">
        <v>168</v>
      </c>
      <c r="E4460" s="22">
        <f>24-7</f>
        <v>17</v>
      </c>
      <c r="F4460" t="s">
        <v>363</v>
      </c>
      <c r="G4460" t="s">
        <v>627</v>
      </c>
      <c r="H4460" t="s">
        <v>928</v>
      </c>
      <c r="L4460" t="s">
        <v>869</v>
      </c>
    </row>
    <row r="4461" spans="1:12" s="23" customFormat="1" x14ac:dyDescent="0.75">
      <c r="A4461" s="23" t="s">
        <v>60</v>
      </c>
      <c r="B4461" s="24">
        <v>45029</v>
      </c>
      <c r="C4461" s="23">
        <v>1</v>
      </c>
      <c r="D4461" s="23" t="s">
        <v>197</v>
      </c>
      <c r="E4461" s="52">
        <f>40-0+46-36</f>
        <v>50</v>
      </c>
      <c r="F4461" s="23" t="s">
        <v>363</v>
      </c>
      <c r="G4461" s="23" t="s">
        <v>627</v>
      </c>
      <c r="H4461" s="23" t="s">
        <v>928</v>
      </c>
      <c r="L4461" s="23" t="s">
        <v>869</v>
      </c>
    </row>
    <row r="4462" spans="1:12" s="23" customFormat="1" x14ac:dyDescent="0.75">
      <c r="A4462" s="23" t="s">
        <v>60</v>
      </c>
      <c r="B4462" s="24">
        <v>45029</v>
      </c>
      <c r="C4462" s="23">
        <v>1</v>
      </c>
      <c r="D4462" s="23" t="s">
        <v>201</v>
      </c>
      <c r="E4462" s="52">
        <f>25-15</f>
        <v>10</v>
      </c>
      <c r="F4462" s="23" t="s">
        <v>363</v>
      </c>
      <c r="G4462" s="23" t="s">
        <v>361</v>
      </c>
      <c r="H4462" s="23" t="s">
        <v>928</v>
      </c>
      <c r="L4462" s="23" t="s">
        <v>869</v>
      </c>
    </row>
    <row r="4463" spans="1:12" x14ac:dyDescent="0.75">
      <c r="A4463" t="s">
        <v>143</v>
      </c>
      <c r="B4463" s="3">
        <v>45029</v>
      </c>
      <c r="C4463">
        <v>1</v>
      </c>
      <c r="D4463" t="s">
        <v>201</v>
      </c>
      <c r="E4463" s="22">
        <f>15-10</f>
        <v>5</v>
      </c>
      <c r="F4463" t="s">
        <v>363</v>
      </c>
      <c r="G4463" t="s">
        <v>361</v>
      </c>
      <c r="H4463" t="s">
        <v>928</v>
      </c>
      <c r="L4463" t="s">
        <v>869</v>
      </c>
    </row>
    <row r="4464" spans="1:12" x14ac:dyDescent="0.75">
      <c r="A4464" t="s">
        <v>143</v>
      </c>
      <c r="B4464" s="3">
        <v>45029</v>
      </c>
      <c r="C4464">
        <v>1</v>
      </c>
      <c r="D4464" t="s">
        <v>172</v>
      </c>
      <c r="E4464" s="22">
        <f>40-36</f>
        <v>4</v>
      </c>
      <c r="F4464" t="s">
        <v>363</v>
      </c>
      <c r="G4464" t="s">
        <v>361</v>
      </c>
      <c r="H4464" t="s">
        <v>928</v>
      </c>
      <c r="K4464" t="s">
        <v>937</v>
      </c>
      <c r="L4464" t="s">
        <v>869</v>
      </c>
    </row>
    <row r="4465" spans="1:12" s="23" customFormat="1" x14ac:dyDescent="0.75">
      <c r="A4465" s="23" t="s">
        <v>100</v>
      </c>
      <c r="B4465" s="24">
        <v>45034</v>
      </c>
      <c r="C4465" s="23">
        <v>1</v>
      </c>
      <c r="D4465" s="23" t="s">
        <v>176</v>
      </c>
      <c r="E4465" s="52">
        <f>53-44</f>
        <v>9</v>
      </c>
      <c r="F4465" s="23" t="s">
        <v>363</v>
      </c>
      <c r="G4465" s="23" t="s">
        <v>361</v>
      </c>
      <c r="H4465" s="23" t="s">
        <v>928</v>
      </c>
      <c r="L4465" s="23" t="s">
        <v>869</v>
      </c>
    </row>
    <row r="4466" spans="1:12" s="23" customFormat="1" x14ac:dyDescent="0.75">
      <c r="A4466" s="23" t="s">
        <v>100</v>
      </c>
      <c r="B4466" s="24">
        <v>45034</v>
      </c>
      <c r="C4466" s="23">
        <v>1</v>
      </c>
      <c r="D4466" s="23" t="s">
        <v>160</v>
      </c>
      <c r="E4466" s="52">
        <f>44-40</f>
        <v>4</v>
      </c>
      <c r="F4466" s="23" t="s">
        <v>363</v>
      </c>
      <c r="G4466" s="23" t="s">
        <v>361</v>
      </c>
      <c r="H4466" s="23" t="s">
        <v>928</v>
      </c>
      <c r="L4466" s="23" t="s">
        <v>869</v>
      </c>
    </row>
    <row r="4467" spans="1:12" s="23" customFormat="1" x14ac:dyDescent="0.75">
      <c r="A4467" s="23" t="s">
        <v>100</v>
      </c>
      <c r="B4467" s="24">
        <v>45034</v>
      </c>
      <c r="C4467" s="23">
        <v>1</v>
      </c>
      <c r="D4467" s="23" t="s">
        <v>168</v>
      </c>
      <c r="E4467" s="52">
        <f>38-27</f>
        <v>11</v>
      </c>
      <c r="F4467" s="23" t="s">
        <v>363</v>
      </c>
      <c r="G4467" s="23" t="s">
        <v>627</v>
      </c>
      <c r="H4467" s="23" t="s">
        <v>928</v>
      </c>
      <c r="L4467" s="23" t="s">
        <v>869</v>
      </c>
    </row>
    <row r="4468" spans="1:12" s="23" customFormat="1" x14ac:dyDescent="0.75">
      <c r="A4468" s="23" t="s">
        <v>100</v>
      </c>
      <c r="B4468" s="24">
        <v>45034</v>
      </c>
      <c r="C4468" s="23">
        <v>1</v>
      </c>
      <c r="D4468" s="23" t="s">
        <v>207</v>
      </c>
      <c r="E4468" s="52">
        <f>5</f>
        <v>5</v>
      </c>
      <c r="F4468" s="23" t="s">
        <v>363</v>
      </c>
      <c r="G4468" s="23" t="s">
        <v>627</v>
      </c>
      <c r="H4468" s="23" t="s">
        <v>928</v>
      </c>
      <c r="K4468" s="23" t="s">
        <v>938</v>
      </c>
      <c r="L4468" s="23" t="s">
        <v>869</v>
      </c>
    </row>
    <row r="4469" spans="1:12" x14ac:dyDescent="0.75">
      <c r="A4469" t="s">
        <v>87</v>
      </c>
      <c r="B4469" s="3">
        <v>45034</v>
      </c>
      <c r="C4469">
        <v>2</v>
      </c>
      <c r="D4469" t="s">
        <v>194</v>
      </c>
      <c r="E4469" s="22">
        <f>46-32</f>
        <v>14</v>
      </c>
      <c r="F4469" t="s">
        <v>363</v>
      </c>
      <c r="G4469" t="s">
        <v>361</v>
      </c>
      <c r="H4469" t="s">
        <v>928</v>
      </c>
      <c r="K4469" t="s">
        <v>939</v>
      </c>
      <c r="L4469" t="s">
        <v>869</v>
      </c>
    </row>
    <row r="4470" spans="1:12" x14ac:dyDescent="0.75">
      <c r="A4470" t="s">
        <v>87</v>
      </c>
      <c r="B4470" s="3">
        <v>45034</v>
      </c>
      <c r="C4470">
        <v>2</v>
      </c>
      <c r="D4470" t="s">
        <v>164</v>
      </c>
      <c r="E4470" s="22">
        <f>32-17</f>
        <v>15</v>
      </c>
      <c r="F4470" t="s">
        <v>363</v>
      </c>
      <c r="G4470" t="s">
        <v>361</v>
      </c>
      <c r="H4470" t="s">
        <v>928</v>
      </c>
      <c r="K4470" t="s">
        <v>939</v>
      </c>
      <c r="L4470" t="s">
        <v>869</v>
      </c>
    </row>
    <row r="4471" spans="1:12" x14ac:dyDescent="0.75">
      <c r="A4471" t="s">
        <v>87</v>
      </c>
      <c r="B4471" s="3">
        <v>45034</v>
      </c>
      <c r="C4471">
        <v>2</v>
      </c>
      <c r="D4471" t="s">
        <v>197</v>
      </c>
      <c r="E4471" s="22">
        <f>17-14</f>
        <v>3</v>
      </c>
      <c r="F4471" t="s">
        <v>363</v>
      </c>
      <c r="G4471" t="s">
        <v>361</v>
      </c>
      <c r="H4471" t="s">
        <v>928</v>
      </c>
      <c r="K4471" t="s">
        <v>939</v>
      </c>
      <c r="L4471" t="s">
        <v>869</v>
      </c>
    </row>
    <row r="4472" spans="1:12" x14ac:dyDescent="0.75">
      <c r="A4472" t="s">
        <v>87</v>
      </c>
      <c r="B4472" s="3">
        <v>45034</v>
      </c>
      <c r="C4472">
        <v>2</v>
      </c>
      <c r="D4472" t="s">
        <v>153</v>
      </c>
      <c r="E4472" s="22">
        <f>14-13</f>
        <v>1</v>
      </c>
      <c r="F4472" t="s">
        <v>363</v>
      </c>
      <c r="G4472" t="s">
        <v>361</v>
      </c>
      <c r="H4472" t="s">
        <v>928</v>
      </c>
      <c r="K4472" t="s">
        <v>939</v>
      </c>
      <c r="L4472" t="s">
        <v>869</v>
      </c>
    </row>
    <row r="4473" spans="1:12" x14ac:dyDescent="0.75">
      <c r="A4473" t="s">
        <v>87</v>
      </c>
      <c r="B4473" s="3">
        <v>45034</v>
      </c>
      <c r="C4473">
        <v>2</v>
      </c>
      <c r="D4473" t="s">
        <v>194</v>
      </c>
      <c r="E4473" s="22">
        <f>13-3</f>
        <v>10</v>
      </c>
      <c r="F4473" t="s">
        <v>363</v>
      </c>
      <c r="G4473" t="s">
        <v>361</v>
      </c>
      <c r="H4473" t="s">
        <v>928</v>
      </c>
      <c r="K4473" t="s">
        <v>939</v>
      </c>
      <c r="L4473" t="s">
        <v>869</v>
      </c>
    </row>
    <row r="4474" spans="1:12" s="23" customFormat="1" x14ac:dyDescent="0.75">
      <c r="A4474" s="23" t="s">
        <v>69</v>
      </c>
      <c r="B4474" s="24">
        <v>45035</v>
      </c>
      <c r="C4474" s="23">
        <v>2</v>
      </c>
      <c r="D4474" s="23" t="s">
        <v>194</v>
      </c>
      <c r="E4474" s="52">
        <f>33-30</f>
        <v>3</v>
      </c>
      <c r="F4474" s="23" t="s">
        <v>363</v>
      </c>
      <c r="G4474" s="23" t="s">
        <v>361</v>
      </c>
      <c r="H4474" s="23" t="s">
        <v>928</v>
      </c>
      <c r="L4474" s="23" t="s">
        <v>869</v>
      </c>
    </row>
    <row r="4475" spans="1:12" x14ac:dyDescent="0.75">
      <c r="A4475" t="s">
        <v>69</v>
      </c>
      <c r="B4475" s="3">
        <v>45035</v>
      </c>
      <c r="C4475">
        <v>4</v>
      </c>
      <c r="D4475" t="s">
        <v>197</v>
      </c>
      <c r="E4475" s="22">
        <f>52-44-2</f>
        <v>6</v>
      </c>
      <c r="F4475">
        <v>969</v>
      </c>
      <c r="G4475" t="s">
        <v>627</v>
      </c>
      <c r="H4475" t="s">
        <v>390</v>
      </c>
      <c r="K4475" t="s">
        <v>933</v>
      </c>
      <c r="L4475" t="s">
        <v>869</v>
      </c>
    </row>
    <row r="4476" spans="1:12" x14ac:dyDescent="0.75">
      <c r="A4476" t="s">
        <v>69</v>
      </c>
      <c r="B4476" s="3">
        <v>45035</v>
      </c>
      <c r="C4476">
        <v>4</v>
      </c>
      <c r="D4476" t="s">
        <v>191</v>
      </c>
      <c r="E4476" s="22">
        <f>44-41-2</f>
        <v>1</v>
      </c>
      <c r="F4476" t="s">
        <v>363</v>
      </c>
      <c r="G4476" t="s">
        <v>627</v>
      </c>
      <c r="H4476" t="s">
        <v>928</v>
      </c>
      <c r="K4476" t="s">
        <v>933</v>
      </c>
      <c r="L4476" t="s">
        <v>869</v>
      </c>
    </row>
    <row r="4477" spans="1:12" x14ac:dyDescent="0.75">
      <c r="A4477" t="s">
        <v>69</v>
      </c>
      <c r="B4477" s="3">
        <v>45035</v>
      </c>
      <c r="C4477">
        <v>4</v>
      </c>
      <c r="D4477" t="s">
        <v>201</v>
      </c>
      <c r="E4477" s="22">
        <f>30-28</f>
        <v>2</v>
      </c>
      <c r="F4477" t="s">
        <v>363</v>
      </c>
      <c r="G4477" t="s">
        <v>361</v>
      </c>
      <c r="H4477" t="s">
        <v>928</v>
      </c>
      <c r="L4477" t="s">
        <v>869</v>
      </c>
    </row>
    <row r="4478" spans="1:12" x14ac:dyDescent="0.75">
      <c r="A4478" t="s">
        <v>69</v>
      </c>
      <c r="B4478" s="3">
        <v>45035</v>
      </c>
      <c r="C4478">
        <v>4</v>
      </c>
      <c r="D4478" t="s">
        <v>207</v>
      </c>
      <c r="E4478" s="22">
        <f>28-26</f>
        <v>2</v>
      </c>
      <c r="F4478" t="s">
        <v>363</v>
      </c>
      <c r="G4478" t="s">
        <v>361</v>
      </c>
      <c r="H4478" t="s">
        <v>928</v>
      </c>
      <c r="L4478" t="s">
        <v>869</v>
      </c>
    </row>
    <row r="4479" spans="1:12" x14ac:dyDescent="0.75">
      <c r="A4479" t="s">
        <v>69</v>
      </c>
      <c r="B4479" s="3">
        <v>45035</v>
      </c>
      <c r="C4479">
        <v>4</v>
      </c>
      <c r="D4479" t="s">
        <v>201</v>
      </c>
      <c r="E4479" s="22">
        <f>26-24</f>
        <v>2</v>
      </c>
      <c r="F4479" t="s">
        <v>363</v>
      </c>
      <c r="G4479" t="s">
        <v>361</v>
      </c>
      <c r="H4479" t="s">
        <v>928</v>
      </c>
      <c r="L4479" t="s">
        <v>869</v>
      </c>
    </row>
    <row r="4480" spans="1:12" x14ac:dyDescent="0.75">
      <c r="A4480" t="s">
        <v>69</v>
      </c>
      <c r="B4480" s="3">
        <v>45035</v>
      </c>
      <c r="C4480">
        <v>4</v>
      </c>
      <c r="D4480" t="s">
        <v>207</v>
      </c>
      <c r="E4480" s="22">
        <f>24-22</f>
        <v>2</v>
      </c>
      <c r="F4480" t="s">
        <v>363</v>
      </c>
      <c r="G4480" t="s">
        <v>361</v>
      </c>
      <c r="H4480" t="s">
        <v>928</v>
      </c>
      <c r="L4480" t="s">
        <v>869</v>
      </c>
    </row>
    <row r="4481" spans="1:12" x14ac:dyDescent="0.75">
      <c r="A4481" t="s">
        <v>69</v>
      </c>
      <c r="B4481" s="3">
        <v>45035</v>
      </c>
      <c r="C4481">
        <v>4</v>
      </c>
      <c r="D4481" t="s">
        <v>197</v>
      </c>
      <c r="E4481" s="22">
        <f>22-20</f>
        <v>2</v>
      </c>
      <c r="F4481" t="s">
        <v>363</v>
      </c>
      <c r="G4481" t="s">
        <v>361</v>
      </c>
      <c r="H4481" t="s">
        <v>928</v>
      </c>
      <c r="K4481" t="s">
        <v>940</v>
      </c>
      <c r="L4481" t="s">
        <v>869</v>
      </c>
    </row>
    <row r="4482" spans="1:12" x14ac:dyDescent="0.75">
      <c r="A4482" t="s">
        <v>69</v>
      </c>
      <c r="B4482" s="3">
        <v>45035</v>
      </c>
      <c r="C4482">
        <v>4</v>
      </c>
      <c r="D4482" t="s">
        <v>168</v>
      </c>
      <c r="E4482" s="22">
        <f>20-17</f>
        <v>3</v>
      </c>
      <c r="F4482" t="s">
        <v>363</v>
      </c>
      <c r="G4482" t="s">
        <v>361</v>
      </c>
      <c r="H4482" t="s">
        <v>928</v>
      </c>
      <c r="L4482" t="s">
        <v>869</v>
      </c>
    </row>
    <row r="4483" spans="1:12" x14ac:dyDescent="0.75">
      <c r="A4483" t="s">
        <v>69</v>
      </c>
      <c r="B4483" s="3">
        <v>45035</v>
      </c>
      <c r="C4483">
        <v>4</v>
      </c>
      <c r="D4483" t="s">
        <v>207</v>
      </c>
      <c r="E4483" s="22">
        <f>17-13</f>
        <v>4</v>
      </c>
      <c r="F4483" t="s">
        <v>363</v>
      </c>
      <c r="G4483" t="s">
        <v>361</v>
      </c>
      <c r="H4483" t="s">
        <v>928</v>
      </c>
      <c r="L4483" t="s">
        <v>869</v>
      </c>
    </row>
    <row r="4484" spans="1:12" x14ac:dyDescent="0.75">
      <c r="A4484" t="s">
        <v>69</v>
      </c>
      <c r="B4484" s="3">
        <v>45035</v>
      </c>
      <c r="C4484">
        <v>4</v>
      </c>
      <c r="D4484" t="s">
        <v>207</v>
      </c>
      <c r="E4484" s="22">
        <f>13-11</f>
        <v>2</v>
      </c>
      <c r="F4484" t="s">
        <v>363</v>
      </c>
      <c r="G4484" t="s">
        <v>361</v>
      </c>
      <c r="H4484" t="s">
        <v>928</v>
      </c>
      <c r="L4484" t="s">
        <v>869</v>
      </c>
    </row>
    <row r="4485" spans="1:12" s="23" customFormat="1" x14ac:dyDescent="0.75">
      <c r="A4485" s="23" t="s">
        <v>96</v>
      </c>
      <c r="B4485" s="24">
        <v>45036</v>
      </c>
      <c r="C4485" s="23">
        <v>1</v>
      </c>
      <c r="D4485" s="23" t="s">
        <v>197</v>
      </c>
      <c r="E4485" s="52">
        <f>45-34-2</f>
        <v>9</v>
      </c>
      <c r="F4485" s="23" t="s">
        <v>363</v>
      </c>
      <c r="G4485" s="23" t="s">
        <v>361</v>
      </c>
      <c r="H4485" s="23" t="s">
        <v>928</v>
      </c>
      <c r="L4485" s="23" t="s">
        <v>869</v>
      </c>
    </row>
    <row r="4486" spans="1:12" s="23" customFormat="1" x14ac:dyDescent="0.75">
      <c r="A4486" s="23" t="s">
        <v>96</v>
      </c>
      <c r="B4486" s="24">
        <v>45036</v>
      </c>
      <c r="C4486" s="23">
        <v>1</v>
      </c>
      <c r="D4486" s="23" t="s">
        <v>194</v>
      </c>
      <c r="E4486" s="52">
        <f>34-25</f>
        <v>9</v>
      </c>
      <c r="F4486" s="23" t="s">
        <v>363</v>
      </c>
      <c r="G4486" s="23" t="s">
        <v>361</v>
      </c>
      <c r="H4486" s="23" t="s">
        <v>928</v>
      </c>
      <c r="L4486" s="23" t="s">
        <v>869</v>
      </c>
    </row>
    <row r="4487" spans="1:12" s="23" customFormat="1" x14ac:dyDescent="0.75">
      <c r="A4487" s="23" t="s">
        <v>96</v>
      </c>
      <c r="B4487" s="24">
        <v>45036</v>
      </c>
      <c r="C4487" s="23">
        <v>1</v>
      </c>
      <c r="D4487" s="23" t="s">
        <v>191</v>
      </c>
      <c r="E4487" s="52">
        <f>25-20</f>
        <v>5</v>
      </c>
      <c r="F4487" s="23" t="s">
        <v>363</v>
      </c>
      <c r="G4487" s="23" t="s">
        <v>361</v>
      </c>
      <c r="H4487" s="23" t="s">
        <v>928</v>
      </c>
      <c r="L4487" s="23" t="s">
        <v>869</v>
      </c>
    </row>
    <row r="4488" spans="1:12" s="23" customFormat="1" x14ac:dyDescent="0.75">
      <c r="A4488" s="23" t="s">
        <v>96</v>
      </c>
      <c r="B4488" s="24">
        <v>45036</v>
      </c>
      <c r="C4488" s="23">
        <v>1</v>
      </c>
      <c r="D4488" s="23" t="s">
        <v>197</v>
      </c>
      <c r="E4488" s="52">
        <f>52-50</f>
        <v>2</v>
      </c>
      <c r="F4488" s="23" t="s">
        <v>363</v>
      </c>
      <c r="G4488" s="23" t="s">
        <v>869</v>
      </c>
      <c r="H4488" s="23" t="s">
        <v>928</v>
      </c>
      <c r="L4488" s="23" t="s">
        <v>869</v>
      </c>
    </row>
    <row r="4489" spans="1:12" s="23" customFormat="1" x14ac:dyDescent="0.75">
      <c r="A4489" s="23" t="s">
        <v>96</v>
      </c>
      <c r="B4489" s="24">
        <v>45036</v>
      </c>
      <c r="C4489" s="23">
        <v>1</v>
      </c>
      <c r="D4489" s="23" t="s">
        <v>191</v>
      </c>
      <c r="E4489" s="52">
        <f>50-46</f>
        <v>4</v>
      </c>
      <c r="F4489" s="23" t="s">
        <v>363</v>
      </c>
      <c r="G4489" s="23" t="s">
        <v>869</v>
      </c>
      <c r="H4489" s="23" t="s">
        <v>928</v>
      </c>
      <c r="L4489" s="23" t="s">
        <v>869</v>
      </c>
    </row>
    <row r="4490" spans="1:12" s="23" customFormat="1" x14ac:dyDescent="0.75">
      <c r="A4490" s="23" t="s">
        <v>96</v>
      </c>
      <c r="B4490" s="24">
        <v>45036</v>
      </c>
      <c r="C4490" s="23">
        <v>1</v>
      </c>
      <c r="D4490" s="23" t="s">
        <v>194</v>
      </c>
      <c r="E4490" s="52">
        <v>1</v>
      </c>
      <c r="F4490" s="23" t="s">
        <v>363</v>
      </c>
      <c r="G4490" s="23" t="s">
        <v>869</v>
      </c>
      <c r="H4490" s="23" t="s">
        <v>928</v>
      </c>
      <c r="K4490" s="23" t="s">
        <v>941</v>
      </c>
      <c r="L4490" s="23" t="s">
        <v>869</v>
      </c>
    </row>
    <row r="4491" spans="1:12" s="23" customFormat="1" x14ac:dyDescent="0.75">
      <c r="A4491" s="23" t="s">
        <v>96</v>
      </c>
      <c r="B4491" s="24">
        <v>45036</v>
      </c>
      <c r="C4491" s="23">
        <v>1</v>
      </c>
      <c r="D4491" s="23" t="s">
        <v>194</v>
      </c>
      <c r="E4491" s="52">
        <f>45-43</f>
        <v>2</v>
      </c>
      <c r="F4491" s="23" t="s">
        <v>363</v>
      </c>
      <c r="G4491" s="23" t="s">
        <v>869</v>
      </c>
      <c r="H4491" s="23" t="s">
        <v>928</v>
      </c>
      <c r="L4491" s="23" t="s">
        <v>869</v>
      </c>
    </row>
    <row r="4492" spans="1:12" s="23" customFormat="1" x14ac:dyDescent="0.75">
      <c r="A4492" s="23" t="s">
        <v>96</v>
      </c>
      <c r="B4492" s="24">
        <v>45036</v>
      </c>
      <c r="C4492" s="23">
        <v>1</v>
      </c>
      <c r="D4492" s="23" t="s">
        <v>194</v>
      </c>
      <c r="E4492" s="52">
        <f>43-42</f>
        <v>1</v>
      </c>
      <c r="F4492" s="23" t="s">
        <v>363</v>
      </c>
      <c r="G4492" s="23" t="s">
        <v>869</v>
      </c>
      <c r="H4492" s="23" t="s">
        <v>928</v>
      </c>
      <c r="L4492" s="23" t="s">
        <v>869</v>
      </c>
    </row>
    <row r="4493" spans="1:12" s="23" customFormat="1" x14ac:dyDescent="0.75">
      <c r="A4493" s="23" t="s">
        <v>96</v>
      </c>
      <c r="B4493" s="24">
        <v>45036</v>
      </c>
      <c r="C4493" s="23">
        <v>1</v>
      </c>
      <c r="D4493" s="23" t="s">
        <v>194</v>
      </c>
      <c r="E4493" s="52">
        <f>42-35</f>
        <v>7</v>
      </c>
      <c r="F4493" s="23" t="s">
        <v>363</v>
      </c>
      <c r="G4493" s="23" t="s">
        <v>869</v>
      </c>
      <c r="H4493" s="23" t="s">
        <v>390</v>
      </c>
      <c r="L4493" s="23" t="s">
        <v>869</v>
      </c>
    </row>
    <row r="4494" spans="1:12" s="23" customFormat="1" x14ac:dyDescent="0.75">
      <c r="A4494" s="23" t="s">
        <v>96</v>
      </c>
      <c r="B4494" s="24">
        <v>45036</v>
      </c>
      <c r="C4494" s="23">
        <v>1</v>
      </c>
      <c r="D4494" s="23" t="s">
        <v>197</v>
      </c>
      <c r="E4494" s="52">
        <f>35-31</f>
        <v>4</v>
      </c>
      <c r="F4494" s="23" t="s">
        <v>363</v>
      </c>
      <c r="G4494" s="23" t="s">
        <v>869</v>
      </c>
      <c r="H4494" s="23" t="s">
        <v>928</v>
      </c>
      <c r="L4494" s="23" t="s">
        <v>869</v>
      </c>
    </row>
    <row r="4495" spans="1:12" s="23" customFormat="1" x14ac:dyDescent="0.75">
      <c r="A4495" s="23" t="s">
        <v>96</v>
      </c>
      <c r="B4495" s="24">
        <v>45036</v>
      </c>
      <c r="C4495" s="23">
        <v>1</v>
      </c>
      <c r="D4495" s="23" t="s">
        <v>194</v>
      </c>
      <c r="E4495" s="52">
        <f>31-20</f>
        <v>11</v>
      </c>
      <c r="F4495" s="23" t="s">
        <v>363</v>
      </c>
      <c r="G4495" s="23" t="s">
        <v>869</v>
      </c>
      <c r="H4495" s="23" t="s">
        <v>928</v>
      </c>
      <c r="L4495" s="23" t="s">
        <v>869</v>
      </c>
    </row>
    <row r="4496" spans="1:12" s="23" customFormat="1" x14ac:dyDescent="0.75">
      <c r="A4496" s="23" t="s">
        <v>96</v>
      </c>
      <c r="B4496" s="24">
        <v>45036</v>
      </c>
      <c r="C4496" s="23">
        <v>1</v>
      </c>
      <c r="D4496" s="23" t="s">
        <v>194</v>
      </c>
      <c r="E4496" s="52">
        <f>20-18</f>
        <v>2</v>
      </c>
      <c r="F4496" s="23" t="s">
        <v>363</v>
      </c>
      <c r="G4496" s="23" t="s">
        <v>869</v>
      </c>
      <c r="H4496" s="23" t="s">
        <v>928</v>
      </c>
      <c r="L4496" s="23" t="s">
        <v>869</v>
      </c>
    </row>
    <row r="4497" spans="1:12" s="23" customFormat="1" x14ac:dyDescent="0.75">
      <c r="A4497" s="23" t="s">
        <v>96</v>
      </c>
      <c r="B4497" s="24">
        <v>45036</v>
      </c>
      <c r="C4497" s="23">
        <v>1</v>
      </c>
      <c r="D4497" s="23" t="s">
        <v>194</v>
      </c>
      <c r="E4497" s="52">
        <f>18-12</f>
        <v>6</v>
      </c>
      <c r="F4497" s="23" t="s">
        <v>363</v>
      </c>
      <c r="G4497" s="23" t="s">
        <v>869</v>
      </c>
      <c r="H4497" s="23" t="s">
        <v>928</v>
      </c>
      <c r="L4497" s="23" t="s">
        <v>869</v>
      </c>
    </row>
    <row r="4498" spans="1:12" s="23" customFormat="1" x14ac:dyDescent="0.75">
      <c r="A4498" s="23" t="s">
        <v>96</v>
      </c>
      <c r="B4498" s="24">
        <v>45036</v>
      </c>
      <c r="C4498" s="23">
        <v>1</v>
      </c>
      <c r="D4498" s="23" t="s">
        <v>191</v>
      </c>
      <c r="E4498" s="52">
        <f>12-10</f>
        <v>2</v>
      </c>
      <c r="F4498" s="23" t="s">
        <v>363</v>
      </c>
      <c r="G4498" s="23" t="s">
        <v>869</v>
      </c>
      <c r="H4498" s="23" t="s">
        <v>928</v>
      </c>
      <c r="L4498" s="23" t="s">
        <v>869</v>
      </c>
    </row>
    <row r="4499" spans="1:12" s="23" customFormat="1" x14ac:dyDescent="0.75">
      <c r="A4499" s="23" t="s">
        <v>96</v>
      </c>
      <c r="B4499" s="24">
        <v>45036</v>
      </c>
      <c r="C4499" s="23">
        <v>1</v>
      </c>
      <c r="D4499" s="23" t="s">
        <v>191</v>
      </c>
      <c r="E4499" s="52">
        <f>10-5</f>
        <v>5</v>
      </c>
      <c r="F4499" s="23" t="s">
        <v>363</v>
      </c>
      <c r="G4499" s="23" t="s">
        <v>869</v>
      </c>
      <c r="H4499" s="23" t="s">
        <v>928</v>
      </c>
      <c r="L4499" s="23" t="s">
        <v>869</v>
      </c>
    </row>
    <row r="4500" spans="1:12" s="23" customFormat="1" x14ac:dyDescent="0.75">
      <c r="A4500" s="23" t="s">
        <v>96</v>
      </c>
      <c r="B4500" s="24">
        <v>45036</v>
      </c>
      <c r="C4500" s="23">
        <v>1</v>
      </c>
      <c r="D4500" s="23" t="s">
        <v>191</v>
      </c>
      <c r="E4500" s="52">
        <f>5-4</f>
        <v>1</v>
      </c>
      <c r="F4500" s="23" t="s">
        <v>363</v>
      </c>
      <c r="G4500" s="23" t="s">
        <v>869</v>
      </c>
      <c r="H4500" s="23" t="s">
        <v>928</v>
      </c>
      <c r="L4500" s="23" t="s">
        <v>869</v>
      </c>
    </row>
    <row r="4501" spans="1:12" s="23" customFormat="1" x14ac:dyDescent="0.75">
      <c r="A4501" s="23" t="s">
        <v>96</v>
      </c>
      <c r="B4501" s="24">
        <v>45036</v>
      </c>
      <c r="C4501" s="23">
        <v>1</v>
      </c>
      <c r="D4501" s="23" t="s">
        <v>197</v>
      </c>
      <c r="E4501" s="52">
        <f>4-3</f>
        <v>1</v>
      </c>
      <c r="F4501" s="23" t="s">
        <v>363</v>
      </c>
      <c r="G4501" s="23" t="s">
        <v>869</v>
      </c>
      <c r="H4501" s="23" t="s">
        <v>928</v>
      </c>
      <c r="L4501" s="23" t="s">
        <v>869</v>
      </c>
    </row>
    <row r="4502" spans="1:12" s="23" customFormat="1" x14ac:dyDescent="0.75">
      <c r="A4502" s="23" t="s">
        <v>96</v>
      </c>
      <c r="B4502" s="24">
        <v>45036</v>
      </c>
      <c r="C4502" s="23">
        <v>1</v>
      </c>
      <c r="D4502" s="23" t="s">
        <v>191</v>
      </c>
      <c r="E4502" s="52">
        <f>3-2</f>
        <v>1</v>
      </c>
      <c r="F4502" s="23" t="s">
        <v>363</v>
      </c>
      <c r="G4502" s="23" t="s">
        <v>869</v>
      </c>
      <c r="H4502" s="23" t="s">
        <v>928</v>
      </c>
      <c r="L4502" s="23" t="s">
        <v>869</v>
      </c>
    </row>
    <row r="4503" spans="1:12" s="23" customFormat="1" x14ac:dyDescent="0.75">
      <c r="A4503" s="23" t="s">
        <v>96</v>
      </c>
      <c r="B4503" s="24">
        <v>45036</v>
      </c>
      <c r="C4503" s="23">
        <v>1</v>
      </c>
      <c r="D4503" s="23" t="s">
        <v>191</v>
      </c>
      <c r="E4503" s="52">
        <f>2-0</f>
        <v>2</v>
      </c>
      <c r="F4503" s="23" t="s">
        <v>363</v>
      </c>
      <c r="G4503" s="23" t="s">
        <v>869</v>
      </c>
      <c r="H4503" s="23" t="s">
        <v>928</v>
      </c>
      <c r="L4503" s="23" t="s">
        <v>869</v>
      </c>
    </row>
    <row r="4504" spans="1:12" x14ac:dyDescent="0.75">
      <c r="A4504" t="s">
        <v>28</v>
      </c>
      <c r="B4504" s="3">
        <v>45036</v>
      </c>
      <c r="C4504">
        <v>1</v>
      </c>
      <c r="D4504" t="s">
        <v>215</v>
      </c>
      <c r="E4504" s="22">
        <f>44-40-2</f>
        <v>2</v>
      </c>
      <c r="F4504" t="s">
        <v>363</v>
      </c>
      <c r="G4504" t="s">
        <v>361</v>
      </c>
      <c r="H4504" t="s">
        <v>928</v>
      </c>
      <c r="K4504" t="s">
        <v>933</v>
      </c>
      <c r="L4504" t="s">
        <v>869</v>
      </c>
    </row>
    <row r="4505" spans="1:12" x14ac:dyDescent="0.75">
      <c r="A4505" t="s">
        <v>28</v>
      </c>
      <c r="B4505" s="3">
        <v>45036</v>
      </c>
      <c r="C4505">
        <v>1</v>
      </c>
      <c r="D4505" t="s">
        <v>191</v>
      </c>
      <c r="E4505" s="22">
        <f>40-39</f>
        <v>1</v>
      </c>
      <c r="F4505" t="s">
        <v>363</v>
      </c>
      <c r="G4505" t="s">
        <v>361</v>
      </c>
      <c r="H4505" t="s">
        <v>928</v>
      </c>
      <c r="L4505" t="s">
        <v>869</v>
      </c>
    </row>
    <row r="4506" spans="1:12" x14ac:dyDescent="0.75">
      <c r="A4506" t="s">
        <v>28</v>
      </c>
      <c r="B4506" s="3">
        <v>45036</v>
      </c>
      <c r="C4506">
        <v>1</v>
      </c>
      <c r="D4506" t="s">
        <v>168</v>
      </c>
      <c r="E4506" s="22">
        <f>39-36</f>
        <v>3</v>
      </c>
      <c r="F4506" t="s">
        <v>363</v>
      </c>
      <c r="G4506" t="s">
        <v>361</v>
      </c>
      <c r="H4506" t="s">
        <v>928</v>
      </c>
      <c r="L4506" t="s">
        <v>869</v>
      </c>
    </row>
    <row r="4507" spans="1:12" x14ac:dyDescent="0.75">
      <c r="A4507" t="s">
        <v>28</v>
      </c>
      <c r="B4507" s="3">
        <v>45036</v>
      </c>
      <c r="C4507">
        <v>1</v>
      </c>
      <c r="D4507" t="s">
        <v>207</v>
      </c>
      <c r="E4507" s="22">
        <f>36-28</f>
        <v>8</v>
      </c>
      <c r="F4507" t="s">
        <v>363</v>
      </c>
      <c r="G4507" t="s">
        <v>361</v>
      </c>
      <c r="H4507" t="s">
        <v>928</v>
      </c>
      <c r="K4507" t="s">
        <v>942</v>
      </c>
      <c r="L4507" t="s">
        <v>869</v>
      </c>
    </row>
    <row r="4508" spans="1:12" x14ac:dyDescent="0.75">
      <c r="A4508" t="s">
        <v>28</v>
      </c>
      <c r="B4508" s="3">
        <v>45036</v>
      </c>
      <c r="C4508">
        <v>1</v>
      </c>
      <c r="D4508" t="s">
        <v>197</v>
      </c>
      <c r="E4508" s="22">
        <f>40-36</f>
        <v>4</v>
      </c>
      <c r="F4508" t="s">
        <v>363</v>
      </c>
      <c r="G4508" t="s">
        <v>869</v>
      </c>
      <c r="H4508" t="s">
        <v>928</v>
      </c>
      <c r="L4508" t="s">
        <v>869</v>
      </c>
    </row>
    <row r="4509" spans="1:12" x14ac:dyDescent="0.75">
      <c r="A4509" t="s">
        <v>28</v>
      </c>
      <c r="B4509" s="3">
        <v>45036</v>
      </c>
      <c r="C4509">
        <v>1</v>
      </c>
      <c r="D4509" t="s">
        <v>201</v>
      </c>
      <c r="E4509" s="22">
        <f>36-35</f>
        <v>1</v>
      </c>
      <c r="F4509" t="s">
        <v>363</v>
      </c>
      <c r="G4509" t="s">
        <v>869</v>
      </c>
      <c r="H4509" t="s">
        <v>928</v>
      </c>
      <c r="L4509" t="s">
        <v>869</v>
      </c>
    </row>
    <row r="4510" spans="1:12" x14ac:dyDescent="0.75">
      <c r="A4510" t="s">
        <v>28</v>
      </c>
      <c r="B4510" s="3">
        <v>45036</v>
      </c>
      <c r="C4510">
        <v>1</v>
      </c>
      <c r="D4510" t="s">
        <v>201</v>
      </c>
      <c r="E4510" s="22">
        <f>36-35</f>
        <v>1</v>
      </c>
      <c r="F4510" t="s">
        <v>363</v>
      </c>
      <c r="G4510" t="s">
        <v>869</v>
      </c>
      <c r="H4510" t="s">
        <v>928</v>
      </c>
      <c r="K4510" t="s">
        <v>943</v>
      </c>
      <c r="L4510" t="s">
        <v>869</v>
      </c>
    </row>
    <row r="4511" spans="1:12" x14ac:dyDescent="0.75">
      <c r="A4511" t="s">
        <v>28</v>
      </c>
      <c r="B4511" s="3">
        <v>45036</v>
      </c>
      <c r="C4511">
        <v>1</v>
      </c>
      <c r="D4511" t="s">
        <v>201</v>
      </c>
      <c r="E4511" s="22">
        <f>35-12</f>
        <v>23</v>
      </c>
      <c r="F4511" t="s">
        <v>363</v>
      </c>
      <c r="G4511" t="s">
        <v>869</v>
      </c>
      <c r="H4511" t="s">
        <v>928</v>
      </c>
      <c r="L4511" t="s">
        <v>869</v>
      </c>
    </row>
    <row r="4512" spans="1:12" x14ac:dyDescent="0.75">
      <c r="A4512" t="s">
        <v>28</v>
      </c>
      <c r="B4512" s="3">
        <v>45036</v>
      </c>
      <c r="C4512">
        <v>1</v>
      </c>
      <c r="D4512" t="s">
        <v>191</v>
      </c>
      <c r="E4512" s="22">
        <f>12-11</f>
        <v>1</v>
      </c>
      <c r="F4512" t="s">
        <v>363</v>
      </c>
      <c r="G4512" t="s">
        <v>869</v>
      </c>
      <c r="H4512" t="s">
        <v>928</v>
      </c>
      <c r="L4512" t="s">
        <v>869</v>
      </c>
    </row>
    <row r="4513" spans="1:12" x14ac:dyDescent="0.75">
      <c r="A4513" t="s">
        <v>28</v>
      </c>
      <c r="B4513" s="3">
        <v>45036</v>
      </c>
      <c r="C4513">
        <v>1</v>
      </c>
      <c r="D4513" t="s">
        <v>168</v>
      </c>
      <c r="E4513" s="22">
        <f>1</f>
        <v>1</v>
      </c>
      <c r="F4513" t="s">
        <v>363</v>
      </c>
      <c r="G4513" t="s">
        <v>869</v>
      </c>
      <c r="H4513" t="s">
        <v>928</v>
      </c>
      <c r="L4513" t="s">
        <v>869</v>
      </c>
    </row>
    <row r="4514" spans="1:12" x14ac:dyDescent="0.75">
      <c r="A4514" t="s">
        <v>28</v>
      </c>
      <c r="B4514" s="3">
        <v>45036</v>
      </c>
      <c r="C4514">
        <v>1</v>
      </c>
      <c r="D4514" t="s">
        <v>207</v>
      </c>
      <c r="E4514" s="22">
        <f>11-10</f>
        <v>1</v>
      </c>
      <c r="F4514" t="s">
        <v>363</v>
      </c>
      <c r="G4514" t="s">
        <v>869</v>
      </c>
      <c r="H4514" t="s">
        <v>928</v>
      </c>
      <c r="L4514" t="s">
        <v>869</v>
      </c>
    </row>
    <row r="4515" spans="1:12" x14ac:dyDescent="0.75">
      <c r="A4515" t="s">
        <v>28</v>
      </c>
      <c r="B4515" s="3">
        <v>45036</v>
      </c>
      <c r="C4515">
        <v>1</v>
      </c>
      <c r="D4515" t="s">
        <v>207</v>
      </c>
      <c r="E4515" s="22">
        <f>10-6</f>
        <v>4</v>
      </c>
      <c r="F4515" t="s">
        <v>363</v>
      </c>
      <c r="G4515" t="s">
        <v>869</v>
      </c>
      <c r="H4515" t="s">
        <v>928</v>
      </c>
      <c r="L4515" t="s">
        <v>869</v>
      </c>
    </row>
    <row r="4516" spans="1:12" x14ac:dyDescent="0.75">
      <c r="A4516" t="s">
        <v>28</v>
      </c>
      <c r="B4516" s="3">
        <v>45036</v>
      </c>
      <c r="C4516">
        <v>1</v>
      </c>
      <c r="D4516" t="s">
        <v>207</v>
      </c>
      <c r="E4516" s="22">
        <f>6-0</f>
        <v>6</v>
      </c>
      <c r="F4516" t="s">
        <v>363</v>
      </c>
      <c r="G4516" t="s">
        <v>869</v>
      </c>
      <c r="H4516" t="s">
        <v>928</v>
      </c>
      <c r="L4516" t="s">
        <v>869</v>
      </c>
    </row>
    <row r="4517" spans="1:12" x14ac:dyDescent="0.75">
      <c r="A4517" t="s">
        <v>28</v>
      </c>
      <c r="B4517" s="3">
        <v>45036</v>
      </c>
      <c r="C4517">
        <v>1</v>
      </c>
      <c r="D4517" t="s">
        <v>207</v>
      </c>
      <c r="E4517" s="22">
        <f>2-1</f>
        <v>1</v>
      </c>
      <c r="F4517" t="s">
        <v>363</v>
      </c>
      <c r="G4517" t="s">
        <v>869</v>
      </c>
      <c r="H4517" t="s">
        <v>928</v>
      </c>
      <c r="L4517" t="s">
        <v>869</v>
      </c>
    </row>
    <row r="4518" spans="1:12" x14ac:dyDescent="0.75">
      <c r="A4518" t="s">
        <v>28</v>
      </c>
      <c r="B4518" s="3">
        <v>45036</v>
      </c>
      <c r="C4518">
        <v>1</v>
      </c>
      <c r="D4518" t="s">
        <v>168</v>
      </c>
      <c r="E4518" s="22">
        <f>31-16</f>
        <v>15</v>
      </c>
      <c r="F4518" t="s">
        <v>363</v>
      </c>
      <c r="G4518" t="s">
        <v>869</v>
      </c>
      <c r="H4518" t="s">
        <v>928</v>
      </c>
      <c r="L4518" t="s">
        <v>869</v>
      </c>
    </row>
    <row r="4519" spans="1:12" x14ac:dyDescent="0.75">
      <c r="A4519" t="s">
        <v>28</v>
      </c>
      <c r="B4519" s="3">
        <v>45036</v>
      </c>
      <c r="C4519">
        <v>1</v>
      </c>
      <c r="D4519" t="s">
        <v>207</v>
      </c>
      <c r="E4519" s="22">
        <f>16-12</f>
        <v>4</v>
      </c>
      <c r="F4519" t="s">
        <v>363</v>
      </c>
      <c r="G4519" t="s">
        <v>869</v>
      </c>
      <c r="H4519" t="s">
        <v>928</v>
      </c>
      <c r="L4519" t="s">
        <v>869</v>
      </c>
    </row>
    <row r="4520" spans="1:12" x14ac:dyDescent="0.75">
      <c r="A4520" t="s">
        <v>28</v>
      </c>
      <c r="B4520" s="3">
        <v>45036</v>
      </c>
      <c r="C4520">
        <v>1</v>
      </c>
      <c r="D4520" t="s">
        <v>207</v>
      </c>
      <c r="E4520" s="22">
        <f>12-11</f>
        <v>1</v>
      </c>
      <c r="F4520" t="s">
        <v>363</v>
      </c>
      <c r="G4520" t="s">
        <v>869</v>
      </c>
      <c r="H4520" t="s">
        <v>928</v>
      </c>
      <c r="L4520" t="s">
        <v>869</v>
      </c>
    </row>
    <row r="4521" spans="1:12" s="23" customFormat="1" x14ac:dyDescent="0.75">
      <c r="A4521" s="23" t="s">
        <v>116</v>
      </c>
      <c r="B4521" s="24">
        <v>45041</v>
      </c>
      <c r="C4521" s="23">
        <v>1</v>
      </c>
      <c r="D4521" s="23" t="s">
        <v>191</v>
      </c>
      <c r="E4521" s="52">
        <f>44-42</f>
        <v>2</v>
      </c>
      <c r="F4521" s="23" t="s">
        <v>363</v>
      </c>
      <c r="G4521" s="23" t="s">
        <v>627</v>
      </c>
      <c r="H4521" s="23" t="s">
        <v>928</v>
      </c>
      <c r="L4521" s="23" t="s">
        <v>869</v>
      </c>
    </row>
    <row r="4522" spans="1:12" s="23" customFormat="1" x14ac:dyDescent="0.75">
      <c r="A4522" s="23" t="s">
        <v>116</v>
      </c>
      <c r="B4522" s="24">
        <v>45041</v>
      </c>
      <c r="C4522" s="23">
        <v>1</v>
      </c>
      <c r="D4522" s="23" t="s">
        <v>191</v>
      </c>
      <c r="E4522" s="52" t="s">
        <v>930</v>
      </c>
      <c r="F4522" s="23" t="s">
        <v>363</v>
      </c>
      <c r="G4522" s="23" t="s">
        <v>627</v>
      </c>
      <c r="H4522" s="23" t="s">
        <v>928</v>
      </c>
      <c r="K4522" s="23" t="s">
        <v>944</v>
      </c>
      <c r="L4522" s="23" t="s">
        <v>869</v>
      </c>
    </row>
    <row r="4523" spans="1:12" s="23" customFormat="1" x14ac:dyDescent="0.75">
      <c r="A4523" s="23" t="s">
        <v>116</v>
      </c>
      <c r="B4523" s="24">
        <v>45041</v>
      </c>
      <c r="C4523" s="23">
        <v>1</v>
      </c>
      <c r="D4523" s="23" t="s">
        <v>201</v>
      </c>
      <c r="E4523" s="52">
        <f>51-21-2</f>
        <v>28</v>
      </c>
      <c r="F4523" s="23" t="s">
        <v>363</v>
      </c>
      <c r="G4523" s="23" t="s">
        <v>361</v>
      </c>
      <c r="H4523" s="23" t="s">
        <v>928</v>
      </c>
      <c r="K4523" s="23" t="s">
        <v>933</v>
      </c>
      <c r="L4523" s="23" t="s">
        <v>869</v>
      </c>
    </row>
    <row r="4524" spans="1:12" s="23" customFormat="1" x14ac:dyDescent="0.75">
      <c r="A4524" s="23" t="s">
        <v>116</v>
      </c>
      <c r="B4524" s="24">
        <v>45041</v>
      </c>
      <c r="C4524" s="23">
        <v>1</v>
      </c>
      <c r="D4524" s="23" t="s">
        <v>207</v>
      </c>
      <c r="E4524" s="52">
        <f>21-6</f>
        <v>15</v>
      </c>
      <c r="F4524" s="23">
        <v>912</v>
      </c>
      <c r="G4524" s="23" t="s">
        <v>361</v>
      </c>
      <c r="H4524" s="23" t="s">
        <v>390</v>
      </c>
      <c r="L4524" s="23" t="s">
        <v>869</v>
      </c>
    </row>
    <row r="4525" spans="1:12" s="23" customFormat="1" x14ac:dyDescent="0.75">
      <c r="A4525" s="23" t="s">
        <v>116</v>
      </c>
      <c r="B4525" s="24">
        <v>45041</v>
      </c>
      <c r="C4525" s="23">
        <v>1</v>
      </c>
      <c r="D4525" s="23" t="s">
        <v>207</v>
      </c>
      <c r="E4525" s="52">
        <f>6-1</f>
        <v>5</v>
      </c>
      <c r="F4525" s="23">
        <v>920</v>
      </c>
      <c r="G4525" s="23" t="s">
        <v>361</v>
      </c>
      <c r="H4525" s="23" t="s">
        <v>390</v>
      </c>
      <c r="L4525" s="23" t="s">
        <v>869</v>
      </c>
    </row>
    <row r="4526" spans="1:12" x14ac:dyDescent="0.75">
      <c r="A4526" t="s">
        <v>116</v>
      </c>
      <c r="B4526" s="3">
        <v>45041</v>
      </c>
      <c r="C4526">
        <v>2</v>
      </c>
      <c r="D4526" t="s">
        <v>176</v>
      </c>
      <c r="E4526" s="22">
        <f>41-26</f>
        <v>15</v>
      </c>
      <c r="F4526">
        <v>928</v>
      </c>
      <c r="G4526" t="s">
        <v>627</v>
      </c>
      <c r="H4526" t="s">
        <v>390</v>
      </c>
      <c r="L4526" t="s">
        <v>869</v>
      </c>
    </row>
    <row r="4527" spans="1:12" x14ac:dyDescent="0.75">
      <c r="A4527" t="s">
        <v>116</v>
      </c>
      <c r="B4527" s="3">
        <v>45041</v>
      </c>
      <c r="C4527">
        <v>2</v>
      </c>
      <c r="D4527" t="s">
        <v>176</v>
      </c>
      <c r="E4527" s="22">
        <f>26-20</f>
        <v>6</v>
      </c>
      <c r="F4527" t="s">
        <v>363</v>
      </c>
      <c r="G4527" t="s">
        <v>627</v>
      </c>
      <c r="H4527" t="s">
        <v>928</v>
      </c>
      <c r="L4527" t="s">
        <v>869</v>
      </c>
    </row>
    <row r="4528" spans="1:12" x14ac:dyDescent="0.75">
      <c r="A4528" t="s">
        <v>116</v>
      </c>
      <c r="B4528" s="3">
        <v>45041</v>
      </c>
      <c r="C4528">
        <v>2</v>
      </c>
      <c r="D4528" t="s">
        <v>191</v>
      </c>
      <c r="E4528" s="22">
        <f>20-13</f>
        <v>7</v>
      </c>
      <c r="F4528" t="s">
        <v>363</v>
      </c>
      <c r="G4528" t="s">
        <v>627</v>
      </c>
      <c r="H4528" t="s">
        <v>928</v>
      </c>
      <c r="L4528" t="s">
        <v>869</v>
      </c>
    </row>
    <row r="4529" spans="1:12" x14ac:dyDescent="0.75">
      <c r="A4529" t="s">
        <v>116</v>
      </c>
      <c r="B4529" s="3">
        <v>45041</v>
      </c>
      <c r="C4529">
        <v>2</v>
      </c>
      <c r="D4529" t="s">
        <v>164</v>
      </c>
      <c r="E4529" s="22">
        <f>38-0-1</f>
        <v>37</v>
      </c>
      <c r="F4529">
        <v>940</v>
      </c>
      <c r="G4529" t="s">
        <v>361</v>
      </c>
      <c r="H4529" t="s">
        <v>390</v>
      </c>
      <c r="K4529" t="s">
        <v>935</v>
      </c>
      <c r="L4529" t="s">
        <v>869</v>
      </c>
    </row>
    <row r="4530" spans="1:12" x14ac:dyDescent="0.75">
      <c r="A4530" t="s">
        <v>116</v>
      </c>
      <c r="B4530" s="3">
        <v>45041</v>
      </c>
      <c r="C4530">
        <v>2</v>
      </c>
      <c r="D4530" t="s">
        <v>201</v>
      </c>
      <c r="E4530" s="22">
        <f>41-36-1</f>
        <v>4</v>
      </c>
      <c r="F4530" t="s">
        <v>363</v>
      </c>
      <c r="G4530" t="s">
        <v>361</v>
      </c>
      <c r="H4530" t="s">
        <v>928</v>
      </c>
      <c r="K4530" t="s">
        <v>935</v>
      </c>
      <c r="L4530" t="s">
        <v>869</v>
      </c>
    </row>
    <row r="4531" spans="1:12" x14ac:dyDescent="0.75">
      <c r="A4531" t="s">
        <v>116</v>
      </c>
      <c r="B4531" s="3">
        <v>45041</v>
      </c>
      <c r="C4531">
        <v>2</v>
      </c>
      <c r="D4531" t="s">
        <v>164</v>
      </c>
      <c r="E4531" s="22">
        <f>36-15</f>
        <v>21</v>
      </c>
      <c r="F4531">
        <v>911</v>
      </c>
      <c r="G4531" t="s">
        <v>361</v>
      </c>
      <c r="H4531" t="s">
        <v>390</v>
      </c>
      <c r="L4531" t="s">
        <v>869</v>
      </c>
    </row>
    <row r="4532" spans="1:12" s="23" customFormat="1" x14ac:dyDescent="0.75">
      <c r="A4532" s="23" t="s">
        <v>116</v>
      </c>
      <c r="B4532" s="24">
        <v>45041</v>
      </c>
      <c r="C4532" s="23">
        <v>3</v>
      </c>
      <c r="D4532" s="23" t="s">
        <v>191</v>
      </c>
      <c r="E4532" s="52">
        <f>48-9</f>
        <v>39</v>
      </c>
      <c r="F4532" s="23" t="s">
        <v>363</v>
      </c>
      <c r="G4532" s="23" t="s">
        <v>627</v>
      </c>
      <c r="H4532" s="23" t="s">
        <v>928</v>
      </c>
      <c r="L4532" s="23" t="s">
        <v>869</v>
      </c>
    </row>
    <row r="4533" spans="1:12" s="23" customFormat="1" x14ac:dyDescent="0.75">
      <c r="A4533" s="23" t="s">
        <v>116</v>
      </c>
      <c r="B4533" s="24">
        <v>45041</v>
      </c>
      <c r="C4533" s="23">
        <v>3</v>
      </c>
      <c r="D4533" s="23" t="s">
        <v>164</v>
      </c>
      <c r="E4533" s="52">
        <f>46-20</f>
        <v>26</v>
      </c>
      <c r="F4533" s="23" t="s">
        <v>363</v>
      </c>
      <c r="G4533" s="23" t="s">
        <v>627</v>
      </c>
      <c r="H4533" s="23" t="s">
        <v>928</v>
      </c>
      <c r="L4533" s="23" t="s">
        <v>869</v>
      </c>
    </row>
    <row r="4534" spans="1:12" s="23" customFormat="1" x14ac:dyDescent="0.75">
      <c r="A4534" s="23" t="s">
        <v>116</v>
      </c>
      <c r="B4534" s="24">
        <v>45041</v>
      </c>
      <c r="C4534" s="23">
        <v>3</v>
      </c>
      <c r="D4534" s="23" t="s">
        <v>176</v>
      </c>
      <c r="E4534" s="52">
        <f>20-14</f>
        <v>6</v>
      </c>
      <c r="F4534" s="23" t="s">
        <v>363</v>
      </c>
      <c r="G4534" s="23" t="s">
        <v>627</v>
      </c>
      <c r="H4534" s="23" t="s">
        <v>928</v>
      </c>
      <c r="L4534" s="23" t="s">
        <v>869</v>
      </c>
    </row>
    <row r="4535" spans="1:12" s="23" customFormat="1" x14ac:dyDescent="0.75">
      <c r="A4535" s="23" t="s">
        <v>116</v>
      </c>
      <c r="B4535" s="24">
        <v>45041</v>
      </c>
      <c r="C4535" s="23">
        <v>3</v>
      </c>
      <c r="D4535" s="23" t="s">
        <v>201</v>
      </c>
      <c r="E4535" s="52">
        <f>14-3+8-0+5-0</f>
        <v>24</v>
      </c>
      <c r="F4535" s="23" t="s">
        <v>363</v>
      </c>
      <c r="G4535" s="23" t="s">
        <v>627</v>
      </c>
      <c r="H4535" s="23" t="s">
        <v>928</v>
      </c>
      <c r="L4535" s="23" t="s">
        <v>869</v>
      </c>
    </row>
    <row r="4536" spans="1:12" s="23" customFormat="1" x14ac:dyDescent="0.75">
      <c r="A4536" s="23" t="s">
        <v>116</v>
      </c>
      <c r="B4536" s="24">
        <v>45041</v>
      </c>
      <c r="C4536" s="23">
        <v>3</v>
      </c>
      <c r="D4536" s="23" t="s">
        <v>201</v>
      </c>
      <c r="E4536" s="52">
        <f>52-42-2</f>
        <v>8</v>
      </c>
      <c r="F4536" s="23">
        <v>921</v>
      </c>
      <c r="G4536" s="23" t="s">
        <v>361</v>
      </c>
      <c r="H4536" s="23" t="s">
        <v>390</v>
      </c>
      <c r="K4536" s="23" t="s">
        <v>933</v>
      </c>
      <c r="L4536" s="23" t="s">
        <v>869</v>
      </c>
    </row>
    <row r="4537" spans="1:12" s="23" customFormat="1" x14ac:dyDescent="0.75">
      <c r="A4537" s="23" t="s">
        <v>116</v>
      </c>
      <c r="B4537" s="24">
        <v>45041</v>
      </c>
      <c r="C4537" s="23">
        <v>3</v>
      </c>
      <c r="D4537" s="23" t="s">
        <v>164</v>
      </c>
      <c r="E4537" s="52">
        <f>42-36</f>
        <v>6</v>
      </c>
      <c r="F4537" s="23">
        <v>922</v>
      </c>
      <c r="G4537" s="23" t="s">
        <v>361</v>
      </c>
      <c r="H4537" s="23" t="s">
        <v>390</v>
      </c>
      <c r="L4537" s="23" t="s">
        <v>869</v>
      </c>
    </row>
    <row r="4538" spans="1:12" s="23" customFormat="1" x14ac:dyDescent="0.75">
      <c r="A4538" s="23" t="s">
        <v>116</v>
      </c>
      <c r="B4538" s="24">
        <v>45041</v>
      </c>
      <c r="C4538" s="23">
        <v>3</v>
      </c>
      <c r="D4538" s="23" t="s">
        <v>201</v>
      </c>
      <c r="E4538" s="52">
        <f>36-8</f>
        <v>28</v>
      </c>
      <c r="F4538" s="23">
        <v>982</v>
      </c>
      <c r="G4538" s="23" t="s">
        <v>361</v>
      </c>
      <c r="H4538" s="23" t="s">
        <v>390</v>
      </c>
      <c r="L4538" s="23" t="s">
        <v>869</v>
      </c>
    </row>
    <row r="4539" spans="1:12" x14ac:dyDescent="0.75">
      <c r="A4539" t="s">
        <v>116</v>
      </c>
      <c r="B4539" s="3">
        <v>45042</v>
      </c>
      <c r="C4539">
        <v>1</v>
      </c>
      <c r="D4539" t="s">
        <v>164</v>
      </c>
      <c r="E4539" s="22">
        <f>40-36</f>
        <v>4</v>
      </c>
      <c r="F4539">
        <v>941</v>
      </c>
      <c r="G4539" t="s">
        <v>361</v>
      </c>
      <c r="H4539" t="s">
        <v>390</v>
      </c>
      <c r="L4539" t="s">
        <v>869</v>
      </c>
    </row>
    <row r="4540" spans="1:12" x14ac:dyDescent="0.75">
      <c r="A4540" t="s">
        <v>116</v>
      </c>
      <c r="B4540" s="3">
        <v>45042</v>
      </c>
      <c r="C4540">
        <v>1</v>
      </c>
      <c r="D4540" t="s">
        <v>201</v>
      </c>
      <c r="E4540" s="22">
        <f>36-13</f>
        <v>23</v>
      </c>
      <c r="F4540">
        <v>983</v>
      </c>
      <c r="G4540" t="s">
        <v>361</v>
      </c>
      <c r="H4540" t="s">
        <v>390</v>
      </c>
      <c r="L4540" t="s">
        <v>869</v>
      </c>
    </row>
    <row r="4541" spans="1:12" s="23" customFormat="1" x14ac:dyDescent="0.75">
      <c r="A4541" s="23" t="s">
        <v>116</v>
      </c>
      <c r="B4541" s="24">
        <v>45042</v>
      </c>
      <c r="C4541" s="23">
        <v>2</v>
      </c>
      <c r="D4541" s="23" t="s">
        <v>187</v>
      </c>
      <c r="E4541" s="52">
        <f>57-15</f>
        <v>42</v>
      </c>
      <c r="F4541" s="23">
        <v>916</v>
      </c>
      <c r="G4541" s="23" t="s">
        <v>361</v>
      </c>
      <c r="H4541" s="23" t="s">
        <v>390</v>
      </c>
      <c r="L4541" s="23" t="s">
        <v>869</v>
      </c>
    </row>
    <row r="4542" spans="1:12" s="23" customFormat="1" x14ac:dyDescent="0.75">
      <c r="A4542" s="23" t="s">
        <v>116</v>
      </c>
      <c r="B4542" s="24">
        <v>45042</v>
      </c>
      <c r="C4542" s="23">
        <v>2</v>
      </c>
      <c r="D4542" s="23" t="s">
        <v>201</v>
      </c>
      <c r="E4542" s="52">
        <f>42-27-2</f>
        <v>13</v>
      </c>
      <c r="F4542" s="23" t="s">
        <v>363</v>
      </c>
      <c r="G4542" s="23" t="s">
        <v>361</v>
      </c>
      <c r="H4542" s="23" t="s">
        <v>928</v>
      </c>
      <c r="K4542" s="23" t="s">
        <v>933</v>
      </c>
      <c r="L4542" s="23" t="s">
        <v>869</v>
      </c>
    </row>
    <row r="4543" spans="1:12" s="23" customFormat="1" x14ac:dyDescent="0.75">
      <c r="A4543" s="23" t="s">
        <v>116</v>
      </c>
      <c r="B4543" s="24">
        <v>45042</v>
      </c>
      <c r="C4543" s="23">
        <v>2</v>
      </c>
      <c r="D4543" s="23" t="s">
        <v>164</v>
      </c>
      <c r="E4543" s="52">
        <f>27-17</f>
        <v>10</v>
      </c>
      <c r="F4543" s="23">
        <v>967</v>
      </c>
      <c r="G4543" s="23" t="s">
        <v>361</v>
      </c>
      <c r="H4543" s="23" t="s">
        <v>390</v>
      </c>
      <c r="L4543" s="23" t="s">
        <v>869</v>
      </c>
    </row>
    <row r="4544" spans="1:12" s="23" customFormat="1" x14ac:dyDescent="0.75">
      <c r="A4544" s="23" t="s">
        <v>116</v>
      </c>
      <c r="B4544" s="24">
        <v>45042</v>
      </c>
      <c r="C4544" s="23">
        <v>2</v>
      </c>
      <c r="D4544" s="23" t="s">
        <v>157</v>
      </c>
      <c r="E4544" s="52">
        <f>17-14</f>
        <v>3</v>
      </c>
      <c r="F4544" s="23">
        <v>999</v>
      </c>
      <c r="G4544" s="23" t="s">
        <v>361</v>
      </c>
      <c r="H4544" s="23" t="s">
        <v>390</v>
      </c>
      <c r="L4544" s="23" t="s">
        <v>869</v>
      </c>
    </row>
    <row r="4545" spans="1:12" x14ac:dyDescent="0.75">
      <c r="A4545" t="s">
        <v>116</v>
      </c>
      <c r="B4545" s="3">
        <v>45042</v>
      </c>
      <c r="C4545">
        <v>3</v>
      </c>
      <c r="D4545" t="s">
        <v>197</v>
      </c>
      <c r="E4545" s="22">
        <f>40-32-2</f>
        <v>6</v>
      </c>
      <c r="F4545" t="s">
        <v>363</v>
      </c>
      <c r="G4545" t="s">
        <v>627</v>
      </c>
      <c r="H4545" t="s">
        <v>928</v>
      </c>
      <c r="K4545" t="s">
        <v>933</v>
      </c>
      <c r="L4545" t="s">
        <v>869</v>
      </c>
    </row>
    <row r="4546" spans="1:12" x14ac:dyDescent="0.75">
      <c r="A4546" t="s">
        <v>116</v>
      </c>
      <c r="B4546" s="3">
        <v>45042</v>
      </c>
      <c r="C4546">
        <v>3</v>
      </c>
      <c r="D4546" t="s">
        <v>191</v>
      </c>
      <c r="E4546" s="22">
        <f>35-0</f>
        <v>35</v>
      </c>
      <c r="F4546" t="s">
        <v>363</v>
      </c>
      <c r="G4546" t="s">
        <v>627</v>
      </c>
      <c r="H4546" t="s">
        <v>928</v>
      </c>
      <c r="L4546" t="s">
        <v>869</v>
      </c>
    </row>
    <row r="4547" spans="1:12" x14ac:dyDescent="0.75">
      <c r="A4547" t="s">
        <v>116</v>
      </c>
      <c r="B4547" s="3">
        <v>45042</v>
      </c>
      <c r="C4547">
        <v>3</v>
      </c>
      <c r="D4547" t="s">
        <v>194</v>
      </c>
      <c r="E4547" s="22">
        <f>46-8</f>
        <v>38</v>
      </c>
      <c r="F4547" t="s">
        <v>363</v>
      </c>
      <c r="G4547" t="s">
        <v>627</v>
      </c>
      <c r="H4547" t="s">
        <v>928</v>
      </c>
      <c r="L4547" t="s">
        <v>869</v>
      </c>
    </row>
    <row r="4548" spans="1:12" x14ac:dyDescent="0.75">
      <c r="A4548" t="s">
        <v>116</v>
      </c>
      <c r="B4548" s="3">
        <v>45042</v>
      </c>
      <c r="C4548">
        <v>3</v>
      </c>
      <c r="D4548" t="s">
        <v>191</v>
      </c>
      <c r="E4548" s="22">
        <f>58-26</f>
        <v>32</v>
      </c>
      <c r="F4548" t="s">
        <v>363</v>
      </c>
      <c r="G4548" t="s">
        <v>627</v>
      </c>
      <c r="H4548" t="s">
        <v>928</v>
      </c>
      <c r="L4548" t="s">
        <v>869</v>
      </c>
    </row>
    <row r="4549" spans="1:12" x14ac:dyDescent="0.75">
      <c r="A4549" t="s">
        <v>116</v>
      </c>
      <c r="B4549" s="3">
        <v>45042</v>
      </c>
      <c r="C4549">
        <v>3</v>
      </c>
      <c r="D4549" t="s">
        <v>191</v>
      </c>
      <c r="E4549" s="22">
        <f>26-14</f>
        <v>12</v>
      </c>
      <c r="F4549" t="s">
        <v>363</v>
      </c>
      <c r="G4549" t="s">
        <v>627</v>
      </c>
      <c r="H4549" t="s">
        <v>928</v>
      </c>
      <c r="L4549" t="s">
        <v>869</v>
      </c>
    </row>
    <row r="4550" spans="1:12" x14ac:dyDescent="0.75">
      <c r="A4550" t="s">
        <v>116</v>
      </c>
      <c r="B4550" s="3">
        <v>45042</v>
      </c>
      <c r="C4550">
        <v>3</v>
      </c>
      <c r="D4550" t="s">
        <v>191</v>
      </c>
      <c r="E4550" s="22">
        <f>14-0+43-0</f>
        <v>57</v>
      </c>
      <c r="F4550" t="s">
        <v>363</v>
      </c>
      <c r="G4550" t="s">
        <v>627</v>
      </c>
      <c r="H4550" t="s">
        <v>928</v>
      </c>
      <c r="L4550" t="s">
        <v>869</v>
      </c>
    </row>
    <row r="4551" spans="1:12" x14ac:dyDescent="0.75">
      <c r="A4551" t="s">
        <v>116</v>
      </c>
      <c r="B4551" s="3">
        <v>45042</v>
      </c>
      <c r="C4551">
        <v>3</v>
      </c>
      <c r="D4551" t="s">
        <v>176</v>
      </c>
      <c r="E4551" s="22">
        <f>48-34</f>
        <v>14</v>
      </c>
      <c r="F4551" t="s">
        <v>363</v>
      </c>
      <c r="G4551" t="s">
        <v>627</v>
      </c>
      <c r="H4551" t="s">
        <v>928</v>
      </c>
      <c r="L4551" t="s">
        <v>869</v>
      </c>
    </row>
    <row r="4552" spans="1:12" x14ac:dyDescent="0.75">
      <c r="A4552" t="s">
        <v>116</v>
      </c>
      <c r="B4552" s="3">
        <v>45042</v>
      </c>
      <c r="C4552">
        <v>3</v>
      </c>
      <c r="D4552" t="s">
        <v>194</v>
      </c>
      <c r="E4552" s="22">
        <f>26-16</f>
        <v>10</v>
      </c>
      <c r="F4552" t="s">
        <v>363</v>
      </c>
      <c r="G4552" t="s">
        <v>627</v>
      </c>
      <c r="H4552" t="s">
        <v>928</v>
      </c>
      <c r="L4552" t="s">
        <v>869</v>
      </c>
    </row>
    <row r="4553" spans="1:12" x14ac:dyDescent="0.75">
      <c r="A4553" t="s">
        <v>116</v>
      </c>
      <c r="B4553" s="3">
        <v>45042</v>
      </c>
      <c r="C4553">
        <v>3</v>
      </c>
      <c r="D4553" t="s">
        <v>197</v>
      </c>
      <c r="E4553" s="22">
        <f>12-4</f>
        <v>8</v>
      </c>
      <c r="F4553" t="s">
        <v>363</v>
      </c>
      <c r="G4553" t="s">
        <v>627</v>
      </c>
      <c r="H4553" t="s">
        <v>928</v>
      </c>
      <c r="L4553" t="s">
        <v>869</v>
      </c>
    </row>
    <row r="4554" spans="1:12" x14ac:dyDescent="0.75">
      <c r="A4554" t="s">
        <v>116</v>
      </c>
      <c r="B4554" s="3">
        <v>45042</v>
      </c>
      <c r="C4554">
        <v>3</v>
      </c>
      <c r="D4554" t="s">
        <v>201</v>
      </c>
      <c r="E4554" s="22">
        <f>14-4</f>
        <v>10</v>
      </c>
      <c r="F4554" t="s">
        <v>363</v>
      </c>
      <c r="G4554" t="s">
        <v>361</v>
      </c>
      <c r="H4554" t="s">
        <v>928</v>
      </c>
      <c r="L4554" t="s">
        <v>869</v>
      </c>
    </row>
    <row r="4555" spans="1:12" x14ac:dyDescent="0.75">
      <c r="A4555" t="s">
        <v>116</v>
      </c>
      <c r="B4555" s="3">
        <v>45042</v>
      </c>
      <c r="C4555">
        <v>3</v>
      </c>
      <c r="D4555" t="s">
        <v>164</v>
      </c>
      <c r="E4555" s="22">
        <f>4-0+13-7</f>
        <v>10</v>
      </c>
      <c r="F4555" t="s">
        <v>363</v>
      </c>
      <c r="G4555" t="s">
        <v>361</v>
      </c>
      <c r="H4555" t="s">
        <v>928</v>
      </c>
      <c r="L4555" t="s">
        <v>869</v>
      </c>
    </row>
    <row r="4556" spans="1:12" x14ac:dyDescent="0.75">
      <c r="A4556" t="s">
        <v>116</v>
      </c>
      <c r="B4556" s="3">
        <v>45042</v>
      </c>
      <c r="C4556">
        <v>3</v>
      </c>
      <c r="D4556" t="s">
        <v>176</v>
      </c>
      <c r="E4556" s="22">
        <f>7-0+15-6</f>
        <v>16</v>
      </c>
      <c r="F4556" t="s">
        <v>363</v>
      </c>
      <c r="G4556" t="s">
        <v>361</v>
      </c>
      <c r="H4556" t="s">
        <v>928</v>
      </c>
      <c r="L4556" t="s">
        <v>869</v>
      </c>
    </row>
    <row r="4557" spans="1:12" x14ac:dyDescent="0.75">
      <c r="A4557" t="s">
        <v>116</v>
      </c>
      <c r="B4557" s="3">
        <v>45042</v>
      </c>
      <c r="C4557">
        <v>3</v>
      </c>
      <c r="D4557" t="s">
        <v>201</v>
      </c>
      <c r="E4557" s="22">
        <f>6-0</f>
        <v>6</v>
      </c>
      <c r="F4557" t="s">
        <v>363</v>
      </c>
      <c r="G4557" t="s">
        <v>361</v>
      </c>
      <c r="H4557" t="s">
        <v>928</v>
      </c>
      <c r="L4557" t="s">
        <v>869</v>
      </c>
    </row>
    <row r="4558" spans="1:12" x14ac:dyDescent="0.75">
      <c r="A4558" t="s">
        <v>116</v>
      </c>
      <c r="B4558" s="3">
        <v>45042</v>
      </c>
      <c r="C4558">
        <v>3</v>
      </c>
      <c r="D4558" t="s">
        <v>201</v>
      </c>
      <c r="E4558" s="22">
        <f>50-37</f>
        <v>13</v>
      </c>
      <c r="F4558" t="s">
        <v>363</v>
      </c>
      <c r="G4558" t="s">
        <v>361</v>
      </c>
      <c r="H4558" t="s">
        <v>928</v>
      </c>
      <c r="L4558" t="s">
        <v>869</v>
      </c>
    </row>
    <row r="4559" spans="1:12" x14ac:dyDescent="0.75">
      <c r="A4559" t="s">
        <v>116</v>
      </c>
      <c r="B4559" s="3">
        <v>45042</v>
      </c>
      <c r="C4559">
        <v>3</v>
      </c>
      <c r="D4559" t="s">
        <v>191</v>
      </c>
      <c r="E4559" s="22">
        <f>37-28</f>
        <v>9</v>
      </c>
      <c r="F4559" t="s">
        <v>363</v>
      </c>
      <c r="G4559" t="s">
        <v>361</v>
      </c>
      <c r="H4559" t="s">
        <v>928</v>
      </c>
      <c r="L4559" t="s">
        <v>869</v>
      </c>
    </row>
    <row r="4560" spans="1:12" x14ac:dyDescent="0.75">
      <c r="A4560" t="s">
        <v>116</v>
      </c>
      <c r="B4560" s="3">
        <v>45042</v>
      </c>
      <c r="C4560">
        <v>3</v>
      </c>
      <c r="D4560" t="s">
        <v>197</v>
      </c>
      <c r="E4560" s="22">
        <f>28-18</f>
        <v>10</v>
      </c>
      <c r="F4560" t="s">
        <v>363</v>
      </c>
      <c r="G4560" t="s">
        <v>361</v>
      </c>
      <c r="H4560" t="s">
        <v>928</v>
      </c>
      <c r="L4560" t="s">
        <v>869</v>
      </c>
    </row>
    <row r="4561" spans="1:12" x14ac:dyDescent="0.75">
      <c r="A4561" t="s">
        <v>116</v>
      </c>
      <c r="B4561" s="3">
        <v>45042</v>
      </c>
      <c r="C4561">
        <v>3</v>
      </c>
      <c r="D4561" t="s">
        <v>164</v>
      </c>
      <c r="E4561" s="22">
        <f>18-3</f>
        <v>15</v>
      </c>
      <c r="F4561" t="s">
        <v>363</v>
      </c>
      <c r="G4561" t="s">
        <v>361</v>
      </c>
      <c r="H4561" t="s">
        <v>928</v>
      </c>
      <c r="L4561" t="s">
        <v>869</v>
      </c>
    </row>
    <row r="4562" spans="1:12" x14ac:dyDescent="0.75">
      <c r="A4562" t="s">
        <v>116</v>
      </c>
      <c r="B4562" s="3">
        <v>45042</v>
      </c>
      <c r="C4562">
        <v>3</v>
      </c>
      <c r="D4562" t="s">
        <v>191</v>
      </c>
      <c r="E4562" s="22">
        <f>3-0</f>
        <v>3</v>
      </c>
      <c r="F4562" t="s">
        <v>363</v>
      </c>
      <c r="G4562" t="s">
        <v>361</v>
      </c>
      <c r="H4562" t="s">
        <v>928</v>
      </c>
      <c r="L4562" t="s">
        <v>869</v>
      </c>
    </row>
    <row r="4563" spans="1:12" x14ac:dyDescent="0.75">
      <c r="A4563" t="s">
        <v>116</v>
      </c>
      <c r="B4563" s="3">
        <v>45042</v>
      </c>
      <c r="C4563">
        <v>3</v>
      </c>
      <c r="D4563" t="s">
        <v>199</v>
      </c>
      <c r="E4563" s="22">
        <f>54-48</f>
        <v>6</v>
      </c>
      <c r="F4563" t="s">
        <v>363</v>
      </c>
      <c r="G4563" t="s">
        <v>361</v>
      </c>
      <c r="H4563" t="s">
        <v>928</v>
      </c>
      <c r="L4563" t="s">
        <v>869</v>
      </c>
    </row>
    <row r="4564" spans="1:12" x14ac:dyDescent="0.75">
      <c r="A4564" t="s">
        <v>116</v>
      </c>
      <c r="B4564" s="3">
        <v>45042</v>
      </c>
      <c r="C4564">
        <v>3</v>
      </c>
      <c r="D4564" t="s">
        <v>191</v>
      </c>
      <c r="E4564" s="22">
        <f>43-26-2</f>
        <v>15</v>
      </c>
      <c r="F4564" t="s">
        <v>363</v>
      </c>
      <c r="G4564" t="s">
        <v>361</v>
      </c>
      <c r="H4564" t="s">
        <v>928</v>
      </c>
      <c r="K4564" t="s">
        <v>933</v>
      </c>
      <c r="L4564" t="s">
        <v>869</v>
      </c>
    </row>
    <row r="4565" spans="1:12" x14ac:dyDescent="0.75">
      <c r="A4565" t="s">
        <v>116</v>
      </c>
      <c r="B4565" s="3">
        <v>45042</v>
      </c>
      <c r="C4565">
        <v>3</v>
      </c>
      <c r="D4565" t="s">
        <v>194</v>
      </c>
      <c r="E4565" s="22">
        <f>26-5</f>
        <v>21</v>
      </c>
      <c r="F4565" t="s">
        <v>363</v>
      </c>
      <c r="G4565" t="s">
        <v>361</v>
      </c>
      <c r="H4565" t="s">
        <v>928</v>
      </c>
      <c r="L4565" t="s">
        <v>869</v>
      </c>
    </row>
    <row r="4566" spans="1:12" x14ac:dyDescent="0.75">
      <c r="A4566" t="s">
        <v>116</v>
      </c>
      <c r="B4566" s="3">
        <v>45042</v>
      </c>
      <c r="C4566">
        <v>3</v>
      </c>
      <c r="D4566" t="s">
        <v>191</v>
      </c>
      <c r="E4566" s="22">
        <f>5-0</f>
        <v>5</v>
      </c>
      <c r="F4566" t="s">
        <v>363</v>
      </c>
      <c r="G4566" t="s">
        <v>361</v>
      </c>
      <c r="H4566" t="s">
        <v>928</v>
      </c>
      <c r="L4566" t="s">
        <v>869</v>
      </c>
    </row>
    <row r="4567" spans="1:12" s="23" customFormat="1" x14ac:dyDescent="0.75">
      <c r="A4567" s="23" t="s">
        <v>116</v>
      </c>
      <c r="B4567" s="24">
        <v>45055</v>
      </c>
      <c r="C4567" s="23">
        <v>1</v>
      </c>
      <c r="D4567" s="23" t="s">
        <v>176</v>
      </c>
      <c r="E4567" s="52">
        <f>54-40-2</f>
        <v>12</v>
      </c>
      <c r="F4567" s="23" t="s">
        <v>363</v>
      </c>
      <c r="G4567" s="23" t="s">
        <v>627</v>
      </c>
      <c r="H4567" s="23" t="s">
        <v>928</v>
      </c>
      <c r="K4567" s="23" t="s">
        <v>933</v>
      </c>
      <c r="L4567" s="23" t="s">
        <v>869</v>
      </c>
    </row>
    <row r="4568" spans="1:12" s="23" customFormat="1" x14ac:dyDescent="0.75">
      <c r="A4568" s="23" t="s">
        <v>116</v>
      </c>
      <c r="B4568" s="24">
        <v>45055</v>
      </c>
      <c r="C4568" s="23">
        <v>1</v>
      </c>
      <c r="D4568" s="23" t="s">
        <v>191</v>
      </c>
      <c r="E4568" s="52">
        <f>40-0</f>
        <v>40</v>
      </c>
      <c r="F4568" s="23" t="s">
        <v>363</v>
      </c>
      <c r="G4568" s="23" t="s">
        <v>627</v>
      </c>
      <c r="H4568" s="23" t="s">
        <v>928</v>
      </c>
      <c r="L4568" s="23" t="s">
        <v>869</v>
      </c>
    </row>
    <row r="4569" spans="1:12" s="23" customFormat="1" x14ac:dyDescent="0.75">
      <c r="A4569" s="23" t="s">
        <v>116</v>
      </c>
      <c r="B4569" s="24">
        <v>45055</v>
      </c>
      <c r="C4569" s="23">
        <v>1</v>
      </c>
      <c r="D4569" s="23" t="s">
        <v>199</v>
      </c>
      <c r="E4569" s="52">
        <f>51-30-2</f>
        <v>19</v>
      </c>
      <c r="F4569" s="23" t="s">
        <v>363</v>
      </c>
      <c r="G4569" s="23" t="s">
        <v>627</v>
      </c>
      <c r="H4569" s="23" t="s">
        <v>928</v>
      </c>
      <c r="K4569" s="23" t="s">
        <v>933</v>
      </c>
      <c r="L4569" s="23" t="s">
        <v>869</v>
      </c>
    </row>
    <row r="4570" spans="1:12" s="23" customFormat="1" x14ac:dyDescent="0.75">
      <c r="A4570" s="23" t="s">
        <v>116</v>
      </c>
      <c r="B4570" s="24">
        <v>45055</v>
      </c>
      <c r="C4570" s="23">
        <v>1</v>
      </c>
      <c r="D4570" s="23" t="s">
        <v>207</v>
      </c>
      <c r="E4570" s="52">
        <f>30-2</f>
        <v>28</v>
      </c>
      <c r="F4570" s="23" t="s">
        <v>363</v>
      </c>
      <c r="G4570" s="23" t="s">
        <v>627</v>
      </c>
      <c r="H4570" s="23" t="s">
        <v>928</v>
      </c>
      <c r="L4570" s="23" t="s">
        <v>869</v>
      </c>
    </row>
    <row r="4571" spans="1:12" s="23" customFormat="1" x14ac:dyDescent="0.75">
      <c r="A4571" s="23" t="s">
        <v>116</v>
      </c>
      <c r="B4571" s="24">
        <v>45055</v>
      </c>
      <c r="C4571" s="23">
        <v>1</v>
      </c>
      <c r="D4571" s="23" t="s">
        <v>191</v>
      </c>
      <c r="E4571" s="52">
        <f>24-6</f>
        <v>18</v>
      </c>
      <c r="F4571" s="23" t="s">
        <v>363</v>
      </c>
      <c r="G4571" s="23" t="s">
        <v>627</v>
      </c>
      <c r="H4571" s="23" t="s">
        <v>928</v>
      </c>
      <c r="L4571" s="23" t="s">
        <v>869</v>
      </c>
    </row>
    <row r="4572" spans="1:12" s="23" customFormat="1" x14ac:dyDescent="0.75">
      <c r="A4572" s="23" t="s">
        <v>116</v>
      </c>
      <c r="B4572" s="24">
        <v>45055</v>
      </c>
      <c r="C4572" s="23">
        <v>1</v>
      </c>
      <c r="D4572" s="23" t="s">
        <v>201</v>
      </c>
      <c r="E4572" s="52">
        <f>53-43-2</f>
        <v>8</v>
      </c>
      <c r="F4572" s="23">
        <v>914</v>
      </c>
      <c r="G4572" s="23" t="s">
        <v>361</v>
      </c>
      <c r="H4572" s="23" t="s">
        <v>390</v>
      </c>
      <c r="K4572" s="23" t="s">
        <v>933</v>
      </c>
      <c r="L4572" s="23" t="s">
        <v>869</v>
      </c>
    </row>
    <row r="4573" spans="1:12" s="23" customFormat="1" x14ac:dyDescent="0.75">
      <c r="A4573" s="23" t="s">
        <v>116</v>
      </c>
      <c r="B4573" s="24">
        <v>45055</v>
      </c>
      <c r="C4573" s="23">
        <v>1</v>
      </c>
      <c r="D4573" s="23" t="s">
        <v>164</v>
      </c>
      <c r="E4573" s="52">
        <f>43-22</f>
        <v>21</v>
      </c>
      <c r="F4573" s="23">
        <v>979</v>
      </c>
      <c r="G4573" s="23" t="s">
        <v>361</v>
      </c>
      <c r="H4573" s="23" t="s">
        <v>390</v>
      </c>
      <c r="L4573" s="23" t="s">
        <v>869</v>
      </c>
    </row>
    <row r="4574" spans="1:12" s="23" customFormat="1" x14ac:dyDescent="0.75">
      <c r="A4574" s="23" t="s">
        <v>116</v>
      </c>
      <c r="B4574" s="24">
        <v>45055</v>
      </c>
      <c r="C4574" s="23">
        <v>1</v>
      </c>
      <c r="D4574" s="23" t="s">
        <v>164</v>
      </c>
      <c r="E4574" s="52">
        <f>22-9</f>
        <v>13</v>
      </c>
      <c r="F4574" s="23">
        <v>976</v>
      </c>
      <c r="G4574" s="23" t="s">
        <v>361</v>
      </c>
      <c r="H4574" s="23" t="s">
        <v>390</v>
      </c>
      <c r="L4574" s="23" t="s">
        <v>869</v>
      </c>
    </row>
    <row r="4575" spans="1:12" s="23" customFormat="1" x14ac:dyDescent="0.75">
      <c r="A4575" s="23" t="s">
        <v>116</v>
      </c>
      <c r="B4575" s="24">
        <v>45055</v>
      </c>
      <c r="C4575" s="23">
        <v>1</v>
      </c>
      <c r="D4575" s="23" t="s">
        <v>176</v>
      </c>
      <c r="E4575" s="52">
        <f>9-0+50-46</f>
        <v>13</v>
      </c>
      <c r="F4575" s="23">
        <v>978</v>
      </c>
      <c r="G4575" s="23" t="s">
        <v>361</v>
      </c>
      <c r="H4575" s="23" t="s">
        <v>390</v>
      </c>
      <c r="L4575" s="23" t="s">
        <v>869</v>
      </c>
    </row>
    <row r="4576" spans="1:12" s="23" customFormat="1" x14ac:dyDescent="0.75">
      <c r="A4576" s="23" t="s">
        <v>116</v>
      </c>
      <c r="B4576" s="24">
        <v>45055</v>
      </c>
      <c r="C4576" s="23">
        <v>1</v>
      </c>
      <c r="D4576" s="23" t="s">
        <v>194</v>
      </c>
      <c r="E4576" s="52">
        <f>46-33</f>
        <v>13</v>
      </c>
      <c r="F4576" s="23" t="s">
        <v>363</v>
      </c>
      <c r="G4576" s="23" t="s">
        <v>361</v>
      </c>
      <c r="H4576" s="23" t="s">
        <v>928</v>
      </c>
      <c r="L4576" s="23" t="s">
        <v>869</v>
      </c>
    </row>
    <row r="4577" spans="1:12" s="23" customFormat="1" x14ac:dyDescent="0.75">
      <c r="A4577" s="23" t="s">
        <v>116</v>
      </c>
      <c r="B4577" s="24">
        <v>45055</v>
      </c>
      <c r="C4577" s="23">
        <v>1</v>
      </c>
      <c r="D4577" s="23" t="s">
        <v>191</v>
      </c>
      <c r="E4577" s="52">
        <f>42-36</f>
        <v>6</v>
      </c>
      <c r="F4577" s="23" t="s">
        <v>363</v>
      </c>
      <c r="G4577" s="23" t="s">
        <v>869</v>
      </c>
      <c r="H4577" s="23" t="s">
        <v>928</v>
      </c>
      <c r="L4577" s="23" t="s">
        <v>869</v>
      </c>
    </row>
    <row r="4578" spans="1:12" s="23" customFormat="1" x14ac:dyDescent="0.75">
      <c r="A4578" s="23" t="s">
        <v>116</v>
      </c>
      <c r="B4578" s="24">
        <v>45055</v>
      </c>
      <c r="C4578" s="23">
        <v>1</v>
      </c>
      <c r="D4578" s="23" t="s">
        <v>194</v>
      </c>
      <c r="E4578" s="52">
        <f>36-20</f>
        <v>16</v>
      </c>
      <c r="F4578" s="23" t="s">
        <v>363</v>
      </c>
      <c r="G4578" s="23" t="s">
        <v>869</v>
      </c>
      <c r="H4578" s="23" t="s">
        <v>928</v>
      </c>
      <c r="L4578" s="23" t="s">
        <v>869</v>
      </c>
    </row>
    <row r="4579" spans="1:12" s="23" customFormat="1" x14ac:dyDescent="0.75">
      <c r="A4579" s="23" t="s">
        <v>116</v>
      </c>
      <c r="B4579" s="24">
        <v>45055</v>
      </c>
      <c r="C4579" s="23">
        <v>1</v>
      </c>
      <c r="D4579" s="23" t="s">
        <v>191</v>
      </c>
      <c r="E4579" s="52">
        <f>20-14</f>
        <v>6</v>
      </c>
      <c r="F4579" s="23" t="s">
        <v>363</v>
      </c>
      <c r="G4579" s="23" t="s">
        <v>869</v>
      </c>
      <c r="H4579" s="23" t="s">
        <v>928</v>
      </c>
      <c r="L4579" s="23" t="s">
        <v>869</v>
      </c>
    </row>
    <row r="4580" spans="1:12" s="23" customFormat="1" x14ac:dyDescent="0.75">
      <c r="A4580" s="23" t="s">
        <v>116</v>
      </c>
      <c r="B4580" s="24">
        <v>45055</v>
      </c>
      <c r="C4580" s="23">
        <v>1</v>
      </c>
      <c r="D4580" s="23" t="s">
        <v>201</v>
      </c>
      <c r="E4580" s="52">
        <f>51-35</f>
        <v>16</v>
      </c>
      <c r="F4580" s="23" t="s">
        <v>363</v>
      </c>
      <c r="G4580" s="23" t="s">
        <v>869</v>
      </c>
      <c r="H4580" s="23" t="s">
        <v>928</v>
      </c>
      <c r="L4580" s="23" t="s">
        <v>869</v>
      </c>
    </row>
    <row r="4581" spans="1:12" s="23" customFormat="1" x14ac:dyDescent="0.75">
      <c r="A4581" s="23" t="s">
        <v>116</v>
      </c>
      <c r="B4581" s="24">
        <v>45055</v>
      </c>
      <c r="C4581" s="23">
        <v>1</v>
      </c>
      <c r="D4581" s="23" t="s">
        <v>191</v>
      </c>
      <c r="E4581" s="52">
        <f>35-0+52-42</f>
        <v>45</v>
      </c>
      <c r="F4581" s="23" t="s">
        <v>363</v>
      </c>
      <c r="G4581" s="23" t="s">
        <v>869</v>
      </c>
      <c r="H4581" s="23" t="s">
        <v>928</v>
      </c>
      <c r="L4581" s="23" t="s">
        <v>869</v>
      </c>
    </row>
    <row r="4582" spans="1:12" s="23" customFormat="1" x14ac:dyDescent="0.75">
      <c r="A4582" s="23" t="s">
        <v>116</v>
      </c>
      <c r="B4582" s="24">
        <v>45055</v>
      </c>
      <c r="C4582" s="23">
        <v>1</v>
      </c>
      <c r="D4582" s="23" t="s">
        <v>176</v>
      </c>
      <c r="E4582" s="52">
        <f>42-38</f>
        <v>4</v>
      </c>
      <c r="F4582" s="23" t="s">
        <v>363</v>
      </c>
      <c r="G4582" s="23" t="s">
        <v>869</v>
      </c>
      <c r="H4582" s="23" t="s">
        <v>928</v>
      </c>
      <c r="L4582" s="23" t="s">
        <v>869</v>
      </c>
    </row>
    <row r="4583" spans="1:12" s="23" customFormat="1" x14ac:dyDescent="0.75">
      <c r="A4583" s="23" t="s">
        <v>116</v>
      </c>
      <c r="B4583" s="24">
        <v>45055</v>
      </c>
      <c r="C4583" s="23">
        <v>1</v>
      </c>
      <c r="D4583" s="23" t="s">
        <v>191</v>
      </c>
      <c r="E4583" s="52">
        <f>38-29</f>
        <v>9</v>
      </c>
      <c r="F4583" s="23" t="s">
        <v>363</v>
      </c>
      <c r="G4583" s="23" t="s">
        <v>869</v>
      </c>
      <c r="H4583" s="23" t="s">
        <v>928</v>
      </c>
      <c r="L4583" s="23" t="s">
        <v>869</v>
      </c>
    </row>
    <row r="4584" spans="1:12" s="23" customFormat="1" x14ac:dyDescent="0.75">
      <c r="A4584" s="23" t="s">
        <v>116</v>
      </c>
      <c r="B4584" s="24">
        <v>45055</v>
      </c>
      <c r="C4584" s="23">
        <v>1</v>
      </c>
      <c r="D4584" s="23" t="s">
        <v>197</v>
      </c>
      <c r="E4584" s="52">
        <f>29-17</f>
        <v>12</v>
      </c>
      <c r="F4584" s="23" t="s">
        <v>363</v>
      </c>
      <c r="G4584" s="23" t="s">
        <v>869</v>
      </c>
      <c r="H4584" s="23" t="s">
        <v>928</v>
      </c>
      <c r="L4584" s="23" t="s">
        <v>869</v>
      </c>
    </row>
    <row r="4585" spans="1:12" s="23" customFormat="1" x14ac:dyDescent="0.75">
      <c r="A4585" s="23" t="s">
        <v>116</v>
      </c>
      <c r="B4585" s="24">
        <v>45055</v>
      </c>
      <c r="C4585" s="23">
        <v>1</v>
      </c>
      <c r="D4585" s="23" t="s">
        <v>191</v>
      </c>
      <c r="E4585" s="52">
        <f>17-6</f>
        <v>11</v>
      </c>
      <c r="F4585" s="23" t="s">
        <v>363</v>
      </c>
      <c r="G4585" s="23" t="s">
        <v>869</v>
      </c>
      <c r="H4585" s="23" t="s">
        <v>928</v>
      </c>
      <c r="L4585" s="23" t="s">
        <v>869</v>
      </c>
    </row>
    <row r="4586" spans="1:12" s="23" customFormat="1" x14ac:dyDescent="0.75">
      <c r="A4586" s="23" t="s">
        <v>116</v>
      </c>
      <c r="B4586" s="24">
        <v>45055</v>
      </c>
      <c r="C4586" s="23">
        <v>1</v>
      </c>
      <c r="D4586" s="23" t="s">
        <v>191</v>
      </c>
      <c r="E4586" s="52">
        <f>6-3</f>
        <v>3</v>
      </c>
      <c r="F4586" s="23" t="s">
        <v>363</v>
      </c>
      <c r="G4586" s="23" t="s">
        <v>869</v>
      </c>
      <c r="H4586" s="23" t="s">
        <v>928</v>
      </c>
      <c r="L4586" s="23" t="s">
        <v>869</v>
      </c>
    </row>
    <row r="4587" spans="1:12" s="23" customFormat="1" x14ac:dyDescent="0.75">
      <c r="A4587" s="23" t="s">
        <v>116</v>
      </c>
      <c r="B4587" s="24">
        <v>45055</v>
      </c>
      <c r="C4587" s="23">
        <v>1</v>
      </c>
      <c r="D4587" s="23" t="s">
        <v>191</v>
      </c>
      <c r="E4587" s="52">
        <f>12-4</f>
        <v>8</v>
      </c>
      <c r="F4587" s="23" t="s">
        <v>363</v>
      </c>
      <c r="G4587" s="23" t="s">
        <v>869</v>
      </c>
      <c r="H4587" s="23" t="s">
        <v>928</v>
      </c>
      <c r="L4587" s="23" t="s">
        <v>869</v>
      </c>
    </row>
    <row r="4588" spans="1:12" s="23" customFormat="1" x14ac:dyDescent="0.75">
      <c r="A4588" s="23" t="s">
        <v>116</v>
      </c>
      <c r="B4588" s="24">
        <v>45055</v>
      </c>
      <c r="C4588" s="23">
        <v>1</v>
      </c>
      <c r="D4588" s="23" t="s">
        <v>191</v>
      </c>
      <c r="E4588" s="52">
        <f>57-14</f>
        <v>43</v>
      </c>
      <c r="F4588" s="23" t="s">
        <v>363</v>
      </c>
      <c r="G4588" s="23" t="s">
        <v>869</v>
      </c>
      <c r="H4588" s="23" t="s">
        <v>928</v>
      </c>
      <c r="L4588" s="23" t="s">
        <v>869</v>
      </c>
    </row>
    <row r="4589" spans="1:12" s="23" customFormat="1" x14ac:dyDescent="0.75">
      <c r="A4589" s="23" t="s">
        <v>116</v>
      </c>
      <c r="B4589" s="24">
        <v>45055</v>
      </c>
      <c r="C4589" s="23">
        <v>1</v>
      </c>
      <c r="D4589" s="23" t="s">
        <v>194</v>
      </c>
      <c r="E4589" s="52">
        <f>14-13</f>
        <v>1</v>
      </c>
      <c r="F4589" s="23" t="s">
        <v>363</v>
      </c>
      <c r="G4589" s="23" t="s">
        <v>869</v>
      </c>
      <c r="H4589" s="23" t="s">
        <v>928</v>
      </c>
      <c r="L4589" s="23" t="s">
        <v>869</v>
      </c>
    </row>
    <row r="4590" spans="1:12" s="23" customFormat="1" x14ac:dyDescent="0.75">
      <c r="A4590" s="23" t="s">
        <v>116</v>
      </c>
      <c r="B4590" s="24">
        <v>45055</v>
      </c>
      <c r="C4590" s="23">
        <v>1</v>
      </c>
      <c r="D4590" s="23" t="s">
        <v>164</v>
      </c>
      <c r="E4590" s="52">
        <f>13-2</f>
        <v>11</v>
      </c>
      <c r="F4590" s="23" t="s">
        <v>363</v>
      </c>
      <c r="G4590" s="23" t="s">
        <v>869</v>
      </c>
      <c r="H4590" s="23" t="s">
        <v>928</v>
      </c>
      <c r="L4590" s="23" t="s">
        <v>869</v>
      </c>
    </row>
    <row r="4591" spans="1:12" s="23" customFormat="1" x14ac:dyDescent="0.75">
      <c r="A4591" s="23" t="s">
        <v>116</v>
      </c>
      <c r="B4591" s="24">
        <v>45055</v>
      </c>
      <c r="C4591" s="23">
        <v>1</v>
      </c>
      <c r="D4591" s="23" t="s">
        <v>197</v>
      </c>
      <c r="E4591" s="52">
        <f>2-0</f>
        <v>2</v>
      </c>
      <c r="F4591" s="23" t="s">
        <v>363</v>
      </c>
      <c r="G4591" s="23" t="s">
        <v>869</v>
      </c>
      <c r="H4591" s="23" t="s">
        <v>928</v>
      </c>
      <c r="L4591" s="23" t="s">
        <v>869</v>
      </c>
    </row>
    <row r="4592" spans="1:12" s="23" customFormat="1" x14ac:dyDescent="0.75">
      <c r="A4592" s="23" t="s">
        <v>116</v>
      </c>
      <c r="B4592" s="24">
        <v>45055</v>
      </c>
      <c r="C4592" s="23">
        <v>1</v>
      </c>
      <c r="D4592" s="23" t="s">
        <v>197</v>
      </c>
      <c r="E4592" s="52">
        <f>53-39</f>
        <v>14</v>
      </c>
      <c r="F4592" s="23" t="s">
        <v>363</v>
      </c>
      <c r="G4592" s="23" t="s">
        <v>869</v>
      </c>
      <c r="H4592" s="23" t="s">
        <v>928</v>
      </c>
      <c r="L4592" s="23" t="s">
        <v>869</v>
      </c>
    </row>
    <row r="4593" spans="1:12" s="23" customFormat="1" x14ac:dyDescent="0.75">
      <c r="A4593" s="23" t="s">
        <v>116</v>
      </c>
      <c r="B4593" s="24">
        <v>45055</v>
      </c>
      <c r="C4593" s="23">
        <v>1</v>
      </c>
      <c r="D4593" s="23" t="s">
        <v>201</v>
      </c>
      <c r="E4593" s="52">
        <f>39-24</f>
        <v>15</v>
      </c>
      <c r="F4593" s="23" t="s">
        <v>363</v>
      </c>
      <c r="G4593" s="23" t="s">
        <v>869</v>
      </c>
      <c r="H4593" s="23" t="s">
        <v>928</v>
      </c>
      <c r="L4593" s="23" t="s">
        <v>869</v>
      </c>
    </row>
    <row r="4594" spans="1:12" s="23" customFormat="1" x14ac:dyDescent="0.75">
      <c r="A4594" s="23" t="s">
        <v>116</v>
      </c>
      <c r="B4594" s="24">
        <v>45055</v>
      </c>
      <c r="C4594" s="23">
        <v>1</v>
      </c>
      <c r="D4594" s="23" t="s">
        <v>176</v>
      </c>
      <c r="E4594" s="52">
        <f>47-32</f>
        <v>15</v>
      </c>
      <c r="F4594" s="23" t="s">
        <v>363</v>
      </c>
      <c r="G4594" s="23" t="s">
        <v>869</v>
      </c>
      <c r="H4594" s="23" t="s">
        <v>928</v>
      </c>
      <c r="L4594" s="23" t="s">
        <v>869</v>
      </c>
    </row>
    <row r="4595" spans="1:12" x14ac:dyDescent="0.75">
      <c r="A4595" t="s">
        <v>116</v>
      </c>
      <c r="B4595" s="3">
        <v>45055</v>
      </c>
      <c r="C4595">
        <v>2</v>
      </c>
      <c r="D4595" t="s">
        <v>197</v>
      </c>
      <c r="E4595" s="22">
        <f>53-9-2</f>
        <v>42</v>
      </c>
      <c r="F4595" t="s">
        <v>363</v>
      </c>
      <c r="G4595" t="s">
        <v>627</v>
      </c>
      <c r="H4595" t="s">
        <v>928</v>
      </c>
      <c r="K4595" t="s">
        <v>933</v>
      </c>
      <c r="L4595" t="s">
        <v>869</v>
      </c>
    </row>
    <row r="4596" spans="1:12" x14ac:dyDescent="0.75">
      <c r="A4596" t="s">
        <v>116</v>
      </c>
      <c r="B4596" s="3">
        <v>45055</v>
      </c>
      <c r="C4596">
        <v>2</v>
      </c>
      <c r="D4596" t="s">
        <v>197</v>
      </c>
      <c r="E4596" s="22">
        <f>9-2</f>
        <v>7</v>
      </c>
      <c r="F4596" t="s">
        <v>363</v>
      </c>
      <c r="G4596" t="s">
        <v>627</v>
      </c>
      <c r="H4596" t="s">
        <v>928</v>
      </c>
      <c r="L4596" t="s">
        <v>869</v>
      </c>
    </row>
    <row r="4597" spans="1:12" x14ac:dyDescent="0.75">
      <c r="A4597" t="s">
        <v>116</v>
      </c>
      <c r="B4597" s="3">
        <v>45055</v>
      </c>
      <c r="C4597">
        <v>2</v>
      </c>
      <c r="D4597" t="s">
        <v>194</v>
      </c>
      <c r="E4597" s="22" t="s">
        <v>930</v>
      </c>
      <c r="F4597" t="s">
        <v>363</v>
      </c>
      <c r="G4597" t="s">
        <v>627</v>
      </c>
      <c r="H4597" t="s">
        <v>928</v>
      </c>
      <c r="K4597" t="s">
        <v>945</v>
      </c>
      <c r="L4597" t="s">
        <v>869</v>
      </c>
    </row>
    <row r="4598" spans="1:12" x14ac:dyDescent="0.75">
      <c r="A4598" t="s">
        <v>116</v>
      </c>
      <c r="B4598" s="3">
        <v>45055</v>
      </c>
      <c r="C4598">
        <v>2</v>
      </c>
      <c r="D4598" t="s">
        <v>201</v>
      </c>
      <c r="E4598" s="22">
        <f>34-19</f>
        <v>15</v>
      </c>
      <c r="F4598">
        <v>982</v>
      </c>
      <c r="G4598" t="s">
        <v>361</v>
      </c>
      <c r="H4598" t="s">
        <v>390</v>
      </c>
      <c r="L4598" t="s">
        <v>869</v>
      </c>
    </row>
    <row r="4599" spans="1:12" x14ac:dyDescent="0.75">
      <c r="A4599" t="s">
        <v>116</v>
      </c>
      <c r="B4599" s="3">
        <v>45055</v>
      </c>
      <c r="C4599">
        <v>2</v>
      </c>
      <c r="D4599" t="s">
        <v>164</v>
      </c>
      <c r="E4599" s="22">
        <f>19-0</f>
        <v>19</v>
      </c>
      <c r="F4599">
        <v>918</v>
      </c>
      <c r="G4599" t="s">
        <v>361</v>
      </c>
      <c r="H4599" t="s">
        <v>390</v>
      </c>
      <c r="L4599" t="s">
        <v>869</v>
      </c>
    </row>
    <row r="4600" spans="1:12" x14ac:dyDescent="0.75">
      <c r="A4600" t="s">
        <v>116</v>
      </c>
      <c r="B4600" s="3">
        <v>45055</v>
      </c>
      <c r="C4600">
        <v>2</v>
      </c>
      <c r="D4600" t="s">
        <v>164</v>
      </c>
      <c r="E4600" s="22">
        <f>46-0+46-34-2</f>
        <v>56</v>
      </c>
      <c r="F4600">
        <v>1000</v>
      </c>
      <c r="G4600" t="s">
        <v>361</v>
      </c>
      <c r="H4600" t="s">
        <v>390</v>
      </c>
      <c r="L4600" t="s">
        <v>869</v>
      </c>
    </row>
    <row r="4601" spans="1:12" x14ac:dyDescent="0.75">
      <c r="A4601" t="s">
        <v>116</v>
      </c>
      <c r="B4601" s="3">
        <v>45055</v>
      </c>
      <c r="C4601">
        <v>2</v>
      </c>
      <c r="D4601" t="s">
        <v>201</v>
      </c>
      <c r="E4601" s="22">
        <f>34-25</f>
        <v>9</v>
      </c>
      <c r="F4601" t="s">
        <v>363</v>
      </c>
      <c r="G4601" t="s">
        <v>869</v>
      </c>
      <c r="H4601" t="s">
        <v>928</v>
      </c>
      <c r="L4601" t="s">
        <v>869</v>
      </c>
    </row>
    <row r="4602" spans="1:12" x14ac:dyDescent="0.75">
      <c r="A4602" t="s">
        <v>116</v>
      </c>
      <c r="B4602" s="3">
        <v>45055</v>
      </c>
      <c r="C4602">
        <v>2</v>
      </c>
      <c r="D4602" t="s">
        <v>201</v>
      </c>
      <c r="E4602" s="22">
        <f>25-21</f>
        <v>4</v>
      </c>
      <c r="F4602" t="s">
        <v>363</v>
      </c>
      <c r="G4602" t="s">
        <v>869</v>
      </c>
      <c r="H4602" t="s">
        <v>928</v>
      </c>
      <c r="L4602" t="s">
        <v>869</v>
      </c>
    </row>
    <row r="4603" spans="1:12" x14ac:dyDescent="0.75">
      <c r="A4603" t="s">
        <v>116</v>
      </c>
      <c r="B4603" s="3">
        <v>45055</v>
      </c>
      <c r="C4603">
        <v>2</v>
      </c>
      <c r="D4603" t="s">
        <v>191</v>
      </c>
      <c r="E4603" s="22">
        <f>21-3</f>
        <v>18</v>
      </c>
      <c r="F4603" t="s">
        <v>363</v>
      </c>
      <c r="G4603" t="s">
        <v>869</v>
      </c>
      <c r="H4603" t="s">
        <v>928</v>
      </c>
      <c r="L4603" t="s">
        <v>869</v>
      </c>
    </row>
    <row r="4604" spans="1:12" x14ac:dyDescent="0.75">
      <c r="A4604" t="s">
        <v>116</v>
      </c>
      <c r="B4604" s="3">
        <v>45055</v>
      </c>
      <c r="C4604">
        <v>2</v>
      </c>
      <c r="D4604" t="s">
        <v>191</v>
      </c>
      <c r="E4604" s="22">
        <f>24-0+15-10</f>
        <v>29</v>
      </c>
      <c r="F4604" t="s">
        <v>363</v>
      </c>
      <c r="G4604" t="s">
        <v>869</v>
      </c>
      <c r="H4604" t="s">
        <v>928</v>
      </c>
      <c r="L4604" t="s">
        <v>869</v>
      </c>
    </row>
    <row r="4605" spans="1:12" x14ac:dyDescent="0.75">
      <c r="A4605" t="s">
        <v>116</v>
      </c>
      <c r="B4605" s="3">
        <v>45055</v>
      </c>
      <c r="C4605">
        <v>2</v>
      </c>
      <c r="D4605" t="s">
        <v>164</v>
      </c>
      <c r="E4605" s="22">
        <f>55-11-2</f>
        <v>42</v>
      </c>
      <c r="F4605" t="s">
        <v>363</v>
      </c>
      <c r="G4605" t="s">
        <v>869</v>
      </c>
      <c r="H4605" t="s">
        <v>928</v>
      </c>
      <c r="K4605" t="s">
        <v>933</v>
      </c>
      <c r="L4605" t="s">
        <v>869</v>
      </c>
    </row>
    <row r="4606" spans="1:12" x14ac:dyDescent="0.75">
      <c r="A4606" t="s">
        <v>116</v>
      </c>
      <c r="B4606" s="3">
        <v>45055</v>
      </c>
      <c r="C4606">
        <v>2</v>
      </c>
      <c r="D4606" t="s">
        <v>164</v>
      </c>
      <c r="E4606" s="22">
        <f>16-0+10-7</f>
        <v>19</v>
      </c>
      <c r="F4606" t="s">
        <v>363</v>
      </c>
      <c r="G4606" t="s">
        <v>869</v>
      </c>
      <c r="H4606" t="s">
        <v>928</v>
      </c>
      <c r="L4606" t="s">
        <v>869</v>
      </c>
    </row>
    <row r="4607" spans="1:12" x14ac:dyDescent="0.75">
      <c r="A4607" t="s">
        <v>116</v>
      </c>
      <c r="B4607" s="3">
        <v>45055</v>
      </c>
      <c r="C4607">
        <v>2</v>
      </c>
      <c r="D4607" t="s">
        <v>176</v>
      </c>
      <c r="E4607" s="22">
        <f>7-3</f>
        <v>4</v>
      </c>
      <c r="F4607" t="s">
        <v>363</v>
      </c>
      <c r="G4607" t="s">
        <v>869</v>
      </c>
      <c r="H4607" t="s">
        <v>928</v>
      </c>
      <c r="L4607" t="s">
        <v>869</v>
      </c>
    </row>
    <row r="4608" spans="1:12" x14ac:dyDescent="0.75">
      <c r="A4608" t="s">
        <v>116</v>
      </c>
      <c r="B4608" s="3">
        <v>45055</v>
      </c>
      <c r="C4608">
        <v>2</v>
      </c>
      <c r="D4608" t="s">
        <v>194</v>
      </c>
      <c r="E4608" s="22">
        <f>3-1</f>
        <v>2</v>
      </c>
      <c r="F4608" t="s">
        <v>363</v>
      </c>
      <c r="G4608" t="s">
        <v>869</v>
      </c>
      <c r="H4608" t="s">
        <v>928</v>
      </c>
      <c r="L4608" t="s">
        <v>869</v>
      </c>
    </row>
    <row r="4609" spans="1:12" x14ac:dyDescent="0.75">
      <c r="A4609" t="s">
        <v>116</v>
      </c>
      <c r="B4609" s="3">
        <v>45055</v>
      </c>
      <c r="C4609">
        <v>2</v>
      </c>
      <c r="D4609" t="s">
        <v>201</v>
      </c>
      <c r="E4609" s="22">
        <f>3-1</f>
        <v>2</v>
      </c>
      <c r="F4609" t="s">
        <v>363</v>
      </c>
      <c r="G4609" t="s">
        <v>869</v>
      </c>
      <c r="H4609" t="s">
        <v>928</v>
      </c>
      <c r="L4609" t="s">
        <v>869</v>
      </c>
    </row>
    <row r="4610" spans="1:12" x14ac:dyDescent="0.75">
      <c r="A4610" t="s">
        <v>116</v>
      </c>
      <c r="B4610" s="3">
        <v>45055</v>
      </c>
      <c r="C4610">
        <v>2</v>
      </c>
      <c r="D4610" t="s">
        <v>197</v>
      </c>
      <c r="E4610" s="22">
        <f>46-38</f>
        <v>8</v>
      </c>
      <c r="F4610" t="s">
        <v>363</v>
      </c>
      <c r="G4610" t="s">
        <v>869</v>
      </c>
      <c r="H4610" t="s">
        <v>928</v>
      </c>
      <c r="L4610" t="s">
        <v>869</v>
      </c>
    </row>
    <row r="4611" spans="1:12" x14ac:dyDescent="0.75">
      <c r="A4611" t="s">
        <v>116</v>
      </c>
      <c r="B4611" s="3">
        <v>45055</v>
      </c>
      <c r="C4611">
        <v>2</v>
      </c>
      <c r="D4611" t="s">
        <v>194</v>
      </c>
      <c r="E4611" s="22">
        <f>38-28</f>
        <v>10</v>
      </c>
      <c r="F4611" t="s">
        <v>363</v>
      </c>
      <c r="G4611" t="s">
        <v>869</v>
      </c>
      <c r="H4611" t="s">
        <v>928</v>
      </c>
      <c r="L4611" t="s">
        <v>869</v>
      </c>
    </row>
    <row r="4612" spans="1:12" x14ac:dyDescent="0.75">
      <c r="A4612" t="s">
        <v>116</v>
      </c>
      <c r="B4612" s="3">
        <v>45055</v>
      </c>
      <c r="C4612">
        <v>2</v>
      </c>
      <c r="D4612" t="s">
        <v>164</v>
      </c>
      <c r="E4612" s="22">
        <f>28-25</f>
        <v>3</v>
      </c>
      <c r="F4612" t="s">
        <v>363</v>
      </c>
      <c r="G4612" t="s">
        <v>869</v>
      </c>
      <c r="H4612" t="s">
        <v>928</v>
      </c>
      <c r="L4612" t="s">
        <v>869</v>
      </c>
    </row>
    <row r="4613" spans="1:12" x14ac:dyDescent="0.75">
      <c r="A4613" t="s">
        <v>116</v>
      </c>
      <c r="B4613" s="3">
        <v>45055</v>
      </c>
      <c r="C4613">
        <v>2</v>
      </c>
      <c r="D4613" t="s">
        <v>194</v>
      </c>
      <c r="E4613" s="22">
        <f>25-14</f>
        <v>11</v>
      </c>
      <c r="F4613" t="s">
        <v>363</v>
      </c>
      <c r="G4613" t="s">
        <v>869</v>
      </c>
      <c r="H4613" t="s">
        <v>928</v>
      </c>
      <c r="L4613" t="s">
        <v>869</v>
      </c>
    </row>
    <row r="4614" spans="1:12" x14ac:dyDescent="0.75">
      <c r="A4614" t="s">
        <v>116</v>
      </c>
      <c r="B4614" s="3">
        <v>45055</v>
      </c>
      <c r="C4614">
        <v>2</v>
      </c>
      <c r="D4614" t="s">
        <v>191</v>
      </c>
      <c r="E4614" s="22">
        <f>14-12</f>
        <v>2</v>
      </c>
      <c r="F4614" t="s">
        <v>363</v>
      </c>
      <c r="G4614" t="s">
        <v>869</v>
      </c>
      <c r="H4614" t="s">
        <v>928</v>
      </c>
      <c r="L4614" t="s">
        <v>869</v>
      </c>
    </row>
    <row r="4615" spans="1:12" x14ac:dyDescent="0.75">
      <c r="A4615" t="s">
        <v>116</v>
      </c>
      <c r="B4615" s="3">
        <v>45055</v>
      </c>
      <c r="C4615">
        <v>3</v>
      </c>
      <c r="D4615" t="s">
        <v>164</v>
      </c>
      <c r="E4615" s="22">
        <f>12-0</f>
        <v>12</v>
      </c>
      <c r="F4615" t="s">
        <v>363</v>
      </c>
      <c r="G4615" t="s">
        <v>627</v>
      </c>
      <c r="H4615" t="s">
        <v>928</v>
      </c>
      <c r="L4615" t="s">
        <v>869</v>
      </c>
    </row>
    <row r="4616" spans="1:12" s="58" customFormat="1" x14ac:dyDescent="0.75">
      <c r="A4616" s="58" t="s">
        <v>116</v>
      </c>
      <c r="B4616" s="59">
        <v>45055</v>
      </c>
      <c r="C4616" s="58">
        <v>3</v>
      </c>
      <c r="D4616" s="58" t="s">
        <v>201</v>
      </c>
      <c r="E4616" s="60">
        <f>34-0+55-48</f>
        <v>41</v>
      </c>
      <c r="F4616" s="58" t="s">
        <v>363</v>
      </c>
      <c r="G4616" s="58" t="s">
        <v>361</v>
      </c>
      <c r="H4616" s="58" t="s">
        <v>928</v>
      </c>
      <c r="L4616" s="58" t="s">
        <v>869</v>
      </c>
    </row>
    <row r="4617" spans="1:12" s="58" customFormat="1" x14ac:dyDescent="0.75">
      <c r="A4617" s="58" t="s">
        <v>116</v>
      </c>
      <c r="B4617" s="59">
        <v>45055</v>
      </c>
      <c r="C4617" s="58">
        <v>3</v>
      </c>
      <c r="D4617" s="58" t="s">
        <v>201</v>
      </c>
      <c r="E4617" s="60">
        <f>48-12</f>
        <v>36</v>
      </c>
      <c r="F4617" s="58">
        <v>925</v>
      </c>
      <c r="G4617" s="58" t="s">
        <v>361</v>
      </c>
      <c r="H4617" s="58" t="s">
        <v>390</v>
      </c>
      <c r="L4617" s="58" t="s">
        <v>869</v>
      </c>
    </row>
    <row r="4618" spans="1:12" s="58" customFormat="1" x14ac:dyDescent="0.75">
      <c r="A4618" s="58" t="s">
        <v>116</v>
      </c>
      <c r="B4618" s="59">
        <v>45055</v>
      </c>
      <c r="C4618" s="58">
        <v>3</v>
      </c>
      <c r="D4618" s="58" t="s">
        <v>201</v>
      </c>
      <c r="E4618" s="60">
        <f>12-7</f>
        <v>5</v>
      </c>
      <c r="F4618" s="58">
        <v>981</v>
      </c>
      <c r="G4618" s="58" t="s">
        <v>361</v>
      </c>
      <c r="H4618" s="58" t="s">
        <v>390</v>
      </c>
      <c r="L4618" s="58" t="s">
        <v>869</v>
      </c>
    </row>
    <row r="4619" spans="1:12" s="58" customFormat="1" x14ac:dyDescent="0.75">
      <c r="A4619" s="58" t="s">
        <v>116</v>
      </c>
      <c r="B4619" s="59">
        <v>45055</v>
      </c>
      <c r="C4619" s="58">
        <v>3</v>
      </c>
      <c r="D4619" s="58" t="s">
        <v>164</v>
      </c>
      <c r="E4619" s="60">
        <f>7-1</f>
        <v>6</v>
      </c>
      <c r="F4619" s="58" t="s">
        <v>363</v>
      </c>
      <c r="G4619" s="58" t="s">
        <v>361</v>
      </c>
      <c r="H4619" s="58" t="s">
        <v>928</v>
      </c>
      <c r="L4619" s="58" t="s">
        <v>869</v>
      </c>
    </row>
    <row r="4620" spans="1:12" s="58" customFormat="1" x14ac:dyDescent="0.75">
      <c r="A4620" s="58" t="s">
        <v>116</v>
      </c>
      <c r="B4620" s="59">
        <v>45055</v>
      </c>
      <c r="C4620" s="58">
        <v>3</v>
      </c>
      <c r="D4620" s="58" t="s">
        <v>201</v>
      </c>
      <c r="E4620" s="60">
        <f>1-0</f>
        <v>1</v>
      </c>
      <c r="F4620" s="58" t="s">
        <v>363</v>
      </c>
      <c r="G4620" s="58" t="s">
        <v>361</v>
      </c>
      <c r="H4620" s="58" t="s">
        <v>928</v>
      </c>
      <c r="L4620" s="58" t="s">
        <v>869</v>
      </c>
    </row>
    <row r="4621" spans="1:12" x14ac:dyDescent="0.75">
      <c r="A4621" t="s">
        <v>116</v>
      </c>
      <c r="B4621" s="3">
        <v>45056</v>
      </c>
      <c r="C4621">
        <v>1</v>
      </c>
      <c r="D4621" t="s">
        <v>191</v>
      </c>
      <c r="E4621" s="22">
        <f>42-35-2</f>
        <v>5</v>
      </c>
      <c r="F4621" t="s">
        <v>363</v>
      </c>
      <c r="G4621" t="s">
        <v>627</v>
      </c>
      <c r="H4621" t="s">
        <v>928</v>
      </c>
      <c r="K4621" t="s">
        <v>933</v>
      </c>
      <c r="L4621" t="s">
        <v>869</v>
      </c>
    </row>
    <row r="4622" spans="1:12" x14ac:dyDescent="0.75">
      <c r="A4622" t="s">
        <v>116</v>
      </c>
      <c r="B4622" s="3">
        <v>45056</v>
      </c>
      <c r="C4622">
        <v>1</v>
      </c>
      <c r="D4622" t="s">
        <v>191</v>
      </c>
      <c r="E4622" s="22">
        <f>35-10</f>
        <v>25</v>
      </c>
      <c r="F4622" t="s">
        <v>363</v>
      </c>
      <c r="G4622" t="s">
        <v>627</v>
      </c>
      <c r="H4622" t="s">
        <v>928</v>
      </c>
      <c r="L4622" t="s">
        <v>869</v>
      </c>
    </row>
    <row r="4623" spans="1:12" x14ac:dyDescent="0.75">
      <c r="A4623" t="s">
        <v>116</v>
      </c>
      <c r="B4623" s="3">
        <v>45056</v>
      </c>
      <c r="C4623">
        <v>1</v>
      </c>
      <c r="D4623" t="s">
        <v>194</v>
      </c>
      <c r="E4623" s="22">
        <f>10-1</f>
        <v>9</v>
      </c>
      <c r="F4623" t="s">
        <v>363</v>
      </c>
      <c r="G4623" t="s">
        <v>627</v>
      </c>
      <c r="H4623" t="s">
        <v>928</v>
      </c>
      <c r="L4623" t="s">
        <v>869</v>
      </c>
    </row>
    <row r="4624" spans="1:12" x14ac:dyDescent="0.75">
      <c r="A4624" t="s">
        <v>116</v>
      </c>
      <c r="B4624" s="3">
        <v>45056</v>
      </c>
      <c r="C4624">
        <v>1</v>
      </c>
      <c r="D4624" t="s">
        <v>191</v>
      </c>
      <c r="E4624" s="22">
        <f>43-10</f>
        <v>33</v>
      </c>
      <c r="F4624" t="s">
        <v>363</v>
      </c>
      <c r="G4624" t="s">
        <v>627</v>
      </c>
      <c r="H4624" t="s">
        <v>928</v>
      </c>
      <c r="L4624" t="s">
        <v>869</v>
      </c>
    </row>
    <row r="4625" spans="1:12" x14ac:dyDescent="0.75">
      <c r="A4625" t="s">
        <v>116</v>
      </c>
      <c r="B4625" s="3">
        <v>45056</v>
      </c>
      <c r="C4625">
        <v>1</v>
      </c>
      <c r="D4625" t="s">
        <v>197</v>
      </c>
      <c r="E4625" s="22">
        <f>9-0+48-42</f>
        <v>15</v>
      </c>
      <c r="F4625" t="s">
        <v>363</v>
      </c>
      <c r="G4625" t="s">
        <v>627</v>
      </c>
      <c r="H4625" t="s">
        <v>928</v>
      </c>
      <c r="L4625" t="s">
        <v>869</v>
      </c>
    </row>
    <row r="4626" spans="1:12" x14ac:dyDescent="0.75">
      <c r="A4626" t="s">
        <v>116</v>
      </c>
      <c r="B4626" s="3">
        <v>45056</v>
      </c>
      <c r="C4626">
        <v>1</v>
      </c>
      <c r="D4626" t="s">
        <v>201</v>
      </c>
      <c r="E4626" s="22">
        <f>42-22</f>
        <v>20</v>
      </c>
      <c r="F4626" t="s">
        <v>363</v>
      </c>
      <c r="G4626" t="s">
        <v>627</v>
      </c>
      <c r="H4626" t="s">
        <v>928</v>
      </c>
      <c r="L4626" t="s">
        <v>869</v>
      </c>
    </row>
    <row r="4627" spans="1:12" x14ac:dyDescent="0.75">
      <c r="A4627" t="s">
        <v>116</v>
      </c>
      <c r="B4627" s="3">
        <v>45056</v>
      </c>
      <c r="C4627">
        <v>1</v>
      </c>
      <c r="D4627" t="s">
        <v>197</v>
      </c>
      <c r="E4627" s="22">
        <f>22-0+48-7</f>
        <v>63</v>
      </c>
      <c r="F4627" t="s">
        <v>363</v>
      </c>
      <c r="G4627" t="s">
        <v>627</v>
      </c>
      <c r="H4627" t="s">
        <v>928</v>
      </c>
      <c r="L4627" t="s">
        <v>869</v>
      </c>
    </row>
    <row r="4628" spans="1:12" x14ac:dyDescent="0.75">
      <c r="A4628" t="s">
        <v>116</v>
      </c>
      <c r="B4628" s="3">
        <v>45056</v>
      </c>
      <c r="C4628">
        <v>1</v>
      </c>
      <c r="D4628" t="s">
        <v>201</v>
      </c>
      <c r="E4628" s="22" t="s">
        <v>930</v>
      </c>
      <c r="F4628" t="s">
        <v>363</v>
      </c>
      <c r="G4628" t="s">
        <v>627</v>
      </c>
      <c r="H4628" t="s">
        <v>928</v>
      </c>
      <c r="K4628" t="s">
        <v>946</v>
      </c>
      <c r="L4628" t="s">
        <v>869</v>
      </c>
    </row>
    <row r="4629" spans="1:12" x14ac:dyDescent="0.75">
      <c r="A4629" t="s">
        <v>116</v>
      </c>
      <c r="B4629" s="3">
        <v>45056</v>
      </c>
      <c r="C4629">
        <v>1</v>
      </c>
      <c r="D4629" t="s">
        <v>201</v>
      </c>
      <c r="E4629" s="22">
        <f>45-30</f>
        <v>15</v>
      </c>
      <c r="F4629" t="s">
        <v>363</v>
      </c>
      <c r="G4629" t="s">
        <v>361</v>
      </c>
      <c r="H4629" t="s">
        <v>928</v>
      </c>
      <c r="L4629" t="s">
        <v>869</v>
      </c>
    </row>
    <row r="4630" spans="1:12" x14ac:dyDescent="0.75">
      <c r="A4630" t="s">
        <v>116</v>
      </c>
      <c r="B4630" s="3">
        <v>45056</v>
      </c>
      <c r="C4630">
        <v>1</v>
      </c>
      <c r="D4630" t="s">
        <v>164</v>
      </c>
      <c r="E4630" s="22">
        <f>30-26</f>
        <v>4</v>
      </c>
      <c r="F4630" t="s">
        <v>363</v>
      </c>
      <c r="G4630" t="s">
        <v>361</v>
      </c>
      <c r="H4630" t="s">
        <v>928</v>
      </c>
      <c r="L4630" t="s">
        <v>869</v>
      </c>
    </row>
    <row r="4631" spans="1:12" x14ac:dyDescent="0.75">
      <c r="A4631" t="s">
        <v>116</v>
      </c>
      <c r="B4631" s="3">
        <v>45056</v>
      </c>
      <c r="C4631">
        <v>1</v>
      </c>
      <c r="D4631" t="s">
        <v>201</v>
      </c>
      <c r="E4631" s="22">
        <f>26-18</f>
        <v>8</v>
      </c>
      <c r="F4631">
        <v>929</v>
      </c>
      <c r="G4631" t="s">
        <v>361</v>
      </c>
      <c r="H4631" t="s">
        <v>390</v>
      </c>
      <c r="L4631" t="s">
        <v>869</v>
      </c>
    </row>
    <row r="4632" spans="1:12" x14ac:dyDescent="0.75">
      <c r="A4632" t="s">
        <v>116</v>
      </c>
      <c r="B4632" s="3">
        <v>45056</v>
      </c>
      <c r="C4632">
        <v>1</v>
      </c>
      <c r="D4632" t="s">
        <v>201</v>
      </c>
      <c r="E4632" s="22">
        <f>18-11</f>
        <v>7</v>
      </c>
      <c r="F4632" t="s">
        <v>363</v>
      </c>
      <c r="G4632" t="s">
        <v>361</v>
      </c>
      <c r="H4632" t="s">
        <v>928</v>
      </c>
      <c r="L4632" t="s">
        <v>869</v>
      </c>
    </row>
    <row r="4633" spans="1:12" x14ac:dyDescent="0.75">
      <c r="A4633" t="s">
        <v>116</v>
      </c>
      <c r="B4633" s="3">
        <v>45056</v>
      </c>
      <c r="C4633">
        <v>1</v>
      </c>
      <c r="D4633" t="s">
        <v>191</v>
      </c>
      <c r="E4633" s="22">
        <f>11-0+56-44-2</f>
        <v>21</v>
      </c>
      <c r="F4633" t="s">
        <v>363</v>
      </c>
      <c r="G4633" t="s">
        <v>361</v>
      </c>
      <c r="H4633" t="s">
        <v>928</v>
      </c>
      <c r="K4633" t="s">
        <v>933</v>
      </c>
      <c r="L4633" t="s">
        <v>869</v>
      </c>
    </row>
    <row r="4634" spans="1:12" x14ac:dyDescent="0.75">
      <c r="A4634" t="s">
        <v>116</v>
      </c>
      <c r="B4634" s="3">
        <v>45056</v>
      </c>
      <c r="C4634">
        <v>1</v>
      </c>
      <c r="D4634" t="s">
        <v>191</v>
      </c>
      <c r="E4634" s="22">
        <f>44-0</f>
        <v>44</v>
      </c>
      <c r="F4634" t="s">
        <v>363</v>
      </c>
      <c r="G4634" t="s">
        <v>361</v>
      </c>
      <c r="H4634" t="s">
        <v>928</v>
      </c>
      <c r="L4634" t="s">
        <v>869</v>
      </c>
    </row>
    <row r="4635" spans="1:12" s="58" customFormat="1" x14ac:dyDescent="0.75">
      <c r="A4635" s="58" t="s">
        <v>116</v>
      </c>
      <c r="B4635" s="59">
        <v>45056</v>
      </c>
      <c r="C4635" s="58">
        <v>2</v>
      </c>
      <c r="D4635" s="58" t="s">
        <v>164</v>
      </c>
      <c r="E4635" s="60">
        <f>46-5</f>
        <v>41</v>
      </c>
      <c r="F4635" s="58" t="s">
        <v>363</v>
      </c>
      <c r="G4635" s="58" t="s">
        <v>627</v>
      </c>
      <c r="H4635" s="58" t="s">
        <v>928</v>
      </c>
      <c r="K4635" s="58" t="s">
        <v>947</v>
      </c>
      <c r="L4635" s="58" t="s">
        <v>869</v>
      </c>
    </row>
    <row r="4636" spans="1:12" s="58" customFormat="1" x14ac:dyDescent="0.75">
      <c r="A4636" s="58" t="s">
        <v>116</v>
      </c>
      <c r="B4636" s="59">
        <v>45056</v>
      </c>
      <c r="C4636" s="58">
        <v>2</v>
      </c>
      <c r="D4636" s="58" t="s">
        <v>164</v>
      </c>
      <c r="E4636" s="60">
        <f>58-38+5-0-2</f>
        <v>23</v>
      </c>
      <c r="F4636" s="58" t="s">
        <v>363</v>
      </c>
      <c r="G4636" s="58" t="s">
        <v>627</v>
      </c>
      <c r="H4636" s="58" t="s">
        <v>928</v>
      </c>
      <c r="K4636" s="58" t="s">
        <v>933</v>
      </c>
      <c r="L4636" s="58" t="s">
        <v>869</v>
      </c>
    </row>
    <row r="4637" spans="1:12" s="58" customFormat="1" x14ac:dyDescent="0.75">
      <c r="A4637" s="58" t="s">
        <v>116</v>
      </c>
      <c r="B4637" s="59">
        <v>45056</v>
      </c>
      <c r="C4637" s="58">
        <v>2</v>
      </c>
      <c r="D4637" s="58" t="s">
        <v>191</v>
      </c>
      <c r="E4637" s="60">
        <f>38-34</f>
        <v>4</v>
      </c>
      <c r="F4637" s="58" t="s">
        <v>363</v>
      </c>
      <c r="G4637" s="58" t="s">
        <v>627</v>
      </c>
      <c r="H4637" s="58" t="s">
        <v>928</v>
      </c>
      <c r="L4637" s="58" t="s">
        <v>869</v>
      </c>
    </row>
    <row r="4638" spans="1:12" s="58" customFormat="1" x14ac:dyDescent="0.75">
      <c r="A4638" s="58" t="s">
        <v>116</v>
      </c>
      <c r="B4638" s="59">
        <v>45056</v>
      </c>
      <c r="C4638" s="58">
        <v>2</v>
      </c>
      <c r="D4638" s="58" t="s">
        <v>191</v>
      </c>
      <c r="E4638" s="60">
        <f>34-26</f>
        <v>8</v>
      </c>
      <c r="F4638" s="58" t="s">
        <v>363</v>
      </c>
      <c r="G4638" s="58" t="s">
        <v>627</v>
      </c>
      <c r="H4638" s="58" t="s">
        <v>928</v>
      </c>
      <c r="L4638" s="58" t="s">
        <v>869</v>
      </c>
    </row>
    <row r="4639" spans="1:12" s="58" customFormat="1" x14ac:dyDescent="0.75">
      <c r="A4639" s="58" t="s">
        <v>116</v>
      </c>
      <c r="B4639" s="59">
        <v>45056</v>
      </c>
      <c r="C4639" s="58">
        <v>2</v>
      </c>
      <c r="D4639" s="58" t="s">
        <v>191</v>
      </c>
      <c r="E4639" s="60">
        <f>26-0</f>
        <v>26</v>
      </c>
      <c r="F4639" s="58" t="s">
        <v>363</v>
      </c>
      <c r="G4639" s="58" t="s">
        <v>627</v>
      </c>
      <c r="H4639" s="58" t="s">
        <v>928</v>
      </c>
      <c r="L4639" s="58" t="s">
        <v>869</v>
      </c>
    </row>
    <row r="4640" spans="1:12" s="58" customFormat="1" x14ac:dyDescent="0.75">
      <c r="A4640" s="58" t="s">
        <v>116</v>
      </c>
      <c r="B4640" s="59">
        <v>45056</v>
      </c>
      <c r="C4640" s="58">
        <v>2</v>
      </c>
      <c r="D4640" s="58" t="s">
        <v>191</v>
      </c>
      <c r="E4640" s="60">
        <f>33-18</f>
        <v>15</v>
      </c>
      <c r="F4640" s="58" t="s">
        <v>363</v>
      </c>
      <c r="G4640" s="58" t="s">
        <v>627</v>
      </c>
      <c r="H4640" s="58" t="s">
        <v>928</v>
      </c>
      <c r="L4640" s="58" t="s">
        <v>869</v>
      </c>
    </row>
    <row r="4641" spans="1:12" s="58" customFormat="1" x14ac:dyDescent="0.75">
      <c r="A4641" s="58" t="s">
        <v>116</v>
      </c>
      <c r="B4641" s="59">
        <v>45056</v>
      </c>
      <c r="C4641" s="58">
        <v>2</v>
      </c>
      <c r="D4641" s="58" t="s">
        <v>191</v>
      </c>
      <c r="E4641" s="60">
        <f>35-33</f>
        <v>2</v>
      </c>
      <c r="F4641" s="58" t="s">
        <v>363</v>
      </c>
      <c r="G4641" s="58" t="s">
        <v>627</v>
      </c>
      <c r="H4641" s="58" t="s">
        <v>928</v>
      </c>
      <c r="L4641" s="58" t="s">
        <v>869</v>
      </c>
    </row>
    <row r="4642" spans="1:12" s="58" customFormat="1" x14ac:dyDescent="0.75">
      <c r="A4642" s="58" t="s">
        <v>116</v>
      </c>
      <c r="B4642" s="59">
        <v>45056</v>
      </c>
      <c r="C4642" s="58">
        <v>2</v>
      </c>
      <c r="D4642" s="58" t="s">
        <v>191</v>
      </c>
      <c r="E4642" s="60">
        <f>18-0+40-11</f>
        <v>47</v>
      </c>
      <c r="F4642" s="58" t="s">
        <v>363</v>
      </c>
      <c r="G4642" s="58" t="s">
        <v>627</v>
      </c>
      <c r="H4642" s="58" t="s">
        <v>928</v>
      </c>
      <c r="L4642" s="58" t="s">
        <v>869</v>
      </c>
    </row>
    <row r="4643" spans="1:12" s="58" customFormat="1" x14ac:dyDescent="0.75">
      <c r="A4643" s="58" t="s">
        <v>116</v>
      </c>
      <c r="B4643" s="59">
        <v>45056</v>
      </c>
      <c r="C4643" s="58">
        <v>2</v>
      </c>
      <c r="D4643" s="58" t="s">
        <v>191</v>
      </c>
      <c r="E4643" s="60">
        <f>44-39-2</f>
        <v>3</v>
      </c>
      <c r="F4643" s="58" t="s">
        <v>363</v>
      </c>
      <c r="G4643" s="58" t="s">
        <v>627</v>
      </c>
      <c r="H4643" s="58" t="s">
        <v>928</v>
      </c>
      <c r="K4643" s="58" t="s">
        <v>933</v>
      </c>
      <c r="L4643" s="58" t="s">
        <v>869</v>
      </c>
    </row>
    <row r="4644" spans="1:12" s="58" customFormat="1" x14ac:dyDescent="0.75">
      <c r="A4644" s="58" t="s">
        <v>116</v>
      </c>
      <c r="B4644" s="59">
        <v>45056</v>
      </c>
      <c r="C4644" s="58">
        <v>2</v>
      </c>
      <c r="D4644" s="58" t="s">
        <v>191</v>
      </c>
      <c r="E4644" s="60">
        <f>39-34</f>
        <v>5</v>
      </c>
      <c r="F4644" s="58" t="s">
        <v>363</v>
      </c>
      <c r="G4644" s="58" t="s">
        <v>627</v>
      </c>
      <c r="H4644" s="58" t="s">
        <v>928</v>
      </c>
      <c r="L4644" s="58" t="s">
        <v>869</v>
      </c>
    </row>
    <row r="4645" spans="1:12" s="58" customFormat="1" x14ac:dyDescent="0.75">
      <c r="A4645" s="58" t="s">
        <v>116</v>
      </c>
      <c r="B4645" s="59">
        <v>45056</v>
      </c>
      <c r="C4645" s="58">
        <v>2</v>
      </c>
      <c r="D4645" s="58" t="s">
        <v>191</v>
      </c>
      <c r="E4645" s="60">
        <f>34-26</f>
        <v>8</v>
      </c>
      <c r="F4645" s="58" t="s">
        <v>363</v>
      </c>
      <c r="G4645" s="58" t="s">
        <v>627</v>
      </c>
      <c r="H4645" s="58" t="s">
        <v>928</v>
      </c>
      <c r="L4645" s="58" t="s">
        <v>869</v>
      </c>
    </row>
    <row r="4646" spans="1:12" s="58" customFormat="1" x14ac:dyDescent="0.75">
      <c r="A4646" s="58" t="s">
        <v>116</v>
      </c>
      <c r="B4646" s="59">
        <v>45056</v>
      </c>
      <c r="C4646" s="58">
        <v>2</v>
      </c>
      <c r="D4646" s="58" t="s">
        <v>197</v>
      </c>
      <c r="E4646" s="60">
        <f>45-25-2</f>
        <v>18</v>
      </c>
      <c r="F4646" s="58" t="s">
        <v>363</v>
      </c>
      <c r="G4646" s="58" t="s">
        <v>361</v>
      </c>
      <c r="H4646" s="58" t="s">
        <v>928</v>
      </c>
      <c r="K4646" s="58" t="s">
        <v>933</v>
      </c>
      <c r="L4646" s="58" t="s">
        <v>869</v>
      </c>
    </row>
    <row r="4647" spans="1:12" s="58" customFormat="1" x14ac:dyDescent="0.75">
      <c r="A4647" s="58" t="s">
        <v>116</v>
      </c>
      <c r="B4647" s="59">
        <v>45056</v>
      </c>
      <c r="C4647" s="58">
        <v>2</v>
      </c>
      <c r="D4647" s="58" t="s">
        <v>197</v>
      </c>
      <c r="E4647" s="58">
        <f>25-0</f>
        <v>25</v>
      </c>
      <c r="F4647" s="58" t="s">
        <v>363</v>
      </c>
      <c r="G4647" s="58" t="s">
        <v>361</v>
      </c>
      <c r="H4647" s="58" t="s">
        <v>928</v>
      </c>
      <c r="L4647" s="58" t="s">
        <v>869</v>
      </c>
    </row>
    <row r="4648" spans="1:12" s="58" customFormat="1" x14ac:dyDescent="0.75">
      <c r="A4648" s="58" t="s">
        <v>116</v>
      </c>
      <c r="B4648" s="59">
        <v>45056</v>
      </c>
      <c r="C4648" s="58">
        <v>2</v>
      </c>
      <c r="D4648" s="58" t="s">
        <v>197</v>
      </c>
      <c r="E4648" s="60">
        <f>46-25-2</f>
        <v>19</v>
      </c>
      <c r="F4648" s="58" t="s">
        <v>363</v>
      </c>
      <c r="G4648" s="58" t="s">
        <v>361</v>
      </c>
      <c r="H4648" s="58" t="s">
        <v>928</v>
      </c>
      <c r="L4648" s="58" t="s">
        <v>869</v>
      </c>
    </row>
    <row r="4649" spans="1:12" s="58" customFormat="1" x14ac:dyDescent="0.75">
      <c r="A4649" s="58" t="s">
        <v>116</v>
      </c>
      <c r="B4649" s="59">
        <v>45056</v>
      </c>
      <c r="C4649" s="58">
        <v>2</v>
      </c>
      <c r="D4649" s="58" t="s">
        <v>197</v>
      </c>
      <c r="E4649" s="60">
        <f>25-20</f>
        <v>5</v>
      </c>
      <c r="F4649" s="58" t="s">
        <v>363</v>
      </c>
      <c r="G4649" s="58" t="s">
        <v>361</v>
      </c>
      <c r="H4649" s="58" t="s">
        <v>928</v>
      </c>
      <c r="K4649" s="58" t="s">
        <v>933</v>
      </c>
      <c r="L4649" s="58" t="s">
        <v>869</v>
      </c>
    </row>
    <row r="4650" spans="1:12" s="58" customFormat="1" x14ac:dyDescent="0.75">
      <c r="A4650" s="58" t="s">
        <v>116</v>
      </c>
      <c r="B4650" s="59">
        <v>45056</v>
      </c>
      <c r="C4650" s="58">
        <v>2</v>
      </c>
      <c r="D4650" s="58" t="s">
        <v>197</v>
      </c>
      <c r="E4650" s="60">
        <f>20-16</f>
        <v>4</v>
      </c>
      <c r="F4650" s="58" t="s">
        <v>363</v>
      </c>
      <c r="G4650" s="58" t="s">
        <v>361</v>
      </c>
      <c r="H4650" s="58" t="s">
        <v>928</v>
      </c>
      <c r="L4650" s="58" t="s">
        <v>869</v>
      </c>
    </row>
    <row r="4651" spans="1:12" s="58" customFormat="1" x14ac:dyDescent="0.75">
      <c r="A4651" s="58" t="s">
        <v>116</v>
      </c>
      <c r="B4651" s="59">
        <v>45056</v>
      </c>
      <c r="C4651" s="58">
        <v>2</v>
      </c>
      <c r="D4651" s="58" t="s">
        <v>191</v>
      </c>
      <c r="E4651" s="60">
        <f>16-0</f>
        <v>16</v>
      </c>
      <c r="F4651" s="58" t="s">
        <v>363</v>
      </c>
      <c r="G4651" s="58" t="s">
        <v>361</v>
      </c>
      <c r="H4651" s="58" t="s">
        <v>928</v>
      </c>
      <c r="L4651" s="58" t="s">
        <v>869</v>
      </c>
    </row>
    <row r="4652" spans="1:12" s="58" customFormat="1" x14ac:dyDescent="0.75">
      <c r="A4652" s="58" t="s">
        <v>116</v>
      </c>
      <c r="B4652" s="59">
        <v>45056</v>
      </c>
      <c r="C4652" s="58">
        <v>2</v>
      </c>
      <c r="D4652" s="58" t="s">
        <v>191</v>
      </c>
      <c r="E4652" s="60">
        <f>46-0-2</f>
        <v>44</v>
      </c>
      <c r="F4652" s="58" t="s">
        <v>363</v>
      </c>
      <c r="G4652" s="58" t="s">
        <v>361</v>
      </c>
      <c r="H4652" s="58" t="s">
        <v>928</v>
      </c>
      <c r="K4652" s="58" t="s">
        <v>933</v>
      </c>
      <c r="L4652" s="58" t="s">
        <v>869</v>
      </c>
    </row>
    <row r="4653" spans="1:12" s="58" customFormat="1" x14ac:dyDescent="0.75">
      <c r="A4653" s="58" t="s">
        <v>116</v>
      </c>
      <c r="B4653" s="59">
        <v>45056</v>
      </c>
      <c r="C4653" s="58">
        <v>2</v>
      </c>
      <c r="D4653" s="58" t="s">
        <v>176</v>
      </c>
      <c r="E4653" s="60">
        <f>56-44-2</f>
        <v>10</v>
      </c>
      <c r="F4653" s="58" t="s">
        <v>363</v>
      </c>
      <c r="G4653" s="58" t="s">
        <v>361</v>
      </c>
      <c r="H4653" s="58" t="s">
        <v>928</v>
      </c>
      <c r="K4653" s="58" t="s">
        <v>933</v>
      </c>
      <c r="L4653" s="58" t="s">
        <v>869</v>
      </c>
    </row>
    <row r="4654" spans="1:12" s="58" customFormat="1" x14ac:dyDescent="0.75">
      <c r="A4654" s="58" t="s">
        <v>116</v>
      </c>
      <c r="B4654" s="59">
        <v>45056</v>
      </c>
      <c r="C4654" s="58">
        <v>2</v>
      </c>
      <c r="D4654" s="58" t="s">
        <v>201</v>
      </c>
      <c r="E4654" s="60">
        <f>44-27</f>
        <v>17</v>
      </c>
      <c r="F4654" s="58" t="s">
        <v>363</v>
      </c>
      <c r="G4654" s="58" t="s">
        <v>361</v>
      </c>
      <c r="H4654" s="58" t="s">
        <v>928</v>
      </c>
      <c r="L4654" s="58" t="s">
        <v>869</v>
      </c>
    </row>
    <row r="4655" spans="1:12" s="58" customFormat="1" x14ac:dyDescent="0.75">
      <c r="A4655" s="58" t="s">
        <v>116</v>
      </c>
      <c r="B4655" s="59">
        <v>45056</v>
      </c>
      <c r="C4655" s="58">
        <v>2</v>
      </c>
      <c r="D4655" s="58" t="s">
        <v>164</v>
      </c>
      <c r="E4655" s="60">
        <f>27-10</f>
        <v>17</v>
      </c>
      <c r="F4655" s="58" t="s">
        <v>363</v>
      </c>
      <c r="G4655" s="58" t="s">
        <v>361</v>
      </c>
      <c r="H4655" s="58" t="s">
        <v>928</v>
      </c>
      <c r="L4655" s="58" t="s">
        <v>869</v>
      </c>
    </row>
    <row r="4656" spans="1:12" s="58" customFormat="1" x14ac:dyDescent="0.75">
      <c r="A4656" s="58" t="s">
        <v>116</v>
      </c>
      <c r="B4656" s="59">
        <v>45056</v>
      </c>
      <c r="C4656" s="58">
        <v>2</v>
      </c>
      <c r="D4656" s="58" t="s">
        <v>176</v>
      </c>
      <c r="E4656" s="60">
        <f>10-3</f>
        <v>7</v>
      </c>
      <c r="F4656" s="58" t="s">
        <v>363</v>
      </c>
      <c r="G4656" s="58" t="s">
        <v>361</v>
      </c>
      <c r="H4656" s="58" t="s">
        <v>928</v>
      </c>
      <c r="L4656" s="58" t="s">
        <v>869</v>
      </c>
    </row>
    <row r="4657" spans="1:12" s="58" customFormat="1" x14ac:dyDescent="0.75">
      <c r="A4657" s="58" t="s">
        <v>116</v>
      </c>
      <c r="B4657" s="59">
        <v>45056</v>
      </c>
      <c r="C4657" s="58">
        <v>2</v>
      </c>
      <c r="D4657" s="58" t="s">
        <v>191</v>
      </c>
      <c r="E4657" s="60">
        <f>3-0+56-41-2</f>
        <v>16</v>
      </c>
      <c r="F4657" s="58" t="s">
        <v>363</v>
      </c>
      <c r="G4657" s="58" t="s">
        <v>361</v>
      </c>
      <c r="H4657" s="58" t="s">
        <v>928</v>
      </c>
      <c r="K4657" s="58" t="s">
        <v>933</v>
      </c>
      <c r="L4657" s="58" t="s">
        <v>869</v>
      </c>
    </row>
    <row r="4658" spans="1:12" x14ac:dyDescent="0.75">
      <c r="A4658" t="s">
        <v>116</v>
      </c>
      <c r="B4658" s="3">
        <v>45056</v>
      </c>
      <c r="C4658">
        <v>3</v>
      </c>
      <c r="D4658" t="s">
        <v>191</v>
      </c>
      <c r="E4658" s="22">
        <f>51-2-2</f>
        <v>47</v>
      </c>
      <c r="F4658" t="s">
        <v>363</v>
      </c>
      <c r="G4658" t="s">
        <v>627</v>
      </c>
      <c r="H4658" t="s">
        <v>928</v>
      </c>
      <c r="K4658" t="s">
        <v>933</v>
      </c>
      <c r="L4658" t="s">
        <v>869</v>
      </c>
    </row>
    <row r="4659" spans="1:12" x14ac:dyDescent="0.75">
      <c r="A4659" t="s">
        <v>116</v>
      </c>
      <c r="B4659" s="3">
        <v>45056</v>
      </c>
      <c r="C4659">
        <v>3</v>
      </c>
      <c r="D4659" t="s">
        <v>191</v>
      </c>
      <c r="E4659" s="22">
        <f>44-2+20-0</f>
        <v>62</v>
      </c>
      <c r="F4659" t="s">
        <v>363</v>
      </c>
      <c r="G4659" t="s">
        <v>627</v>
      </c>
      <c r="H4659" t="s">
        <v>928</v>
      </c>
      <c r="L4659" t="s">
        <v>869</v>
      </c>
    </row>
    <row r="4660" spans="1:12" x14ac:dyDescent="0.75">
      <c r="A4660" t="s">
        <v>116</v>
      </c>
      <c r="B4660" s="3">
        <v>45056</v>
      </c>
      <c r="C4660">
        <v>3</v>
      </c>
      <c r="D4660" t="s">
        <v>191</v>
      </c>
      <c r="E4660" s="22">
        <f>53-46-3</f>
        <v>4</v>
      </c>
      <c r="F4660" t="s">
        <v>363</v>
      </c>
      <c r="G4660" t="s">
        <v>627</v>
      </c>
      <c r="H4660" t="s">
        <v>928</v>
      </c>
      <c r="K4660" t="s">
        <v>948</v>
      </c>
      <c r="L4660" t="s">
        <v>869</v>
      </c>
    </row>
    <row r="4661" spans="1:12" x14ac:dyDescent="0.75">
      <c r="A4661" t="s">
        <v>116</v>
      </c>
      <c r="B4661" s="3">
        <v>45056</v>
      </c>
      <c r="C4661">
        <v>3</v>
      </c>
      <c r="D4661" t="s">
        <v>191</v>
      </c>
      <c r="E4661" s="22">
        <f>46-30</f>
        <v>16</v>
      </c>
      <c r="F4661" t="s">
        <v>363</v>
      </c>
      <c r="G4661" t="s">
        <v>627</v>
      </c>
      <c r="H4661" t="s">
        <v>928</v>
      </c>
      <c r="L4661" t="s">
        <v>869</v>
      </c>
    </row>
    <row r="4662" spans="1:12" x14ac:dyDescent="0.75">
      <c r="A4662" t="s">
        <v>116</v>
      </c>
      <c r="B4662" s="3">
        <v>45056</v>
      </c>
      <c r="C4662">
        <v>3</v>
      </c>
      <c r="D4662" t="s">
        <v>176</v>
      </c>
      <c r="E4662" s="22">
        <f>15-4</f>
        <v>11</v>
      </c>
      <c r="F4662" t="s">
        <v>363</v>
      </c>
      <c r="G4662" t="s">
        <v>361</v>
      </c>
      <c r="H4662" t="s">
        <v>928</v>
      </c>
      <c r="L4662" t="s">
        <v>869</v>
      </c>
    </row>
    <row r="4663" spans="1:12" x14ac:dyDescent="0.75">
      <c r="A4663" t="s">
        <v>116</v>
      </c>
      <c r="B4663" s="3">
        <v>45056</v>
      </c>
      <c r="C4663">
        <v>3</v>
      </c>
      <c r="D4663" t="s">
        <v>194</v>
      </c>
      <c r="E4663" s="22">
        <f>4-0+48-38-1</f>
        <v>13</v>
      </c>
      <c r="F4663" t="s">
        <v>363</v>
      </c>
      <c r="G4663" t="s">
        <v>361</v>
      </c>
      <c r="H4663" t="s">
        <v>928</v>
      </c>
      <c r="K4663" t="s">
        <v>935</v>
      </c>
      <c r="L4663" t="s">
        <v>869</v>
      </c>
    </row>
    <row r="4664" spans="1:12" x14ac:dyDescent="0.75">
      <c r="A4664" t="s">
        <v>116</v>
      </c>
      <c r="B4664" s="3">
        <v>45056</v>
      </c>
      <c r="C4664">
        <v>3</v>
      </c>
      <c r="D4664" t="s">
        <v>176</v>
      </c>
      <c r="E4664" s="22">
        <f>38-34</f>
        <v>4</v>
      </c>
      <c r="F4664" t="s">
        <v>363</v>
      </c>
      <c r="G4664" t="s">
        <v>361</v>
      </c>
      <c r="H4664" t="s">
        <v>928</v>
      </c>
      <c r="L4664" t="s">
        <v>869</v>
      </c>
    </row>
    <row r="4665" spans="1:12" x14ac:dyDescent="0.75">
      <c r="A4665" t="s">
        <v>116</v>
      </c>
      <c r="B4665" s="3">
        <v>45056</v>
      </c>
      <c r="C4665">
        <v>3</v>
      </c>
      <c r="D4665" t="s">
        <v>194</v>
      </c>
      <c r="E4665" s="22">
        <f>34-30</f>
        <v>4</v>
      </c>
      <c r="F4665" t="s">
        <v>363</v>
      </c>
      <c r="G4665" t="s">
        <v>361</v>
      </c>
      <c r="H4665" t="s">
        <v>928</v>
      </c>
      <c r="L4665" t="s">
        <v>869</v>
      </c>
    </row>
    <row r="4666" spans="1:12" x14ac:dyDescent="0.75">
      <c r="A4666" t="s">
        <v>116</v>
      </c>
      <c r="B4666" s="3">
        <v>45056</v>
      </c>
      <c r="C4666">
        <v>3</v>
      </c>
      <c r="D4666" t="s">
        <v>191</v>
      </c>
      <c r="E4666" s="22">
        <f>30-20</f>
        <v>10</v>
      </c>
      <c r="F4666" t="s">
        <v>363</v>
      </c>
      <c r="G4666" t="s">
        <v>361</v>
      </c>
      <c r="H4666" t="s">
        <v>928</v>
      </c>
      <c r="L4666" t="s">
        <v>869</v>
      </c>
    </row>
    <row r="4667" spans="1:12" s="58" customFormat="1" x14ac:dyDescent="0.75">
      <c r="A4667" s="58" t="s">
        <v>23</v>
      </c>
      <c r="B4667" s="59">
        <v>45057</v>
      </c>
      <c r="C4667" s="58">
        <v>1</v>
      </c>
      <c r="D4667" s="58" t="s">
        <v>160</v>
      </c>
      <c r="E4667" s="60">
        <f>41-36</f>
        <v>5</v>
      </c>
      <c r="F4667" s="58">
        <v>3884</v>
      </c>
      <c r="G4667" s="58" t="s">
        <v>361</v>
      </c>
      <c r="H4667" s="58" t="s">
        <v>928</v>
      </c>
      <c r="I4667" s="58" t="s">
        <v>360</v>
      </c>
      <c r="L4667" s="58" t="s">
        <v>628</v>
      </c>
    </row>
    <row r="4668" spans="1:12" x14ac:dyDescent="0.75">
      <c r="A4668" t="s">
        <v>44</v>
      </c>
      <c r="B4668" s="3">
        <v>45057</v>
      </c>
      <c r="C4668">
        <v>1</v>
      </c>
      <c r="D4668" t="s">
        <v>168</v>
      </c>
      <c r="E4668" s="22">
        <f>44-40</f>
        <v>4</v>
      </c>
      <c r="F4668" t="s">
        <v>363</v>
      </c>
      <c r="G4668" t="s">
        <v>361</v>
      </c>
      <c r="H4668" t="s">
        <v>928</v>
      </c>
      <c r="L4668" t="s">
        <v>869</v>
      </c>
    </row>
    <row r="4669" spans="1:12" x14ac:dyDescent="0.75">
      <c r="A4669" t="s">
        <v>44</v>
      </c>
      <c r="B4669" s="3">
        <v>45057</v>
      </c>
      <c r="C4669">
        <v>1</v>
      </c>
      <c r="D4669" t="s">
        <v>168</v>
      </c>
      <c r="E4669" s="22">
        <f>11-7</f>
        <v>4</v>
      </c>
      <c r="F4669" t="s">
        <v>363</v>
      </c>
      <c r="G4669" t="s">
        <v>361</v>
      </c>
      <c r="H4669" t="s">
        <v>928</v>
      </c>
      <c r="L4669" t="s">
        <v>869</v>
      </c>
    </row>
    <row r="4670" spans="1:12" x14ac:dyDescent="0.75">
      <c r="A4670" t="s">
        <v>44</v>
      </c>
      <c r="B4670" s="3">
        <v>45057</v>
      </c>
      <c r="C4670">
        <v>1</v>
      </c>
      <c r="D4670" t="s">
        <v>168</v>
      </c>
      <c r="E4670" s="22">
        <f>7-1</f>
        <v>6</v>
      </c>
      <c r="F4670" t="s">
        <v>363</v>
      </c>
      <c r="G4670" t="s">
        <v>361</v>
      </c>
      <c r="H4670" t="s">
        <v>928</v>
      </c>
      <c r="L4670" t="s">
        <v>869</v>
      </c>
    </row>
    <row r="4671" spans="1:12" x14ac:dyDescent="0.75">
      <c r="A4671" t="s">
        <v>44</v>
      </c>
      <c r="B4671" s="3">
        <v>45057</v>
      </c>
      <c r="C4671">
        <v>1</v>
      </c>
      <c r="D4671" t="s">
        <v>176</v>
      </c>
      <c r="E4671" s="22">
        <f>54-38-2</f>
        <v>14</v>
      </c>
      <c r="F4671" t="s">
        <v>363</v>
      </c>
      <c r="G4671" t="s">
        <v>361</v>
      </c>
      <c r="H4671" t="s">
        <v>928</v>
      </c>
      <c r="K4671" t="s">
        <v>933</v>
      </c>
      <c r="L4671" t="s">
        <v>869</v>
      </c>
    </row>
    <row r="4672" spans="1:12" x14ac:dyDescent="0.75">
      <c r="A4672" t="s">
        <v>44</v>
      </c>
      <c r="B4672" s="3">
        <v>45057</v>
      </c>
      <c r="C4672">
        <v>1</v>
      </c>
      <c r="D4672" t="s">
        <v>194</v>
      </c>
      <c r="E4672" s="22">
        <f>38-0+1-0</f>
        <v>39</v>
      </c>
      <c r="F4672" t="s">
        <v>363</v>
      </c>
      <c r="G4672" t="s">
        <v>361</v>
      </c>
      <c r="H4672" t="s">
        <v>928</v>
      </c>
      <c r="L4672" t="s">
        <v>869</v>
      </c>
    </row>
    <row r="4673" spans="1:12" x14ac:dyDescent="0.75">
      <c r="A4673" t="s">
        <v>44</v>
      </c>
      <c r="B4673" s="3">
        <v>45057</v>
      </c>
      <c r="C4673">
        <v>1</v>
      </c>
      <c r="D4673" t="s">
        <v>207</v>
      </c>
      <c r="E4673" s="22">
        <f>42-27-2</f>
        <v>13</v>
      </c>
      <c r="F4673" t="s">
        <v>363</v>
      </c>
      <c r="G4673" t="s">
        <v>361</v>
      </c>
      <c r="H4673" t="s">
        <v>928</v>
      </c>
      <c r="K4673" t="s">
        <v>933</v>
      </c>
      <c r="L4673" t="s">
        <v>869</v>
      </c>
    </row>
    <row r="4674" spans="1:12" x14ac:dyDescent="0.75">
      <c r="A4674" t="s">
        <v>44</v>
      </c>
      <c r="B4674" s="3">
        <v>45057</v>
      </c>
      <c r="C4674">
        <v>1</v>
      </c>
      <c r="D4674" t="s">
        <v>176</v>
      </c>
      <c r="E4674" s="22">
        <f>27-16</f>
        <v>11</v>
      </c>
      <c r="F4674" t="s">
        <v>363</v>
      </c>
      <c r="G4674" t="s">
        <v>361</v>
      </c>
      <c r="H4674" t="s">
        <v>928</v>
      </c>
      <c r="L4674" t="s">
        <v>869</v>
      </c>
    </row>
    <row r="4675" spans="1:12" x14ac:dyDescent="0.75">
      <c r="A4675" t="s">
        <v>44</v>
      </c>
      <c r="B4675" s="3">
        <v>45057</v>
      </c>
      <c r="C4675">
        <v>1</v>
      </c>
      <c r="D4675" t="s">
        <v>201</v>
      </c>
      <c r="E4675" s="22">
        <f>16-7</f>
        <v>9</v>
      </c>
      <c r="F4675" t="s">
        <v>363</v>
      </c>
      <c r="G4675" t="s">
        <v>361</v>
      </c>
      <c r="H4675" t="s">
        <v>928</v>
      </c>
      <c r="L4675" t="s">
        <v>869</v>
      </c>
    </row>
    <row r="4676" spans="1:12" x14ac:dyDescent="0.75">
      <c r="A4676" t="s">
        <v>44</v>
      </c>
      <c r="B4676" s="3">
        <v>45057</v>
      </c>
      <c r="C4676">
        <v>1</v>
      </c>
      <c r="D4676" t="s">
        <v>153</v>
      </c>
      <c r="E4676" s="22">
        <f>7-4</f>
        <v>3</v>
      </c>
      <c r="F4676" t="s">
        <v>363</v>
      </c>
      <c r="G4676" t="s">
        <v>361</v>
      </c>
      <c r="H4676" t="s">
        <v>928</v>
      </c>
      <c r="L4676" t="s">
        <v>869</v>
      </c>
    </row>
    <row r="4677" spans="1:12" s="58" customFormat="1" x14ac:dyDescent="0.75">
      <c r="A4677" s="58" t="s">
        <v>39</v>
      </c>
      <c r="B4677" s="59">
        <v>45057</v>
      </c>
      <c r="C4677" s="58">
        <v>1</v>
      </c>
      <c r="D4677" s="58" t="s">
        <v>168</v>
      </c>
      <c r="E4677" s="60">
        <f>22-0-1</f>
        <v>21</v>
      </c>
      <c r="F4677" s="58" t="s">
        <v>363</v>
      </c>
      <c r="G4677" s="58" t="s">
        <v>627</v>
      </c>
      <c r="H4677" s="58" t="s">
        <v>928</v>
      </c>
      <c r="L4677" s="58" t="s">
        <v>869</v>
      </c>
    </row>
    <row r="4678" spans="1:12" s="58" customFormat="1" x14ac:dyDescent="0.75">
      <c r="A4678" s="58" t="s">
        <v>39</v>
      </c>
      <c r="B4678" s="59">
        <v>45057</v>
      </c>
      <c r="C4678" s="58">
        <v>1</v>
      </c>
      <c r="D4678" s="58" t="s">
        <v>168</v>
      </c>
      <c r="E4678" s="60">
        <f>54-42</f>
        <v>12</v>
      </c>
      <c r="F4678" s="58" t="s">
        <v>363</v>
      </c>
      <c r="G4678" s="58" t="s">
        <v>627</v>
      </c>
      <c r="H4678" s="58" t="s">
        <v>928</v>
      </c>
      <c r="L4678" s="58" t="s">
        <v>869</v>
      </c>
    </row>
    <row r="4679" spans="1:12" s="58" customFormat="1" x14ac:dyDescent="0.75">
      <c r="A4679" s="58" t="s">
        <v>39</v>
      </c>
      <c r="B4679" s="59">
        <v>45057</v>
      </c>
      <c r="C4679" s="58">
        <v>1</v>
      </c>
      <c r="D4679" s="58" t="s">
        <v>172</v>
      </c>
      <c r="E4679" s="60">
        <f>42-26</f>
        <v>16</v>
      </c>
      <c r="F4679" s="58" t="s">
        <v>363</v>
      </c>
      <c r="G4679" s="58" t="s">
        <v>627</v>
      </c>
      <c r="H4679" s="58" t="s">
        <v>928</v>
      </c>
      <c r="L4679" s="58" t="s">
        <v>869</v>
      </c>
    </row>
    <row r="4680" spans="1:12" s="58" customFormat="1" x14ac:dyDescent="0.75">
      <c r="A4680" s="58" t="s">
        <v>39</v>
      </c>
      <c r="B4680" s="59">
        <v>45057</v>
      </c>
      <c r="C4680" s="58">
        <v>1</v>
      </c>
      <c r="D4680" s="58" t="s">
        <v>207</v>
      </c>
      <c r="E4680" s="60" t="s">
        <v>949</v>
      </c>
      <c r="F4680" s="58" t="s">
        <v>363</v>
      </c>
      <c r="G4680" s="58" t="s">
        <v>361</v>
      </c>
      <c r="H4680" s="58" t="s">
        <v>928</v>
      </c>
      <c r="K4680" s="58" t="s">
        <v>950</v>
      </c>
      <c r="L4680" s="58" t="s">
        <v>869</v>
      </c>
    </row>
    <row r="4681" spans="1:12" s="58" customFormat="1" x14ac:dyDescent="0.75">
      <c r="A4681" s="58" t="s">
        <v>39</v>
      </c>
      <c r="B4681" s="59">
        <v>45057</v>
      </c>
      <c r="C4681" s="58">
        <v>1</v>
      </c>
      <c r="D4681" s="58" t="s">
        <v>201</v>
      </c>
      <c r="E4681" s="60">
        <f>4-2</f>
        <v>2</v>
      </c>
      <c r="F4681" s="58" t="s">
        <v>363</v>
      </c>
      <c r="G4681" s="58" t="s">
        <v>361</v>
      </c>
      <c r="H4681" s="58" t="s">
        <v>928</v>
      </c>
      <c r="L4681" s="58" t="s">
        <v>869</v>
      </c>
    </row>
    <row r="4682" spans="1:12" s="58" customFormat="1" x14ac:dyDescent="0.75">
      <c r="A4682" s="58" t="s">
        <v>39</v>
      </c>
      <c r="B4682" s="59">
        <v>45057</v>
      </c>
      <c r="C4682" s="58">
        <v>1</v>
      </c>
      <c r="D4682" s="58" t="s">
        <v>168</v>
      </c>
      <c r="E4682" s="60">
        <f>2-0+40-32</f>
        <v>10</v>
      </c>
      <c r="F4682" s="58" t="s">
        <v>363</v>
      </c>
      <c r="G4682" s="58" t="s">
        <v>361</v>
      </c>
      <c r="H4682" s="58" t="s">
        <v>928</v>
      </c>
      <c r="L4682" s="58" t="s">
        <v>869</v>
      </c>
    </row>
    <row r="4683" spans="1:12" s="58" customFormat="1" x14ac:dyDescent="0.75">
      <c r="A4683" s="58" t="s">
        <v>39</v>
      </c>
      <c r="B4683" s="59">
        <v>45057</v>
      </c>
      <c r="C4683" s="58">
        <v>1</v>
      </c>
      <c r="D4683" s="58" t="s">
        <v>172</v>
      </c>
      <c r="E4683" s="60">
        <f>32-18</f>
        <v>14</v>
      </c>
      <c r="F4683" s="58" t="s">
        <v>363</v>
      </c>
      <c r="G4683" s="58" t="s">
        <v>361</v>
      </c>
      <c r="H4683" s="58" t="s">
        <v>928</v>
      </c>
      <c r="L4683" s="58" t="s">
        <v>869</v>
      </c>
    </row>
    <row r="4684" spans="1:12" s="58" customFormat="1" x14ac:dyDescent="0.75">
      <c r="A4684" s="58" t="s">
        <v>39</v>
      </c>
      <c r="B4684" s="59">
        <v>45057</v>
      </c>
      <c r="C4684" s="58">
        <v>1</v>
      </c>
      <c r="D4684" s="58" t="s">
        <v>168</v>
      </c>
      <c r="E4684" s="60">
        <f>18-15</f>
        <v>3</v>
      </c>
      <c r="F4684" s="58" t="s">
        <v>363</v>
      </c>
      <c r="G4684" s="58" t="s">
        <v>361</v>
      </c>
      <c r="H4684" s="58" t="s">
        <v>928</v>
      </c>
      <c r="L4684" s="58" t="s">
        <v>869</v>
      </c>
    </row>
    <row r="4685" spans="1:12" s="58" customFormat="1" x14ac:dyDescent="0.75">
      <c r="A4685" s="58" t="s">
        <v>39</v>
      </c>
      <c r="B4685" s="59">
        <v>45057</v>
      </c>
      <c r="C4685" s="58">
        <v>1</v>
      </c>
      <c r="D4685" s="58" t="s">
        <v>172</v>
      </c>
      <c r="E4685" s="60">
        <f>15-5</f>
        <v>10</v>
      </c>
      <c r="F4685" s="58">
        <v>919</v>
      </c>
      <c r="G4685" s="58" t="s">
        <v>361</v>
      </c>
      <c r="H4685" s="58" t="s">
        <v>390</v>
      </c>
      <c r="L4685" s="58" t="s">
        <v>869</v>
      </c>
    </row>
    <row r="4686" spans="1:12" s="58" customFormat="1" x14ac:dyDescent="0.75">
      <c r="A4686" s="58" t="s">
        <v>39</v>
      </c>
      <c r="B4686" s="59">
        <v>45057</v>
      </c>
      <c r="C4686" s="58">
        <v>1</v>
      </c>
      <c r="D4686" s="58" t="s">
        <v>172</v>
      </c>
      <c r="E4686" s="60">
        <f>5-0+48-40</f>
        <v>13</v>
      </c>
      <c r="F4686" s="58">
        <v>913</v>
      </c>
      <c r="G4686" s="58" t="s">
        <v>361</v>
      </c>
      <c r="H4686" s="58" t="s">
        <v>390</v>
      </c>
      <c r="L4686" s="58" t="s">
        <v>869</v>
      </c>
    </row>
    <row r="4687" spans="1:12" x14ac:dyDescent="0.75">
      <c r="A4687" t="s">
        <v>69</v>
      </c>
      <c r="B4687" s="3">
        <v>45062</v>
      </c>
      <c r="C4687">
        <v>1</v>
      </c>
      <c r="D4687" t="s">
        <v>207</v>
      </c>
      <c r="E4687" s="22">
        <f>SUM(53-46)</f>
        <v>7</v>
      </c>
      <c r="F4687" t="s">
        <v>363</v>
      </c>
      <c r="G4687" t="s">
        <v>361</v>
      </c>
      <c r="H4687" t="s">
        <v>928</v>
      </c>
      <c r="I4687" t="s">
        <v>360</v>
      </c>
      <c r="L4687" t="s">
        <v>628</v>
      </c>
    </row>
    <row r="4688" spans="1:12" x14ac:dyDescent="0.75">
      <c r="A4688" t="s">
        <v>69</v>
      </c>
      <c r="B4688" s="3">
        <v>45062</v>
      </c>
      <c r="C4688">
        <v>1</v>
      </c>
      <c r="D4688" t="s">
        <v>194</v>
      </c>
      <c r="E4688" s="22">
        <f>41-30</f>
        <v>11</v>
      </c>
      <c r="F4688" t="s">
        <v>363</v>
      </c>
      <c r="G4688" t="s">
        <v>361</v>
      </c>
      <c r="H4688" t="s">
        <v>928</v>
      </c>
      <c r="I4688" t="s">
        <v>360</v>
      </c>
      <c r="L4688" t="s">
        <v>628</v>
      </c>
    </row>
    <row r="4689" spans="1:12" x14ac:dyDescent="0.75">
      <c r="A4689" t="s">
        <v>69</v>
      </c>
      <c r="B4689" s="3">
        <v>45062</v>
      </c>
      <c r="C4689">
        <v>1</v>
      </c>
      <c r="D4689" t="s">
        <v>191</v>
      </c>
      <c r="E4689" s="22">
        <f>30-22</f>
        <v>8</v>
      </c>
      <c r="F4689" t="s">
        <v>363</v>
      </c>
      <c r="G4689" t="s">
        <v>361</v>
      </c>
      <c r="H4689" t="s">
        <v>928</v>
      </c>
      <c r="I4689" t="s">
        <v>360</v>
      </c>
      <c r="L4689" t="s">
        <v>628</v>
      </c>
    </row>
    <row r="4690" spans="1:12" x14ac:dyDescent="0.75">
      <c r="A4690" t="s">
        <v>69</v>
      </c>
      <c r="B4690" s="3">
        <v>45062</v>
      </c>
      <c r="C4690">
        <v>1</v>
      </c>
      <c r="D4690" t="s">
        <v>191</v>
      </c>
      <c r="E4690" s="22">
        <f>51-47</f>
        <v>4</v>
      </c>
      <c r="F4690" t="s">
        <v>363</v>
      </c>
      <c r="G4690" t="s">
        <v>869</v>
      </c>
      <c r="H4690" t="s">
        <v>928</v>
      </c>
      <c r="I4690" t="s">
        <v>360</v>
      </c>
      <c r="L4690" t="s">
        <v>628</v>
      </c>
    </row>
    <row r="4691" spans="1:12" x14ac:dyDescent="0.75">
      <c r="A4691" t="s">
        <v>69</v>
      </c>
      <c r="B4691" s="3">
        <v>45062</v>
      </c>
      <c r="C4691">
        <v>1</v>
      </c>
      <c r="D4691" t="s">
        <v>207</v>
      </c>
      <c r="E4691" s="22">
        <f>47-45</f>
        <v>2</v>
      </c>
      <c r="F4691" t="s">
        <v>363</v>
      </c>
      <c r="G4691" t="s">
        <v>869</v>
      </c>
      <c r="H4691" t="s">
        <v>928</v>
      </c>
      <c r="I4691" t="s">
        <v>360</v>
      </c>
      <c r="L4691" t="s">
        <v>628</v>
      </c>
    </row>
    <row r="4692" spans="1:12" x14ac:dyDescent="0.75">
      <c r="A4692" t="s">
        <v>69</v>
      </c>
      <c r="B4692" s="3">
        <v>45062</v>
      </c>
      <c r="C4692">
        <v>1</v>
      </c>
      <c r="D4692" t="s">
        <v>207</v>
      </c>
      <c r="E4692" s="22">
        <f>45-44</f>
        <v>1</v>
      </c>
      <c r="F4692" t="s">
        <v>363</v>
      </c>
      <c r="G4692" t="s">
        <v>869</v>
      </c>
      <c r="H4692" t="s">
        <v>928</v>
      </c>
      <c r="I4692" t="s">
        <v>360</v>
      </c>
      <c r="L4692" t="s">
        <v>628</v>
      </c>
    </row>
    <row r="4693" spans="1:12" x14ac:dyDescent="0.75">
      <c r="A4693" t="s">
        <v>69</v>
      </c>
      <c r="B4693" s="3">
        <v>45062</v>
      </c>
      <c r="C4693">
        <v>1</v>
      </c>
      <c r="D4693" t="s">
        <v>197</v>
      </c>
      <c r="E4693" s="22">
        <f>44-34</f>
        <v>10</v>
      </c>
      <c r="F4693" t="s">
        <v>363</v>
      </c>
      <c r="G4693" t="s">
        <v>869</v>
      </c>
      <c r="H4693" t="s">
        <v>928</v>
      </c>
      <c r="I4693" t="s">
        <v>360</v>
      </c>
      <c r="L4693" t="s">
        <v>628</v>
      </c>
    </row>
    <row r="4694" spans="1:12" x14ac:dyDescent="0.75">
      <c r="A4694" t="s">
        <v>69</v>
      </c>
      <c r="B4694" s="3">
        <v>45062</v>
      </c>
      <c r="C4694">
        <v>1</v>
      </c>
      <c r="D4694" t="s">
        <v>207</v>
      </c>
      <c r="E4694" s="22">
        <f>34-29</f>
        <v>5</v>
      </c>
      <c r="F4694" t="s">
        <v>363</v>
      </c>
      <c r="G4694" t="s">
        <v>869</v>
      </c>
      <c r="H4694" t="s">
        <v>928</v>
      </c>
      <c r="I4694" t="s">
        <v>360</v>
      </c>
      <c r="L4694" t="s">
        <v>628</v>
      </c>
    </row>
    <row r="4695" spans="1:12" s="58" customFormat="1" x14ac:dyDescent="0.75">
      <c r="A4695" s="58" t="s">
        <v>69</v>
      </c>
      <c r="B4695" s="59">
        <v>45062</v>
      </c>
      <c r="C4695" s="58">
        <v>2</v>
      </c>
      <c r="D4695" s="58" t="s">
        <v>194</v>
      </c>
      <c r="E4695" s="60">
        <f>22-12</f>
        <v>10</v>
      </c>
      <c r="F4695" s="58" t="s">
        <v>363</v>
      </c>
      <c r="G4695" s="58" t="s">
        <v>361</v>
      </c>
      <c r="H4695" s="58" t="s">
        <v>928</v>
      </c>
      <c r="I4695" s="58" t="s">
        <v>360</v>
      </c>
      <c r="L4695" s="58" t="s">
        <v>628</v>
      </c>
    </row>
    <row r="4696" spans="1:12" s="58" customFormat="1" x14ac:dyDescent="0.75">
      <c r="A4696" s="58" t="s">
        <v>69</v>
      </c>
      <c r="B4696" s="59">
        <v>45062</v>
      </c>
      <c r="C4696" s="58">
        <v>2</v>
      </c>
      <c r="D4696" s="58" t="s">
        <v>191</v>
      </c>
      <c r="E4696" s="60">
        <f>12-6</f>
        <v>6</v>
      </c>
      <c r="F4696" s="58" t="s">
        <v>363</v>
      </c>
      <c r="G4696" s="58" t="s">
        <v>361</v>
      </c>
      <c r="H4696" s="58" t="s">
        <v>928</v>
      </c>
      <c r="I4696" s="58" t="s">
        <v>360</v>
      </c>
      <c r="L4696" s="58" t="s">
        <v>628</v>
      </c>
    </row>
    <row r="4697" spans="1:12" s="58" customFormat="1" x14ac:dyDescent="0.75">
      <c r="A4697" s="58" t="s">
        <v>69</v>
      </c>
      <c r="B4697" s="59">
        <v>45062</v>
      </c>
      <c r="C4697" s="58">
        <v>2</v>
      </c>
      <c r="D4697" s="58" t="s">
        <v>191</v>
      </c>
      <c r="E4697" s="60">
        <f>6+53-40</f>
        <v>19</v>
      </c>
      <c r="F4697" s="58" t="s">
        <v>363</v>
      </c>
      <c r="G4697" s="58" t="s">
        <v>361</v>
      </c>
      <c r="H4697" s="58" t="s">
        <v>928</v>
      </c>
      <c r="I4697" s="58" t="s">
        <v>360</v>
      </c>
      <c r="L4697" s="58" t="s">
        <v>628</v>
      </c>
    </row>
    <row r="4698" spans="1:12" s="58" customFormat="1" x14ac:dyDescent="0.75">
      <c r="A4698" s="58" t="s">
        <v>69</v>
      </c>
      <c r="B4698" s="59">
        <v>45062</v>
      </c>
      <c r="C4698" s="58">
        <v>2</v>
      </c>
      <c r="D4698" s="58" t="s">
        <v>197</v>
      </c>
      <c r="E4698" s="60">
        <f>46-41</f>
        <v>5</v>
      </c>
      <c r="F4698" s="58" t="s">
        <v>363</v>
      </c>
      <c r="G4698" s="58" t="s">
        <v>361</v>
      </c>
      <c r="H4698" s="58" t="s">
        <v>928</v>
      </c>
      <c r="I4698" s="58" t="s">
        <v>360</v>
      </c>
      <c r="L4698" s="58" t="s">
        <v>628</v>
      </c>
    </row>
    <row r="4699" spans="1:12" s="58" customFormat="1" x14ac:dyDescent="0.75">
      <c r="A4699" s="58" t="s">
        <v>69</v>
      </c>
      <c r="B4699" s="59">
        <v>45062</v>
      </c>
      <c r="C4699" s="58">
        <v>2</v>
      </c>
      <c r="D4699" s="58" t="s">
        <v>215</v>
      </c>
      <c r="E4699" s="60">
        <f>41-31</f>
        <v>10</v>
      </c>
      <c r="F4699" s="58" t="s">
        <v>363</v>
      </c>
      <c r="G4699" s="58" t="s">
        <v>361</v>
      </c>
      <c r="H4699" s="58" t="s">
        <v>928</v>
      </c>
      <c r="I4699" s="58" t="s">
        <v>360</v>
      </c>
      <c r="L4699" s="58" t="s">
        <v>628</v>
      </c>
    </row>
    <row r="4700" spans="1:12" s="58" customFormat="1" x14ac:dyDescent="0.75">
      <c r="A4700" s="58" t="s">
        <v>69</v>
      </c>
      <c r="B4700" s="59">
        <v>45062</v>
      </c>
      <c r="C4700" s="58">
        <v>2</v>
      </c>
      <c r="D4700" s="58" t="s">
        <v>197</v>
      </c>
      <c r="E4700" s="60">
        <f>31-20</f>
        <v>11</v>
      </c>
      <c r="F4700" s="58" t="s">
        <v>363</v>
      </c>
      <c r="G4700" s="58" t="s">
        <v>361</v>
      </c>
      <c r="H4700" s="58" t="s">
        <v>928</v>
      </c>
      <c r="I4700" s="58" t="s">
        <v>360</v>
      </c>
      <c r="L4700" s="58" t="s">
        <v>628</v>
      </c>
    </row>
    <row r="4701" spans="1:12" s="58" customFormat="1" x14ac:dyDescent="0.75">
      <c r="A4701" s="58" t="s">
        <v>69</v>
      </c>
      <c r="B4701" s="59">
        <v>45062</v>
      </c>
      <c r="C4701" s="58">
        <v>2</v>
      </c>
      <c r="D4701" s="58" t="s">
        <v>191</v>
      </c>
      <c r="E4701" s="60">
        <f>20-16</f>
        <v>4</v>
      </c>
      <c r="F4701" s="58" t="s">
        <v>363</v>
      </c>
      <c r="G4701" s="58" t="s">
        <v>361</v>
      </c>
      <c r="H4701" s="58" t="s">
        <v>928</v>
      </c>
      <c r="I4701" s="58" t="s">
        <v>360</v>
      </c>
      <c r="L4701" s="58" t="s">
        <v>628</v>
      </c>
    </row>
    <row r="4702" spans="1:12" s="58" customFormat="1" x14ac:dyDescent="0.75">
      <c r="A4702" s="58" t="s">
        <v>69</v>
      </c>
      <c r="B4702" s="59">
        <v>45062</v>
      </c>
      <c r="C4702" s="58">
        <v>2</v>
      </c>
      <c r="D4702" s="58" t="s">
        <v>201</v>
      </c>
      <c r="E4702" s="60">
        <f>16+40-19</f>
        <v>37</v>
      </c>
      <c r="F4702" s="58" t="s">
        <v>363</v>
      </c>
      <c r="G4702" s="58" t="s">
        <v>361</v>
      </c>
      <c r="H4702" s="58" t="s">
        <v>928</v>
      </c>
      <c r="I4702" s="58" t="s">
        <v>360</v>
      </c>
      <c r="L4702" s="58" t="s">
        <v>628</v>
      </c>
    </row>
    <row r="4703" spans="1:12" s="58" customFormat="1" x14ac:dyDescent="0.75">
      <c r="A4703" s="58" t="s">
        <v>69</v>
      </c>
      <c r="B4703" s="59">
        <v>45062</v>
      </c>
      <c r="C4703" s="58">
        <v>2</v>
      </c>
      <c r="D4703" s="58" t="s">
        <v>207</v>
      </c>
      <c r="E4703" s="60">
        <f>19-15</f>
        <v>4</v>
      </c>
      <c r="F4703" s="58" t="s">
        <v>363</v>
      </c>
      <c r="G4703" s="58" t="s">
        <v>361</v>
      </c>
      <c r="H4703" s="58" t="s">
        <v>928</v>
      </c>
      <c r="I4703" s="58" t="s">
        <v>360</v>
      </c>
      <c r="L4703" s="58" t="s">
        <v>628</v>
      </c>
    </row>
    <row r="4704" spans="1:12" s="58" customFormat="1" x14ac:dyDescent="0.75">
      <c r="A4704" s="58" t="s">
        <v>69</v>
      </c>
      <c r="B4704" s="59">
        <v>45062</v>
      </c>
      <c r="C4704" s="58">
        <v>2</v>
      </c>
      <c r="D4704" s="58" t="s">
        <v>207</v>
      </c>
      <c r="E4704" s="60">
        <f>15-9</f>
        <v>6</v>
      </c>
      <c r="F4704" s="58" t="s">
        <v>363</v>
      </c>
      <c r="G4704" s="58" t="s">
        <v>361</v>
      </c>
      <c r="H4704" s="58" t="s">
        <v>928</v>
      </c>
      <c r="I4704" s="58" t="s">
        <v>360</v>
      </c>
      <c r="L4704" s="58" t="s">
        <v>628</v>
      </c>
    </row>
    <row r="4705" spans="1:12" s="58" customFormat="1" x14ac:dyDescent="0.75">
      <c r="A4705" s="58" t="s">
        <v>69</v>
      </c>
      <c r="B4705" s="59">
        <v>45062</v>
      </c>
      <c r="C4705" s="58">
        <v>2</v>
      </c>
      <c r="D4705" s="58" t="s">
        <v>197</v>
      </c>
      <c r="E4705" s="60">
        <f>42-38</f>
        <v>4</v>
      </c>
      <c r="F4705" s="58" t="s">
        <v>363</v>
      </c>
      <c r="G4705" s="58" t="s">
        <v>869</v>
      </c>
      <c r="H4705" s="58" t="s">
        <v>928</v>
      </c>
      <c r="I4705" s="58" t="s">
        <v>360</v>
      </c>
      <c r="L4705" s="58" t="s">
        <v>628</v>
      </c>
    </row>
    <row r="4706" spans="1:12" s="58" customFormat="1" x14ac:dyDescent="0.75">
      <c r="A4706" s="58" t="s">
        <v>69</v>
      </c>
      <c r="B4706" s="59">
        <v>45062</v>
      </c>
      <c r="C4706" s="58">
        <v>2</v>
      </c>
      <c r="D4706" s="58" t="s">
        <v>191</v>
      </c>
      <c r="E4706" s="60">
        <f>38-22</f>
        <v>16</v>
      </c>
      <c r="F4706" s="58" t="s">
        <v>363</v>
      </c>
      <c r="G4706" s="58" t="s">
        <v>869</v>
      </c>
      <c r="H4706" s="58" t="s">
        <v>928</v>
      </c>
      <c r="I4706" s="58" t="s">
        <v>360</v>
      </c>
      <c r="L4706" s="58" t="s">
        <v>628</v>
      </c>
    </row>
    <row r="4707" spans="1:12" s="58" customFormat="1" x14ac:dyDescent="0.75">
      <c r="A4707" s="58" t="s">
        <v>69</v>
      </c>
      <c r="B4707" s="59">
        <v>45062</v>
      </c>
      <c r="C4707" s="58">
        <v>2</v>
      </c>
      <c r="D4707" s="58" t="s">
        <v>205</v>
      </c>
      <c r="E4707" s="60">
        <f>32-31</f>
        <v>1</v>
      </c>
      <c r="F4707" s="58" t="s">
        <v>363</v>
      </c>
      <c r="G4707" s="58" t="s">
        <v>869</v>
      </c>
      <c r="H4707" s="58" t="s">
        <v>928</v>
      </c>
      <c r="I4707" s="58" t="s">
        <v>360</v>
      </c>
      <c r="L4707" s="58" t="s">
        <v>628</v>
      </c>
    </row>
    <row r="4708" spans="1:12" s="58" customFormat="1" x14ac:dyDescent="0.75">
      <c r="A4708" s="58" t="s">
        <v>69</v>
      </c>
      <c r="B4708" s="59">
        <v>45062</v>
      </c>
      <c r="C4708" s="58">
        <v>2</v>
      </c>
      <c r="D4708" s="58" t="s">
        <v>197</v>
      </c>
      <c r="E4708" s="60">
        <f>31-17</f>
        <v>14</v>
      </c>
      <c r="F4708" s="58" t="s">
        <v>363</v>
      </c>
      <c r="G4708" s="58" t="s">
        <v>869</v>
      </c>
      <c r="H4708" s="58" t="s">
        <v>390</v>
      </c>
      <c r="I4708" s="58" t="s">
        <v>360</v>
      </c>
      <c r="L4708" s="58" t="s">
        <v>628</v>
      </c>
    </row>
    <row r="4709" spans="1:12" s="58" customFormat="1" x14ac:dyDescent="0.75">
      <c r="A4709" s="58" t="s">
        <v>69</v>
      </c>
      <c r="B4709" s="59">
        <v>45062</v>
      </c>
      <c r="C4709" s="58">
        <v>2</v>
      </c>
      <c r="D4709" s="58" t="s">
        <v>197</v>
      </c>
      <c r="E4709" s="60">
        <f>17-5</f>
        <v>12</v>
      </c>
      <c r="F4709" s="58" t="s">
        <v>363</v>
      </c>
      <c r="G4709" s="58" t="s">
        <v>869</v>
      </c>
      <c r="H4709" s="58" t="s">
        <v>928</v>
      </c>
      <c r="I4709" s="58" t="s">
        <v>360</v>
      </c>
      <c r="L4709" s="58" t="s">
        <v>628</v>
      </c>
    </row>
    <row r="4710" spans="1:12" s="58" customFormat="1" x14ac:dyDescent="0.75">
      <c r="A4710" s="58" t="s">
        <v>69</v>
      </c>
      <c r="B4710" s="59">
        <v>45062</v>
      </c>
      <c r="C4710" s="58">
        <v>2</v>
      </c>
      <c r="D4710" s="58" t="s">
        <v>194</v>
      </c>
      <c r="E4710" s="60">
        <f>5-3</f>
        <v>2</v>
      </c>
      <c r="F4710" s="58" t="s">
        <v>363</v>
      </c>
      <c r="G4710" s="58" t="s">
        <v>869</v>
      </c>
      <c r="H4710" s="58" t="s">
        <v>928</v>
      </c>
      <c r="I4710" s="58" t="s">
        <v>360</v>
      </c>
      <c r="L4710" s="58" t="s">
        <v>628</v>
      </c>
    </row>
    <row r="4711" spans="1:12" s="58" customFormat="1" x14ac:dyDescent="0.75">
      <c r="A4711" s="58" t="s">
        <v>69</v>
      </c>
      <c r="B4711" s="59">
        <v>45062</v>
      </c>
      <c r="C4711" s="58">
        <v>2</v>
      </c>
      <c r="D4711" s="58" t="s">
        <v>191</v>
      </c>
      <c r="E4711" s="60">
        <f>3-1</f>
        <v>2</v>
      </c>
      <c r="F4711" s="58" t="s">
        <v>363</v>
      </c>
      <c r="G4711" s="58" t="s">
        <v>869</v>
      </c>
      <c r="H4711" s="58" t="s">
        <v>928</v>
      </c>
      <c r="I4711" s="58" t="s">
        <v>360</v>
      </c>
      <c r="L4711" s="58" t="s">
        <v>628</v>
      </c>
    </row>
    <row r="4712" spans="1:12" s="58" customFormat="1" x14ac:dyDescent="0.75">
      <c r="A4712" s="58" t="s">
        <v>69</v>
      </c>
      <c r="B4712" s="59">
        <v>45062</v>
      </c>
      <c r="C4712" s="58">
        <v>2</v>
      </c>
      <c r="D4712" s="58" t="s">
        <v>223</v>
      </c>
      <c r="E4712" s="60">
        <f>28-26</f>
        <v>2</v>
      </c>
      <c r="F4712" s="58" t="s">
        <v>363</v>
      </c>
      <c r="G4712" s="58" t="s">
        <v>869</v>
      </c>
      <c r="H4712" s="58" t="s">
        <v>928</v>
      </c>
      <c r="I4712" s="58" t="s">
        <v>360</v>
      </c>
      <c r="K4712" s="58" t="s">
        <v>951</v>
      </c>
      <c r="L4712" s="58" t="s">
        <v>628</v>
      </c>
    </row>
    <row r="4713" spans="1:12" s="58" customFormat="1" x14ac:dyDescent="0.75">
      <c r="A4713" s="58" t="s">
        <v>69</v>
      </c>
      <c r="B4713" s="59">
        <v>45062</v>
      </c>
      <c r="C4713" s="58">
        <v>2</v>
      </c>
      <c r="D4713" s="58" t="s">
        <v>217</v>
      </c>
      <c r="E4713" s="60">
        <f>26-25</f>
        <v>1</v>
      </c>
      <c r="F4713" s="58" t="s">
        <v>363</v>
      </c>
      <c r="G4713" s="58" t="s">
        <v>869</v>
      </c>
      <c r="H4713" s="58" t="s">
        <v>928</v>
      </c>
      <c r="I4713" s="58" t="s">
        <v>360</v>
      </c>
      <c r="L4713" s="58" t="s">
        <v>628</v>
      </c>
    </row>
    <row r="4714" spans="1:12" s="58" customFormat="1" x14ac:dyDescent="0.75">
      <c r="A4714" s="58" t="s">
        <v>69</v>
      </c>
      <c r="B4714" s="59">
        <v>45062</v>
      </c>
      <c r="C4714" s="58">
        <v>2</v>
      </c>
      <c r="D4714" s="58" t="s">
        <v>197</v>
      </c>
      <c r="E4714" s="60">
        <f>25-7</f>
        <v>18</v>
      </c>
      <c r="F4714" s="58" t="s">
        <v>363</v>
      </c>
      <c r="G4714" s="58" t="s">
        <v>869</v>
      </c>
      <c r="H4714" s="58" t="s">
        <v>390</v>
      </c>
      <c r="I4714" s="58" t="s">
        <v>360</v>
      </c>
      <c r="L4714" s="58" t="s">
        <v>628</v>
      </c>
    </row>
    <row r="4715" spans="1:12" s="58" customFormat="1" x14ac:dyDescent="0.75">
      <c r="A4715" s="58" t="s">
        <v>69</v>
      </c>
      <c r="B4715" s="59">
        <v>45062</v>
      </c>
      <c r="C4715" s="58">
        <v>2</v>
      </c>
      <c r="D4715" s="58" t="s">
        <v>207</v>
      </c>
      <c r="E4715" s="60">
        <f>50-15</f>
        <v>35</v>
      </c>
      <c r="F4715" s="58" t="s">
        <v>363</v>
      </c>
      <c r="G4715" s="58" t="s">
        <v>869</v>
      </c>
      <c r="H4715" s="58" t="s">
        <v>928</v>
      </c>
      <c r="I4715" s="58" t="s">
        <v>360</v>
      </c>
      <c r="L4715" s="58" t="s">
        <v>628</v>
      </c>
    </row>
    <row r="4716" spans="1:12" s="58" customFormat="1" x14ac:dyDescent="0.75">
      <c r="A4716" s="58" t="s">
        <v>69</v>
      </c>
      <c r="B4716" s="59">
        <v>45062</v>
      </c>
      <c r="C4716" s="58">
        <v>2</v>
      </c>
      <c r="D4716" s="58" t="s">
        <v>194</v>
      </c>
      <c r="E4716" s="60">
        <f>15-10</f>
        <v>5</v>
      </c>
      <c r="F4716" s="58" t="s">
        <v>363</v>
      </c>
      <c r="G4716" s="58" t="s">
        <v>869</v>
      </c>
      <c r="H4716" s="58" t="s">
        <v>928</v>
      </c>
      <c r="I4716" s="58" t="s">
        <v>360</v>
      </c>
      <c r="L4716" s="58" t="s">
        <v>628</v>
      </c>
    </row>
    <row r="4717" spans="1:12" s="58" customFormat="1" x14ac:dyDescent="0.75">
      <c r="A4717" s="58" t="s">
        <v>69</v>
      </c>
      <c r="B4717" s="59">
        <v>45062</v>
      </c>
      <c r="C4717" s="58">
        <v>2</v>
      </c>
      <c r="D4717" s="58" t="s">
        <v>207</v>
      </c>
      <c r="E4717" s="60">
        <f>10-3</f>
        <v>7</v>
      </c>
      <c r="F4717" s="58" t="s">
        <v>363</v>
      </c>
      <c r="G4717" s="58" t="s">
        <v>869</v>
      </c>
      <c r="H4717" s="58" t="s">
        <v>928</v>
      </c>
      <c r="I4717" s="58" t="s">
        <v>360</v>
      </c>
      <c r="L4717" s="58" t="s">
        <v>628</v>
      </c>
    </row>
    <row r="4718" spans="1:12" x14ac:dyDescent="0.75">
      <c r="A4718" t="s">
        <v>69</v>
      </c>
      <c r="B4718" s="3">
        <v>45062</v>
      </c>
      <c r="C4718">
        <v>3</v>
      </c>
      <c r="D4718" t="s">
        <v>194</v>
      </c>
      <c r="E4718" s="22">
        <f>9-1</f>
        <v>8</v>
      </c>
      <c r="F4718" t="s">
        <v>363</v>
      </c>
      <c r="G4718" t="s">
        <v>361</v>
      </c>
      <c r="H4718" t="s">
        <v>928</v>
      </c>
      <c r="I4718" t="s">
        <v>360</v>
      </c>
      <c r="L4718" t="s">
        <v>628</v>
      </c>
    </row>
    <row r="4719" spans="1:12" x14ac:dyDescent="0.75">
      <c r="A4719" t="s">
        <v>69</v>
      </c>
      <c r="B4719" s="3">
        <v>45062</v>
      </c>
      <c r="C4719">
        <v>3</v>
      </c>
      <c r="D4719" t="s">
        <v>191</v>
      </c>
      <c r="E4719" s="22">
        <f>1+54-48</f>
        <v>7</v>
      </c>
      <c r="F4719" t="s">
        <v>363</v>
      </c>
      <c r="G4719" t="s">
        <v>361</v>
      </c>
      <c r="H4719" t="s">
        <v>928</v>
      </c>
      <c r="I4719" t="s">
        <v>360</v>
      </c>
      <c r="L4719" t="s">
        <v>628</v>
      </c>
    </row>
    <row r="4720" spans="1:12" x14ac:dyDescent="0.75">
      <c r="A4720" t="s">
        <v>69</v>
      </c>
      <c r="B4720" s="3">
        <v>45062</v>
      </c>
      <c r="C4720">
        <v>3</v>
      </c>
      <c r="D4720" t="s">
        <v>197</v>
      </c>
      <c r="E4720" s="22">
        <f>48-37</f>
        <v>11</v>
      </c>
      <c r="F4720" t="s">
        <v>363</v>
      </c>
      <c r="G4720" t="s">
        <v>361</v>
      </c>
      <c r="H4720" t="s">
        <v>928</v>
      </c>
      <c r="I4720" t="s">
        <v>360</v>
      </c>
      <c r="L4720" t="s">
        <v>628</v>
      </c>
    </row>
    <row r="4721" spans="1:12" x14ac:dyDescent="0.75">
      <c r="A4721" t="s">
        <v>69</v>
      </c>
      <c r="B4721" s="3">
        <v>45062</v>
      </c>
      <c r="C4721">
        <v>3</v>
      </c>
      <c r="D4721" t="s">
        <v>191</v>
      </c>
      <c r="E4721" s="22">
        <f>37-27</f>
        <v>10</v>
      </c>
      <c r="F4721" t="s">
        <v>363</v>
      </c>
      <c r="G4721" t="s">
        <v>361</v>
      </c>
      <c r="H4721" t="s">
        <v>928</v>
      </c>
      <c r="I4721" t="s">
        <v>360</v>
      </c>
      <c r="L4721" t="s">
        <v>628</v>
      </c>
    </row>
    <row r="4722" spans="1:12" x14ac:dyDescent="0.75">
      <c r="A4722" t="s">
        <v>69</v>
      </c>
      <c r="B4722" s="3">
        <v>45062</v>
      </c>
      <c r="C4722">
        <v>3</v>
      </c>
      <c r="D4722" t="s">
        <v>207</v>
      </c>
      <c r="E4722" s="22">
        <f>27-25</f>
        <v>2</v>
      </c>
      <c r="F4722" t="s">
        <v>363</v>
      </c>
      <c r="G4722" t="s">
        <v>361</v>
      </c>
      <c r="H4722" t="s">
        <v>928</v>
      </c>
      <c r="I4722" t="s">
        <v>360</v>
      </c>
      <c r="L4722" t="s">
        <v>628</v>
      </c>
    </row>
    <row r="4723" spans="1:12" x14ac:dyDescent="0.75">
      <c r="A4723" t="s">
        <v>69</v>
      </c>
      <c r="B4723" s="3">
        <v>45062</v>
      </c>
      <c r="C4723">
        <v>3</v>
      </c>
      <c r="D4723" t="s">
        <v>201</v>
      </c>
      <c r="E4723" s="22">
        <f>25-5</f>
        <v>20</v>
      </c>
      <c r="F4723" t="s">
        <v>363</v>
      </c>
      <c r="G4723" t="s">
        <v>361</v>
      </c>
      <c r="H4723" t="s">
        <v>928</v>
      </c>
      <c r="I4723" t="s">
        <v>360</v>
      </c>
      <c r="L4723" t="s">
        <v>628</v>
      </c>
    </row>
    <row r="4724" spans="1:12" x14ac:dyDescent="0.75">
      <c r="A4724" t="s">
        <v>69</v>
      </c>
      <c r="B4724" s="3">
        <v>45062</v>
      </c>
      <c r="C4724">
        <v>3</v>
      </c>
      <c r="D4724" t="s">
        <v>191</v>
      </c>
      <c r="E4724" s="22">
        <f>5-2</f>
        <v>3</v>
      </c>
      <c r="F4724" t="s">
        <v>363</v>
      </c>
      <c r="G4724" t="s">
        <v>361</v>
      </c>
      <c r="H4724" t="s">
        <v>928</v>
      </c>
      <c r="I4724" t="s">
        <v>360</v>
      </c>
      <c r="L4724" t="s">
        <v>628</v>
      </c>
    </row>
    <row r="4725" spans="1:12" x14ac:dyDescent="0.75">
      <c r="A4725" t="s">
        <v>69</v>
      </c>
      <c r="B4725" s="3">
        <v>45062</v>
      </c>
      <c r="C4725">
        <v>3</v>
      </c>
      <c r="D4725" t="s">
        <v>207</v>
      </c>
      <c r="E4725" s="22">
        <f>2+54-52</f>
        <v>4</v>
      </c>
      <c r="F4725" t="s">
        <v>363</v>
      </c>
      <c r="G4725" t="s">
        <v>361</v>
      </c>
      <c r="H4725" t="s">
        <v>928</v>
      </c>
      <c r="I4725" t="s">
        <v>360</v>
      </c>
      <c r="L4725" t="s">
        <v>628</v>
      </c>
    </row>
    <row r="4726" spans="1:12" x14ac:dyDescent="0.75">
      <c r="A4726" t="s">
        <v>69</v>
      </c>
      <c r="B4726" s="3">
        <v>45062</v>
      </c>
      <c r="C4726">
        <v>3</v>
      </c>
      <c r="D4726" t="s">
        <v>197</v>
      </c>
      <c r="E4726" s="22">
        <f>52-49</f>
        <v>3</v>
      </c>
      <c r="F4726" t="s">
        <v>363</v>
      </c>
      <c r="G4726" t="s">
        <v>361</v>
      </c>
      <c r="H4726" t="s">
        <v>928</v>
      </c>
      <c r="I4726" t="s">
        <v>360</v>
      </c>
      <c r="L4726" t="s">
        <v>628</v>
      </c>
    </row>
    <row r="4727" spans="1:12" x14ac:dyDescent="0.75">
      <c r="A4727" t="s">
        <v>69</v>
      </c>
      <c r="B4727" s="3">
        <v>45062</v>
      </c>
      <c r="C4727">
        <v>3</v>
      </c>
      <c r="D4727" t="s">
        <v>164</v>
      </c>
      <c r="E4727" s="22">
        <f>49-31</f>
        <v>18</v>
      </c>
      <c r="F4727" t="s">
        <v>363</v>
      </c>
      <c r="G4727" t="s">
        <v>361</v>
      </c>
      <c r="H4727" t="s">
        <v>928</v>
      </c>
      <c r="I4727" t="s">
        <v>360</v>
      </c>
      <c r="L4727" t="s">
        <v>628</v>
      </c>
    </row>
    <row r="4728" spans="1:12" x14ac:dyDescent="0.75">
      <c r="A4728" t="s">
        <v>69</v>
      </c>
      <c r="B4728" s="3">
        <v>45062</v>
      </c>
      <c r="C4728">
        <v>3</v>
      </c>
      <c r="D4728" t="s">
        <v>197</v>
      </c>
      <c r="E4728" s="22">
        <f>31-23</f>
        <v>8</v>
      </c>
      <c r="F4728" t="s">
        <v>363</v>
      </c>
      <c r="G4728" t="s">
        <v>361</v>
      </c>
      <c r="H4728" t="s">
        <v>928</v>
      </c>
      <c r="I4728" t="s">
        <v>360</v>
      </c>
      <c r="L4728" t="s">
        <v>628</v>
      </c>
    </row>
    <row r="4729" spans="1:12" x14ac:dyDescent="0.75">
      <c r="A4729" t="s">
        <v>69</v>
      </c>
      <c r="B4729" s="3">
        <v>45062</v>
      </c>
      <c r="C4729">
        <v>3</v>
      </c>
      <c r="D4729" t="s">
        <v>191</v>
      </c>
      <c r="E4729" s="22">
        <f>23-13</f>
        <v>10</v>
      </c>
      <c r="F4729" t="s">
        <v>363</v>
      </c>
      <c r="G4729" t="s">
        <v>361</v>
      </c>
      <c r="H4729" t="s">
        <v>928</v>
      </c>
      <c r="I4729" t="s">
        <v>360</v>
      </c>
      <c r="L4729" t="s">
        <v>628</v>
      </c>
    </row>
    <row r="4730" spans="1:12" x14ac:dyDescent="0.75">
      <c r="A4730" t="s">
        <v>69</v>
      </c>
      <c r="B4730" s="3">
        <v>45062</v>
      </c>
      <c r="C4730">
        <v>3</v>
      </c>
      <c r="D4730" t="s">
        <v>191</v>
      </c>
      <c r="E4730" s="22">
        <f>13-7</f>
        <v>6</v>
      </c>
      <c r="F4730" t="s">
        <v>363</v>
      </c>
      <c r="G4730" t="s">
        <v>361</v>
      </c>
      <c r="H4730" t="s">
        <v>928</v>
      </c>
      <c r="I4730" t="s">
        <v>360</v>
      </c>
      <c r="L4730" t="s">
        <v>628</v>
      </c>
    </row>
    <row r="4731" spans="1:12" x14ac:dyDescent="0.75">
      <c r="A4731" t="s">
        <v>69</v>
      </c>
      <c r="B4731" s="3">
        <v>45062</v>
      </c>
      <c r="C4731">
        <v>3</v>
      </c>
      <c r="D4731" t="s">
        <v>201</v>
      </c>
      <c r="E4731" s="22">
        <f>7+46-34</f>
        <v>19</v>
      </c>
      <c r="F4731" t="s">
        <v>363</v>
      </c>
      <c r="G4731" t="s">
        <v>361</v>
      </c>
      <c r="H4731" t="s">
        <v>928</v>
      </c>
      <c r="I4731" t="s">
        <v>360</v>
      </c>
      <c r="L4731" t="s">
        <v>628</v>
      </c>
    </row>
    <row r="4732" spans="1:12" x14ac:dyDescent="0.75">
      <c r="A4732" t="s">
        <v>69</v>
      </c>
      <c r="B4732" s="3">
        <v>45062</v>
      </c>
      <c r="C4732">
        <v>3</v>
      </c>
      <c r="D4732" t="s">
        <v>191</v>
      </c>
      <c r="E4732" s="22">
        <f>34-29</f>
        <v>5</v>
      </c>
      <c r="F4732" t="s">
        <v>363</v>
      </c>
      <c r="G4732" t="s">
        <v>361</v>
      </c>
      <c r="H4732" t="s">
        <v>928</v>
      </c>
      <c r="I4732" t="s">
        <v>360</v>
      </c>
      <c r="L4732" t="s">
        <v>628</v>
      </c>
    </row>
    <row r="4733" spans="1:12" x14ac:dyDescent="0.75">
      <c r="A4733" t="s">
        <v>69</v>
      </c>
      <c r="B4733" s="3">
        <v>45062</v>
      </c>
      <c r="C4733">
        <v>3</v>
      </c>
      <c r="D4733" t="s">
        <v>197</v>
      </c>
      <c r="E4733" s="22">
        <f>29-4</f>
        <v>25</v>
      </c>
      <c r="F4733" t="s">
        <v>363</v>
      </c>
      <c r="G4733" t="s">
        <v>361</v>
      </c>
      <c r="H4733" t="s">
        <v>928</v>
      </c>
      <c r="I4733" t="s">
        <v>360</v>
      </c>
      <c r="L4733" t="s">
        <v>628</v>
      </c>
    </row>
    <row r="4734" spans="1:12" x14ac:dyDescent="0.75">
      <c r="A4734" t="s">
        <v>69</v>
      </c>
      <c r="B4734" s="3">
        <v>45062</v>
      </c>
      <c r="C4734">
        <v>3</v>
      </c>
      <c r="D4734" t="s">
        <v>191</v>
      </c>
      <c r="E4734" s="22">
        <f>7-6</f>
        <v>1</v>
      </c>
      <c r="F4734" t="s">
        <v>363</v>
      </c>
      <c r="G4734" t="s">
        <v>869</v>
      </c>
      <c r="H4734" t="s">
        <v>928</v>
      </c>
      <c r="I4734" t="s">
        <v>360</v>
      </c>
      <c r="L4734" t="s">
        <v>628</v>
      </c>
    </row>
    <row r="4735" spans="1:12" x14ac:dyDescent="0.75">
      <c r="A4735" t="s">
        <v>69</v>
      </c>
      <c r="B4735" s="3">
        <v>45062</v>
      </c>
      <c r="C4735">
        <v>3</v>
      </c>
      <c r="D4735" t="s">
        <v>194</v>
      </c>
      <c r="E4735" s="22">
        <f>6-1</f>
        <v>5</v>
      </c>
      <c r="F4735" t="s">
        <v>363</v>
      </c>
      <c r="G4735" t="s">
        <v>869</v>
      </c>
      <c r="H4735" t="s">
        <v>928</v>
      </c>
      <c r="I4735" t="s">
        <v>360</v>
      </c>
      <c r="L4735" t="s">
        <v>628</v>
      </c>
    </row>
    <row r="4736" spans="1:12" x14ac:dyDescent="0.75">
      <c r="A4736" t="s">
        <v>69</v>
      </c>
      <c r="B4736" s="3">
        <v>45062</v>
      </c>
      <c r="C4736">
        <v>3</v>
      </c>
      <c r="D4736" t="s">
        <v>207</v>
      </c>
      <c r="E4736" s="22">
        <f>3+2-1</f>
        <v>4</v>
      </c>
      <c r="F4736" t="s">
        <v>363</v>
      </c>
      <c r="G4736" t="s">
        <v>869</v>
      </c>
      <c r="H4736" t="s">
        <v>928</v>
      </c>
      <c r="I4736" t="s">
        <v>360</v>
      </c>
      <c r="L4736" t="s">
        <v>628</v>
      </c>
    </row>
    <row r="4737" spans="1:12" x14ac:dyDescent="0.75">
      <c r="A4737" t="s">
        <v>69</v>
      </c>
      <c r="B4737" s="3">
        <v>45062</v>
      </c>
      <c r="C4737">
        <v>3</v>
      </c>
      <c r="D4737" t="s">
        <v>191</v>
      </c>
      <c r="E4737" s="22">
        <f>41-37</f>
        <v>4</v>
      </c>
      <c r="F4737" t="s">
        <v>363</v>
      </c>
      <c r="G4737" t="s">
        <v>869</v>
      </c>
      <c r="H4737" t="s">
        <v>928</v>
      </c>
      <c r="I4737" t="s">
        <v>360</v>
      </c>
      <c r="L4737" t="s">
        <v>628</v>
      </c>
    </row>
    <row r="4738" spans="1:12" x14ac:dyDescent="0.75">
      <c r="A4738" t="s">
        <v>69</v>
      </c>
      <c r="B4738" s="3">
        <v>45062</v>
      </c>
      <c r="C4738">
        <v>3</v>
      </c>
      <c r="D4738" t="s">
        <v>197</v>
      </c>
      <c r="E4738" s="22">
        <f>37-35</f>
        <v>2</v>
      </c>
      <c r="F4738" t="s">
        <v>363</v>
      </c>
      <c r="G4738" t="s">
        <v>869</v>
      </c>
      <c r="H4738" t="s">
        <v>928</v>
      </c>
      <c r="I4738" t="s">
        <v>360</v>
      </c>
      <c r="L4738" t="s">
        <v>628</v>
      </c>
    </row>
    <row r="4739" spans="1:12" x14ac:dyDescent="0.75">
      <c r="A4739" t="s">
        <v>69</v>
      </c>
      <c r="B4739" s="3">
        <v>45062</v>
      </c>
      <c r="C4739">
        <v>3</v>
      </c>
      <c r="D4739" t="s">
        <v>197</v>
      </c>
      <c r="E4739" s="22">
        <f>35-25</f>
        <v>10</v>
      </c>
      <c r="F4739" t="s">
        <v>363</v>
      </c>
      <c r="G4739" t="s">
        <v>869</v>
      </c>
      <c r="H4739" t="s">
        <v>928</v>
      </c>
      <c r="I4739" t="s">
        <v>360</v>
      </c>
      <c r="L4739" t="s">
        <v>628</v>
      </c>
    </row>
    <row r="4740" spans="1:12" x14ac:dyDescent="0.75">
      <c r="A4740" t="s">
        <v>69</v>
      </c>
      <c r="B4740" s="3">
        <v>45062</v>
      </c>
      <c r="C4740">
        <v>3</v>
      </c>
      <c r="D4740" t="s">
        <v>217</v>
      </c>
      <c r="E4740" s="22">
        <f>25-23</f>
        <v>2</v>
      </c>
      <c r="F4740" t="s">
        <v>363</v>
      </c>
      <c r="G4740" t="s">
        <v>869</v>
      </c>
      <c r="H4740" t="s">
        <v>928</v>
      </c>
      <c r="I4740" t="s">
        <v>360</v>
      </c>
      <c r="L4740" t="s">
        <v>628</v>
      </c>
    </row>
    <row r="4741" spans="1:12" x14ac:dyDescent="0.75">
      <c r="A4741" t="s">
        <v>69</v>
      </c>
      <c r="B4741" s="3">
        <v>45062</v>
      </c>
      <c r="C4741">
        <v>3</v>
      </c>
      <c r="D4741" t="s">
        <v>194</v>
      </c>
      <c r="E4741" s="22">
        <f>23-22</f>
        <v>1</v>
      </c>
      <c r="F4741" t="s">
        <v>363</v>
      </c>
      <c r="G4741" t="s">
        <v>869</v>
      </c>
      <c r="H4741" t="s">
        <v>928</v>
      </c>
      <c r="I4741" t="s">
        <v>360</v>
      </c>
      <c r="L4741" t="s">
        <v>628</v>
      </c>
    </row>
    <row r="4742" spans="1:12" x14ac:dyDescent="0.75">
      <c r="A4742" t="s">
        <v>69</v>
      </c>
      <c r="B4742" s="3">
        <v>45062</v>
      </c>
      <c r="C4742">
        <v>3</v>
      </c>
      <c r="D4742" t="s">
        <v>191</v>
      </c>
      <c r="E4742" s="22">
        <f>22-19</f>
        <v>3</v>
      </c>
      <c r="F4742" t="s">
        <v>363</v>
      </c>
      <c r="G4742" t="s">
        <v>869</v>
      </c>
      <c r="H4742" t="s">
        <v>928</v>
      </c>
      <c r="I4742" t="s">
        <v>360</v>
      </c>
      <c r="L4742" t="s">
        <v>628</v>
      </c>
    </row>
    <row r="4743" spans="1:12" x14ac:dyDescent="0.75">
      <c r="A4743" t="s">
        <v>69</v>
      </c>
      <c r="B4743" s="3">
        <v>45062</v>
      </c>
      <c r="C4743">
        <v>3</v>
      </c>
      <c r="D4743" t="s">
        <v>191</v>
      </c>
      <c r="E4743" s="22">
        <f>19-13</f>
        <v>6</v>
      </c>
      <c r="F4743" t="s">
        <v>363</v>
      </c>
      <c r="G4743" t="s">
        <v>869</v>
      </c>
      <c r="H4743" t="s">
        <v>928</v>
      </c>
      <c r="I4743" t="s">
        <v>360</v>
      </c>
      <c r="L4743" t="s">
        <v>628</v>
      </c>
    </row>
    <row r="4744" spans="1:12" x14ac:dyDescent="0.75">
      <c r="A4744" t="s">
        <v>69</v>
      </c>
      <c r="B4744" s="3">
        <v>45062</v>
      </c>
      <c r="C4744">
        <v>3</v>
      </c>
      <c r="D4744" t="s">
        <v>191</v>
      </c>
      <c r="E4744" s="22">
        <f>13+50-49</f>
        <v>14</v>
      </c>
      <c r="F4744" t="s">
        <v>363</v>
      </c>
      <c r="G4744" t="s">
        <v>869</v>
      </c>
      <c r="H4744" t="s">
        <v>928</v>
      </c>
      <c r="I4744" t="s">
        <v>360</v>
      </c>
      <c r="L4744" t="s">
        <v>628</v>
      </c>
    </row>
    <row r="4745" spans="1:12" x14ac:dyDescent="0.75">
      <c r="A4745" t="s">
        <v>69</v>
      </c>
      <c r="B4745" s="3">
        <v>45062</v>
      </c>
      <c r="C4745">
        <v>3</v>
      </c>
      <c r="D4745" t="s">
        <v>191</v>
      </c>
      <c r="E4745" s="22">
        <f>49-43</f>
        <v>6</v>
      </c>
      <c r="F4745" t="s">
        <v>363</v>
      </c>
      <c r="G4745" t="s">
        <v>869</v>
      </c>
      <c r="H4745" t="s">
        <v>928</v>
      </c>
      <c r="I4745" t="s">
        <v>360</v>
      </c>
      <c r="L4745" t="s">
        <v>628</v>
      </c>
    </row>
    <row r="4746" spans="1:12" s="58" customFormat="1" x14ac:dyDescent="0.75">
      <c r="A4746" s="300" t="s">
        <v>48</v>
      </c>
      <c r="B4746" s="301">
        <v>45063</v>
      </c>
      <c r="C4746" s="300">
        <v>1</v>
      </c>
      <c r="D4746" s="300" t="s">
        <v>197</v>
      </c>
      <c r="E4746" s="300">
        <v>19</v>
      </c>
      <c r="F4746" s="302" t="s">
        <v>363</v>
      </c>
      <c r="G4746" s="300" t="s">
        <v>361</v>
      </c>
      <c r="H4746" s="300" t="s">
        <v>539</v>
      </c>
      <c r="I4746" s="58" t="s">
        <v>869</v>
      </c>
      <c r="J4746" s="301">
        <v>45132</v>
      </c>
      <c r="K4746" s="300" t="s">
        <v>952</v>
      </c>
      <c r="L4746" s="300" t="s">
        <v>627</v>
      </c>
    </row>
    <row r="4747" spans="1:12" s="58" customFormat="1" x14ac:dyDescent="0.75">
      <c r="A4747" s="300" t="s">
        <v>48</v>
      </c>
      <c r="B4747" s="301">
        <v>45063</v>
      </c>
      <c r="C4747" s="300">
        <v>1</v>
      </c>
      <c r="D4747" s="300" t="s">
        <v>207</v>
      </c>
      <c r="E4747" s="300">
        <v>3</v>
      </c>
      <c r="F4747" s="302" t="s">
        <v>363</v>
      </c>
      <c r="G4747" s="300" t="s">
        <v>361</v>
      </c>
      <c r="H4747" s="300" t="s">
        <v>539</v>
      </c>
      <c r="I4747" s="58" t="s">
        <v>869</v>
      </c>
      <c r="J4747" s="301">
        <v>45132</v>
      </c>
      <c r="K4747" s="300"/>
      <c r="L4747" s="300" t="s">
        <v>627</v>
      </c>
    </row>
    <row r="4748" spans="1:12" s="58" customFormat="1" x14ac:dyDescent="0.75">
      <c r="A4748" s="300" t="s">
        <v>48</v>
      </c>
      <c r="B4748" s="301">
        <v>45063</v>
      </c>
      <c r="C4748" s="300">
        <v>1</v>
      </c>
      <c r="D4748" s="300" t="s">
        <v>197</v>
      </c>
      <c r="E4748" s="300">
        <v>3</v>
      </c>
      <c r="F4748" s="302" t="s">
        <v>363</v>
      </c>
      <c r="G4748" s="300" t="s">
        <v>361</v>
      </c>
      <c r="H4748" s="300" t="s">
        <v>539</v>
      </c>
      <c r="I4748" s="58" t="s">
        <v>869</v>
      </c>
      <c r="J4748" s="301">
        <v>45132</v>
      </c>
      <c r="K4748" s="300" t="s">
        <v>952</v>
      </c>
      <c r="L4748" s="300" t="s">
        <v>627</v>
      </c>
    </row>
    <row r="4749" spans="1:12" x14ac:dyDescent="0.75">
      <c r="A4749" s="66" t="s">
        <v>60</v>
      </c>
      <c r="B4749" s="121">
        <v>45063</v>
      </c>
      <c r="C4749" s="66">
        <v>1</v>
      </c>
      <c r="D4749" s="66" t="s">
        <v>194</v>
      </c>
      <c r="E4749" s="66">
        <v>2</v>
      </c>
      <c r="F4749" s="158" t="s">
        <v>363</v>
      </c>
      <c r="G4749" s="66" t="s">
        <v>361</v>
      </c>
      <c r="H4749" s="66" t="s">
        <v>539</v>
      </c>
      <c r="I4749" t="s">
        <v>869</v>
      </c>
      <c r="J4749" s="121">
        <v>45133</v>
      </c>
      <c r="K4749" s="66" t="s">
        <v>952</v>
      </c>
      <c r="L4749" s="66" t="s">
        <v>627</v>
      </c>
    </row>
    <row r="4750" spans="1:12" x14ac:dyDescent="0.75">
      <c r="A4750" s="66" t="s">
        <v>60</v>
      </c>
      <c r="B4750" s="121">
        <v>45063</v>
      </c>
      <c r="C4750" s="66">
        <v>1</v>
      </c>
      <c r="D4750" s="66" t="s">
        <v>201</v>
      </c>
      <c r="E4750" s="66">
        <v>13</v>
      </c>
      <c r="F4750" s="158" t="s">
        <v>363</v>
      </c>
      <c r="G4750" s="66" t="s">
        <v>361</v>
      </c>
      <c r="H4750" s="66" t="s">
        <v>539</v>
      </c>
      <c r="I4750" t="s">
        <v>869</v>
      </c>
      <c r="J4750" s="121">
        <v>45133</v>
      </c>
      <c r="K4750" s="66"/>
      <c r="L4750" s="66" t="s">
        <v>627</v>
      </c>
    </row>
    <row r="4751" spans="1:12" x14ac:dyDescent="0.75">
      <c r="A4751" s="66" t="s">
        <v>60</v>
      </c>
      <c r="B4751" s="121">
        <v>45063</v>
      </c>
      <c r="C4751" s="66">
        <v>1</v>
      </c>
      <c r="D4751" s="66" t="s">
        <v>201</v>
      </c>
      <c r="E4751" s="66">
        <v>13</v>
      </c>
      <c r="F4751" s="158" t="s">
        <v>363</v>
      </c>
      <c r="G4751" s="66" t="s">
        <v>361</v>
      </c>
      <c r="H4751" s="66" t="s">
        <v>539</v>
      </c>
      <c r="I4751" t="s">
        <v>869</v>
      </c>
      <c r="J4751" s="121">
        <v>45133</v>
      </c>
      <c r="K4751" s="66"/>
      <c r="L4751" s="66" t="s">
        <v>627</v>
      </c>
    </row>
    <row r="4752" spans="1:12" x14ac:dyDescent="0.75">
      <c r="A4752" s="66" t="s">
        <v>60</v>
      </c>
      <c r="B4752" s="121">
        <v>45063</v>
      </c>
      <c r="C4752" s="66">
        <v>1</v>
      </c>
      <c r="D4752" s="66" t="s">
        <v>207</v>
      </c>
      <c r="E4752" s="66">
        <v>4</v>
      </c>
      <c r="F4752" s="158" t="s">
        <v>363</v>
      </c>
      <c r="G4752" s="66" t="s">
        <v>361</v>
      </c>
      <c r="H4752" s="66" t="s">
        <v>539</v>
      </c>
      <c r="I4752" t="s">
        <v>869</v>
      </c>
      <c r="J4752" s="121">
        <v>45133</v>
      </c>
      <c r="K4752" s="66"/>
      <c r="L4752" s="66" t="s">
        <v>627</v>
      </c>
    </row>
    <row r="4753" spans="1:12" x14ac:dyDescent="0.75">
      <c r="A4753" s="66" t="s">
        <v>60</v>
      </c>
      <c r="B4753" s="121">
        <v>45063</v>
      </c>
      <c r="C4753" s="66">
        <v>1</v>
      </c>
      <c r="D4753" s="66" t="s">
        <v>207</v>
      </c>
      <c r="E4753" s="66">
        <v>2</v>
      </c>
      <c r="F4753" s="158" t="s">
        <v>363</v>
      </c>
      <c r="G4753" s="66" t="s">
        <v>361</v>
      </c>
      <c r="H4753" s="66" t="s">
        <v>539</v>
      </c>
      <c r="I4753" t="s">
        <v>869</v>
      </c>
      <c r="J4753" s="121">
        <v>45133</v>
      </c>
      <c r="K4753" s="66"/>
      <c r="L4753" s="66" t="s">
        <v>627</v>
      </c>
    </row>
    <row r="4754" spans="1:12" x14ac:dyDescent="0.75">
      <c r="A4754" s="66" t="s">
        <v>60</v>
      </c>
      <c r="B4754" s="121">
        <v>45063</v>
      </c>
      <c r="C4754" s="66">
        <v>1</v>
      </c>
      <c r="D4754" s="66" t="s">
        <v>201</v>
      </c>
      <c r="E4754" s="66">
        <v>5</v>
      </c>
      <c r="F4754" s="158" t="s">
        <v>363</v>
      </c>
      <c r="G4754" s="66" t="s">
        <v>361</v>
      </c>
      <c r="H4754" s="66" t="s">
        <v>539</v>
      </c>
      <c r="I4754" t="s">
        <v>869</v>
      </c>
      <c r="J4754" s="121">
        <v>45133</v>
      </c>
      <c r="K4754" s="66"/>
      <c r="L4754" s="66" t="s">
        <v>627</v>
      </c>
    </row>
    <row r="4755" spans="1:12" x14ac:dyDescent="0.75">
      <c r="A4755" s="66" t="s">
        <v>60</v>
      </c>
      <c r="B4755" s="121">
        <v>45063</v>
      </c>
      <c r="C4755" s="66">
        <v>1</v>
      </c>
      <c r="D4755" s="66" t="s">
        <v>191</v>
      </c>
      <c r="E4755" s="66">
        <v>8</v>
      </c>
      <c r="F4755" s="158" t="s">
        <v>363</v>
      </c>
      <c r="G4755" s="66" t="s">
        <v>361</v>
      </c>
      <c r="H4755" s="66" t="s">
        <v>539</v>
      </c>
      <c r="I4755" t="s">
        <v>869</v>
      </c>
      <c r="J4755" s="121">
        <v>45133</v>
      </c>
      <c r="K4755" s="66" t="s">
        <v>952</v>
      </c>
      <c r="L4755" s="66" t="s">
        <v>627</v>
      </c>
    </row>
    <row r="4756" spans="1:12" s="58" customFormat="1" x14ac:dyDescent="0.75">
      <c r="A4756" s="300" t="s">
        <v>64</v>
      </c>
      <c r="B4756" s="301">
        <v>45063</v>
      </c>
      <c r="C4756" s="300">
        <v>1</v>
      </c>
      <c r="D4756" s="300" t="s">
        <v>207</v>
      </c>
      <c r="E4756" s="300">
        <v>9</v>
      </c>
      <c r="F4756" s="302" t="s">
        <v>363</v>
      </c>
      <c r="G4756" s="300" t="s">
        <v>627</v>
      </c>
      <c r="H4756" s="300" t="s">
        <v>539</v>
      </c>
      <c r="I4756" s="58" t="s">
        <v>869</v>
      </c>
      <c r="J4756" s="301">
        <v>45132</v>
      </c>
      <c r="K4756" s="300" t="s">
        <v>952</v>
      </c>
      <c r="L4756" s="300" t="s">
        <v>627</v>
      </c>
    </row>
    <row r="4757" spans="1:12" s="58" customFormat="1" x14ac:dyDescent="0.75">
      <c r="A4757" s="300" t="s">
        <v>64</v>
      </c>
      <c r="B4757" s="301">
        <v>45063</v>
      </c>
      <c r="C4757" s="300">
        <v>1</v>
      </c>
      <c r="D4757" s="300" t="s">
        <v>168</v>
      </c>
      <c r="E4757" s="300">
        <v>15</v>
      </c>
      <c r="F4757" s="302" t="s">
        <v>363</v>
      </c>
      <c r="G4757" s="300" t="s">
        <v>361</v>
      </c>
      <c r="H4757" s="300" t="s">
        <v>539</v>
      </c>
      <c r="I4757" s="58" t="s">
        <v>869</v>
      </c>
      <c r="J4757" s="301">
        <v>45132</v>
      </c>
      <c r="K4757" s="300"/>
      <c r="L4757" s="300" t="s">
        <v>627</v>
      </c>
    </row>
    <row r="4758" spans="1:12" s="58" customFormat="1" x14ac:dyDescent="0.75">
      <c r="A4758" s="300" t="s">
        <v>64</v>
      </c>
      <c r="B4758" s="301">
        <v>45063</v>
      </c>
      <c r="C4758" s="300">
        <v>1</v>
      </c>
      <c r="D4758" s="300" t="s">
        <v>197</v>
      </c>
      <c r="E4758" s="300">
        <v>10</v>
      </c>
      <c r="F4758" s="302" t="s">
        <v>363</v>
      </c>
      <c r="G4758" s="300" t="s">
        <v>361</v>
      </c>
      <c r="H4758" s="300" t="s">
        <v>539</v>
      </c>
      <c r="I4758" s="58" t="s">
        <v>869</v>
      </c>
      <c r="J4758" s="301">
        <v>45132</v>
      </c>
      <c r="K4758" s="300" t="s">
        <v>952</v>
      </c>
      <c r="L4758" s="300" t="s">
        <v>627</v>
      </c>
    </row>
    <row r="4759" spans="1:12" x14ac:dyDescent="0.75">
      <c r="A4759" t="s">
        <v>39</v>
      </c>
      <c r="B4759" s="3">
        <v>45064</v>
      </c>
      <c r="C4759">
        <v>1</v>
      </c>
      <c r="D4759" t="s">
        <v>153</v>
      </c>
      <c r="E4759" s="22">
        <f>42-25</f>
        <v>17</v>
      </c>
      <c r="F4759" t="s">
        <v>363</v>
      </c>
      <c r="G4759" t="s">
        <v>627</v>
      </c>
      <c r="H4759" t="s">
        <v>928</v>
      </c>
      <c r="I4759" t="s">
        <v>360</v>
      </c>
      <c r="L4759" t="s">
        <v>628</v>
      </c>
    </row>
    <row r="4760" spans="1:12" x14ac:dyDescent="0.75">
      <c r="A4760" t="s">
        <v>39</v>
      </c>
      <c r="B4760" s="3">
        <v>45064</v>
      </c>
      <c r="C4760">
        <v>1</v>
      </c>
      <c r="D4760" t="s">
        <v>207</v>
      </c>
      <c r="E4760" s="22">
        <f>45-23</f>
        <v>22</v>
      </c>
      <c r="F4760" t="s">
        <v>363</v>
      </c>
      <c r="G4760" t="s">
        <v>627</v>
      </c>
      <c r="H4760" t="s">
        <v>928</v>
      </c>
      <c r="I4760" t="s">
        <v>360</v>
      </c>
      <c r="L4760" t="s">
        <v>628</v>
      </c>
    </row>
    <row r="4761" spans="1:12" x14ac:dyDescent="0.75">
      <c r="A4761" t="s">
        <v>39</v>
      </c>
      <c r="B4761" s="3">
        <v>45064</v>
      </c>
      <c r="C4761">
        <v>1</v>
      </c>
      <c r="D4761" t="s">
        <v>197</v>
      </c>
      <c r="E4761" s="22">
        <f>23-16</f>
        <v>7</v>
      </c>
      <c r="F4761" t="s">
        <v>363</v>
      </c>
      <c r="G4761" t="s">
        <v>627</v>
      </c>
      <c r="H4761" t="s">
        <v>928</v>
      </c>
      <c r="I4761" t="s">
        <v>360</v>
      </c>
      <c r="L4761" t="s">
        <v>628</v>
      </c>
    </row>
    <row r="4762" spans="1:12" x14ac:dyDescent="0.75">
      <c r="A4762" t="s">
        <v>39</v>
      </c>
      <c r="B4762" s="3">
        <v>45064</v>
      </c>
      <c r="C4762">
        <v>1</v>
      </c>
      <c r="D4762" t="s">
        <v>153</v>
      </c>
      <c r="E4762" s="22">
        <f>16-3</f>
        <v>13</v>
      </c>
      <c r="F4762" t="s">
        <v>363</v>
      </c>
      <c r="G4762" t="s">
        <v>627</v>
      </c>
      <c r="H4762" t="s">
        <v>928</v>
      </c>
      <c r="I4762" t="s">
        <v>360</v>
      </c>
      <c r="L4762" t="s">
        <v>628</v>
      </c>
    </row>
    <row r="4763" spans="1:12" x14ac:dyDescent="0.75">
      <c r="A4763" t="s">
        <v>39</v>
      </c>
      <c r="B4763" s="3">
        <v>45064</v>
      </c>
      <c r="C4763">
        <v>1</v>
      </c>
      <c r="D4763" t="s">
        <v>191</v>
      </c>
      <c r="E4763" s="22">
        <v>3</v>
      </c>
      <c r="F4763" t="s">
        <v>363</v>
      </c>
      <c r="G4763" t="s">
        <v>361</v>
      </c>
      <c r="H4763" t="s">
        <v>928</v>
      </c>
      <c r="I4763" t="s">
        <v>360</v>
      </c>
      <c r="L4763" t="s">
        <v>628</v>
      </c>
    </row>
    <row r="4764" spans="1:12" x14ac:dyDescent="0.75">
      <c r="A4764" t="s">
        <v>39</v>
      </c>
      <c r="B4764" s="3">
        <v>45064</v>
      </c>
      <c r="C4764">
        <v>1</v>
      </c>
      <c r="D4764" t="s">
        <v>207</v>
      </c>
      <c r="E4764" s="22">
        <f>44-34</f>
        <v>10</v>
      </c>
      <c r="F4764" t="s">
        <v>363</v>
      </c>
      <c r="G4764" t="s">
        <v>361</v>
      </c>
      <c r="H4764" t="s">
        <v>928</v>
      </c>
      <c r="I4764" t="s">
        <v>360</v>
      </c>
      <c r="L4764" t="s">
        <v>628</v>
      </c>
    </row>
    <row r="4765" spans="1:12" x14ac:dyDescent="0.75">
      <c r="A4765" t="s">
        <v>39</v>
      </c>
      <c r="B4765" s="3">
        <v>45064</v>
      </c>
      <c r="C4765">
        <v>1</v>
      </c>
      <c r="D4765" t="s">
        <v>194</v>
      </c>
      <c r="E4765" s="22">
        <f>34-31</f>
        <v>3</v>
      </c>
      <c r="F4765" t="s">
        <v>363</v>
      </c>
      <c r="G4765" t="s">
        <v>361</v>
      </c>
      <c r="H4765" t="s">
        <v>928</v>
      </c>
      <c r="I4765" t="s">
        <v>360</v>
      </c>
      <c r="L4765" t="s">
        <v>628</v>
      </c>
    </row>
    <row r="4766" spans="1:12" x14ac:dyDescent="0.75">
      <c r="A4766" t="s">
        <v>39</v>
      </c>
      <c r="B4766" s="3">
        <v>45064</v>
      </c>
      <c r="C4766">
        <v>1</v>
      </c>
      <c r="D4766" t="s">
        <v>194</v>
      </c>
      <c r="E4766" s="22">
        <f>31-20</f>
        <v>11</v>
      </c>
      <c r="F4766" t="s">
        <v>363</v>
      </c>
      <c r="G4766" t="s">
        <v>361</v>
      </c>
      <c r="H4766" t="s">
        <v>928</v>
      </c>
      <c r="I4766" t="s">
        <v>360</v>
      </c>
      <c r="L4766" t="s">
        <v>628</v>
      </c>
    </row>
    <row r="4767" spans="1:12" x14ac:dyDescent="0.75">
      <c r="A4767" t="s">
        <v>39</v>
      </c>
      <c r="B4767" s="3">
        <v>45064</v>
      </c>
      <c r="C4767">
        <v>1</v>
      </c>
      <c r="D4767" t="s">
        <v>194</v>
      </c>
      <c r="E4767" s="22">
        <f>20-16</f>
        <v>4</v>
      </c>
      <c r="F4767" t="s">
        <v>363</v>
      </c>
      <c r="G4767" t="s">
        <v>361</v>
      </c>
      <c r="H4767" t="s">
        <v>928</v>
      </c>
      <c r="I4767" t="s">
        <v>360</v>
      </c>
      <c r="L4767" t="s">
        <v>628</v>
      </c>
    </row>
    <row r="4768" spans="1:12" s="58" customFormat="1" x14ac:dyDescent="0.75">
      <c r="A4768" s="58" t="s">
        <v>23</v>
      </c>
      <c r="B4768" s="59">
        <v>45064</v>
      </c>
      <c r="C4768" s="58">
        <v>1</v>
      </c>
      <c r="D4768" s="58" t="s">
        <v>201</v>
      </c>
      <c r="E4768" s="60">
        <f>17+45-41</f>
        <v>21</v>
      </c>
      <c r="F4768" s="58" t="s">
        <v>363</v>
      </c>
      <c r="G4768" s="58" t="s">
        <v>361</v>
      </c>
      <c r="H4768" s="58" t="s">
        <v>928</v>
      </c>
      <c r="I4768" s="58" t="s">
        <v>360</v>
      </c>
      <c r="L4768" s="58" t="s">
        <v>628</v>
      </c>
    </row>
    <row r="4769" spans="1:12" s="58" customFormat="1" x14ac:dyDescent="0.75">
      <c r="A4769" s="58" t="s">
        <v>23</v>
      </c>
      <c r="B4769" s="59">
        <v>45064</v>
      </c>
      <c r="C4769" s="58">
        <v>1</v>
      </c>
      <c r="D4769" s="58" t="s">
        <v>164</v>
      </c>
      <c r="E4769" s="60" t="s">
        <v>363</v>
      </c>
      <c r="F4769" s="58" t="s">
        <v>363</v>
      </c>
      <c r="G4769" s="58" t="s">
        <v>627</v>
      </c>
      <c r="H4769" s="58" t="s">
        <v>928</v>
      </c>
      <c r="I4769" s="58" t="s">
        <v>360</v>
      </c>
      <c r="K4769" s="58" t="s">
        <v>953</v>
      </c>
      <c r="L4769" s="58" t="s">
        <v>628</v>
      </c>
    </row>
    <row r="4770" spans="1:12" x14ac:dyDescent="0.75">
      <c r="A4770" t="s">
        <v>69</v>
      </c>
      <c r="B4770" s="3">
        <v>45069</v>
      </c>
      <c r="C4770">
        <v>1</v>
      </c>
      <c r="D4770" t="s">
        <v>191</v>
      </c>
      <c r="E4770" s="22">
        <f>60-23</f>
        <v>37</v>
      </c>
      <c r="F4770">
        <v>3993</v>
      </c>
      <c r="G4770" t="s">
        <v>627</v>
      </c>
      <c r="H4770" t="s">
        <v>390</v>
      </c>
      <c r="K4770" t="s">
        <v>954</v>
      </c>
      <c r="L4770" t="s">
        <v>869</v>
      </c>
    </row>
    <row r="4771" spans="1:12" x14ac:dyDescent="0.75">
      <c r="A4771" t="s">
        <v>69</v>
      </c>
      <c r="B4771" s="3">
        <v>45069</v>
      </c>
      <c r="C4771">
        <v>1</v>
      </c>
      <c r="D4771" t="s">
        <v>201</v>
      </c>
      <c r="E4771" s="22">
        <f>46-29</f>
        <v>17</v>
      </c>
      <c r="F4771">
        <v>4125</v>
      </c>
      <c r="G4771" t="s">
        <v>361</v>
      </c>
      <c r="H4771" t="s">
        <v>390</v>
      </c>
      <c r="L4771" t="s">
        <v>869</v>
      </c>
    </row>
    <row r="4772" spans="1:12" x14ac:dyDescent="0.75">
      <c r="A4772" t="s">
        <v>69</v>
      </c>
      <c r="B4772" s="3">
        <v>45069</v>
      </c>
      <c r="C4772">
        <v>1</v>
      </c>
      <c r="D4772" t="s">
        <v>207</v>
      </c>
      <c r="E4772" s="22">
        <f>29-24</f>
        <v>5</v>
      </c>
      <c r="F4772" t="s">
        <v>363</v>
      </c>
      <c r="G4772" t="s">
        <v>361</v>
      </c>
      <c r="H4772" t="s">
        <v>928</v>
      </c>
      <c r="K4772" t="s">
        <v>876</v>
      </c>
      <c r="L4772" t="s">
        <v>869</v>
      </c>
    </row>
    <row r="4773" spans="1:12" x14ac:dyDescent="0.75">
      <c r="A4773" t="s">
        <v>69</v>
      </c>
      <c r="B4773" s="3">
        <v>45069</v>
      </c>
      <c r="C4773">
        <v>1</v>
      </c>
      <c r="D4773" t="s">
        <v>207</v>
      </c>
      <c r="E4773" s="22">
        <f>24-22</f>
        <v>2</v>
      </c>
      <c r="F4773" t="s">
        <v>363</v>
      </c>
      <c r="G4773" t="s">
        <v>361</v>
      </c>
      <c r="H4773" t="s">
        <v>928</v>
      </c>
      <c r="L4773" t="s">
        <v>869</v>
      </c>
    </row>
    <row r="4774" spans="1:12" x14ac:dyDescent="0.75">
      <c r="A4774" t="s">
        <v>69</v>
      </c>
      <c r="B4774" s="3">
        <v>45069</v>
      </c>
      <c r="C4774">
        <v>1</v>
      </c>
      <c r="D4774" t="s">
        <v>191</v>
      </c>
      <c r="E4774" s="22">
        <f>22-10</f>
        <v>12</v>
      </c>
      <c r="F4774" t="s">
        <v>363</v>
      </c>
      <c r="G4774" t="s">
        <v>361</v>
      </c>
      <c r="H4774" t="s">
        <v>928</v>
      </c>
      <c r="L4774" t="s">
        <v>869</v>
      </c>
    </row>
    <row r="4775" spans="1:12" x14ac:dyDescent="0.75">
      <c r="A4775" t="s">
        <v>69</v>
      </c>
      <c r="B4775" s="3">
        <v>45069</v>
      </c>
      <c r="C4775">
        <v>1</v>
      </c>
      <c r="D4775" t="s">
        <v>207</v>
      </c>
      <c r="E4775" s="22">
        <f>10-0+56-51</f>
        <v>15</v>
      </c>
      <c r="F4775" t="s">
        <v>363</v>
      </c>
      <c r="G4775" t="s">
        <v>361</v>
      </c>
      <c r="H4775" t="s">
        <v>928</v>
      </c>
      <c r="L4775" t="s">
        <v>869</v>
      </c>
    </row>
    <row r="4776" spans="1:12" x14ac:dyDescent="0.75">
      <c r="A4776" t="s">
        <v>69</v>
      </c>
      <c r="B4776" s="3">
        <v>45069</v>
      </c>
      <c r="C4776">
        <v>1</v>
      </c>
      <c r="D4776" t="s">
        <v>172</v>
      </c>
      <c r="E4776" s="22">
        <f>51-48</f>
        <v>3</v>
      </c>
      <c r="F4776" t="s">
        <v>363</v>
      </c>
      <c r="G4776" t="s">
        <v>361</v>
      </c>
      <c r="H4776" t="s">
        <v>928</v>
      </c>
      <c r="L4776" t="s">
        <v>869</v>
      </c>
    </row>
    <row r="4777" spans="1:12" x14ac:dyDescent="0.75">
      <c r="A4777" t="s">
        <v>69</v>
      </c>
      <c r="B4777" s="3">
        <v>45069</v>
      </c>
      <c r="C4777">
        <v>1</v>
      </c>
      <c r="D4777" t="s">
        <v>197</v>
      </c>
      <c r="E4777" s="22">
        <f>48-31</f>
        <v>17</v>
      </c>
      <c r="F4777">
        <v>3988</v>
      </c>
      <c r="G4777" t="s">
        <v>361</v>
      </c>
      <c r="H4777" t="s">
        <v>390</v>
      </c>
      <c r="L4777" t="s">
        <v>869</v>
      </c>
    </row>
    <row r="4778" spans="1:12" s="58" customFormat="1" x14ac:dyDescent="0.75">
      <c r="A4778" s="58" t="s">
        <v>69</v>
      </c>
      <c r="B4778" s="59">
        <v>45069</v>
      </c>
      <c r="C4778" s="58">
        <v>2</v>
      </c>
      <c r="D4778" s="58" t="s">
        <v>191</v>
      </c>
      <c r="E4778" s="60">
        <f>24-10</f>
        <v>14</v>
      </c>
      <c r="F4778" s="58" t="s">
        <v>363</v>
      </c>
      <c r="G4778" s="58" t="s">
        <v>627</v>
      </c>
      <c r="H4778" s="58" t="s">
        <v>928</v>
      </c>
      <c r="L4778" s="58" t="s">
        <v>869</v>
      </c>
    </row>
    <row r="4779" spans="1:12" s="58" customFormat="1" x14ac:dyDescent="0.75">
      <c r="A4779" s="58" t="s">
        <v>69</v>
      </c>
      <c r="B4779" s="59">
        <v>45069</v>
      </c>
      <c r="C4779" s="58">
        <v>2</v>
      </c>
      <c r="D4779" s="58" t="s">
        <v>197</v>
      </c>
      <c r="E4779" s="60">
        <f>10-0</f>
        <v>10</v>
      </c>
      <c r="F4779" s="58" t="s">
        <v>363</v>
      </c>
      <c r="G4779" s="58" t="s">
        <v>627</v>
      </c>
      <c r="H4779" s="58" t="s">
        <v>928</v>
      </c>
      <c r="L4779" s="58" t="s">
        <v>869</v>
      </c>
    </row>
    <row r="4780" spans="1:12" s="58" customFormat="1" x14ac:dyDescent="0.75">
      <c r="A4780" s="58" t="s">
        <v>69</v>
      </c>
      <c r="B4780" s="59">
        <v>45069</v>
      </c>
      <c r="C4780" s="58">
        <v>2</v>
      </c>
      <c r="D4780" s="58" t="s">
        <v>191</v>
      </c>
      <c r="E4780" s="60">
        <f>42-26</f>
        <v>16</v>
      </c>
      <c r="F4780" s="58" t="s">
        <v>363</v>
      </c>
      <c r="G4780" s="58" t="s">
        <v>627</v>
      </c>
      <c r="H4780" s="58" t="s">
        <v>928</v>
      </c>
      <c r="L4780" s="58" t="s">
        <v>869</v>
      </c>
    </row>
    <row r="4781" spans="1:12" s="58" customFormat="1" x14ac:dyDescent="0.75">
      <c r="A4781" s="58" t="s">
        <v>69</v>
      </c>
      <c r="B4781" s="59">
        <v>45069</v>
      </c>
      <c r="C4781" s="58">
        <v>2</v>
      </c>
      <c r="D4781" s="58" t="s">
        <v>207</v>
      </c>
      <c r="E4781" s="60">
        <f>26-22</f>
        <v>4</v>
      </c>
      <c r="F4781" s="58" t="s">
        <v>363</v>
      </c>
      <c r="G4781" s="58" t="s">
        <v>627</v>
      </c>
      <c r="H4781" s="58" t="s">
        <v>928</v>
      </c>
      <c r="L4781" s="58" t="s">
        <v>869</v>
      </c>
    </row>
    <row r="4782" spans="1:12" s="58" customFormat="1" x14ac:dyDescent="0.75">
      <c r="A4782" s="58" t="s">
        <v>69</v>
      </c>
      <c r="B4782" s="59">
        <v>45069</v>
      </c>
      <c r="C4782" s="58">
        <v>2</v>
      </c>
      <c r="D4782" s="58" t="s">
        <v>191</v>
      </c>
      <c r="E4782" s="60">
        <f>31-27</f>
        <v>4</v>
      </c>
      <c r="F4782" s="58">
        <v>4127</v>
      </c>
      <c r="G4782" s="58" t="s">
        <v>361</v>
      </c>
      <c r="H4782" s="58" t="s">
        <v>390</v>
      </c>
      <c r="L4782" s="58" t="s">
        <v>869</v>
      </c>
    </row>
    <row r="4783" spans="1:12" s="58" customFormat="1" x14ac:dyDescent="0.75">
      <c r="A4783" s="58" t="s">
        <v>69</v>
      </c>
      <c r="B4783" s="59">
        <v>45069</v>
      </c>
      <c r="C4783" s="58">
        <v>2</v>
      </c>
      <c r="D4783" s="58" t="s">
        <v>197</v>
      </c>
      <c r="E4783" s="60">
        <f>27-19</f>
        <v>8</v>
      </c>
      <c r="F4783" s="58" t="s">
        <v>363</v>
      </c>
      <c r="G4783" s="58" t="s">
        <v>361</v>
      </c>
      <c r="H4783" s="58" t="s">
        <v>928</v>
      </c>
      <c r="L4783" s="58" t="s">
        <v>869</v>
      </c>
    </row>
    <row r="4784" spans="1:12" s="58" customFormat="1" x14ac:dyDescent="0.75">
      <c r="A4784" s="58" t="s">
        <v>69</v>
      </c>
      <c r="B4784" s="59">
        <v>45069</v>
      </c>
      <c r="C4784" s="58">
        <v>2</v>
      </c>
      <c r="D4784" s="58" t="s">
        <v>207</v>
      </c>
      <c r="E4784" s="60">
        <f>19-17</f>
        <v>2</v>
      </c>
      <c r="F4784" s="58" t="s">
        <v>363</v>
      </c>
      <c r="G4784" s="58" t="s">
        <v>361</v>
      </c>
      <c r="H4784" s="58" t="s">
        <v>928</v>
      </c>
      <c r="L4784" s="58" t="s">
        <v>869</v>
      </c>
    </row>
    <row r="4785" spans="1:12" s="58" customFormat="1" x14ac:dyDescent="0.75">
      <c r="A4785" s="58" t="s">
        <v>69</v>
      </c>
      <c r="B4785" s="59">
        <v>45069</v>
      </c>
      <c r="C4785" s="58">
        <v>2</v>
      </c>
      <c r="D4785" s="58" t="s">
        <v>207</v>
      </c>
      <c r="E4785" s="60">
        <f>17-12</f>
        <v>5</v>
      </c>
      <c r="F4785" s="58" t="s">
        <v>363</v>
      </c>
      <c r="G4785" s="58" t="s">
        <v>361</v>
      </c>
      <c r="H4785" s="58" t="s">
        <v>928</v>
      </c>
      <c r="L4785" s="58" t="s">
        <v>869</v>
      </c>
    </row>
    <row r="4786" spans="1:12" s="58" customFormat="1" x14ac:dyDescent="0.75">
      <c r="A4786" s="58" t="s">
        <v>69</v>
      </c>
      <c r="B4786" s="59">
        <v>45069</v>
      </c>
      <c r="C4786" s="58">
        <v>2</v>
      </c>
      <c r="D4786" s="58" t="s">
        <v>207</v>
      </c>
      <c r="E4786" s="60">
        <f>12-8</f>
        <v>4</v>
      </c>
      <c r="F4786" s="58" t="s">
        <v>363</v>
      </c>
      <c r="G4786" s="58" t="s">
        <v>361</v>
      </c>
      <c r="H4786" s="58" t="s">
        <v>928</v>
      </c>
      <c r="L4786" s="58" t="s">
        <v>869</v>
      </c>
    </row>
    <row r="4787" spans="1:12" s="58" customFormat="1" x14ac:dyDescent="0.75">
      <c r="A4787" s="58" t="s">
        <v>69</v>
      </c>
      <c r="B4787" s="59">
        <v>45069</v>
      </c>
      <c r="C4787" s="58">
        <v>2</v>
      </c>
      <c r="D4787" s="58" t="s">
        <v>207</v>
      </c>
      <c r="E4787" s="60">
        <f>8-2</f>
        <v>6</v>
      </c>
      <c r="F4787" s="58">
        <v>908</v>
      </c>
      <c r="G4787" s="58" t="s">
        <v>361</v>
      </c>
      <c r="H4787" s="58" t="s">
        <v>390</v>
      </c>
      <c r="L4787" s="58" t="s">
        <v>869</v>
      </c>
    </row>
    <row r="4788" spans="1:12" x14ac:dyDescent="0.75">
      <c r="A4788" t="s">
        <v>69</v>
      </c>
      <c r="B4788" s="3">
        <v>45069</v>
      </c>
      <c r="C4788">
        <v>3</v>
      </c>
      <c r="D4788" t="s">
        <v>197</v>
      </c>
      <c r="E4788" s="22">
        <f>2-0+58-24</f>
        <v>36</v>
      </c>
      <c r="F4788">
        <v>905</v>
      </c>
      <c r="G4788" t="s">
        <v>361</v>
      </c>
      <c r="H4788" t="s">
        <v>390</v>
      </c>
      <c r="L4788" t="s">
        <v>869</v>
      </c>
    </row>
    <row r="4789" spans="1:12" s="58" customFormat="1" x14ac:dyDescent="0.75">
      <c r="A4789" s="58" t="s">
        <v>74</v>
      </c>
      <c r="B4789" s="59">
        <v>45070</v>
      </c>
      <c r="C4789" s="58">
        <v>1</v>
      </c>
      <c r="D4789" s="58" t="s">
        <v>176</v>
      </c>
      <c r="E4789" s="60">
        <f>60-22</f>
        <v>38</v>
      </c>
      <c r="F4789" s="58" t="s">
        <v>363</v>
      </c>
      <c r="G4789" s="58" t="s">
        <v>627</v>
      </c>
      <c r="H4789" s="58" t="s">
        <v>928</v>
      </c>
      <c r="I4789" s="58" t="s">
        <v>869</v>
      </c>
      <c r="J4789" s="59">
        <v>45119</v>
      </c>
      <c r="L4789" s="58" t="s">
        <v>628</v>
      </c>
    </row>
    <row r="4790" spans="1:12" s="58" customFormat="1" x14ac:dyDescent="0.75">
      <c r="A4790" s="58" t="s">
        <v>74</v>
      </c>
      <c r="B4790" s="59">
        <v>45070</v>
      </c>
      <c r="C4790" s="58">
        <v>1</v>
      </c>
      <c r="D4790" s="58" t="s">
        <v>207</v>
      </c>
      <c r="E4790" s="60">
        <f>22-13</f>
        <v>9</v>
      </c>
      <c r="F4790" s="58" t="s">
        <v>363</v>
      </c>
      <c r="G4790" s="58" t="s">
        <v>627</v>
      </c>
      <c r="H4790" s="58" t="s">
        <v>928</v>
      </c>
      <c r="I4790" s="58" t="s">
        <v>869</v>
      </c>
      <c r="J4790" s="59">
        <v>45119</v>
      </c>
      <c r="L4790" s="58" t="s">
        <v>628</v>
      </c>
    </row>
    <row r="4791" spans="1:12" s="58" customFormat="1" x14ac:dyDescent="0.75">
      <c r="A4791" s="58" t="s">
        <v>74</v>
      </c>
      <c r="B4791" s="59">
        <v>45070</v>
      </c>
      <c r="C4791" s="58">
        <v>1</v>
      </c>
      <c r="D4791" s="58" t="s">
        <v>160</v>
      </c>
      <c r="E4791" s="60">
        <f>39-22</f>
        <v>17</v>
      </c>
      <c r="F4791" s="58" t="s">
        <v>955</v>
      </c>
      <c r="G4791" s="58" t="s">
        <v>869</v>
      </c>
      <c r="H4791" s="58" t="s">
        <v>390</v>
      </c>
      <c r="I4791" s="58" t="s">
        <v>869</v>
      </c>
      <c r="J4791" s="59">
        <v>45119</v>
      </c>
      <c r="L4791" s="58" t="s">
        <v>628</v>
      </c>
    </row>
    <row r="4792" spans="1:12" s="58" customFormat="1" x14ac:dyDescent="0.75">
      <c r="A4792" s="58" t="s">
        <v>74</v>
      </c>
      <c r="B4792" s="59">
        <v>45070</v>
      </c>
      <c r="C4792" s="58">
        <v>1</v>
      </c>
      <c r="D4792" s="58" t="s">
        <v>207</v>
      </c>
      <c r="E4792" s="60">
        <f>22-19</f>
        <v>3</v>
      </c>
      <c r="F4792" s="58" t="s">
        <v>363</v>
      </c>
      <c r="G4792" s="58" t="s">
        <v>869</v>
      </c>
      <c r="H4792" s="58" t="s">
        <v>928</v>
      </c>
      <c r="I4792" s="58" t="s">
        <v>869</v>
      </c>
      <c r="J4792" s="59">
        <v>45119</v>
      </c>
      <c r="L4792" s="58" t="s">
        <v>628</v>
      </c>
    </row>
    <row r="4793" spans="1:12" s="58" customFormat="1" x14ac:dyDescent="0.75">
      <c r="A4793" s="58" t="s">
        <v>74</v>
      </c>
      <c r="B4793" s="59">
        <v>45070</v>
      </c>
      <c r="C4793" s="58">
        <v>1</v>
      </c>
      <c r="D4793" s="58" t="s">
        <v>160</v>
      </c>
      <c r="E4793" s="60">
        <f>19-10</f>
        <v>9</v>
      </c>
      <c r="F4793" s="58" t="s">
        <v>363</v>
      </c>
      <c r="G4793" s="58" t="s">
        <v>869</v>
      </c>
      <c r="H4793" s="58" t="s">
        <v>928</v>
      </c>
      <c r="I4793" s="58" t="s">
        <v>869</v>
      </c>
      <c r="J4793" s="59">
        <v>45119</v>
      </c>
      <c r="L4793" s="58" t="s">
        <v>628</v>
      </c>
    </row>
    <row r="4794" spans="1:12" x14ac:dyDescent="0.75">
      <c r="A4794" t="s">
        <v>87</v>
      </c>
      <c r="B4794" s="3">
        <v>45070</v>
      </c>
      <c r="C4794">
        <v>1</v>
      </c>
      <c r="D4794" t="s">
        <v>207</v>
      </c>
      <c r="E4794" s="22">
        <f>14-10</f>
        <v>4</v>
      </c>
      <c r="F4794" t="s">
        <v>363</v>
      </c>
      <c r="G4794" t="s">
        <v>627</v>
      </c>
      <c r="H4794" t="s">
        <v>928</v>
      </c>
      <c r="I4794" t="s">
        <v>869</v>
      </c>
      <c r="J4794" s="3">
        <v>45120</v>
      </c>
      <c r="L4794" t="s">
        <v>628</v>
      </c>
    </row>
    <row r="4795" spans="1:12" x14ac:dyDescent="0.75">
      <c r="A4795" t="s">
        <v>87</v>
      </c>
      <c r="B4795" s="3">
        <v>45070</v>
      </c>
      <c r="C4795">
        <v>1</v>
      </c>
      <c r="D4795" t="s">
        <v>207</v>
      </c>
      <c r="E4795" s="22">
        <f>10-1</f>
        <v>9</v>
      </c>
      <c r="F4795" t="s">
        <v>363</v>
      </c>
      <c r="G4795" t="s">
        <v>627</v>
      </c>
      <c r="H4795" t="s">
        <v>928</v>
      </c>
      <c r="I4795" t="s">
        <v>869</v>
      </c>
      <c r="J4795" s="3">
        <v>45120</v>
      </c>
      <c r="L4795" t="s">
        <v>628</v>
      </c>
    </row>
    <row r="4796" spans="1:12" x14ac:dyDescent="0.75">
      <c r="A4796" t="s">
        <v>87</v>
      </c>
      <c r="B4796" s="3">
        <v>45070</v>
      </c>
      <c r="C4796">
        <v>1</v>
      </c>
      <c r="D4796" t="s">
        <v>168</v>
      </c>
      <c r="E4796" s="22">
        <f>58-51</f>
        <v>7</v>
      </c>
      <c r="F4796" t="s">
        <v>363</v>
      </c>
      <c r="G4796" t="s">
        <v>627</v>
      </c>
      <c r="H4796" t="s">
        <v>928</v>
      </c>
      <c r="I4796" t="s">
        <v>869</v>
      </c>
      <c r="J4796" s="3">
        <v>45120</v>
      </c>
      <c r="L4796" t="s">
        <v>628</v>
      </c>
    </row>
    <row r="4797" spans="1:12" x14ac:dyDescent="0.75">
      <c r="A4797" t="s">
        <v>87</v>
      </c>
      <c r="B4797" s="3">
        <v>45070</v>
      </c>
      <c r="C4797">
        <v>1</v>
      </c>
      <c r="D4797" t="s">
        <v>191</v>
      </c>
      <c r="E4797" s="22">
        <f>10-6</f>
        <v>4</v>
      </c>
      <c r="F4797" t="s">
        <v>363</v>
      </c>
      <c r="G4797" t="s">
        <v>869</v>
      </c>
      <c r="H4797" t="s">
        <v>928</v>
      </c>
      <c r="I4797" t="s">
        <v>869</v>
      </c>
      <c r="J4797" s="3">
        <v>45120</v>
      </c>
      <c r="L4797" t="s">
        <v>628</v>
      </c>
    </row>
    <row r="4798" spans="1:12" x14ac:dyDescent="0.75">
      <c r="A4798" t="s">
        <v>87</v>
      </c>
      <c r="B4798" s="3">
        <v>45070</v>
      </c>
      <c r="C4798">
        <v>1</v>
      </c>
      <c r="D4798" t="s">
        <v>207</v>
      </c>
      <c r="E4798" s="22">
        <f>5-3</f>
        <v>2</v>
      </c>
      <c r="F4798" t="s">
        <v>363</v>
      </c>
      <c r="G4798" t="s">
        <v>869</v>
      </c>
      <c r="H4798" t="s">
        <v>928</v>
      </c>
      <c r="I4798" t="s">
        <v>869</v>
      </c>
      <c r="J4798" s="3">
        <v>45120</v>
      </c>
      <c r="L4798" t="s">
        <v>628</v>
      </c>
    </row>
    <row r="4799" spans="1:12" x14ac:dyDescent="0.75">
      <c r="A4799" t="s">
        <v>87</v>
      </c>
      <c r="B4799" s="3">
        <v>45070</v>
      </c>
      <c r="C4799">
        <v>1</v>
      </c>
      <c r="D4799" t="s">
        <v>207</v>
      </c>
      <c r="E4799" s="22">
        <f>3-2</f>
        <v>1</v>
      </c>
      <c r="F4799" t="s">
        <v>363</v>
      </c>
      <c r="G4799" t="s">
        <v>869</v>
      </c>
      <c r="H4799" t="s">
        <v>928</v>
      </c>
      <c r="I4799" t="s">
        <v>869</v>
      </c>
      <c r="J4799" s="3">
        <v>45120</v>
      </c>
      <c r="L4799" t="s">
        <v>628</v>
      </c>
    </row>
    <row r="4800" spans="1:12" x14ac:dyDescent="0.75">
      <c r="A4800" t="s">
        <v>87</v>
      </c>
      <c r="B4800" s="3">
        <v>45070</v>
      </c>
      <c r="C4800">
        <v>1</v>
      </c>
      <c r="D4800" t="s">
        <v>172</v>
      </c>
      <c r="E4800" s="22">
        <f>21-3</f>
        <v>18</v>
      </c>
      <c r="F4800" t="s">
        <v>363</v>
      </c>
      <c r="G4800" t="s">
        <v>869</v>
      </c>
      <c r="H4800" t="s">
        <v>928</v>
      </c>
      <c r="I4800" t="s">
        <v>869</v>
      </c>
      <c r="J4800" s="3">
        <v>45120</v>
      </c>
      <c r="L4800" t="s">
        <v>628</v>
      </c>
    </row>
    <row r="4801" spans="1:12" x14ac:dyDescent="0.75">
      <c r="A4801" t="s">
        <v>87</v>
      </c>
      <c r="B4801" s="3">
        <v>45070</v>
      </c>
      <c r="C4801">
        <v>1</v>
      </c>
      <c r="D4801" t="s">
        <v>207</v>
      </c>
      <c r="E4801" s="22">
        <f>3-2</f>
        <v>1</v>
      </c>
      <c r="F4801" t="s">
        <v>363</v>
      </c>
      <c r="G4801" t="s">
        <v>869</v>
      </c>
      <c r="H4801" t="s">
        <v>928</v>
      </c>
      <c r="I4801" t="s">
        <v>869</v>
      </c>
      <c r="J4801" s="3">
        <v>45120</v>
      </c>
      <c r="L4801" t="s">
        <v>628</v>
      </c>
    </row>
    <row r="4802" spans="1:12" x14ac:dyDescent="0.75">
      <c r="A4802" t="s">
        <v>87</v>
      </c>
      <c r="B4802" s="3">
        <v>45070</v>
      </c>
      <c r="C4802">
        <v>1</v>
      </c>
      <c r="D4802" t="s">
        <v>207</v>
      </c>
      <c r="E4802" s="22">
        <f>2-1</f>
        <v>1</v>
      </c>
      <c r="F4802" t="s">
        <v>363</v>
      </c>
      <c r="G4802" t="s">
        <v>869</v>
      </c>
      <c r="H4802" t="s">
        <v>928</v>
      </c>
      <c r="I4802" t="s">
        <v>869</v>
      </c>
      <c r="J4802" s="3">
        <v>45120</v>
      </c>
      <c r="L4802" t="s">
        <v>628</v>
      </c>
    </row>
    <row r="4803" spans="1:12" x14ac:dyDescent="0.75">
      <c r="A4803" t="s">
        <v>87</v>
      </c>
      <c r="B4803" s="3">
        <v>45070</v>
      </c>
      <c r="C4803">
        <v>1</v>
      </c>
      <c r="D4803" t="s">
        <v>207</v>
      </c>
      <c r="E4803" s="22">
        <v>1</v>
      </c>
      <c r="F4803" t="s">
        <v>363</v>
      </c>
      <c r="G4803" t="s">
        <v>869</v>
      </c>
      <c r="H4803" t="s">
        <v>928</v>
      </c>
      <c r="I4803" t="s">
        <v>869</v>
      </c>
      <c r="J4803" s="3">
        <v>45120</v>
      </c>
      <c r="L4803" t="s">
        <v>628</v>
      </c>
    </row>
    <row r="4804" spans="1:12" x14ac:dyDescent="0.75">
      <c r="A4804" t="s">
        <v>87</v>
      </c>
      <c r="B4804" s="3">
        <v>45070</v>
      </c>
      <c r="C4804">
        <v>1</v>
      </c>
      <c r="D4804" t="s">
        <v>160</v>
      </c>
      <c r="E4804" s="22">
        <f>6-5</f>
        <v>1</v>
      </c>
      <c r="F4804" t="s">
        <v>956</v>
      </c>
      <c r="G4804" t="s">
        <v>869</v>
      </c>
      <c r="H4804" t="s">
        <v>928</v>
      </c>
      <c r="I4804" t="s">
        <v>869</v>
      </c>
      <c r="J4804" s="3">
        <v>45120</v>
      </c>
      <c r="L4804" t="s">
        <v>628</v>
      </c>
    </row>
    <row r="4805" spans="1:12" s="58" customFormat="1" x14ac:dyDescent="0.75">
      <c r="A4805" s="58" t="s">
        <v>100</v>
      </c>
      <c r="B4805" s="59">
        <v>45070</v>
      </c>
      <c r="C4805" s="58">
        <v>1</v>
      </c>
      <c r="D4805" s="58" t="s">
        <v>191</v>
      </c>
      <c r="E4805" s="60">
        <f>26-14</f>
        <v>12</v>
      </c>
      <c r="F4805" s="58" t="s">
        <v>363</v>
      </c>
      <c r="G4805" s="58" t="s">
        <v>627</v>
      </c>
      <c r="H4805" s="58" t="s">
        <v>928</v>
      </c>
      <c r="I4805" s="58" t="s">
        <v>869</v>
      </c>
      <c r="J4805" s="59">
        <v>45124</v>
      </c>
      <c r="L4805" s="58" t="s">
        <v>628</v>
      </c>
    </row>
    <row r="4806" spans="1:12" s="58" customFormat="1" x14ac:dyDescent="0.75">
      <c r="A4806" s="58" t="s">
        <v>100</v>
      </c>
      <c r="B4806" s="59">
        <v>45070</v>
      </c>
      <c r="C4806" s="58">
        <v>1</v>
      </c>
      <c r="D4806" s="58" t="s">
        <v>207</v>
      </c>
      <c r="E4806" s="60">
        <f>14-13</f>
        <v>1</v>
      </c>
      <c r="F4806" s="58" t="s">
        <v>363</v>
      </c>
      <c r="G4806" s="58" t="s">
        <v>627</v>
      </c>
      <c r="H4806" s="58" t="s">
        <v>928</v>
      </c>
      <c r="I4806" s="58" t="s">
        <v>869</v>
      </c>
      <c r="J4806" s="59">
        <v>45124</v>
      </c>
      <c r="L4806" s="58" t="s">
        <v>628</v>
      </c>
    </row>
    <row r="4807" spans="1:12" s="58" customFormat="1" x14ac:dyDescent="0.75">
      <c r="A4807" s="58" t="s">
        <v>100</v>
      </c>
      <c r="B4807" s="59">
        <v>45070</v>
      </c>
      <c r="C4807" s="58">
        <v>1</v>
      </c>
      <c r="D4807" s="58" t="s">
        <v>207</v>
      </c>
      <c r="E4807" s="60">
        <f>13-10</f>
        <v>3</v>
      </c>
      <c r="F4807" s="58" t="s">
        <v>363</v>
      </c>
      <c r="G4807" s="58" t="s">
        <v>627</v>
      </c>
      <c r="H4807" s="58" t="s">
        <v>928</v>
      </c>
      <c r="I4807" s="58" t="s">
        <v>869</v>
      </c>
      <c r="J4807" s="59">
        <v>45124</v>
      </c>
      <c r="L4807" s="58" t="s">
        <v>628</v>
      </c>
    </row>
    <row r="4808" spans="1:12" s="58" customFormat="1" x14ac:dyDescent="0.75">
      <c r="A4808" s="58" t="s">
        <v>100</v>
      </c>
      <c r="B4808" s="59">
        <v>45070</v>
      </c>
      <c r="C4808" s="58">
        <v>1</v>
      </c>
      <c r="D4808" s="58" t="s">
        <v>191</v>
      </c>
      <c r="E4808" s="60">
        <f>23-15</f>
        <v>8</v>
      </c>
      <c r="F4808" s="58" t="s">
        <v>363</v>
      </c>
      <c r="G4808" s="58" t="s">
        <v>869</v>
      </c>
      <c r="H4808" s="58" t="s">
        <v>928</v>
      </c>
      <c r="I4808" s="58" t="s">
        <v>869</v>
      </c>
      <c r="J4808" s="59">
        <v>45124</v>
      </c>
      <c r="L4808" s="58" t="s">
        <v>628</v>
      </c>
    </row>
    <row r="4809" spans="1:12" s="58" customFormat="1" x14ac:dyDescent="0.75">
      <c r="A4809" s="58" t="s">
        <v>100</v>
      </c>
      <c r="B4809" s="59">
        <v>45070</v>
      </c>
      <c r="C4809" s="58">
        <v>1</v>
      </c>
      <c r="D4809" s="58" t="s">
        <v>160</v>
      </c>
      <c r="E4809" s="60">
        <f>15+29+2</f>
        <v>46</v>
      </c>
      <c r="F4809" s="58" t="s">
        <v>363</v>
      </c>
      <c r="G4809" s="58" t="s">
        <v>869</v>
      </c>
      <c r="H4809" s="58" t="s">
        <v>928</v>
      </c>
      <c r="I4809" s="58" t="s">
        <v>869</v>
      </c>
      <c r="J4809" s="59">
        <v>45124</v>
      </c>
      <c r="L4809" s="58" t="s">
        <v>628</v>
      </c>
    </row>
    <row r="4810" spans="1:12" s="58" customFormat="1" x14ac:dyDescent="0.75">
      <c r="A4810" s="58" t="s">
        <v>100</v>
      </c>
      <c r="B4810" s="59">
        <v>45070</v>
      </c>
      <c r="C4810" s="58">
        <v>1</v>
      </c>
      <c r="D4810" s="58" t="s">
        <v>160</v>
      </c>
      <c r="E4810" s="60">
        <v>2</v>
      </c>
      <c r="F4810" s="58" t="s">
        <v>363</v>
      </c>
      <c r="G4810" s="58" t="s">
        <v>869</v>
      </c>
      <c r="H4810" s="58" t="s">
        <v>928</v>
      </c>
      <c r="I4810" s="58" t="s">
        <v>869</v>
      </c>
      <c r="J4810" s="59">
        <v>45124</v>
      </c>
      <c r="L4810" s="58" t="s">
        <v>628</v>
      </c>
    </row>
    <row r="4811" spans="1:12" s="58" customFormat="1" x14ac:dyDescent="0.75">
      <c r="A4811" s="58" t="s">
        <v>100</v>
      </c>
      <c r="B4811" s="59">
        <v>45070</v>
      </c>
      <c r="C4811" s="58">
        <v>1</v>
      </c>
      <c r="D4811" s="58" t="s">
        <v>201</v>
      </c>
      <c r="E4811" s="60">
        <f>52-24</f>
        <v>28</v>
      </c>
      <c r="F4811" s="58" t="s">
        <v>363</v>
      </c>
      <c r="G4811" s="58" t="s">
        <v>869</v>
      </c>
      <c r="H4811" s="58" t="s">
        <v>928</v>
      </c>
      <c r="I4811" s="58" t="s">
        <v>869</v>
      </c>
      <c r="J4811" s="59">
        <v>45124</v>
      </c>
      <c r="L4811" s="58" t="s">
        <v>628</v>
      </c>
    </row>
    <row r="4812" spans="1:12" x14ac:dyDescent="0.75">
      <c r="A4812" t="s">
        <v>91</v>
      </c>
      <c r="B4812" s="3">
        <v>45070</v>
      </c>
      <c r="C4812">
        <v>1</v>
      </c>
      <c r="D4812" t="s">
        <v>197</v>
      </c>
      <c r="E4812" s="22">
        <f>10-0+52-0-4+43-0-2+16-0+56-20</f>
        <v>151</v>
      </c>
      <c r="F4812" t="s">
        <v>363</v>
      </c>
      <c r="G4812" t="s">
        <v>897</v>
      </c>
      <c r="H4812" t="s">
        <v>928</v>
      </c>
      <c r="I4812" t="s">
        <v>869</v>
      </c>
      <c r="J4812" s="3">
        <v>45124</v>
      </c>
      <c r="K4812" t="s">
        <v>957</v>
      </c>
      <c r="L4812" t="s">
        <v>628</v>
      </c>
    </row>
    <row r="4813" spans="1:12" x14ac:dyDescent="0.75">
      <c r="A4813" t="s">
        <v>91</v>
      </c>
      <c r="B4813" s="3">
        <v>45070</v>
      </c>
      <c r="C4813">
        <v>1</v>
      </c>
      <c r="D4813" t="s">
        <v>197</v>
      </c>
      <c r="E4813" s="22">
        <f>24-16</f>
        <v>8</v>
      </c>
      <c r="F4813" t="s">
        <v>363</v>
      </c>
      <c r="G4813" t="s">
        <v>869</v>
      </c>
      <c r="H4813" t="s">
        <v>928</v>
      </c>
      <c r="I4813" t="s">
        <v>869</v>
      </c>
      <c r="J4813" s="3">
        <v>45124</v>
      </c>
      <c r="L4813" t="s">
        <v>628</v>
      </c>
    </row>
    <row r="4814" spans="1:12" x14ac:dyDescent="0.75">
      <c r="A4814" t="s">
        <v>91</v>
      </c>
      <c r="B4814" s="3">
        <v>45070</v>
      </c>
      <c r="C4814">
        <v>1</v>
      </c>
      <c r="D4814" t="s">
        <v>207</v>
      </c>
      <c r="E4814" s="22">
        <f>20-19</f>
        <v>1</v>
      </c>
      <c r="F4814" t="s">
        <v>363</v>
      </c>
      <c r="G4814" t="s">
        <v>869</v>
      </c>
      <c r="H4814" t="s">
        <v>928</v>
      </c>
      <c r="I4814" t="s">
        <v>869</v>
      </c>
      <c r="J4814" s="3">
        <v>45124</v>
      </c>
      <c r="L4814" t="s">
        <v>628</v>
      </c>
    </row>
    <row r="4815" spans="1:12" x14ac:dyDescent="0.75">
      <c r="A4815" t="s">
        <v>91</v>
      </c>
      <c r="B4815" s="3">
        <v>45070</v>
      </c>
      <c r="C4815">
        <v>1</v>
      </c>
      <c r="D4815" t="s">
        <v>197</v>
      </c>
      <c r="E4815" s="22">
        <f>19-8</f>
        <v>11</v>
      </c>
      <c r="F4815" t="s">
        <v>363</v>
      </c>
      <c r="G4815" t="s">
        <v>869</v>
      </c>
      <c r="H4815" t="s">
        <v>928</v>
      </c>
      <c r="I4815" t="s">
        <v>869</v>
      </c>
      <c r="J4815" s="3">
        <v>45124</v>
      </c>
      <c r="L4815" t="s">
        <v>628</v>
      </c>
    </row>
    <row r="4816" spans="1:12" x14ac:dyDescent="0.75">
      <c r="A4816" t="s">
        <v>91</v>
      </c>
      <c r="B4816" s="3">
        <v>45070</v>
      </c>
      <c r="C4816">
        <v>1</v>
      </c>
      <c r="D4816" t="s">
        <v>215</v>
      </c>
      <c r="E4816" s="22">
        <f>8-5</f>
        <v>3</v>
      </c>
      <c r="F4816" t="s">
        <v>363</v>
      </c>
      <c r="G4816" t="s">
        <v>869</v>
      </c>
      <c r="H4816" t="s">
        <v>928</v>
      </c>
      <c r="I4816" t="s">
        <v>869</v>
      </c>
      <c r="J4816" s="3">
        <v>45124</v>
      </c>
      <c r="L4816" t="s">
        <v>628</v>
      </c>
    </row>
    <row r="4817" spans="1:12" x14ac:dyDescent="0.75">
      <c r="A4817" t="s">
        <v>91</v>
      </c>
      <c r="B4817" s="3">
        <v>45070</v>
      </c>
      <c r="C4817">
        <v>1</v>
      </c>
      <c r="D4817" t="s">
        <v>160</v>
      </c>
      <c r="E4817" s="22">
        <f>5-4</f>
        <v>1</v>
      </c>
      <c r="F4817" t="s">
        <v>363</v>
      </c>
      <c r="G4817" t="s">
        <v>869</v>
      </c>
      <c r="H4817" t="s">
        <v>928</v>
      </c>
      <c r="I4817" t="s">
        <v>869</v>
      </c>
      <c r="J4817" s="3">
        <v>45124</v>
      </c>
      <c r="L4817" t="s">
        <v>628</v>
      </c>
    </row>
    <row r="4818" spans="1:12" x14ac:dyDescent="0.75">
      <c r="A4818" t="s">
        <v>91</v>
      </c>
      <c r="B4818" s="3">
        <v>45070</v>
      </c>
      <c r="C4818">
        <v>1</v>
      </c>
      <c r="D4818" t="s">
        <v>207</v>
      </c>
      <c r="E4818" s="22">
        <f>4-1</f>
        <v>3</v>
      </c>
      <c r="F4818" t="s">
        <v>363</v>
      </c>
      <c r="G4818" t="s">
        <v>869</v>
      </c>
      <c r="H4818" t="s">
        <v>928</v>
      </c>
      <c r="I4818" t="s">
        <v>869</v>
      </c>
      <c r="J4818" s="3">
        <v>45124</v>
      </c>
      <c r="L4818" t="s">
        <v>628</v>
      </c>
    </row>
    <row r="4819" spans="1:12" s="58" customFormat="1" x14ac:dyDescent="0.75">
      <c r="A4819" s="58" t="s">
        <v>96</v>
      </c>
      <c r="B4819" s="59">
        <v>45071</v>
      </c>
      <c r="C4819" s="58">
        <v>1</v>
      </c>
      <c r="D4819" s="58" t="s">
        <v>197</v>
      </c>
      <c r="E4819" s="60">
        <f>46-41-2</f>
        <v>3</v>
      </c>
      <c r="F4819" s="58" t="s">
        <v>363</v>
      </c>
      <c r="G4819" s="58" t="s">
        <v>361</v>
      </c>
      <c r="H4819" s="58" t="s">
        <v>928</v>
      </c>
      <c r="L4819" s="58" t="s">
        <v>869</v>
      </c>
    </row>
    <row r="4820" spans="1:12" s="58" customFormat="1" x14ac:dyDescent="0.75">
      <c r="A4820" s="58" t="s">
        <v>96</v>
      </c>
      <c r="B4820" s="59">
        <v>45071</v>
      </c>
      <c r="C4820" s="58">
        <v>1</v>
      </c>
      <c r="D4820" s="58" t="s">
        <v>197</v>
      </c>
      <c r="E4820" s="60">
        <f>41-36</f>
        <v>5</v>
      </c>
      <c r="F4820" s="58" t="s">
        <v>363</v>
      </c>
      <c r="G4820" s="58" t="s">
        <v>361</v>
      </c>
      <c r="H4820" s="58" t="s">
        <v>928</v>
      </c>
      <c r="L4820" s="58" t="s">
        <v>869</v>
      </c>
    </row>
    <row r="4821" spans="1:12" s="58" customFormat="1" x14ac:dyDescent="0.75">
      <c r="A4821" s="58" t="s">
        <v>96</v>
      </c>
      <c r="B4821" s="59">
        <v>45071</v>
      </c>
      <c r="C4821" s="58">
        <v>1</v>
      </c>
      <c r="D4821" s="58" t="s">
        <v>199</v>
      </c>
      <c r="E4821" s="60">
        <f>36-32</f>
        <v>4</v>
      </c>
      <c r="F4821" s="58" t="s">
        <v>363</v>
      </c>
      <c r="G4821" s="58" t="s">
        <v>361</v>
      </c>
      <c r="H4821" s="58" t="s">
        <v>928</v>
      </c>
      <c r="L4821" s="58" t="s">
        <v>869</v>
      </c>
    </row>
    <row r="4822" spans="1:12" s="58" customFormat="1" x14ac:dyDescent="0.75">
      <c r="A4822" s="58" t="s">
        <v>96</v>
      </c>
      <c r="B4822" s="59">
        <v>45071</v>
      </c>
      <c r="C4822" s="58">
        <v>1</v>
      </c>
      <c r="D4822" s="58" t="s">
        <v>194</v>
      </c>
      <c r="E4822" s="60">
        <f>32-17</f>
        <v>15</v>
      </c>
      <c r="F4822" s="58" t="s">
        <v>363</v>
      </c>
      <c r="G4822" s="58" t="s">
        <v>361</v>
      </c>
      <c r="H4822" s="58" t="s">
        <v>928</v>
      </c>
      <c r="L4822" s="58" t="s">
        <v>869</v>
      </c>
    </row>
    <row r="4823" spans="1:12" s="58" customFormat="1" x14ac:dyDescent="0.75">
      <c r="A4823" s="58" t="s">
        <v>96</v>
      </c>
      <c r="B4823" s="59">
        <v>45071</v>
      </c>
      <c r="C4823" s="58">
        <v>1</v>
      </c>
      <c r="D4823" s="58" t="s">
        <v>197</v>
      </c>
      <c r="E4823" s="60">
        <f>17-14</f>
        <v>3</v>
      </c>
      <c r="F4823" s="58" t="s">
        <v>363</v>
      </c>
      <c r="G4823" s="58" t="s">
        <v>361</v>
      </c>
      <c r="H4823" s="58" t="s">
        <v>928</v>
      </c>
      <c r="L4823" s="58" t="s">
        <v>869</v>
      </c>
    </row>
    <row r="4824" spans="1:12" s="58" customFormat="1" x14ac:dyDescent="0.75">
      <c r="A4824" s="58" t="s">
        <v>96</v>
      </c>
      <c r="B4824" s="59">
        <v>45071</v>
      </c>
      <c r="C4824" s="58">
        <v>1</v>
      </c>
      <c r="D4824" s="58" t="s">
        <v>197</v>
      </c>
      <c r="E4824" s="60">
        <f>4-0+42-34-6</f>
        <v>6</v>
      </c>
      <c r="F4824" s="58" t="s">
        <v>363</v>
      </c>
      <c r="G4824" s="58" t="s">
        <v>361</v>
      </c>
      <c r="H4824" s="58" t="s">
        <v>928</v>
      </c>
      <c r="L4824" s="58" t="s">
        <v>869</v>
      </c>
    </row>
    <row r="4825" spans="1:12" s="58" customFormat="1" x14ac:dyDescent="0.75">
      <c r="A4825" s="58" t="s">
        <v>96</v>
      </c>
      <c r="B4825" s="59">
        <v>45071</v>
      </c>
      <c r="C4825" s="58">
        <v>1</v>
      </c>
      <c r="D4825" s="58" t="s">
        <v>194</v>
      </c>
      <c r="E4825" s="60">
        <f>34-30</f>
        <v>4</v>
      </c>
      <c r="F4825" s="58" t="s">
        <v>363</v>
      </c>
      <c r="G4825" s="58" t="s">
        <v>361</v>
      </c>
      <c r="H4825" s="58" t="s">
        <v>928</v>
      </c>
      <c r="L4825" s="58" t="s">
        <v>869</v>
      </c>
    </row>
    <row r="4826" spans="1:12" s="58" customFormat="1" x14ac:dyDescent="0.75">
      <c r="A4826" s="58" t="s">
        <v>96</v>
      </c>
      <c r="B4826" s="59">
        <v>45071</v>
      </c>
      <c r="C4826" s="58">
        <v>1</v>
      </c>
      <c r="D4826" s="58" t="s">
        <v>197</v>
      </c>
      <c r="E4826" s="60">
        <f>30-16</f>
        <v>14</v>
      </c>
      <c r="F4826" s="58" t="s">
        <v>363</v>
      </c>
      <c r="G4826" s="58" t="s">
        <v>361</v>
      </c>
      <c r="H4826" s="58" t="s">
        <v>928</v>
      </c>
      <c r="L4826" s="58" t="s">
        <v>869</v>
      </c>
    </row>
    <row r="4827" spans="1:12" s="58" customFormat="1" x14ac:dyDescent="0.75">
      <c r="A4827" s="58" t="s">
        <v>96</v>
      </c>
      <c r="B4827" s="59">
        <v>45071</v>
      </c>
      <c r="C4827" s="58">
        <v>1</v>
      </c>
      <c r="D4827" s="58" t="s">
        <v>197</v>
      </c>
      <c r="E4827" s="60">
        <f>16-12</f>
        <v>4</v>
      </c>
      <c r="F4827" s="58" t="s">
        <v>363</v>
      </c>
      <c r="G4827" s="58" t="s">
        <v>361</v>
      </c>
      <c r="H4827" s="58" t="s">
        <v>928</v>
      </c>
      <c r="L4827" s="58" t="s">
        <v>869</v>
      </c>
    </row>
    <row r="4828" spans="1:12" s="58" customFormat="1" x14ac:dyDescent="0.75">
      <c r="A4828" s="58" t="s">
        <v>96</v>
      </c>
      <c r="B4828" s="59">
        <v>45071</v>
      </c>
      <c r="C4828" s="58">
        <v>1</v>
      </c>
      <c r="D4828" s="58" t="s">
        <v>191</v>
      </c>
      <c r="E4828" s="60">
        <f>12-5</f>
        <v>7</v>
      </c>
      <c r="F4828" s="58" t="s">
        <v>363</v>
      </c>
      <c r="G4828" s="58" t="s">
        <v>361</v>
      </c>
      <c r="H4828" s="58" t="s">
        <v>928</v>
      </c>
      <c r="L4828" s="58" t="s">
        <v>869</v>
      </c>
    </row>
    <row r="4829" spans="1:12" s="58" customFormat="1" x14ac:dyDescent="0.75">
      <c r="A4829" s="58" t="s">
        <v>96</v>
      </c>
      <c r="B4829" s="59">
        <v>45071</v>
      </c>
      <c r="C4829" s="58">
        <v>1</v>
      </c>
      <c r="D4829" s="58" t="s">
        <v>191</v>
      </c>
      <c r="E4829" s="60">
        <f>5-0</f>
        <v>5</v>
      </c>
      <c r="F4829" s="58" t="s">
        <v>363</v>
      </c>
      <c r="G4829" s="58" t="s">
        <v>361</v>
      </c>
      <c r="H4829" s="58" t="s">
        <v>928</v>
      </c>
      <c r="L4829" s="58" t="s">
        <v>869</v>
      </c>
    </row>
    <row r="4830" spans="1:12" s="58" customFormat="1" x14ac:dyDescent="0.75">
      <c r="A4830" s="58" t="s">
        <v>96</v>
      </c>
      <c r="B4830" s="59">
        <v>45071</v>
      </c>
      <c r="C4830" s="58">
        <v>1</v>
      </c>
      <c r="D4830" s="58" t="s">
        <v>194</v>
      </c>
      <c r="E4830" s="60">
        <f>1+56-52</f>
        <v>5</v>
      </c>
      <c r="F4830" s="58" t="s">
        <v>363</v>
      </c>
      <c r="G4830" s="58" t="s">
        <v>361</v>
      </c>
      <c r="H4830" s="58" t="s">
        <v>928</v>
      </c>
      <c r="L4830" s="58" t="s">
        <v>869</v>
      </c>
    </row>
    <row r="4831" spans="1:12" s="58" customFormat="1" x14ac:dyDescent="0.75">
      <c r="A4831" s="58" t="s">
        <v>96</v>
      </c>
      <c r="B4831" s="59">
        <v>45071</v>
      </c>
      <c r="C4831" s="58">
        <v>1</v>
      </c>
      <c r="D4831" s="58" t="s">
        <v>197</v>
      </c>
      <c r="E4831" s="60">
        <f>52-49</f>
        <v>3</v>
      </c>
      <c r="F4831" s="58" t="s">
        <v>363</v>
      </c>
      <c r="G4831" s="58" t="s">
        <v>361</v>
      </c>
      <c r="H4831" s="58" t="s">
        <v>928</v>
      </c>
      <c r="L4831" s="58" t="s">
        <v>869</v>
      </c>
    </row>
    <row r="4832" spans="1:12" s="58" customFormat="1" x14ac:dyDescent="0.75">
      <c r="A4832" s="58" t="s">
        <v>96</v>
      </c>
      <c r="B4832" s="59">
        <v>45071</v>
      </c>
      <c r="C4832" s="58">
        <v>1</v>
      </c>
      <c r="D4832" s="58" t="s">
        <v>197</v>
      </c>
      <c r="E4832" s="60">
        <f>49-42</f>
        <v>7</v>
      </c>
      <c r="F4832" s="58" t="s">
        <v>363</v>
      </c>
      <c r="G4832" s="58" t="s">
        <v>361</v>
      </c>
      <c r="H4832" s="58" t="s">
        <v>928</v>
      </c>
      <c r="L4832" s="58" t="s">
        <v>869</v>
      </c>
    </row>
    <row r="4833" spans="1:12" s="58" customFormat="1" x14ac:dyDescent="0.75">
      <c r="A4833" s="58" t="s">
        <v>96</v>
      </c>
      <c r="B4833" s="59">
        <v>45071</v>
      </c>
      <c r="C4833" s="58">
        <v>1</v>
      </c>
      <c r="D4833" s="58" t="s">
        <v>199</v>
      </c>
      <c r="E4833" s="60">
        <f>42-28</f>
        <v>14</v>
      </c>
      <c r="F4833" s="58" t="s">
        <v>363</v>
      </c>
      <c r="G4833" s="58" t="s">
        <v>361</v>
      </c>
      <c r="H4833" s="58" t="s">
        <v>928</v>
      </c>
      <c r="L4833" s="58" t="s">
        <v>869</v>
      </c>
    </row>
    <row r="4834" spans="1:12" s="58" customFormat="1" x14ac:dyDescent="0.75">
      <c r="A4834" s="58" t="s">
        <v>96</v>
      </c>
      <c r="B4834" s="59">
        <v>45071</v>
      </c>
      <c r="C4834" s="58">
        <v>1</v>
      </c>
      <c r="D4834" s="58" t="s">
        <v>191</v>
      </c>
      <c r="E4834" s="60">
        <f>40-33</f>
        <v>7</v>
      </c>
      <c r="F4834" s="58" t="s">
        <v>363</v>
      </c>
      <c r="G4834" s="58" t="s">
        <v>627</v>
      </c>
      <c r="H4834" s="58" t="s">
        <v>928</v>
      </c>
      <c r="L4834" s="58" t="s">
        <v>869</v>
      </c>
    </row>
    <row r="4835" spans="1:12" s="58" customFormat="1" x14ac:dyDescent="0.75">
      <c r="A4835" s="58" t="s">
        <v>96</v>
      </c>
      <c r="B4835" s="59">
        <v>45071</v>
      </c>
      <c r="C4835" s="58">
        <v>1</v>
      </c>
      <c r="D4835" s="58" t="s">
        <v>197</v>
      </c>
      <c r="E4835" s="60">
        <f>33-31</f>
        <v>2</v>
      </c>
      <c r="F4835" s="58" t="s">
        <v>363</v>
      </c>
      <c r="G4835" s="58" t="s">
        <v>627</v>
      </c>
      <c r="H4835" s="58" t="s">
        <v>928</v>
      </c>
      <c r="L4835" s="58" t="s">
        <v>869</v>
      </c>
    </row>
    <row r="4836" spans="1:12" s="58" customFormat="1" x14ac:dyDescent="0.75">
      <c r="A4836" s="58" t="s">
        <v>96</v>
      </c>
      <c r="B4836" s="59">
        <v>45071</v>
      </c>
      <c r="C4836" s="58">
        <v>1</v>
      </c>
      <c r="D4836" s="58" t="s">
        <v>191</v>
      </c>
      <c r="E4836" s="60">
        <f>31-24</f>
        <v>7</v>
      </c>
      <c r="F4836" s="58" t="s">
        <v>363</v>
      </c>
      <c r="G4836" s="58" t="s">
        <v>627</v>
      </c>
      <c r="H4836" s="58" t="s">
        <v>928</v>
      </c>
      <c r="L4836" s="58" t="s">
        <v>869</v>
      </c>
    </row>
    <row r="4837" spans="1:12" s="58" customFormat="1" x14ac:dyDescent="0.75">
      <c r="A4837" s="58" t="s">
        <v>96</v>
      </c>
      <c r="B4837" s="59">
        <v>45071</v>
      </c>
      <c r="C4837" s="58">
        <v>1</v>
      </c>
      <c r="D4837" s="58" t="s">
        <v>197</v>
      </c>
      <c r="E4837" s="60">
        <f>24-17</f>
        <v>7</v>
      </c>
      <c r="F4837" s="58" t="s">
        <v>363</v>
      </c>
      <c r="G4837" s="58" t="s">
        <v>627</v>
      </c>
      <c r="H4837" s="58" t="s">
        <v>928</v>
      </c>
      <c r="K4837" s="58" t="s">
        <v>958</v>
      </c>
      <c r="L4837" s="58" t="s">
        <v>869</v>
      </c>
    </row>
    <row r="4838" spans="1:12" s="58" customFormat="1" x14ac:dyDescent="0.75">
      <c r="A4838" s="58" t="s">
        <v>96</v>
      </c>
      <c r="B4838" s="59">
        <v>45071</v>
      </c>
      <c r="C4838" s="58">
        <v>1</v>
      </c>
      <c r="D4838" s="58" t="s">
        <v>197</v>
      </c>
      <c r="E4838" s="60">
        <f>17-10</f>
        <v>7</v>
      </c>
      <c r="F4838" s="58" t="s">
        <v>363</v>
      </c>
      <c r="G4838" s="58" t="s">
        <v>627</v>
      </c>
      <c r="H4838" s="58" t="s">
        <v>928</v>
      </c>
      <c r="L4838" s="58" t="s">
        <v>869</v>
      </c>
    </row>
    <row r="4839" spans="1:12" s="58" customFormat="1" x14ac:dyDescent="0.75">
      <c r="A4839" s="58" t="s">
        <v>96</v>
      </c>
      <c r="B4839" s="59">
        <v>45071</v>
      </c>
      <c r="C4839" s="58">
        <v>1</v>
      </c>
      <c r="D4839" s="58" t="s">
        <v>191</v>
      </c>
      <c r="E4839" s="60">
        <f>9-3</f>
        <v>6</v>
      </c>
      <c r="F4839" s="58" t="s">
        <v>363</v>
      </c>
      <c r="G4839" s="58" t="s">
        <v>627</v>
      </c>
      <c r="H4839" s="58" t="s">
        <v>928</v>
      </c>
      <c r="L4839" s="58" t="s">
        <v>869</v>
      </c>
    </row>
    <row r="4840" spans="1:12" s="58" customFormat="1" x14ac:dyDescent="0.75">
      <c r="A4840" s="58" t="s">
        <v>96</v>
      </c>
      <c r="B4840" s="59">
        <v>45071</v>
      </c>
      <c r="C4840" s="58">
        <v>1</v>
      </c>
      <c r="D4840" s="58" t="s">
        <v>191</v>
      </c>
      <c r="E4840" s="60">
        <f>3-0</f>
        <v>3</v>
      </c>
      <c r="F4840" s="58" t="s">
        <v>363</v>
      </c>
      <c r="G4840" s="58" t="s">
        <v>627</v>
      </c>
      <c r="H4840" s="58" t="s">
        <v>928</v>
      </c>
      <c r="L4840" s="58" t="s">
        <v>869</v>
      </c>
    </row>
    <row r="4841" spans="1:12" s="58" customFormat="1" x14ac:dyDescent="0.75">
      <c r="A4841" s="58" t="s">
        <v>96</v>
      </c>
      <c r="B4841" s="59">
        <v>45071</v>
      </c>
      <c r="C4841" s="58">
        <v>1</v>
      </c>
      <c r="D4841" s="58" t="s">
        <v>191</v>
      </c>
      <c r="E4841" s="60">
        <f>40-26</f>
        <v>14</v>
      </c>
      <c r="F4841" s="58" t="s">
        <v>363</v>
      </c>
      <c r="G4841" s="58" t="s">
        <v>627</v>
      </c>
      <c r="H4841" s="58" t="s">
        <v>928</v>
      </c>
      <c r="L4841" s="58" t="s">
        <v>869</v>
      </c>
    </row>
    <row r="4842" spans="1:12" s="58" customFormat="1" x14ac:dyDescent="0.75">
      <c r="A4842" s="58" t="s">
        <v>96</v>
      </c>
      <c r="B4842" s="59">
        <v>45071</v>
      </c>
      <c r="C4842" s="58">
        <v>1</v>
      </c>
      <c r="D4842" s="58" t="s">
        <v>191</v>
      </c>
      <c r="E4842" s="60">
        <f>26-25</f>
        <v>1</v>
      </c>
      <c r="F4842" s="58" t="s">
        <v>363</v>
      </c>
      <c r="G4842" s="58" t="s">
        <v>627</v>
      </c>
      <c r="H4842" s="58" t="s">
        <v>928</v>
      </c>
      <c r="L4842" s="58" t="s">
        <v>869</v>
      </c>
    </row>
    <row r="4843" spans="1:12" s="58" customFormat="1" x14ac:dyDescent="0.75">
      <c r="A4843" s="58" t="s">
        <v>96</v>
      </c>
      <c r="B4843" s="59">
        <v>45071</v>
      </c>
      <c r="C4843" s="58">
        <v>1</v>
      </c>
      <c r="D4843" s="58" t="s">
        <v>199</v>
      </c>
      <c r="E4843" s="60">
        <f>25-22</f>
        <v>3</v>
      </c>
      <c r="F4843" s="58" t="s">
        <v>363</v>
      </c>
      <c r="G4843" s="58" t="s">
        <v>627</v>
      </c>
      <c r="H4843" s="58" t="s">
        <v>928</v>
      </c>
      <c r="K4843" s="58" t="s">
        <v>959</v>
      </c>
      <c r="L4843" s="58" t="s">
        <v>869</v>
      </c>
    </row>
    <row r="4844" spans="1:12" s="58" customFormat="1" x14ac:dyDescent="0.75">
      <c r="A4844" s="58" t="s">
        <v>96</v>
      </c>
      <c r="B4844" s="59">
        <v>45071</v>
      </c>
      <c r="C4844" s="58">
        <v>1</v>
      </c>
      <c r="D4844" s="58" t="s">
        <v>194</v>
      </c>
      <c r="E4844" s="60">
        <f>22-2</f>
        <v>20</v>
      </c>
      <c r="F4844" s="58" t="s">
        <v>363</v>
      </c>
      <c r="G4844" s="58" t="s">
        <v>627</v>
      </c>
      <c r="H4844" s="58" t="s">
        <v>928</v>
      </c>
      <c r="I4844" s="58" t="s">
        <v>869</v>
      </c>
      <c r="J4844" s="59">
        <v>45132</v>
      </c>
      <c r="K4844" s="58" t="s">
        <v>960</v>
      </c>
      <c r="L4844" s="58" t="s">
        <v>869</v>
      </c>
    </row>
    <row r="4845" spans="1:12" s="58" customFormat="1" x14ac:dyDescent="0.75">
      <c r="A4845" s="58" t="s">
        <v>96</v>
      </c>
      <c r="B4845" s="59">
        <v>45071</v>
      </c>
      <c r="C4845" s="58">
        <v>1</v>
      </c>
      <c r="D4845" s="58" t="s">
        <v>194</v>
      </c>
      <c r="E4845" s="60">
        <f>2-0</f>
        <v>2</v>
      </c>
      <c r="F4845" s="58" t="s">
        <v>363</v>
      </c>
      <c r="G4845" s="58" t="s">
        <v>627</v>
      </c>
      <c r="H4845" s="58" t="s">
        <v>928</v>
      </c>
      <c r="K4845" s="58" t="s">
        <v>961</v>
      </c>
      <c r="L4845" s="58" t="s">
        <v>869</v>
      </c>
    </row>
    <row r="4846" spans="1:12" x14ac:dyDescent="0.75">
      <c r="A4846" t="s">
        <v>28</v>
      </c>
      <c r="B4846" s="3">
        <v>45071</v>
      </c>
      <c r="C4846">
        <v>1</v>
      </c>
      <c r="D4846" t="s">
        <v>191</v>
      </c>
      <c r="E4846" s="22">
        <f>30-23</f>
        <v>7</v>
      </c>
      <c r="F4846" t="s">
        <v>363</v>
      </c>
      <c r="G4846" t="s">
        <v>361</v>
      </c>
      <c r="H4846" t="s">
        <v>928</v>
      </c>
      <c r="L4846" t="s">
        <v>869</v>
      </c>
    </row>
    <row r="4847" spans="1:12" x14ac:dyDescent="0.75">
      <c r="A4847" t="s">
        <v>28</v>
      </c>
      <c r="B4847" s="3">
        <v>45071</v>
      </c>
      <c r="C4847">
        <v>1</v>
      </c>
      <c r="D4847" t="s">
        <v>191</v>
      </c>
      <c r="E4847" s="22">
        <f>23-17</f>
        <v>6</v>
      </c>
      <c r="F4847" t="s">
        <v>363</v>
      </c>
      <c r="G4847" t="s">
        <v>361</v>
      </c>
      <c r="H4847" t="s">
        <v>928</v>
      </c>
      <c r="L4847" t="s">
        <v>869</v>
      </c>
    </row>
    <row r="4848" spans="1:12" x14ac:dyDescent="0.75">
      <c r="A4848" t="s">
        <v>28</v>
      </c>
      <c r="B4848" s="3">
        <v>45071</v>
      </c>
      <c r="C4848">
        <v>1</v>
      </c>
      <c r="D4848" t="s">
        <v>215</v>
      </c>
      <c r="E4848" s="22">
        <f>17-12</f>
        <v>5</v>
      </c>
      <c r="F4848" t="s">
        <v>363</v>
      </c>
      <c r="G4848" t="s">
        <v>361</v>
      </c>
      <c r="H4848" t="s">
        <v>928</v>
      </c>
      <c r="L4848" t="s">
        <v>869</v>
      </c>
    </row>
    <row r="4849" spans="1:12" s="58" customFormat="1" x14ac:dyDescent="0.75">
      <c r="A4849" s="58" t="s">
        <v>116</v>
      </c>
      <c r="B4849" s="59">
        <v>45090</v>
      </c>
      <c r="C4849" s="58">
        <v>1</v>
      </c>
      <c r="D4849" s="58" t="s">
        <v>164</v>
      </c>
      <c r="E4849" s="60">
        <f>60-54</f>
        <v>6</v>
      </c>
      <c r="F4849" s="58" t="s">
        <v>363</v>
      </c>
      <c r="G4849" s="58" t="s">
        <v>733</v>
      </c>
      <c r="H4849" s="58" t="s">
        <v>928</v>
      </c>
      <c r="I4849" s="58" t="s">
        <v>869</v>
      </c>
      <c r="J4849" s="59">
        <v>45125</v>
      </c>
      <c r="L4849" s="58" t="s">
        <v>628</v>
      </c>
    </row>
    <row r="4850" spans="1:12" s="58" customFormat="1" x14ac:dyDescent="0.75">
      <c r="A4850" s="58" t="s">
        <v>116</v>
      </c>
      <c r="B4850" s="59">
        <v>45090</v>
      </c>
      <c r="C4850" s="58">
        <v>1</v>
      </c>
      <c r="D4850" s="58" t="s">
        <v>191</v>
      </c>
      <c r="E4850" s="60">
        <f>54-38</f>
        <v>16</v>
      </c>
      <c r="F4850" s="58" t="s">
        <v>363</v>
      </c>
      <c r="G4850" s="58" t="s">
        <v>733</v>
      </c>
      <c r="H4850" s="58" t="s">
        <v>928</v>
      </c>
      <c r="I4850" s="58" t="s">
        <v>869</v>
      </c>
      <c r="J4850" s="59">
        <v>45125</v>
      </c>
      <c r="L4850" s="58" t="s">
        <v>628</v>
      </c>
    </row>
    <row r="4851" spans="1:12" s="58" customFormat="1" x14ac:dyDescent="0.75">
      <c r="A4851" s="58" t="s">
        <v>116</v>
      </c>
      <c r="B4851" s="59">
        <v>45090</v>
      </c>
      <c r="C4851" s="58">
        <v>1</v>
      </c>
      <c r="D4851" s="58" t="s">
        <v>153</v>
      </c>
      <c r="E4851" s="60">
        <f>38-37</f>
        <v>1</v>
      </c>
      <c r="F4851" s="58" t="s">
        <v>363</v>
      </c>
      <c r="G4851" s="58" t="s">
        <v>733</v>
      </c>
      <c r="H4851" s="58" t="s">
        <v>928</v>
      </c>
      <c r="I4851" s="58" t="s">
        <v>869</v>
      </c>
      <c r="J4851" s="59">
        <v>45125</v>
      </c>
      <c r="L4851" s="58" t="s">
        <v>628</v>
      </c>
    </row>
    <row r="4852" spans="1:12" s="58" customFormat="1" x14ac:dyDescent="0.75">
      <c r="A4852" s="58" t="s">
        <v>116</v>
      </c>
      <c r="B4852" s="59">
        <v>45090</v>
      </c>
      <c r="C4852" s="58">
        <v>1</v>
      </c>
      <c r="D4852" s="58" t="s">
        <v>164</v>
      </c>
      <c r="E4852" s="60">
        <f>37-6</f>
        <v>31</v>
      </c>
      <c r="F4852" s="58" t="s">
        <v>363</v>
      </c>
      <c r="G4852" s="58" t="s">
        <v>733</v>
      </c>
      <c r="H4852" s="58" t="s">
        <v>928</v>
      </c>
      <c r="I4852" s="58" t="s">
        <v>869</v>
      </c>
      <c r="J4852" s="59">
        <v>45125</v>
      </c>
      <c r="L4852" s="58" t="s">
        <v>628</v>
      </c>
    </row>
    <row r="4853" spans="1:12" s="58" customFormat="1" x14ac:dyDescent="0.75">
      <c r="A4853" s="58" t="s">
        <v>116</v>
      </c>
      <c r="B4853" s="59">
        <v>45090</v>
      </c>
      <c r="C4853" s="58">
        <v>1</v>
      </c>
      <c r="D4853" s="58" t="s">
        <v>164</v>
      </c>
      <c r="E4853" s="60">
        <f>6+44-27</f>
        <v>23</v>
      </c>
      <c r="F4853" s="58">
        <v>194</v>
      </c>
      <c r="G4853" s="58" t="s">
        <v>733</v>
      </c>
      <c r="H4853" s="58" t="s">
        <v>928</v>
      </c>
      <c r="I4853" s="58" t="s">
        <v>869</v>
      </c>
      <c r="J4853" s="59">
        <v>45125</v>
      </c>
      <c r="K4853" s="58" t="s">
        <v>962</v>
      </c>
      <c r="L4853" s="58" t="s">
        <v>628</v>
      </c>
    </row>
    <row r="4854" spans="1:12" s="58" customFormat="1" x14ac:dyDescent="0.75">
      <c r="A4854" s="58" t="s">
        <v>116</v>
      </c>
      <c r="B4854" s="59">
        <v>45090</v>
      </c>
      <c r="C4854" s="58">
        <v>1</v>
      </c>
      <c r="D4854" s="58" t="s">
        <v>191</v>
      </c>
      <c r="E4854" s="60">
        <f>27-20</f>
        <v>7</v>
      </c>
      <c r="F4854" s="58" t="s">
        <v>363</v>
      </c>
      <c r="G4854" s="58" t="s">
        <v>733</v>
      </c>
      <c r="H4854" s="58" t="s">
        <v>928</v>
      </c>
      <c r="I4854" s="58" t="s">
        <v>869</v>
      </c>
      <c r="J4854" s="59">
        <v>45125</v>
      </c>
      <c r="K4854" s="58" t="s">
        <v>963</v>
      </c>
      <c r="L4854" s="58" t="s">
        <v>628</v>
      </c>
    </row>
    <row r="4855" spans="1:12" s="58" customFormat="1" x14ac:dyDescent="0.75">
      <c r="A4855" s="58" t="s">
        <v>116</v>
      </c>
      <c r="B4855" s="59">
        <v>45090</v>
      </c>
      <c r="C4855" s="58">
        <v>1</v>
      </c>
      <c r="D4855" s="58" t="s">
        <v>157</v>
      </c>
      <c r="E4855" s="60">
        <v>20</v>
      </c>
      <c r="F4855" s="58">
        <v>189</v>
      </c>
      <c r="G4855" s="58" t="s">
        <v>733</v>
      </c>
      <c r="H4855" s="58" t="s">
        <v>928</v>
      </c>
      <c r="I4855" s="58" t="s">
        <v>869</v>
      </c>
      <c r="J4855" s="59">
        <v>45125</v>
      </c>
      <c r="K4855" s="58" t="s">
        <v>964</v>
      </c>
      <c r="L4855" s="58" t="s">
        <v>628</v>
      </c>
    </row>
    <row r="4856" spans="1:12" s="58" customFormat="1" x14ac:dyDescent="0.75">
      <c r="A4856" s="58" t="s">
        <v>116</v>
      </c>
      <c r="B4856" s="59">
        <v>45090</v>
      </c>
      <c r="C4856" s="58">
        <v>1</v>
      </c>
      <c r="D4856" s="58" t="s">
        <v>207</v>
      </c>
      <c r="E4856" s="60">
        <f>44-41</f>
        <v>3</v>
      </c>
      <c r="F4856" s="58" t="s">
        <v>363</v>
      </c>
      <c r="G4856" s="58" t="s">
        <v>869</v>
      </c>
      <c r="H4856" s="58" t="s">
        <v>928</v>
      </c>
      <c r="I4856" s="58" t="s">
        <v>869</v>
      </c>
      <c r="J4856" s="59">
        <v>45125</v>
      </c>
      <c r="L4856" s="58" t="s">
        <v>628</v>
      </c>
    </row>
    <row r="4857" spans="1:12" s="58" customFormat="1" x14ac:dyDescent="0.75">
      <c r="A4857" s="58" t="s">
        <v>116</v>
      </c>
      <c r="B4857" s="59">
        <v>45090</v>
      </c>
      <c r="C4857" s="58">
        <v>1</v>
      </c>
      <c r="D4857" s="58" t="s">
        <v>197</v>
      </c>
      <c r="E4857" s="60">
        <f>45-15</f>
        <v>30</v>
      </c>
      <c r="F4857" s="58" t="s">
        <v>363</v>
      </c>
      <c r="G4857" s="58" t="s">
        <v>869</v>
      </c>
      <c r="H4857" s="58" t="s">
        <v>928</v>
      </c>
      <c r="I4857" s="58" t="s">
        <v>869</v>
      </c>
      <c r="J4857" s="59">
        <v>45125</v>
      </c>
      <c r="L4857" s="58" t="s">
        <v>628</v>
      </c>
    </row>
    <row r="4858" spans="1:12" s="58" customFormat="1" x14ac:dyDescent="0.75">
      <c r="A4858" s="58" t="s">
        <v>116</v>
      </c>
      <c r="B4858" s="59">
        <v>45090</v>
      </c>
      <c r="C4858" s="58">
        <v>1</v>
      </c>
      <c r="D4858" s="58" t="s">
        <v>184</v>
      </c>
      <c r="E4858" s="60">
        <f>15-13</f>
        <v>2</v>
      </c>
      <c r="F4858" s="58" t="s">
        <v>363</v>
      </c>
      <c r="G4858" s="58" t="s">
        <v>869</v>
      </c>
      <c r="H4858" s="58" t="s">
        <v>928</v>
      </c>
      <c r="I4858" s="58" t="s">
        <v>869</v>
      </c>
      <c r="J4858" s="59">
        <v>45125</v>
      </c>
      <c r="K4858" s="58" t="s">
        <v>965</v>
      </c>
      <c r="L4858" s="58" t="s">
        <v>628</v>
      </c>
    </row>
    <row r="4859" spans="1:12" s="58" customFormat="1" x14ac:dyDescent="0.75">
      <c r="A4859" s="58" t="s">
        <v>116</v>
      </c>
      <c r="B4859" s="59">
        <v>45090</v>
      </c>
      <c r="C4859" s="58">
        <v>1</v>
      </c>
      <c r="D4859" s="58" t="s">
        <v>191</v>
      </c>
      <c r="E4859" s="60">
        <f>13-8</f>
        <v>5</v>
      </c>
      <c r="F4859" s="58" t="s">
        <v>363</v>
      </c>
      <c r="G4859" s="58" t="s">
        <v>869</v>
      </c>
      <c r="H4859" s="58" t="s">
        <v>928</v>
      </c>
      <c r="I4859" s="58" t="s">
        <v>869</v>
      </c>
      <c r="J4859" s="59">
        <v>45125</v>
      </c>
      <c r="L4859" s="58" t="s">
        <v>628</v>
      </c>
    </row>
    <row r="4860" spans="1:12" s="58" customFormat="1" x14ac:dyDescent="0.75">
      <c r="A4860" s="58" t="s">
        <v>116</v>
      </c>
      <c r="B4860" s="59">
        <v>45090</v>
      </c>
      <c r="C4860" s="58">
        <v>1</v>
      </c>
      <c r="D4860" s="58" t="s">
        <v>207</v>
      </c>
      <c r="E4860" s="60">
        <f>44-19</f>
        <v>25</v>
      </c>
      <c r="F4860" s="58" t="s">
        <v>363</v>
      </c>
      <c r="G4860" s="58" t="s">
        <v>869</v>
      </c>
      <c r="H4860" s="58" t="s">
        <v>928</v>
      </c>
      <c r="I4860" s="58" t="s">
        <v>869</v>
      </c>
      <c r="J4860" s="59">
        <v>45125</v>
      </c>
      <c r="L4860" s="58" t="s">
        <v>628</v>
      </c>
    </row>
    <row r="4861" spans="1:12" s="58" customFormat="1" x14ac:dyDescent="0.75">
      <c r="A4861" s="58" t="s">
        <v>116</v>
      </c>
      <c r="B4861" s="59">
        <v>45090</v>
      </c>
      <c r="C4861" s="58">
        <v>1</v>
      </c>
      <c r="D4861" s="58" t="s">
        <v>205</v>
      </c>
      <c r="E4861" s="60">
        <f>19-16</f>
        <v>3</v>
      </c>
      <c r="F4861" s="58" t="s">
        <v>363</v>
      </c>
      <c r="G4861" s="58" t="s">
        <v>869</v>
      </c>
      <c r="H4861" s="58" t="s">
        <v>928</v>
      </c>
      <c r="I4861" s="58" t="s">
        <v>869</v>
      </c>
      <c r="J4861" s="59">
        <v>45125</v>
      </c>
      <c r="L4861" s="58" t="s">
        <v>628</v>
      </c>
    </row>
    <row r="4862" spans="1:12" s="58" customFormat="1" x14ac:dyDescent="0.75">
      <c r="A4862" s="58" t="s">
        <v>116</v>
      </c>
      <c r="B4862" s="59">
        <v>45090</v>
      </c>
      <c r="C4862" s="58">
        <v>1</v>
      </c>
      <c r="D4862" s="58" t="s">
        <v>164</v>
      </c>
      <c r="E4862" s="60">
        <f>16+41-25</f>
        <v>32</v>
      </c>
      <c r="F4862" s="58" t="s">
        <v>363</v>
      </c>
      <c r="G4862" s="58" t="s">
        <v>869</v>
      </c>
      <c r="H4862" s="58" t="s">
        <v>928</v>
      </c>
      <c r="I4862" s="58" t="s">
        <v>869</v>
      </c>
      <c r="J4862" s="59">
        <v>45125</v>
      </c>
      <c r="L4862" s="58" t="s">
        <v>628</v>
      </c>
    </row>
    <row r="4863" spans="1:12" x14ac:dyDescent="0.75">
      <c r="A4863" t="s">
        <v>116</v>
      </c>
      <c r="B4863" s="3">
        <v>45090</v>
      </c>
      <c r="C4863">
        <v>2</v>
      </c>
      <c r="D4863" t="s">
        <v>164</v>
      </c>
      <c r="E4863" s="22">
        <f>5+44-13</f>
        <v>36</v>
      </c>
      <c r="F4863" t="s">
        <v>363</v>
      </c>
      <c r="G4863" t="s">
        <v>733</v>
      </c>
      <c r="H4863" t="s">
        <v>928</v>
      </c>
      <c r="I4863" t="s">
        <v>869</v>
      </c>
      <c r="J4863" s="3">
        <v>45125</v>
      </c>
      <c r="L4863" t="s">
        <v>628</v>
      </c>
    </row>
    <row r="4864" spans="1:12" x14ac:dyDescent="0.75">
      <c r="A4864" t="s">
        <v>116</v>
      </c>
      <c r="B4864" s="3">
        <v>45090</v>
      </c>
      <c r="C4864">
        <v>2</v>
      </c>
      <c r="D4864" t="s">
        <v>191</v>
      </c>
      <c r="E4864" s="22">
        <f>13-6</f>
        <v>7</v>
      </c>
      <c r="F4864" t="s">
        <v>363</v>
      </c>
      <c r="G4864" t="s">
        <v>733</v>
      </c>
      <c r="H4864" t="s">
        <v>928</v>
      </c>
      <c r="I4864" t="s">
        <v>869</v>
      </c>
      <c r="J4864" s="3">
        <v>45125</v>
      </c>
      <c r="K4864" s="10" t="s">
        <v>966</v>
      </c>
      <c r="L4864" t="s">
        <v>628</v>
      </c>
    </row>
    <row r="4865" spans="1:12" x14ac:dyDescent="0.75">
      <c r="A4865" t="s">
        <v>116</v>
      </c>
      <c r="B4865" s="3">
        <v>45090</v>
      </c>
      <c r="C4865">
        <v>2</v>
      </c>
      <c r="D4865" t="s">
        <v>194</v>
      </c>
      <c r="E4865" s="22">
        <f>45-30</f>
        <v>15</v>
      </c>
      <c r="F4865" t="s">
        <v>363</v>
      </c>
      <c r="G4865" t="s">
        <v>733</v>
      </c>
      <c r="H4865" t="s">
        <v>928</v>
      </c>
      <c r="I4865" t="s">
        <v>869</v>
      </c>
      <c r="J4865" s="3">
        <v>45125</v>
      </c>
      <c r="L4865" t="s">
        <v>628</v>
      </c>
    </row>
    <row r="4866" spans="1:12" x14ac:dyDescent="0.75">
      <c r="A4866" t="s">
        <v>116</v>
      </c>
      <c r="B4866" s="3">
        <v>45090</v>
      </c>
      <c r="C4866">
        <v>2</v>
      </c>
      <c r="D4866" t="s">
        <v>191</v>
      </c>
      <c r="E4866" s="22">
        <f>30-13</f>
        <v>17</v>
      </c>
      <c r="F4866" t="s">
        <v>363</v>
      </c>
      <c r="G4866" t="s">
        <v>733</v>
      </c>
      <c r="H4866" t="s">
        <v>928</v>
      </c>
      <c r="I4866" t="s">
        <v>869</v>
      </c>
      <c r="J4866" s="3">
        <v>45125</v>
      </c>
      <c r="L4866" t="s">
        <v>628</v>
      </c>
    </row>
    <row r="4867" spans="1:12" x14ac:dyDescent="0.75">
      <c r="A4867" t="s">
        <v>116</v>
      </c>
      <c r="B4867" s="3">
        <v>45090</v>
      </c>
      <c r="C4867">
        <v>2</v>
      </c>
      <c r="D4867" t="s">
        <v>164</v>
      </c>
      <c r="E4867" s="22">
        <v>15</v>
      </c>
      <c r="F4867" t="s">
        <v>363</v>
      </c>
      <c r="G4867" t="s">
        <v>733</v>
      </c>
      <c r="H4867" t="s">
        <v>928</v>
      </c>
      <c r="I4867" t="s">
        <v>869</v>
      </c>
      <c r="J4867" s="3">
        <v>45125</v>
      </c>
      <c r="K4867" t="s">
        <v>967</v>
      </c>
      <c r="L4867" t="s">
        <v>628</v>
      </c>
    </row>
    <row r="4868" spans="1:12" x14ac:dyDescent="0.75">
      <c r="A4868" t="s">
        <v>116</v>
      </c>
      <c r="B4868" s="3">
        <v>45090</v>
      </c>
      <c r="C4868">
        <v>2</v>
      </c>
      <c r="D4868" t="s">
        <v>201</v>
      </c>
      <c r="E4868" s="22">
        <f>25+9-3</f>
        <v>31</v>
      </c>
      <c r="F4868" t="s">
        <v>363</v>
      </c>
      <c r="G4868" t="s">
        <v>869</v>
      </c>
      <c r="H4868" t="s">
        <v>928</v>
      </c>
      <c r="I4868" t="s">
        <v>869</v>
      </c>
      <c r="J4868" s="3">
        <v>45125</v>
      </c>
      <c r="L4868" t="s">
        <v>628</v>
      </c>
    </row>
    <row r="4869" spans="1:12" x14ac:dyDescent="0.75">
      <c r="A4869" t="s">
        <v>116</v>
      </c>
      <c r="B4869" s="3">
        <v>45090</v>
      </c>
      <c r="C4869">
        <v>2</v>
      </c>
      <c r="D4869" t="s">
        <v>191</v>
      </c>
      <c r="E4869" s="22">
        <f>3+45-17</f>
        <v>31</v>
      </c>
      <c r="F4869" t="s">
        <v>363</v>
      </c>
      <c r="G4869" t="s">
        <v>869</v>
      </c>
      <c r="H4869" t="s">
        <v>928</v>
      </c>
      <c r="I4869" t="s">
        <v>869</v>
      </c>
      <c r="J4869" s="3">
        <v>45125</v>
      </c>
      <c r="L4869" t="s">
        <v>628</v>
      </c>
    </row>
    <row r="4870" spans="1:12" x14ac:dyDescent="0.75">
      <c r="A4870" t="s">
        <v>116</v>
      </c>
      <c r="B4870" s="3">
        <v>45090</v>
      </c>
      <c r="C4870">
        <v>2</v>
      </c>
      <c r="D4870" t="s">
        <v>197</v>
      </c>
      <c r="E4870" s="22">
        <f>17-15</f>
        <v>2</v>
      </c>
      <c r="F4870" t="s">
        <v>363</v>
      </c>
      <c r="G4870" t="s">
        <v>869</v>
      </c>
      <c r="H4870" t="s">
        <v>928</v>
      </c>
      <c r="I4870" t="s">
        <v>869</v>
      </c>
      <c r="J4870" s="3">
        <v>45125</v>
      </c>
      <c r="L4870" t="s">
        <v>628</v>
      </c>
    </row>
    <row r="4871" spans="1:12" x14ac:dyDescent="0.75">
      <c r="A4871" t="s">
        <v>116</v>
      </c>
      <c r="B4871" s="3">
        <v>45090</v>
      </c>
      <c r="C4871">
        <v>2</v>
      </c>
      <c r="D4871" t="s">
        <v>197</v>
      </c>
      <c r="E4871" s="22">
        <f>15+6+42-40</f>
        <v>23</v>
      </c>
      <c r="F4871" t="s">
        <v>363</v>
      </c>
      <c r="G4871" t="s">
        <v>869</v>
      </c>
      <c r="H4871" t="s">
        <v>928</v>
      </c>
      <c r="I4871" t="s">
        <v>869</v>
      </c>
      <c r="J4871" s="3">
        <v>45125</v>
      </c>
      <c r="L4871" t="s">
        <v>628</v>
      </c>
    </row>
    <row r="4872" spans="1:12" x14ac:dyDescent="0.75">
      <c r="A4872" t="s">
        <v>116</v>
      </c>
      <c r="B4872" s="3">
        <v>45090</v>
      </c>
      <c r="C4872">
        <v>2</v>
      </c>
      <c r="D4872" t="s">
        <v>197</v>
      </c>
      <c r="E4872" s="22">
        <v>40</v>
      </c>
      <c r="F4872" t="s">
        <v>363</v>
      </c>
      <c r="G4872" t="s">
        <v>869</v>
      </c>
      <c r="H4872" t="s">
        <v>928</v>
      </c>
      <c r="I4872" t="s">
        <v>869</v>
      </c>
      <c r="J4872" s="3">
        <v>45125</v>
      </c>
      <c r="L4872" t="s">
        <v>628</v>
      </c>
    </row>
    <row r="4873" spans="1:12" x14ac:dyDescent="0.75">
      <c r="A4873" t="s">
        <v>116</v>
      </c>
      <c r="B4873" s="3">
        <v>45090</v>
      </c>
      <c r="C4873">
        <v>2</v>
      </c>
      <c r="D4873" t="s">
        <v>164</v>
      </c>
      <c r="E4873" s="22">
        <f>18-16</f>
        <v>2</v>
      </c>
      <c r="F4873" t="s">
        <v>363</v>
      </c>
      <c r="G4873" t="s">
        <v>869</v>
      </c>
      <c r="H4873" t="s">
        <v>928</v>
      </c>
      <c r="I4873" t="s">
        <v>869</v>
      </c>
      <c r="J4873" s="3">
        <v>45125</v>
      </c>
      <c r="L4873" t="s">
        <v>628</v>
      </c>
    </row>
    <row r="4874" spans="1:12" s="58" customFormat="1" x14ac:dyDescent="0.75">
      <c r="A4874" s="58" t="s">
        <v>116</v>
      </c>
      <c r="B4874" s="59">
        <v>45091</v>
      </c>
      <c r="C4874" s="58">
        <v>1</v>
      </c>
      <c r="D4874" s="58" t="s">
        <v>201</v>
      </c>
      <c r="E4874" s="60">
        <f>44-39</f>
        <v>5</v>
      </c>
      <c r="F4874" s="58" t="s">
        <v>363</v>
      </c>
      <c r="G4874" s="58" t="s">
        <v>733</v>
      </c>
      <c r="H4874" s="58" t="s">
        <v>928</v>
      </c>
      <c r="I4874" s="58" t="s">
        <v>869</v>
      </c>
      <c r="J4874" s="59">
        <v>45125</v>
      </c>
      <c r="L4874" s="58" t="s">
        <v>628</v>
      </c>
    </row>
    <row r="4875" spans="1:12" s="58" customFormat="1" x14ac:dyDescent="0.75">
      <c r="A4875" s="58" t="s">
        <v>116</v>
      </c>
      <c r="B4875" s="59">
        <v>45091</v>
      </c>
      <c r="C4875" s="58">
        <v>1</v>
      </c>
      <c r="D4875" s="58" t="s">
        <v>164</v>
      </c>
      <c r="E4875" s="60">
        <f>37-21</f>
        <v>16</v>
      </c>
      <c r="F4875" s="58" t="s">
        <v>363</v>
      </c>
      <c r="G4875" s="58" t="s">
        <v>733</v>
      </c>
      <c r="H4875" s="58" t="s">
        <v>928</v>
      </c>
      <c r="I4875" s="58" t="s">
        <v>869</v>
      </c>
      <c r="J4875" s="59">
        <v>45125</v>
      </c>
      <c r="L4875" s="58" t="s">
        <v>628</v>
      </c>
    </row>
    <row r="4876" spans="1:12" s="58" customFormat="1" x14ac:dyDescent="0.75">
      <c r="A4876" s="58" t="s">
        <v>116</v>
      </c>
      <c r="B4876" s="59">
        <v>45091</v>
      </c>
      <c r="C4876" s="58">
        <v>1</v>
      </c>
      <c r="D4876" s="58" t="s">
        <v>197</v>
      </c>
      <c r="E4876" s="60">
        <f>21-19</f>
        <v>2</v>
      </c>
      <c r="F4876" s="58" t="s">
        <v>363</v>
      </c>
      <c r="G4876" s="58" t="s">
        <v>733</v>
      </c>
      <c r="H4876" s="58" t="s">
        <v>928</v>
      </c>
      <c r="I4876" s="58" t="s">
        <v>869</v>
      </c>
      <c r="J4876" s="59">
        <v>45125</v>
      </c>
      <c r="L4876" s="58" t="s">
        <v>628</v>
      </c>
    </row>
    <row r="4877" spans="1:12" s="58" customFormat="1" x14ac:dyDescent="0.75">
      <c r="A4877" s="58" t="s">
        <v>116</v>
      </c>
      <c r="B4877" s="59">
        <v>45091</v>
      </c>
      <c r="C4877" s="58">
        <v>1</v>
      </c>
      <c r="D4877" s="58" t="s">
        <v>194</v>
      </c>
      <c r="E4877" s="60">
        <f>19-16</f>
        <v>3</v>
      </c>
      <c r="F4877" s="58" t="s">
        <v>363</v>
      </c>
      <c r="G4877" s="58" t="s">
        <v>733</v>
      </c>
      <c r="H4877" s="58" t="s">
        <v>928</v>
      </c>
      <c r="I4877" s="58" t="s">
        <v>869</v>
      </c>
      <c r="J4877" s="59">
        <v>45125</v>
      </c>
      <c r="K4877" s="58" t="s">
        <v>968</v>
      </c>
      <c r="L4877" s="58" t="s">
        <v>628</v>
      </c>
    </row>
    <row r="4878" spans="1:12" s="58" customFormat="1" x14ac:dyDescent="0.75">
      <c r="A4878" s="58" t="s">
        <v>116</v>
      </c>
      <c r="B4878" s="59">
        <v>45091</v>
      </c>
      <c r="C4878" s="58">
        <v>1</v>
      </c>
      <c r="D4878" s="58" t="s">
        <v>201</v>
      </c>
      <c r="E4878" s="60">
        <f>16-12</f>
        <v>4</v>
      </c>
      <c r="F4878" s="58" t="s">
        <v>363</v>
      </c>
      <c r="G4878" s="58" t="s">
        <v>733</v>
      </c>
      <c r="H4878" s="58" t="s">
        <v>928</v>
      </c>
      <c r="I4878" s="58" t="s">
        <v>869</v>
      </c>
      <c r="J4878" s="59">
        <v>45125</v>
      </c>
      <c r="L4878" s="58" t="s">
        <v>628</v>
      </c>
    </row>
    <row r="4879" spans="1:12" s="58" customFormat="1" x14ac:dyDescent="0.75">
      <c r="A4879" s="58" t="s">
        <v>116</v>
      </c>
      <c r="B4879" s="59">
        <v>45091</v>
      </c>
      <c r="C4879" s="58">
        <v>1</v>
      </c>
      <c r="D4879" s="58" t="s">
        <v>191</v>
      </c>
      <c r="E4879" s="60">
        <f>12+49-37</f>
        <v>24</v>
      </c>
      <c r="F4879" s="58" t="s">
        <v>363</v>
      </c>
      <c r="G4879" s="58" t="s">
        <v>733</v>
      </c>
      <c r="H4879" s="58" t="s">
        <v>928</v>
      </c>
      <c r="I4879" s="58" t="s">
        <v>869</v>
      </c>
      <c r="J4879" s="59">
        <v>45125</v>
      </c>
      <c r="L4879" s="58" t="s">
        <v>628</v>
      </c>
    </row>
    <row r="4880" spans="1:12" s="58" customFormat="1" x14ac:dyDescent="0.75">
      <c r="A4880" s="58" t="s">
        <v>116</v>
      </c>
      <c r="B4880" s="59">
        <v>45091</v>
      </c>
      <c r="C4880" s="58">
        <v>1</v>
      </c>
      <c r="D4880" s="58" t="s">
        <v>191</v>
      </c>
      <c r="E4880" s="60">
        <f>41-33</f>
        <v>8</v>
      </c>
      <c r="F4880" s="58" t="s">
        <v>363</v>
      </c>
      <c r="G4880" s="58" t="s">
        <v>733</v>
      </c>
      <c r="H4880" s="58" t="s">
        <v>928</v>
      </c>
      <c r="I4880" s="58" t="s">
        <v>869</v>
      </c>
      <c r="J4880" s="59">
        <v>45125</v>
      </c>
      <c r="L4880" s="58" t="s">
        <v>628</v>
      </c>
    </row>
    <row r="4881" spans="1:12" s="58" customFormat="1" x14ac:dyDescent="0.75">
      <c r="A4881" s="58" t="s">
        <v>116</v>
      </c>
      <c r="B4881" s="59">
        <v>45091</v>
      </c>
      <c r="C4881" s="58">
        <v>1</v>
      </c>
      <c r="D4881" s="58" t="s">
        <v>207</v>
      </c>
      <c r="E4881" s="60">
        <f>48-41</f>
        <v>7</v>
      </c>
      <c r="F4881" s="58">
        <v>920</v>
      </c>
      <c r="G4881" s="58" t="s">
        <v>869</v>
      </c>
      <c r="H4881" s="58" t="s">
        <v>390</v>
      </c>
      <c r="I4881" s="58" t="s">
        <v>869</v>
      </c>
      <c r="J4881" s="59">
        <v>45125</v>
      </c>
      <c r="L4881" s="58" t="s">
        <v>628</v>
      </c>
    </row>
    <row r="4882" spans="1:12" s="58" customFormat="1" x14ac:dyDescent="0.75">
      <c r="A4882" s="58" t="s">
        <v>116</v>
      </c>
      <c r="B4882" s="59">
        <v>45091</v>
      </c>
      <c r="C4882" s="58">
        <v>1</v>
      </c>
      <c r="D4882" s="58" t="s">
        <v>215</v>
      </c>
      <c r="E4882" s="60">
        <f>41-40</f>
        <v>1</v>
      </c>
      <c r="F4882" s="58" t="s">
        <v>363</v>
      </c>
      <c r="G4882" s="58" t="s">
        <v>869</v>
      </c>
      <c r="H4882" s="58" t="s">
        <v>928</v>
      </c>
      <c r="I4882" s="58" t="s">
        <v>869</v>
      </c>
      <c r="J4882" s="59">
        <v>45125</v>
      </c>
      <c r="L4882" s="58" t="s">
        <v>628</v>
      </c>
    </row>
    <row r="4883" spans="1:12" s="58" customFormat="1" x14ac:dyDescent="0.75">
      <c r="A4883" s="58" t="s">
        <v>116</v>
      </c>
      <c r="B4883" s="59">
        <v>45091</v>
      </c>
      <c r="C4883" s="58">
        <v>1</v>
      </c>
      <c r="D4883" s="58" t="s">
        <v>201</v>
      </c>
      <c r="E4883" s="60">
        <f>40-8</f>
        <v>32</v>
      </c>
      <c r="F4883" s="58" t="s">
        <v>363</v>
      </c>
      <c r="G4883" s="58" t="s">
        <v>869</v>
      </c>
      <c r="H4883" s="58" t="s">
        <v>928</v>
      </c>
      <c r="I4883" s="58" t="s">
        <v>869</v>
      </c>
      <c r="J4883" s="59">
        <v>45125</v>
      </c>
      <c r="L4883" s="58" t="s">
        <v>628</v>
      </c>
    </row>
    <row r="4884" spans="1:12" s="58" customFormat="1" x14ac:dyDescent="0.75">
      <c r="A4884" s="58" t="s">
        <v>116</v>
      </c>
      <c r="B4884" s="59">
        <v>45091</v>
      </c>
      <c r="C4884" s="58">
        <v>1</v>
      </c>
      <c r="D4884" s="58" t="s">
        <v>191</v>
      </c>
      <c r="E4884" s="60">
        <f>8-3</f>
        <v>5</v>
      </c>
      <c r="F4884" s="58" t="s">
        <v>363</v>
      </c>
      <c r="G4884" s="58" t="s">
        <v>869</v>
      </c>
      <c r="H4884" s="58" t="s">
        <v>928</v>
      </c>
      <c r="I4884" s="58" t="s">
        <v>869</v>
      </c>
      <c r="J4884" s="59">
        <v>45125</v>
      </c>
      <c r="K4884" s="58" t="s">
        <v>969</v>
      </c>
      <c r="L4884" s="58" t="s">
        <v>628</v>
      </c>
    </row>
    <row r="4885" spans="1:12" s="58" customFormat="1" x14ac:dyDescent="0.75">
      <c r="A4885" s="305" t="s">
        <v>116</v>
      </c>
      <c r="B4885" s="306">
        <v>45091</v>
      </c>
      <c r="C4885" s="305">
        <v>1</v>
      </c>
      <c r="D4885" s="305" t="s">
        <v>164</v>
      </c>
      <c r="E4885" s="307">
        <f>47-28</f>
        <v>19</v>
      </c>
      <c r="F4885" s="305">
        <v>194</v>
      </c>
      <c r="G4885" s="305" t="s">
        <v>869</v>
      </c>
      <c r="H4885" s="305" t="s">
        <v>390</v>
      </c>
      <c r="I4885" s="58" t="s">
        <v>869</v>
      </c>
      <c r="J4885" s="59">
        <v>45125</v>
      </c>
      <c r="K4885" s="305" t="s">
        <v>970</v>
      </c>
      <c r="L4885" s="58" t="s">
        <v>628</v>
      </c>
    </row>
    <row r="4886" spans="1:12" s="58" customFormat="1" x14ac:dyDescent="0.75">
      <c r="A4886" s="58" t="s">
        <v>116</v>
      </c>
      <c r="B4886" s="59">
        <v>45091</v>
      </c>
      <c r="C4886" s="58">
        <v>1</v>
      </c>
      <c r="D4886" s="58" t="s">
        <v>191</v>
      </c>
      <c r="E4886" s="60">
        <f>28-22</f>
        <v>6</v>
      </c>
      <c r="F4886" s="58" t="s">
        <v>363</v>
      </c>
      <c r="G4886" s="58" t="s">
        <v>869</v>
      </c>
      <c r="H4886" s="58" t="s">
        <v>928</v>
      </c>
      <c r="I4886" s="58" t="s">
        <v>869</v>
      </c>
      <c r="J4886" s="59">
        <v>45125</v>
      </c>
      <c r="K4886" s="58" t="s">
        <v>969</v>
      </c>
      <c r="L4886" s="58" t="s">
        <v>628</v>
      </c>
    </row>
    <row r="4887" spans="1:12" s="58" customFormat="1" x14ac:dyDescent="0.75">
      <c r="A4887" s="58" t="s">
        <v>116</v>
      </c>
      <c r="B4887" s="59">
        <v>45091</v>
      </c>
      <c r="C4887" s="58">
        <v>1</v>
      </c>
      <c r="D4887" s="58" t="s">
        <v>194</v>
      </c>
      <c r="E4887" s="60">
        <f>22-16</f>
        <v>6</v>
      </c>
      <c r="F4887" s="58" t="s">
        <v>363</v>
      </c>
      <c r="G4887" s="58" t="s">
        <v>869</v>
      </c>
      <c r="H4887" s="58" t="s">
        <v>928</v>
      </c>
      <c r="I4887" s="58" t="s">
        <v>869</v>
      </c>
      <c r="J4887" s="59">
        <v>45125</v>
      </c>
      <c r="L4887" s="58" t="s">
        <v>628</v>
      </c>
    </row>
    <row r="4888" spans="1:12" s="58" customFormat="1" x14ac:dyDescent="0.75">
      <c r="A4888" s="58" t="s">
        <v>116</v>
      </c>
      <c r="B4888" s="59">
        <v>45091</v>
      </c>
      <c r="C4888" s="58">
        <v>1</v>
      </c>
      <c r="D4888" s="58" t="s">
        <v>157</v>
      </c>
      <c r="E4888" s="60">
        <f>45-7</f>
        <v>38</v>
      </c>
      <c r="F4888" s="58">
        <v>189</v>
      </c>
      <c r="G4888" s="58" t="s">
        <v>869</v>
      </c>
      <c r="H4888" s="58" t="s">
        <v>390</v>
      </c>
      <c r="I4888" s="58" t="s">
        <v>869</v>
      </c>
      <c r="J4888" s="59">
        <v>45125</v>
      </c>
      <c r="K4888" s="58" t="s">
        <v>971</v>
      </c>
      <c r="L4888" s="58" t="s">
        <v>628</v>
      </c>
    </row>
    <row r="4889" spans="1:12" s="58" customFormat="1" x14ac:dyDescent="0.75">
      <c r="A4889" s="58" t="s">
        <v>116</v>
      </c>
      <c r="B4889" s="59">
        <v>45091</v>
      </c>
      <c r="C4889" s="58">
        <v>1</v>
      </c>
      <c r="D4889" s="58" t="s">
        <v>201</v>
      </c>
      <c r="E4889" s="60">
        <v>7</v>
      </c>
      <c r="F4889" s="58" t="s">
        <v>363</v>
      </c>
      <c r="G4889" s="58" t="s">
        <v>869</v>
      </c>
      <c r="H4889" s="58" t="s">
        <v>928</v>
      </c>
      <c r="I4889" s="58" t="s">
        <v>869</v>
      </c>
      <c r="J4889" s="59">
        <v>45125</v>
      </c>
      <c r="L4889" s="58" t="s">
        <v>628</v>
      </c>
    </row>
    <row r="4890" spans="1:12" s="58" customFormat="1" x14ac:dyDescent="0.75">
      <c r="A4890" s="58" t="s">
        <v>116</v>
      </c>
      <c r="B4890" s="59">
        <v>45091</v>
      </c>
      <c r="C4890" s="58">
        <v>1</v>
      </c>
      <c r="D4890" s="58" t="s">
        <v>205</v>
      </c>
      <c r="E4890" s="60">
        <f>52-50</f>
        <v>2</v>
      </c>
      <c r="F4890" s="58" t="s">
        <v>363</v>
      </c>
      <c r="G4890" s="58" t="s">
        <v>869</v>
      </c>
      <c r="H4890" s="58" t="s">
        <v>928</v>
      </c>
      <c r="I4890" s="58" t="s">
        <v>869</v>
      </c>
      <c r="J4890" s="59">
        <v>45125</v>
      </c>
      <c r="L4890" s="58" t="s">
        <v>628</v>
      </c>
    </row>
    <row r="4891" spans="1:12" s="58" customFormat="1" x14ac:dyDescent="0.75">
      <c r="A4891" s="58" t="s">
        <v>116</v>
      </c>
      <c r="B4891" s="59">
        <v>45091</v>
      </c>
      <c r="C4891" s="58">
        <v>1</v>
      </c>
      <c r="D4891" s="58" t="s">
        <v>191</v>
      </c>
      <c r="E4891" s="60">
        <f>50-48</f>
        <v>2</v>
      </c>
      <c r="F4891" s="58" t="s">
        <v>363</v>
      </c>
      <c r="G4891" s="58" t="s">
        <v>869</v>
      </c>
      <c r="H4891" s="58" t="s">
        <v>928</v>
      </c>
      <c r="I4891" s="58" t="s">
        <v>869</v>
      </c>
      <c r="J4891" s="59">
        <v>45125</v>
      </c>
      <c r="L4891" s="58" t="s">
        <v>628</v>
      </c>
    </row>
    <row r="4892" spans="1:12" s="58" customFormat="1" x14ac:dyDescent="0.75">
      <c r="A4892" s="58" t="s">
        <v>116</v>
      </c>
      <c r="B4892" s="59">
        <v>45091</v>
      </c>
      <c r="C4892" s="58">
        <v>1</v>
      </c>
      <c r="D4892" s="58" t="s">
        <v>197</v>
      </c>
      <c r="E4892" s="60">
        <f>48-26</f>
        <v>22</v>
      </c>
      <c r="F4892" s="58" t="s">
        <v>363</v>
      </c>
      <c r="G4892" s="58" t="s">
        <v>869</v>
      </c>
      <c r="H4892" s="58" t="s">
        <v>928</v>
      </c>
      <c r="I4892" s="58" t="s">
        <v>869</v>
      </c>
      <c r="J4892" s="59">
        <v>45125</v>
      </c>
      <c r="L4892" s="58" t="s">
        <v>628</v>
      </c>
    </row>
    <row r="4893" spans="1:12" s="58" customFormat="1" x14ac:dyDescent="0.75">
      <c r="A4893" s="58" t="s">
        <v>116</v>
      </c>
      <c r="B4893" s="59">
        <v>45091</v>
      </c>
      <c r="C4893" s="58">
        <v>1</v>
      </c>
      <c r="D4893" s="58" t="s">
        <v>223</v>
      </c>
      <c r="E4893" s="60">
        <f>26-25</f>
        <v>1</v>
      </c>
      <c r="F4893" s="58" t="s">
        <v>363</v>
      </c>
      <c r="G4893" s="58" t="s">
        <v>869</v>
      </c>
      <c r="H4893" s="58" t="s">
        <v>928</v>
      </c>
      <c r="I4893" s="58" t="s">
        <v>869</v>
      </c>
      <c r="J4893" s="59">
        <v>45125</v>
      </c>
      <c r="L4893" s="58" t="s">
        <v>628</v>
      </c>
    </row>
    <row r="4894" spans="1:12" s="58" customFormat="1" x14ac:dyDescent="0.75">
      <c r="A4894" s="58" t="s">
        <v>116</v>
      </c>
      <c r="B4894" s="59">
        <v>45091</v>
      </c>
      <c r="C4894" s="58">
        <v>1</v>
      </c>
      <c r="D4894" s="58" t="s">
        <v>197</v>
      </c>
      <c r="E4894" s="60">
        <f>25-10</f>
        <v>15</v>
      </c>
      <c r="F4894" s="58" t="s">
        <v>363</v>
      </c>
      <c r="G4894" s="58" t="s">
        <v>869</v>
      </c>
      <c r="H4894" s="58" t="s">
        <v>928</v>
      </c>
      <c r="I4894" s="58" t="s">
        <v>869</v>
      </c>
      <c r="J4894" s="59">
        <v>45125</v>
      </c>
      <c r="L4894" s="58" t="s">
        <v>628</v>
      </c>
    </row>
    <row r="4895" spans="1:12" s="58" customFormat="1" x14ac:dyDescent="0.75">
      <c r="A4895" s="58" t="s">
        <v>116</v>
      </c>
      <c r="B4895" s="59">
        <v>45091</v>
      </c>
      <c r="C4895" s="58">
        <v>1</v>
      </c>
      <c r="D4895" s="58" t="s">
        <v>194</v>
      </c>
      <c r="E4895" s="60">
        <f>10-1</f>
        <v>9</v>
      </c>
      <c r="F4895" s="58" t="s">
        <v>363</v>
      </c>
      <c r="G4895" s="58" t="s">
        <v>869</v>
      </c>
      <c r="H4895" s="58" t="s">
        <v>928</v>
      </c>
      <c r="I4895" s="58" t="s">
        <v>869</v>
      </c>
      <c r="J4895" s="59">
        <v>45125</v>
      </c>
      <c r="L4895" s="58" t="s">
        <v>628</v>
      </c>
    </row>
    <row r="4896" spans="1:12" s="58" customFormat="1" x14ac:dyDescent="0.75">
      <c r="A4896" s="58" t="s">
        <v>116</v>
      </c>
      <c r="B4896" s="59">
        <v>45091</v>
      </c>
      <c r="C4896" s="58">
        <v>1</v>
      </c>
      <c r="D4896" s="58" t="s">
        <v>194</v>
      </c>
      <c r="E4896" s="60">
        <f>42-35</f>
        <v>7</v>
      </c>
      <c r="F4896" s="58" t="s">
        <v>363</v>
      </c>
      <c r="G4896" s="58" t="s">
        <v>869</v>
      </c>
      <c r="H4896" s="58" t="s">
        <v>928</v>
      </c>
      <c r="I4896" s="58" t="s">
        <v>869</v>
      </c>
      <c r="J4896" s="59">
        <v>45125</v>
      </c>
      <c r="L4896" s="58" t="s">
        <v>628</v>
      </c>
    </row>
    <row r="4897" spans="1:12" s="58" customFormat="1" x14ac:dyDescent="0.75">
      <c r="A4897" s="58" t="s">
        <v>116</v>
      </c>
      <c r="B4897" s="59">
        <v>45091</v>
      </c>
      <c r="C4897" s="58">
        <v>1</v>
      </c>
      <c r="D4897" s="58" t="s">
        <v>191</v>
      </c>
      <c r="E4897" s="60">
        <f>35-0</f>
        <v>35</v>
      </c>
      <c r="F4897" s="58" t="s">
        <v>363</v>
      </c>
      <c r="G4897" s="58" t="s">
        <v>869</v>
      </c>
      <c r="H4897" s="58" t="s">
        <v>928</v>
      </c>
      <c r="I4897" s="58" t="s">
        <v>869</v>
      </c>
      <c r="J4897" s="59">
        <v>45125</v>
      </c>
      <c r="L4897" s="58" t="s">
        <v>628</v>
      </c>
    </row>
    <row r="4898" spans="1:12" s="58" customFormat="1" x14ac:dyDescent="0.75">
      <c r="A4898" s="58" t="s">
        <v>116</v>
      </c>
      <c r="B4898" s="59">
        <v>45091</v>
      </c>
      <c r="C4898" s="58">
        <v>1</v>
      </c>
      <c r="D4898" s="58" t="s">
        <v>197</v>
      </c>
      <c r="E4898" s="60" t="s">
        <v>930</v>
      </c>
      <c r="F4898" s="58" t="s">
        <v>363</v>
      </c>
      <c r="G4898" s="58" t="s">
        <v>869</v>
      </c>
      <c r="H4898" s="58" t="s">
        <v>928</v>
      </c>
      <c r="I4898" s="58" t="s">
        <v>869</v>
      </c>
      <c r="J4898" s="59">
        <v>45125</v>
      </c>
      <c r="K4898" s="58" t="s">
        <v>972</v>
      </c>
      <c r="L4898" s="58" t="s">
        <v>628</v>
      </c>
    </row>
    <row r="4899" spans="1:12" s="58" customFormat="1" x14ac:dyDescent="0.75">
      <c r="A4899" s="58" t="s">
        <v>116</v>
      </c>
      <c r="B4899" s="59">
        <v>45091</v>
      </c>
      <c r="C4899" s="58">
        <v>1</v>
      </c>
      <c r="D4899" s="58" t="s">
        <v>194</v>
      </c>
      <c r="E4899" s="60">
        <f>37-28</f>
        <v>9</v>
      </c>
      <c r="F4899" s="58" t="s">
        <v>363</v>
      </c>
      <c r="G4899" s="58" t="s">
        <v>869</v>
      </c>
      <c r="H4899" s="58" t="s">
        <v>928</v>
      </c>
      <c r="I4899" s="58" t="s">
        <v>869</v>
      </c>
      <c r="J4899" s="59">
        <v>45125</v>
      </c>
      <c r="L4899" s="58" t="s">
        <v>628</v>
      </c>
    </row>
    <row r="4900" spans="1:12" s="58" customFormat="1" x14ac:dyDescent="0.75">
      <c r="A4900" s="58" t="s">
        <v>116</v>
      </c>
      <c r="B4900" s="59">
        <v>45091</v>
      </c>
      <c r="C4900" s="58">
        <v>1</v>
      </c>
      <c r="D4900" s="58" t="s">
        <v>194</v>
      </c>
      <c r="E4900" s="60">
        <f>28-22</f>
        <v>6</v>
      </c>
      <c r="F4900" s="58" t="s">
        <v>363</v>
      </c>
      <c r="G4900" s="58" t="s">
        <v>869</v>
      </c>
      <c r="H4900" s="58" t="s">
        <v>928</v>
      </c>
      <c r="I4900" s="58" t="s">
        <v>869</v>
      </c>
      <c r="J4900" s="59">
        <v>45125</v>
      </c>
      <c r="L4900" s="58" t="s">
        <v>628</v>
      </c>
    </row>
    <row r="4901" spans="1:12" s="58" customFormat="1" x14ac:dyDescent="0.75">
      <c r="A4901" s="58" t="s">
        <v>116</v>
      </c>
      <c r="B4901" s="59">
        <v>45091</v>
      </c>
      <c r="C4901" s="58">
        <v>1</v>
      </c>
      <c r="D4901" s="58" t="s">
        <v>191</v>
      </c>
      <c r="E4901" s="60">
        <f>22-18</f>
        <v>4</v>
      </c>
      <c r="F4901" s="58" t="s">
        <v>363</v>
      </c>
      <c r="G4901" s="58" t="s">
        <v>869</v>
      </c>
      <c r="H4901" s="58" t="s">
        <v>928</v>
      </c>
      <c r="I4901" s="58" t="s">
        <v>869</v>
      </c>
      <c r="J4901" s="59">
        <v>45125</v>
      </c>
      <c r="K4901" s="58" t="s">
        <v>973</v>
      </c>
      <c r="L4901" s="58" t="s">
        <v>628</v>
      </c>
    </row>
    <row r="4902" spans="1:12" s="58" customFormat="1" x14ac:dyDescent="0.75">
      <c r="A4902" s="58" t="s">
        <v>116</v>
      </c>
      <c r="B4902" s="59">
        <v>45091</v>
      </c>
      <c r="C4902" s="58">
        <v>1</v>
      </c>
      <c r="D4902" s="58" t="s">
        <v>194</v>
      </c>
      <c r="E4902" s="60">
        <f>18-12</f>
        <v>6</v>
      </c>
      <c r="F4902" s="58" t="s">
        <v>363</v>
      </c>
      <c r="G4902" s="58" t="s">
        <v>869</v>
      </c>
      <c r="H4902" s="58" t="s">
        <v>928</v>
      </c>
      <c r="I4902" s="58" t="s">
        <v>869</v>
      </c>
      <c r="J4902" s="59">
        <v>45125</v>
      </c>
      <c r="L4902" s="58" t="s">
        <v>628</v>
      </c>
    </row>
    <row r="4903" spans="1:12" x14ac:dyDescent="0.75">
      <c r="A4903" t="s">
        <v>116</v>
      </c>
      <c r="B4903" s="3">
        <v>45091</v>
      </c>
      <c r="C4903">
        <v>2</v>
      </c>
      <c r="D4903" t="s">
        <v>191</v>
      </c>
      <c r="E4903" s="22">
        <f>38+42-33</f>
        <v>47</v>
      </c>
      <c r="F4903" t="s">
        <v>363</v>
      </c>
      <c r="G4903" t="s">
        <v>733</v>
      </c>
      <c r="H4903" t="s">
        <v>928</v>
      </c>
      <c r="I4903" t="s">
        <v>869</v>
      </c>
      <c r="J4903" s="3">
        <v>45126</v>
      </c>
      <c r="K4903" t="s">
        <v>974</v>
      </c>
      <c r="L4903" t="s">
        <v>628</v>
      </c>
    </row>
    <row r="4904" spans="1:12" x14ac:dyDescent="0.75">
      <c r="A4904" t="s">
        <v>116</v>
      </c>
      <c r="B4904" s="3">
        <v>45091</v>
      </c>
      <c r="C4904">
        <v>2</v>
      </c>
      <c r="D4904" t="s">
        <v>194</v>
      </c>
      <c r="E4904" s="22">
        <f>33-19</f>
        <v>14</v>
      </c>
      <c r="F4904" t="s">
        <v>363</v>
      </c>
      <c r="G4904" t="s">
        <v>733</v>
      </c>
      <c r="H4904" t="s">
        <v>928</v>
      </c>
      <c r="I4904" t="s">
        <v>869</v>
      </c>
      <c r="J4904" s="3">
        <v>45126</v>
      </c>
      <c r="L4904" t="s">
        <v>628</v>
      </c>
    </row>
    <row r="4905" spans="1:12" x14ac:dyDescent="0.75">
      <c r="A4905" t="s">
        <v>116</v>
      </c>
      <c r="B4905" s="3">
        <v>45091</v>
      </c>
      <c r="C4905">
        <v>2</v>
      </c>
      <c r="D4905" t="s">
        <v>194</v>
      </c>
      <c r="E4905" s="22">
        <f>19-13</f>
        <v>6</v>
      </c>
      <c r="F4905" t="s">
        <v>363</v>
      </c>
      <c r="G4905" t="s">
        <v>733</v>
      </c>
      <c r="H4905" t="s">
        <v>928</v>
      </c>
      <c r="I4905" t="s">
        <v>869</v>
      </c>
      <c r="J4905" s="3">
        <v>45126</v>
      </c>
      <c r="L4905" t="s">
        <v>628</v>
      </c>
    </row>
    <row r="4906" spans="1:12" x14ac:dyDescent="0.75">
      <c r="A4906" t="s">
        <v>116</v>
      </c>
      <c r="B4906" s="3">
        <v>45091</v>
      </c>
      <c r="C4906">
        <v>2</v>
      </c>
      <c r="D4906" t="s">
        <v>197</v>
      </c>
      <c r="E4906" s="22">
        <f>13-6</f>
        <v>7</v>
      </c>
      <c r="F4906" t="s">
        <v>363</v>
      </c>
      <c r="G4906" t="s">
        <v>733</v>
      </c>
      <c r="H4906" t="s">
        <v>928</v>
      </c>
      <c r="I4906" t="s">
        <v>869</v>
      </c>
      <c r="J4906" s="3">
        <v>45126</v>
      </c>
      <c r="L4906" t="s">
        <v>628</v>
      </c>
    </row>
    <row r="4907" spans="1:12" x14ac:dyDescent="0.75">
      <c r="A4907" t="s">
        <v>116</v>
      </c>
      <c r="B4907" s="3">
        <v>45091</v>
      </c>
      <c r="C4907">
        <v>2</v>
      </c>
      <c r="D4907" t="s">
        <v>194</v>
      </c>
      <c r="E4907" s="22">
        <f>6+47-31</f>
        <v>22</v>
      </c>
      <c r="F4907" t="s">
        <v>363</v>
      </c>
      <c r="G4907" t="s">
        <v>733</v>
      </c>
      <c r="H4907" t="s">
        <v>928</v>
      </c>
      <c r="I4907" t="s">
        <v>869</v>
      </c>
      <c r="J4907" s="3">
        <v>45126</v>
      </c>
      <c r="L4907" t="s">
        <v>628</v>
      </c>
    </row>
    <row r="4908" spans="1:12" x14ac:dyDescent="0.75">
      <c r="A4908" t="s">
        <v>116</v>
      </c>
      <c r="B4908" s="3">
        <v>45091</v>
      </c>
      <c r="C4908">
        <v>2</v>
      </c>
      <c r="D4908" t="s">
        <v>164</v>
      </c>
      <c r="E4908" s="22">
        <f>31-18</f>
        <v>13</v>
      </c>
      <c r="F4908" t="s">
        <v>363</v>
      </c>
      <c r="G4908" t="s">
        <v>733</v>
      </c>
      <c r="H4908" t="s">
        <v>928</v>
      </c>
      <c r="I4908" t="s">
        <v>869</v>
      </c>
      <c r="J4908" s="3">
        <v>45126</v>
      </c>
      <c r="L4908" t="s">
        <v>628</v>
      </c>
    </row>
    <row r="4909" spans="1:12" x14ac:dyDescent="0.75">
      <c r="A4909" t="s">
        <v>116</v>
      </c>
      <c r="B4909" s="3">
        <v>45091</v>
      </c>
      <c r="C4909">
        <v>2</v>
      </c>
      <c r="D4909" t="s">
        <v>164</v>
      </c>
      <c r="E4909" s="22">
        <f>18-8</f>
        <v>10</v>
      </c>
      <c r="F4909" t="s">
        <v>363</v>
      </c>
      <c r="G4909" t="s">
        <v>733</v>
      </c>
      <c r="H4909" t="s">
        <v>928</v>
      </c>
      <c r="I4909" t="s">
        <v>869</v>
      </c>
      <c r="J4909" s="3">
        <v>45126</v>
      </c>
      <c r="L4909" t="s">
        <v>628</v>
      </c>
    </row>
    <row r="4910" spans="1:12" x14ac:dyDescent="0.75">
      <c r="A4910" t="s">
        <v>116</v>
      </c>
      <c r="B4910" s="3">
        <v>45091</v>
      </c>
      <c r="C4910">
        <v>2</v>
      </c>
      <c r="D4910" t="s">
        <v>194</v>
      </c>
      <c r="E4910" s="22">
        <f>8+52-44</f>
        <v>16</v>
      </c>
      <c r="F4910" t="s">
        <v>363</v>
      </c>
      <c r="G4910" t="s">
        <v>733</v>
      </c>
      <c r="H4910" t="s">
        <v>928</v>
      </c>
      <c r="I4910" t="s">
        <v>869</v>
      </c>
      <c r="J4910" s="3">
        <v>45126</v>
      </c>
      <c r="L4910" t="s">
        <v>628</v>
      </c>
    </row>
    <row r="4911" spans="1:12" x14ac:dyDescent="0.75">
      <c r="A4911" t="s">
        <v>116</v>
      </c>
      <c r="B4911" s="3">
        <v>45091</v>
      </c>
      <c r="C4911">
        <v>2</v>
      </c>
      <c r="D4911" t="s">
        <v>201</v>
      </c>
      <c r="E4911" s="22">
        <f>44-18</f>
        <v>26</v>
      </c>
      <c r="F4911" t="s">
        <v>363</v>
      </c>
      <c r="G4911" t="s">
        <v>733</v>
      </c>
      <c r="H4911" t="s">
        <v>928</v>
      </c>
      <c r="I4911" t="s">
        <v>869</v>
      </c>
      <c r="J4911" s="3">
        <v>45126</v>
      </c>
      <c r="L4911" t="s">
        <v>628</v>
      </c>
    </row>
    <row r="4912" spans="1:12" x14ac:dyDescent="0.75">
      <c r="A4912" t="s">
        <v>116</v>
      </c>
      <c r="B4912" s="3">
        <v>45091</v>
      </c>
      <c r="C4912">
        <v>2</v>
      </c>
      <c r="D4912" t="s">
        <v>201</v>
      </c>
      <c r="E4912" s="22">
        <v>3</v>
      </c>
      <c r="F4912" t="s">
        <v>363</v>
      </c>
      <c r="G4912" t="s">
        <v>733</v>
      </c>
      <c r="H4912" t="s">
        <v>928</v>
      </c>
      <c r="I4912" t="s">
        <v>869</v>
      </c>
      <c r="J4912" s="3">
        <v>45126</v>
      </c>
      <c r="K4912" t="s">
        <v>967</v>
      </c>
      <c r="L4912" t="s">
        <v>628</v>
      </c>
    </row>
    <row r="4913" spans="1:12" x14ac:dyDescent="0.75">
      <c r="A4913" t="s">
        <v>116</v>
      </c>
      <c r="B4913" s="3">
        <v>45091</v>
      </c>
      <c r="C4913">
        <v>2</v>
      </c>
      <c r="D4913" t="s">
        <v>197</v>
      </c>
      <c r="E4913" s="22">
        <f>13-8</f>
        <v>5</v>
      </c>
      <c r="F4913" t="s">
        <v>363</v>
      </c>
      <c r="G4913" t="s">
        <v>869</v>
      </c>
      <c r="H4913" t="s">
        <v>928</v>
      </c>
      <c r="I4913" t="s">
        <v>869</v>
      </c>
      <c r="J4913" s="3">
        <v>45126</v>
      </c>
      <c r="L4913" t="s">
        <v>628</v>
      </c>
    </row>
    <row r="4914" spans="1:12" x14ac:dyDescent="0.75">
      <c r="A4914" t="s">
        <v>116</v>
      </c>
      <c r="B4914" s="3">
        <v>45091</v>
      </c>
      <c r="C4914">
        <v>2</v>
      </c>
      <c r="D4914" t="s">
        <v>205</v>
      </c>
      <c r="E4914" s="22">
        <f>8-2</f>
        <v>6</v>
      </c>
      <c r="F4914" t="s">
        <v>363</v>
      </c>
      <c r="G4914" t="s">
        <v>869</v>
      </c>
      <c r="H4914" t="s">
        <v>928</v>
      </c>
      <c r="I4914" t="s">
        <v>869</v>
      </c>
      <c r="J4914" s="3">
        <v>45126</v>
      </c>
      <c r="L4914" t="s">
        <v>628</v>
      </c>
    </row>
    <row r="4915" spans="1:12" x14ac:dyDescent="0.75">
      <c r="A4915" t="s">
        <v>116</v>
      </c>
      <c r="B4915" s="3">
        <v>45091</v>
      </c>
      <c r="C4915">
        <v>2</v>
      </c>
      <c r="D4915" t="s">
        <v>194</v>
      </c>
      <c r="E4915" s="22">
        <f>2-1</f>
        <v>1</v>
      </c>
      <c r="F4915" t="s">
        <v>363</v>
      </c>
      <c r="G4915" t="s">
        <v>869</v>
      </c>
      <c r="H4915" t="s">
        <v>928</v>
      </c>
      <c r="I4915" t="s">
        <v>869</v>
      </c>
      <c r="J4915" s="3">
        <v>45126</v>
      </c>
      <c r="L4915" t="s">
        <v>628</v>
      </c>
    </row>
    <row r="4916" spans="1:12" x14ac:dyDescent="0.75">
      <c r="A4916" t="s">
        <v>116</v>
      </c>
      <c r="B4916" s="3">
        <v>45091</v>
      </c>
      <c r="C4916">
        <v>2</v>
      </c>
      <c r="D4916" t="s">
        <v>191</v>
      </c>
      <c r="E4916" s="22">
        <f>1+40-25</f>
        <v>16</v>
      </c>
      <c r="F4916" t="s">
        <v>363</v>
      </c>
      <c r="G4916" t="s">
        <v>869</v>
      </c>
      <c r="H4916" t="s">
        <v>928</v>
      </c>
      <c r="I4916" t="s">
        <v>869</v>
      </c>
      <c r="J4916" s="3">
        <v>45126</v>
      </c>
      <c r="L4916" t="s">
        <v>628</v>
      </c>
    </row>
    <row r="4917" spans="1:12" x14ac:dyDescent="0.75">
      <c r="A4917" t="s">
        <v>116</v>
      </c>
      <c r="B4917" s="3">
        <v>45091</v>
      </c>
      <c r="C4917">
        <v>2</v>
      </c>
      <c r="D4917" t="s">
        <v>194</v>
      </c>
      <c r="E4917" s="22">
        <f>24-20</f>
        <v>4</v>
      </c>
      <c r="F4917" t="s">
        <v>363</v>
      </c>
      <c r="G4917" t="s">
        <v>869</v>
      </c>
      <c r="H4917" t="s">
        <v>928</v>
      </c>
      <c r="I4917" t="s">
        <v>869</v>
      </c>
      <c r="J4917" s="3">
        <v>45126</v>
      </c>
      <c r="L4917" t="s">
        <v>628</v>
      </c>
    </row>
    <row r="4918" spans="1:12" x14ac:dyDescent="0.75">
      <c r="A4918" t="s">
        <v>116</v>
      </c>
      <c r="B4918" s="3">
        <v>45091</v>
      </c>
      <c r="C4918">
        <v>2</v>
      </c>
      <c r="D4918" t="s">
        <v>197</v>
      </c>
      <c r="E4918" s="22">
        <f>20-2</f>
        <v>18</v>
      </c>
      <c r="F4918" t="s">
        <v>363</v>
      </c>
      <c r="G4918" t="s">
        <v>869</v>
      </c>
      <c r="H4918" t="s">
        <v>928</v>
      </c>
      <c r="I4918" t="s">
        <v>869</v>
      </c>
      <c r="J4918" s="3">
        <v>45126</v>
      </c>
      <c r="L4918" t="s">
        <v>628</v>
      </c>
    </row>
    <row r="4919" spans="1:12" x14ac:dyDescent="0.75">
      <c r="A4919" t="s">
        <v>116</v>
      </c>
      <c r="B4919" s="3">
        <v>45091</v>
      </c>
      <c r="C4919">
        <v>2</v>
      </c>
      <c r="D4919" t="s">
        <v>194</v>
      </c>
      <c r="E4919" s="22">
        <v>2</v>
      </c>
      <c r="F4919" t="s">
        <v>363</v>
      </c>
      <c r="G4919" t="s">
        <v>869</v>
      </c>
      <c r="H4919" t="s">
        <v>928</v>
      </c>
      <c r="I4919" t="s">
        <v>869</v>
      </c>
      <c r="J4919" s="3">
        <v>45126</v>
      </c>
      <c r="L4919" t="s">
        <v>628</v>
      </c>
    </row>
    <row r="4920" spans="1:12" x14ac:dyDescent="0.75">
      <c r="A4920" t="s">
        <v>116</v>
      </c>
      <c r="B4920" s="3">
        <v>45091</v>
      </c>
      <c r="C4920">
        <v>2</v>
      </c>
      <c r="D4920" t="s">
        <v>197</v>
      </c>
      <c r="E4920" s="22">
        <f>46-37</f>
        <v>9</v>
      </c>
      <c r="F4920" t="s">
        <v>363</v>
      </c>
      <c r="G4920" t="s">
        <v>869</v>
      </c>
      <c r="H4920" t="s">
        <v>928</v>
      </c>
      <c r="I4920" t="s">
        <v>869</v>
      </c>
      <c r="J4920" s="3">
        <v>45126</v>
      </c>
      <c r="L4920" t="s">
        <v>628</v>
      </c>
    </row>
    <row r="4921" spans="1:12" x14ac:dyDescent="0.75">
      <c r="A4921" t="s">
        <v>116</v>
      </c>
      <c r="B4921" s="3">
        <v>45091</v>
      </c>
      <c r="C4921">
        <v>2</v>
      </c>
      <c r="D4921" t="s">
        <v>201</v>
      </c>
      <c r="E4921" s="22">
        <f>37-29</f>
        <v>8</v>
      </c>
      <c r="F4921" t="s">
        <v>363</v>
      </c>
      <c r="G4921" t="s">
        <v>869</v>
      </c>
      <c r="H4921" t="s">
        <v>928</v>
      </c>
      <c r="I4921" t="s">
        <v>869</v>
      </c>
      <c r="J4921" s="3">
        <v>45126</v>
      </c>
      <c r="L4921" t="s">
        <v>628</v>
      </c>
    </row>
    <row r="4922" spans="1:12" x14ac:dyDescent="0.75">
      <c r="A4922" t="s">
        <v>116</v>
      </c>
      <c r="B4922" s="3">
        <v>45091</v>
      </c>
      <c r="C4922">
        <v>2</v>
      </c>
      <c r="D4922" t="s">
        <v>207</v>
      </c>
      <c r="E4922" s="22">
        <f>29-28</f>
        <v>1</v>
      </c>
      <c r="F4922" t="s">
        <v>363</v>
      </c>
      <c r="G4922" t="s">
        <v>869</v>
      </c>
      <c r="H4922" t="s">
        <v>928</v>
      </c>
      <c r="I4922" t="s">
        <v>869</v>
      </c>
      <c r="J4922" s="3">
        <v>45126</v>
      </c>
      <c r="L4922" t="s">
        <v>628</v>
      </c>
    </row>
    <row r="4923" spans="1:12" x14ac:dyDescent="0.75">
      <c r="A4923" t="s">
        <v>116</v>
      </c>
      <c r="B4923" s="3">
        <v>45091</v>
      </c>
      <c r="C4923">
        <v>2</v>
      </c>
      <c r="D4923" t="s">
        <v>197</v>
      </c>
      <c r="E4923" s="22">
        <f>28-20</f>
        <v>8</v>
      </c>
      <c r="F4923" t="s">
        <v>363</v>
      </c>
      <c r="G4923" t="s">
        <v>869</v>
      </c>
      <c r="H4923" t="s">
        <v>928</v>
      </c>
      <c r="I4923" t="s">
        <v>869</v>
      </c>
      <c r="J4923" s="3">
        <v>45126</v>
      </c>
      <c r="L4923" t="s">
        <v>628</v>
      </c>
    </row>
    <row r="4924" spans="1:12" x14ac:dyDescent="0.75">
      <c r="A4924" t="s">
        <v>116</v>
      </c>
      <c r="B4924" s="3">
        <v>45091</v>
      </c>
      <c r="C4924">
        <v>2</v>
      </c>
      <c r="D4924" t="s">
        <v>197</v>
      </c>
      <c r="E4924" s="22">
        <f>16-14</f>
        <v>2</v>
      </c>
      <c r="F4924" t="s">
        <v>363</v>
      </c>
      <c r="G4924" t="s">
        <v>869</v>
      </c>
      <c r="H4924" t="s">
        <v>928</v>
      </c>
      <c r="I4924" t="s">
        <v>869</v>
      </c>
      <c r="J4924" s="3">
        <v>45126</v>
      </c>
      <c r="L4924" t="s">
        <v>628</v>
      </c>
    </row>
    <row r="4925" spans="1:12" x14ac:dyDescent="0.75">
      <c r="A4925" t="s">
        <v>116</v>
      </c>
      <c r="B4925" s="3">
        <v>45091</v>
      </c>
      <c r="C4925">
        <v>2</v>
      </c>
      <c r="D4925" t="s">
        <v>197</v>
      </c>
      <c r="E4925" s="22">
        <f>14-10</f>
        <v>4</v>
      </c>
      <c r="F4925" t="s">
        <v>363</v>
      </c>
      <c r="G4925" t="s">
        <v>869</v>
      </c>
      <c r="H4925" t="s">
        <v>928</v>
      </c>
      <c r="I4925" t="s">
        <v>869</v>
      </c>
      <c r="J4925" s="3">
        <v>45126</v>
      </c>
      <c r="L4925" t="s">
        <v>628</v>
      </c>
    </row>
    <row r="4926" spans="1:12" x14ac:dyDescent="0.75">
      <c r="A4926" t="s">
        <v>116</v>
      </c>
      <c r="B4926" s="3">
        <v>45091</v>
      </c>
      <c r="C4926">
        <v>2</v>
      </c>
      <c r="D4926" t="s">
        <v>194</v>
      </c>
      <c r="E4926" s="22">
        <f>10-0+50-43</f>
        <v>17</v>
      </c>
      <c r="G4926" t="s">
        <v>869</v>
      </c>
      <c r="H4926" t="s">
        <v>928</v>
      </c>
      <c r="J4926" s="3"/>
      <c r="L4926" t="s">
        <v>869</v>
      </c>
    </row>
    <row r="4927" spans="1:12" x14ac:dyDescent="0.75">
      <c r="A4927" t="s">
        <v>116</v>
      </c>
      <c r="B4927" s="3">
        <v>45091</v>
      </c>
      <c r="C4927">
        <v>2</v>
      </c>
      <c r="D4927" t="s">
        <v>191</v>
      </c>
      <c r="E4927" s="22">
        <f>43+38-29</f>
        <v>52</v>
      </c>
      <c r="G4927" t="s">
        <v>869</v>
      </c>
      <c r="H4927" t="s">
        <v>928</v>
      </c>
      <c r="J4927" s="3"/>
      <c r="L4927" t="s">
        <v>869</v>
      </c>
    </row>
    <row r="4928" spans="1:12" x14ac:dyDescent="0.75">
      <c r="A4928" t="s">
        <v>116</v>
      </c>
      <c r="B4928" s="3">
        <v>45091</v>
      </c>
      <c r="C4928">
        <v>2</v>
      </c>
      <c r="D4928" t="s">
        <v>194</v>
      </c>
      <c r="E4928" s="22">
        <f>29-22</f>
        <v>7</v>
      </c>
      <c r="G4928" t="s">
        <v>869</v>
      </c>
      <c r="H4928" t="s">
        <v>928</v>
      </c>
      <c r="J4928" s="3"/>
      <c r="L4928" t="s">
        <v>869</v>
      </c>
    </row>
    <row r="4929" spans="1:12" x14ac:dyDescent="0.75">
      <c r="A4929" t="s">
        <v>116</v>
      </c>
      <c r="B4929" s="3">
        <v>45091</v>
      </c>
      <c r="C4929">
        <v>2</v>
      </c>
      <c r="D4929" t="s">
        <v>191</v>
      </c>
      <c r="E4929" s="22">
        <f>22-15</f>
        <v>7</v>
      </c>
      <c r="G4929" t="s">
        <v>869</v>
      </c>
      <c r="H4929" t="s">
        <v>928</v>
      </c>
      <c r="J4929" s="3"/>
      <c r="L4929" t="s">
        <v>869</v>
      </c>
    </row>
    <row r="4930" spans="1:12" x14ac:dyDescent="0.75">
      <c r="A4930" t="s">
        <v>116</v>
      </c>
      <c r="B4930" s="3">
        <v>45091</v>
      </c>
      <c r="C4930">
        <v>2</v>
      </c>
      <c r="D4930" t="s">
        <v>194</v>
      </c>
      <c r="E4930" s="22">
        <f>18+3</f>
        <v>21</v>
      </c>
      <c r="G4930" t="s">
        <v>869</v>
      </c>
      <c r="H4930" t="s">
        <v>928</v>
      </c>
      <c r="J4930" s="3"/>
      <c r="L4930" t="s">
        <v>869</v>
      </c>
    </row>
    <row r="4931" spans="1:12" s="58" customFormat="1" x14ac:dyDescent="0.75">
      <c r="A4931" s="305" t="s">
        <v>116</v>
      </c>
      <c r="B4931" s="306">
        <v>45091</v>
      </c>
      <c r="C4931" s="305">
        <v>3</v>
      </c>
      <c r="D4931" s="305" t="s">
        <v>201</v>
      </c>
      <c r="E4931" s="307">
        <f>54+49-11+50+51+45+48-23</f>
        <v>263</v>
      </c>
      <c r="F4931" s="58" t="s">
        <v>363</v>
      </c>
      <c r="G4931" s="305" t="s">
        <v>926</v>
      </c>
      <c r="H4931" s="58" t="s">
        <v>928</v>
      </c>
      <c r="I4931" s="58" t="s">
        <v>869</v>
      </c>
      <c r="J4931" s="59">
        <v>45126</v>
      </c>
      <c r="K4931" s="305" t="s">
        <v>975</v>
      </c>
      <c r="L4931" s="58" t="s">
        <v>628</v>
      </c>
    </row>
    <row r="4932" spans="1:12" s="58" customFormat="1" x14ac:dyDescent="0.75">
      <c r="A4932" s="58" t="s">
        <v>116</v>
      </c>
      <c r="B4932" s="59">
        <v>45091</v>
      </c>
      <c r="C4932" s="58">
        <v>3</v>
      </c>
      <c r="D4932" s="58" t="s">
        <v>191</v>
      </c>
      <c r="E4932" s="60">
        <f>11+50+46-10</f>
        <v>97</v>
      </c>
      <c r="F4932" s="58" t="s">
        <v>363</v>
      </c>
      <c r="G4932" s="58" t="s">
        <v>733</v>
      </c>
      <c r="H4932" s="58" t="s">
        <v>928</v>
      </c>
      <c r="I4932" s="58" t="s">
        <v>869</v>
      </c>
      <c r="J4932" s="59">
        <v>45126</v>
      </c>
      <c r="L4932" s="58" t="s">
        <v>628</v>
      </c>
    </row>
    <row r="4933" spans="1:12" s="58" customFormat="1" x14ac:dyDescent="0.75">
      <c r="A4933" s="58" t="s">
        <v>116</v>
      </c>
      <c r="B4933" s="59">
        <v>45091</v>
      </c>
      <c r="C4933" s="58">
        <v>3</v>
      </c>
      <c r="D4933" s="58" t="s">
        <v>191</v>
      </c>
      <c r="E4933" s="60">
        <f>10-7</f>
        <v>3</v>
      </c>
      <c r="F4933" s="58" t="s">
        <v>363</v>
      </c>
      <c r="G4933" s="58" t="s">
        <v>733</v>
      </c>
      <c r="H4933" s="58" t="s">
        <v>928</v>
      </c>
      <c r="I4933" s="58" t="s">
        <v>869</v>
      </c>
      <c r="J4933" s="59">
        <v>45126</v>
      </c>
      <c r="L4933" s="58" t="s">
        <v>628</v>
      </c>
    </row>
    <row r="4934" spans="1:12" s="58" customFormat="1" x14ac:dyDescent="0.75">
      <c r="A4934" s="58" t="s">
        <v>116</v>
      </c>
      <c r="B4934" s="59">
        <v>45091</v>
      </c>
      <c r="C4934" s="58">
        <v>3</v>
      </c>
      <c r="D4934" s="58" t="s">
        <v>164</v>
      </c>
      <c r="E4934" s="60">
        <f>7+13-7</f>
        <v>13</v>
      </c>
      <c r="F4934" s="58">
        <v>115</v>
      </c>
      <c r="G4934" s="58" t="s">
        <v>733</v>
      </c>
      <c r="H4934" s="58" t="s">
        <v>390</v>
      </c>
      <c r="I4934" s="58" t="s">
        <v>869</v>
      </c>
      <c r="J4934" s="59">
        <v>45126</v>
      </c>
      <c r="L4934" s="58" t="s">
        <v>628</v>
      </c>
    </row>
    <row r="4935" spans="1:12" s="58" customFormat="1" x14ac:dyDescent="0.75">
      <c r="A4935" s="58" t="s">
        <v>116</v>
      </c>
      <c r="B4935" s="59">
        <v>45091</v>
      </c>
      <c r="C4935" s="58">
        <v>3</v>
      </c>
      <c r="D4935" s="58" t="s">
        <v>201</v>
      </c>
      <c r="E4935" s="60">
        <f>54-52</f>
        <v>2</v>
      </c>
      <c r="F4935" s="58">
        <v>982</v>
      </c>
      <c r="G4935" s="58" t="s">
        <v>869</v>
      </c>
      <c r="H4935" s="58" t="s">
        <v>390</v>
      </c>
      <c r="I4935" s="58" t="s">
        <v>869</v>
      </c>
      <c r="J4935" s="59">
        <v>45126</v>
      </c>
      <c r="L4935" s="58" t="s">
        <v>628</v>
      </c>
    </row>
    <row r="4936" spans="1:12" s="58" customFormat="1" x14ac:dyDescent="0.75">
      <c r="A4936" s="58" t="s">
        <v>116</v>
      </c>
      <c r="B4936" s="59">
        <v>45091</v>
      </c>
      <c r="C4936" s="58">
        <v>3</v>
      </c>
      <c r="D4936" s="58" t="s">
        <v>164</v>
      </c>
      <c r="E4936" s="60">
        <f>24-11</f>
        <v>13</v>
      </c>
      <c r="F4936" s="58" t="s">
        <v>363</v>
      </c>
      <c r="G4936" s="58" t="s">
        <v>869</v>
      </c>
      <c r="H4936" s="58" t="s">
        <v>928</v>
      </c>
      <c r="I4936" s="58" t="s">
        <v>869</v>
      </c>
      <c r="J4936" s="59">
        <v>45126</v>
      </c>
      <c r="L4936" s="58" t="s">
        <v>628</v>
      </c>
    </row>
    <row r="4937" spans="1:12" s="58" customFormat="1" x14ac:dyDescent="0.75">
      <c r="A4937" s="58" t="s">
        <v>116</v>
      </c>
      <c r="B4937" s="59">
        <v>45091</v>
      </c>
      <c r="C4937" s="58">
        <v>3</v>
      </c>
      <c r="D4937" s="58" t="s">
        <v>191</v>
      </c>
      <c r="E4937" s="60">
        <f>11+52-27</f>
        <v>36</v>
      </c>
      <c r="F4937" s="58" t="s">
        <v>363</v>
      </c>
      <c r="G4937" s="58" t="s">
        <v>869</v>
      </c>
      <c r="H4937" s="58" t="s">
        <v>928</v>
      </c>
      <c r="I4937" s="58" t="s">
        <v>869</v>
      </c>
      <c r="J4937" s="59">
        <v>45126</v>
      </c>
      <c r="L4937" s="58" t="s">
        <v>628</v>
      </c>
    </row>
    <row r="4938" spans="1:12" s="58" customFormat="1" x14ac:dyDescent="0.75">
      <c r="A4938" s="58" t="s">
        <v>116</v>
      </c>
      <c r="B4938" s="59">
        <v>45091</v>
      </c>
      <c r="C4938" s="58">
        <v>3</v>
      </c>
      <c r="D4938" s="58" t="s">
        <v>194</v>
      </c>
      <c r="E4938" s="60">
        <f>26-13</f>
        <v>13</v>
      </c>
      <c r="F4938" s="58" t="s">
        <v>363</v>
      </c>
      <c r="G4938" s="58" t="s">
        <v>869</v>
      </c>
      <c r="H4938" s="58" t="s">
        <v>928</v>
      </c>
      <c r="I4938" s="58" t="s">
        <v>869</v>
      </c>
      <c r="J4938" s="59">
        <v>45126</v>
      </c>
      <c r="L4938" s="58" t="s">
        <v>628</v>
      </c>
    </row>
    <row r="4939" spans="1:12" s="58" customFormat="1" x14ac:dyDescent="0.75">
      <c r="A4939" s="58" t="s">
        <v>116</v>
      </c>
      <c r="B4939" s="59">
        <v>45091</v>
      </c>
      <c r="C4939" s="58">
        <v>3</v>
      </c>
      <c r="D4939" s="58" t="s">
        <v>176</v>
      </c>
      <c r="E4939" s="60">
        <v>7</v>
      </c>
      <c r="F4939" s="58" t="s">
        <v>363</v>
      </c>
      <c r="G4939" s="58" t="s">
        <v>869</v>
      </c>
      <c r="H4939" s="58" t="s">
        <v>928</v>
      </c>
      <c r="I4939" s="58" t="s">
        <v>869</v>
      </c>
      <c r="J4939" s="59">
        <v>45126</v>
      </c>
      <c r="K4939" s="58" t="s">
        <v>976</v>
      </c>
      <c r="L4939" s="58" t="s">
        <v>628</v>
      </c>
    </row>
    <row r="4940" spans="1:12" x14ac:dyDescent="0.75">
      <c r="A4940" t="s">
        <v>116</v>
      </c>
      <c r="B4940" s="3">
        <v>45092</v>
      </c>
      <c r="C4940">
        <v>1</v>
      </c>
      <c r="D4940" s="10" t="s">
        <v>164</v>
      </c>
      <c r="E4940" s="22">
        <f>46-4</f>
        <v>42</v>
      </c>
      <c r="G4940" t="s">
        <v>733</v>
      </c>
      <c r="H4940" t="s">
        <v>928</v>
      </c>
      <c r="I4940" t="s">
        <v>869</v>
      </c>
      <c r="J4940" s="3">
        <v>45132</v>
      </c>
      <c r="K4940" s="10" t="s">
        <v>977</v>
      </c>
      <c r="L4940" t="s">
        <v>627</v>
      </c>
    </row>
    <row r="4941" spans="1:12" x14ac:dyDescent="0.75">
      <c r="A4941" t="s">
        <v>116</v>
      </c>
      <c r="B4941" s="3">
        <v>45092</v>
      </c>
      <c r="C4941">
        <v>1</v>
      </c>
      <c r="D4941" t="s">
        <v>164</v>
      </c>
      <c r="E4941" s="22">
        <f>4-0+46-33</f>
        <v>17</v>
      </c>
      <c r="G4941" t="s">
        <v>733</v>
      </c>
      <c r="H4941" t="s">
        <v>928</v>
      </c>
      <c r="I4941" t="s">
        <v>869</v>
      </c>
      <c r="J4941" s="3">
        <v>45132</v>
      </c>
      <c r="L4941" t="s">
        <v>627</v>
      </c>
    </row>
    <row r="4942" spans="1:12" x14ac:dyDescent="0.75">
      <c r="A4942" t="s">
        <v>116</v>
      </c>
      <c r="B4942" s="3">
        <v>45092</v>
      </c>
      <c r="C4942">
        <v>1</v>
      </c>
      <c r="D4942" t="s">
        <v>201</v>
      </c>
      <c r="E4942" s="22">
        <f>33-22</f>
        <v>11</v>
      </c>
      <c r="G4942" t="s">
        <v>733</v>
      </c>
      <c r="H4942" t="s">
        <v>928</v>
      </c>
      <c r="I4942" t="s">
        <v>869</v>
      </c>
      <c r="J4942" s="3">
        <v>45132</v>
      </c>
      <c r="L4942" t="s">
        <v>627</v>
      </c>
    </row>
    <row r="4943" spans="1:12" x14ac:dyDescent="0.75">
      <c r="A4943" t="s">
        <v>116</v>
      </c>
      <c r="B4943" s="3">
        <v>45092</v>
      </c>
      <c r="C4943">
        <v>1</v>
      </c>
      <c r="D4943" t="s">
        <v>164</v>
      </c>
      <c r="E4943" s="22">
        <f>22-18</f>
        <v>4</v>
      </c>
      <c r="G4943" t="s">
        <v>733</v>
      </c>
      <c r="H4943" t="s">
        <v>928</v>
      </c>
      <c r="I4943" t="s">
        <v>869</v>
      </c>
      <c r="J4943" s="3">
        <v>45132</v>
      </c>
      <c r="L4943" t="s">
        <v>627</v>
      </c>
    </row>
    <row r="4944" spans="1:12" x14ac:dyDescent="0.75">
      <c r="A4944" t="s">
        <v>116</v>
      </c>
      <c r="B4944" s="3">
        <v>45092</v>
      </c>
      <c r="C4944">
        <v>1</v>
      </c>
      <c r="D4944" t="s">
        <v>201</v>
      </c>
      <c r="E4944" s="22">
        <f>18-13</f>
        <v>5</v>
      </c>
      <c r="G4944" t="s">
        <v>733</v>
      </c>
      <c r="H4944" t="s">
        <v>928</v>
      </c>
      <c r="I4944" t="s">
        <v>869</v>
      </c>
      <c r="J4944" s="3">
        <v>45132</v>
      </c>
      <c r="L4944" t="s">
        <v>627</v>
      </c>
    </row>
    <row r="4945" spans="1:12" x14ac:dyDescent="0.75">
      <c r="A4945" t="s">
        <v>116</v>
      </c>
      <c r="B4945" s="3">
        <v>45092</v>
      </c>
      <c r="C4945">
        <v>1</v>
      </c>
      <c r="D4945" t="s">
        <v>191</v>
      </c>
      <c r="E4945" s="22">
        <f>13-1+45-9</f>
        <v>48</v>
      </c>
      <c r="G4945" t="s">
        <v>733</v>
      </c>
      <c r="H4945" t="s">
        <v>928</v>
      </c>
      <c r="I4945" t="s">
        <v>869</v>
      </c>
      <c r="J4945" s="3">
        <v>45132</v>
      </c>
      <c r="L4945" t="s">
        <v>627</v>
      </c>
    </row>
    <row r="4946" spans="1:12" x14ac:dyDescent="0.75">
      <c r="A4946" s="4" t="s">
        <v>116</v>
      </c>
      <c r="B4946" s="16">
        <v>45092</v>
      </c>
      <c r="C4946" s="4">
        <v>1</v>
      </c>
      <c r="D4946" s="4" t="s">
        <v>191</v>
      </c>
      <c r="E4946" s="53">
        <f>50-36</f>
        <v>14</v>
      </c>
      <c r="F4946" s="4"/>
      <c r="G4946" s="157" t="s">
        <v>869</v>
      </c>
      <c r="H4946" s="4" t="s">
        <v>928</v>
      </c>
      <c r="I4946" t="s">
        <v>869</v>
      </c>
      <c r="J4946" s="3">
        <v>45132</v>
      </c>
      <c r="K4946" s="4"/>
      <c r="L4946" s="4" t="s">
        <v>627</v>
      </c>
    </row>
    <row r="4947" spans="1:12" x14ac:dyDescent="0.75">
      <c r="A4947" s="4" t="s">
        <v>116</v>
      </c>
      <c r="B4947" s="16">
        <v>45092</v>
      </c>
      <c r="C4947" s="4">
        <v>1</v>
      </c>
      <c r="D4947" s="4" t="s">
        <v>164</v>
      </c>
      <c r="E4947" s="53">
        <f>36-4</f>
        <v>32</v>
      </c>
      <c r="F4947" s="4"/>
      <c r="G4947" s="157" t="s">
        <v>869</v>
      </c>
      <c r="H4947" s="4" t="s">
        <v>928</v>
      </c>
      <c r="I4947" t="s">
        <v>869</v>
      </c>
      <c r="J4947" s="3">
        <v>45132</v>
      </c>
      <c r="K4947" s="4"/>
      <c r="L4947" s="4" t="s">
        <v>627</v>
      </c>
    </row>
    <row r="4948" spans="1:12" x14ac:dyDescent="0.75">
      <c r="A4948" t="s">
        <v>116</v>
      </c>
      <c r="B4948" s="3">
        <v>45092</v>
      </c>
      <c r="C4948">
        <v>1</v>
      </c>
      <c r="D4948" t="s">
        <v>164</v>
      </c>
      <c r="E4948" s="22">
        <f>53-19</f>
        <v>34</v>
      </c>
      <c r="F4948">
        <v>1000</v>
      </c>
      <c r="G4948" s="157" t="s">
        <v>869</v>
      </c>
      <c r="H4948" s="10" t="s">
        <v>390</v>
      </c>
      <c r="I4948" t="s">
        <v>869</v>
      </c>
      <c r="J4948" s="3">
        <v>45132</v>
      </c>
      <c r="L4948" t="s">
        <v>627</v>
      </c>
    </row>
    <row r="4949" spans="1:12" x14ac:dyDescent="0.75">
      <c r="A4949" t="s">
        <v>116</v>
      </c>
      <c r="B4949" s="3">
        <v>45092</v>
      </c>
      <c r="C4949">
        <v>1</v>
      </c>
      <c r="D4949" t="s">
        <v>201</v>
      </c>
      <c r="E4949" s="22">
        <f>19-5</f>
        <v>14</v>
      </c>
      <c r="F4949">
        <v>914</v>
      </c>
      <c r="G4949" s="157" t="s">
        <v>869</v>
      </c>
      <c r="H4949" s="10" t="s">
        <v>390</v>
      </c>
      <c r="I4949" t="s">
        <v>869</v>
      </c>
      <c r="J4949" s="3">
        <v>45132</v>
      </c>
      <c r="L4949" t="s">
        <v>627</v>
      </c>
    </row>
    <row r="4950" spans="1:12" x14ac:dyDescent="0.75">
      <c r="A4950" t="s">
        <v>116</v>
      </c>
      <c r="B4950" s="3">
        <v>45092</v>
      </c>
      <c r="C4950">
        <v>1</v>
      </c>
      <c r="D4950" t="s">
        <v>164</v>
      </c>
      <c r="E4950" s="22">
        <f>5-4</f>
        <v>1</v>
      </c>
      <c r="F4950">
        <v>918</v>
      </c>
      <c r="G4950" s="157" t="s">
        <v>869</v>
      </c>
      <c r="H4950" s="10" t="s">
        <v>390</v>
      </c>
      <c r="I4950" t="s">
        <v>869</v>
      </c>
      <c r="J4950" s="3">
        <v>45132</v>
      </c>
      <c r="L4950" t="s">
        <v>627</v>
      </c>
    </row>
    <row r="4951" spans="1:12" x14ac:dyDescent="0.75">
      <c r="A4951" t="s">
        <v>116</v>
      </c>
      <c r="B4951" s="3">
        <v>45092</v>
      </c>
      <c r="C4951">
        <v>1</v>
      </c>
      <c r="D4951" t="s">
        <v>197</v>
      </c>
      <c r="E4951" s="22">
        <f>5-2</f>
        <v>3</v>
      </c>
      <c r="G4951" s="157" t="s">
        <v>869</v>
      </c>
      <c r="H4951" t="s">
        <v>539</v>
      </c>
      <c r="I4951" t="s">
        <v>869</v>
      </c>
      <c r="J4951" s="3">
        <v>45132</v>
      </c>
      <c r="L4951" t="s">
        <v>627</v>
      </c>
    </row>
    <row r="4952" spans="1:12" x14ac:dyDescent="0.75">
      <c r="A4952" t="s">
        <v>116</v>
      </c>
      <c r="B4952" s="3">
        <v>45092</v>
      </c>
      <c r="C4952">
        <v>1</v>
      </c>
      <c r="D4952" t="s">
        <v>191</v>
      </c>
      <c r="E4952" s="22">
        <f>2-0</f>
        <v>2</v>
      </c>
      <c r="G4952" s="157" t="s">
        <v>869</v>
      </c>
      <c r="H4952" t="s">
        <v>539</v>
      </c>
      <c r="I4952" t="s">
        <v>869</v>
      </c>
      <c r="J4952" s="3">
        <v>45132</v>
      </c>
      <c r="L4952" t="s">
        <v>627</v>
      </c>
    </row>
    <row r="4953" spans="1:12" x14ac:dyDescent="0.75">
      <c r="A4953" t="s">
        <v>116</v>
      </c>
      <c r="B4953" s="3">
        <v>45092</v>
      </c>
      <c r="C4953">
        <v>1</v>
      </c>
      <c r="D4953" t="s">
        <v>197</v>
      </c>
      <c r="E4953" s="22">
        <f>48-42</f>
        <v>6</v>
      </c>
      <c r="G4953" s="157" t="s">
        <v>869</v>
      </c>
      <c r="H4953" t="s">
        <v>539</v>
      </c>
      <c r="I4953" t="s">
        <v>869</v>
      </c>
      <c r="J4953" s="3">
        <v>45132</v>
      </c>
      <c r="L4953" t="s">
        <v>627</v>
      </c>
    </row>
    <row r="4954" spans="1:12" x14ac:dyDescent="0.75">
      <c r="A4954" t="s">
        <v>116</v>
      </c>
      <c r="B4954" s="3">
        <v>45092</v>
      </c>
      <c r="C4954">
        <v>1</v>
      </c>
      <c r="D4954" t="s">
        <v>164</v>
      </c>
      <c r="E4954" s="22">
        <f>53-1</f>
        <v>52</v>
      </c>
      <c r="G4954" s="157" t="s">
        <v>869</v>
      </c>
      <c r="H4954" t="s">
        <v>539</v>
      </c>
      <c r="I4954" t="s">
        <v>869</v>
      </c>
      <c r="J4954" s="3">
        <v>45132</v>
      </c>
      <c r="L4954" t="s">
        <v>627</v>
      </c>
    </row>
    <row r="4955" spans="1:12" s="58" customFormat="1" x14ac:dyDescent="0.75">
      <c r="A4955" s="58" t="s">
        <v>116</v>
      </c>
      <c r="B4955" s="59">
        <v>45092</v>
      </c>
      <c r="C4955" s="58">
        <v>2</v>
      </c>
      <c r="D4955" s="58" t="s">
        <v>164</v>
      </c>
      <c r="E4955" s="60">
        <f>46-0+47-27</f>
        <v>66</v>
      </c>
      <c r="G4955" s="58" t="s">
        <v>733</v>
      </c>
      <c r="H4955" s="58" t="s">
        <v>539</v>
      </c>
      <c r="I4955" s="58" t="s">
        <v>869</v>
      </c>
      <c r="J4955" s="59">
        <v>45132</v>
      </c>
      <c r="L4955" s="58" t="s">
        <v>627</v>
      </c>
    </row>
    <row r="4956" spans="1:12" s="58" customFormat="1" x14ac:dyDescent="0.75">
      <c r="A4956" s="58" t="s">
        <v>116</v>
      </c>
      <c r="B4956" s="59">
        <v>45092</v>
      </c>
      <c r="C4956" s="58">
        <v>2</v>
      </c>
      <c r="D4956" s="58" t="s">
        <v>201</v>
      </c>
      <c r="E4956" s="60">
        <f>27-7</f>
        <v>20</v>
      </c>
      <c r="G4956" s="58" t="s">
        <v>733</v>
      </c>
      <c r="H4956" s="58" t="s">
        <v>539</v>
      </c>
      <c r="I4956" s="58" t="s">
        <v>869</v>
      </c>
      <c r="J4956" s="59">
        <v>45132</v>
      </c>
      <c r="L4956" s="58" t="s">
        <v>627</v>
      </c>
    </row>
    <row r="4957" spans="1:12" s="58" customFormat="1" x14ac:dyDescent="0.75">
      <c r="A4957" s="58" t="s">
        <v>116</v>
      </c>
      <c r="B4957" s="59">
        <v>45092</v>
      </c>
      <c r="C4957" s="58">
        <v>2</v>
      </c>
      <c r="D4957" s="58" t="s">
        <v>201</v>
      </c>
      <c r="E4957" s="60">
        <f>7-0+51-47</f>
        <v>11</v>
      </c>
      <c r="G4957" s="58" t="s">
        <v>733</v>
      </c>
      <c r="H4957" s="58" t="s">
        <v>539</v>
      </c>
      <c r="I4957" s="58" t="s">
        <v>869</v>
      </c>
      <c r="J4957" s="59">
        <v>45132</v>
      </c>
      <c r="L4957" s="58" t="s">
        <v>627</v>
      </c>
    </row>
    <row r="4958" spans="1:12" s="58" customFormat="1" x14ac:dyDescent="0.75">
      <c r="A4958" s="58" t="s">
        <v>116</v>
      </c>
      <c r="B4958" s="59">
        <v>45092</v>
      </c>
      <c r="C4958" s="58">
        <v>2</v>
      </c>
      <c r="D4958" s="58" t="s">
        <v>201</v>
      </c>
      <c r="E4958" s="60">
        <f>47-32</f>
        <v>15</v>
      </c>
      <c r="G4958" s="58" t="s">
        <v>733</v>
      </c>
      <c r="H4958" s="58" t="s">
        <v>539</v>
      </c>
      <c r="I4958" s="58" t="s">
        <v>869</v>
      </c>
      <c r="J4958" s="59">
        <v>45132</v>
      </c>
      <c r="L4958" s="58" t="s">
        <v>627</v>
      </c>
    </row>
    <row r="4959" spans="1:12" s="58" customFormat="1" x14ac:dyDescent="0.75">
      <c r="A4959" s="58" t="s">
        <v>116</v>
      </c>
      <c r="B4959" s="59">
        <v>45092</v>
      </c>
      <c r="C4959" s="58">
        <v>2</v>
      </c>
      <c r="D4959" s="58" t="s">
        <v>197</v>
      </c>
      <c r="E4959" s="60">
        <f>32-15</f>
        <v>17</v>
      </c>
      <c r="G4959" s="58" t="s">
        <v>733</v>
      </c>
      <c r="H4959" s="58" t="s">
        <v>539</v>
      </c>
      <c r="I4959" s="58" t="s">
        <v>869</v>
      </c>
      <c r="J4959" s="59">
        <v>45132</v>
      </c>
      <c r="L4959" s="58" t="s">
        <v>627</v>
      </c>
    </row>
    <row r="4960" spans="1:12" s="58" customFormat="1" x14ac:dyDescent="0.75">
      <c r="A4960" s="58" t="s">
        <v>116</v>
      </c>
      <c r="B4960" s="59">
        <v>45092</v>
      </c>
      <c r="C4960" s="58">
        <v>2</v>
      </c>
      <c r="D4960" s="58" t="s">
        <v>201</v>
      </c>
      <c r="E4960" s="60">
        <f>15-11</f>
        <v>4</v>
      </c>
      <c r="G4960" s="58" t="s">
        <v>733</v>
      </c>
      <c r="H4960" s="58" t="s">
        <v>539</v>
      </c>
      <c r="I4960" s="58" t="s">
        <v>869</v>
      </c>
      <c r="J4960" s="59">
        <v>45132</v>
      </c>
      <c r="L4960" s="58" t="s">
        <v>627</v>
      </c>
    </row>
    <row r="4961" spans="1:12" s="58" customFormat="1" x14ac:dyDescent="0.75">
      <c r="A4961" s="58" t="s">
        <v>116</v>
      </c>
      <c r="B4961" s="59">
        <v>45092</v>
      </c>
      <c r="C4961" s="58">
        <v>2</v>
      </c>
      <c r="D4961" s="58" t="s">
        <v>176</v>
      </c>
      <c r="E4961" s="60">
        <f>11-7</f>
        <v>4</v>
      </c>
      <c r="G4961" s="58" t="s">
        <v>733</v>
      </c>
      <c r="H4961" s="58" t="s">
        <v>539</v>
      </c>
      <c r="I4961" s="58" t="s">
        <v>869</v>
      </c>
      <c r="J4961" s="59">
        <v>45132</v>
      </c>
      <c r="L4961" s="58" t="s">
        <v>627</v>
      </c>
    </row>
    <row r="4962" spans="1:12" s="58" customFormat="1" x14ac:dyDescent="0.75">
      <c r="A4962" s="58" t="s">
        <v>116</v>
      </c>
      <c r="B4962" s="59">
        <v>45092</v>
      </c>
      <c r="C4962" s="58">
        <v>2</v>
      </c>
      <c r="D4962" s="58" t="s">
        <v>176</v>
      </c>
      <c r="E4962" s="60">
        <f>7-3</f>
        <v>4</v>
      </c>
      <c r="G4962" s="58" t="s">
        <v>733</v>
      </c>
      <c r="H4962" s="58" t="s">
        <v>539</v>
      </c>
      <c r="I4962" s="58" t="s">
        <v>869</v>
      </c>
      <c r="J4962" s="59">
        <v>45132</v>
      </c>
      <c r="L4962" s="58" t="s">
        <v>627</v>
      </c>
    </row>
    <row r="4963" spans="1:12" s="58" customFormat="1" x14ac:dyDescent="0.75">
      <c r="A4963" s="58" t="s">
        <v>116</v>
      </c>
      <c r="B4963" s="59">
        <v>45092</v>
      </c>
      <c r="C4963" s="58">
        <v>2</v>
      </c>
      <c r="D4963" s="58" t="s">
        <v>201</v>
      </c>
      <c r="E4963" s="60">
        <f>51-43</f>
        <v>8</v>
      </c>
      <c r="F4963" s="58">
        <v>925</v>
      </c>
      <c r="G4963" s="58" t="s">
        <v>869</v>
      </c>
      <c r="H4963" s="58" t="s">
        <v>390</v>
      </c>
      <c r="I4963" s="58" t="s">
        <v>869</v>
      </c>
      <c r="J4963" s="59">
        <v>45132</v>
      </c>
      <c r="L4963" s="58" t="s">
        <v>627</v>
      </c>
    </row>
    <row r="4964" spans="1:12" s="58" customFormat="1" x14ac:dyDescent="0.75">
      <c r="A4964" s="58" t="s">
        <v>116</v>
      </c>
      <c r="B4964" s="59">
        <v>45092</v>
      </c>
      <c r="C4964" s="58">
        <v>2</v>
      </c>
      <c r="D4964" s="58" t="s">
        <v>197</v>
      </c>
      <c r="E4964" s="60">
        <f>43-37</f>
        <v>6</v>
      </c>
      <c r="G4964" s="58" t="s">
        <v>869</v>
      </c>
      <c r="H4964" s="58" t="s">
        <v>928</v>
      </c>
      <c r="I4964" s="58" t="s">
        <v>869</v>
      </c>
      <c r="J4964" s="59">
        <v>45132</v>
      </c>
      <c r="L4964" s="58" t="s">
        <v>627</v>
      </c>
    </row>
    <row r="4965" spans="1:12" s="58" customFormat="1" x14ac:dyDescent="0.75">
      <c r="A4965" s="58" t="s">
        <v>116</v>
      </c>
      <c r="B4965" s="59">
        <v>45092</v>
      </c>
      <c r="C4965" s="58">
        <v>2</v>
      </c>
      <c r="D4965" s="58" t="s">
        <v>184</v>
      </c>
      <c r="E4965" s="60">
        <f>37-34</f>
        <v>3</v>
      </c>
      <c r="G4965" s="58" t="s">
        <v>869</v>
      </c>
      <c r="H4965" s="58" t="s">
        <v>928</v>
      </c>
      <c r="I4965" s="58" t="s">
        <v>869</v>
      </c>
      <c r="J4965" s="59">
        <v>45132</v>
      </c>
      <c r="L4965" s="58" t="s">
        <v>627</v>
      </c>
    </row>
    <row r="4966" spans="1:12" s="58" customFormat="1" x14ac:dyDescent="0.75">
      <c r="A4966" s="58" t="s">
        <v>116</v>
      </c>
      <c r="B4966" s="59">
        <v>45092</v>
      </c>
      <c r="C4966" s="58">
        <v>2</v>
      </c>
      <c r="D4966" s="58" t="s">
        <v>176</v>
      </c>
      <c r="E4966" s="60">
        <f>34-31</f>
        <v>3</v>
      </c>
      <c r="G4966" s="58" t="s">
        <v>869</v>
      </c>
      <c r="H4966" s="58" t="s">
        <v>928</v>
      </c>
      <c r="I4966" s="58" t="s">
        <v>869</v>
      </c>
      <c r="J4966" s="59">
        <v>45132</v>
      </c>
      <c r="L4966" s="58" t="s">
        <v>627</v>
      </c>
    </row>
    <row r="4967" spans="1:12" x14ac:dyDescent="0.75">
      <c r="A4967" t="s">
        <v>116</v>
      </c>
      <c r="B4967" s="3">
        <v>45092</v>
      </c>
      <c r="C4967">
        <v>3</v>
      </c>
      <c r="D4967" t="s">
        <v>197</v>
      </c>
      <c r="E4967" s="22">
        <f>53-43+4-0</f>
        <v>14</v>
      </c>
      <c r="G4967" t="s">
        <v>733</v>
      </c>
      <c r="H4967" t="s">
        <v>928</v>
      </c>
      <c r="I4967" t="s">
        <v>869</v>
      </c>
      <c r="J4967" s="3">
        <v>45132</v>
      </c>
      <c r="L4967" t="s">
        <v>627</v>
      </c>
    </row>
    <row r="4968" spans="1:12" x14ac:dyDescent="0.75">
      <c r="A4968" t="s">
        <v>116</v>
      </c>
      <c r="B4968" s="3">
        <v>45092</v>
      </c>
      <c r="C4968">
        <v>3</v>
      </c>
      <c r="D4968" t="s">
        <v>197</v>
      </c>
      <c r="E4968" s="22">
        <f>43-27</f>
        <v>16</v>
      </c>
      <c r="G4968" t="s">
        <v>733</v>
      </c>
      <c r="H4968" t="s">
        <v>928</v>
      </c>
      <c r="I4968" t="s">
        <v>869</v>
      </c>
      <c r="J4968" s="3">
        <v>45132</v>
      </c>
      <c r="L4968" t="s">
        <v>627</v>
      </c>
    </row>
    <row r="4969" spans="1:12" x14ac:dyDescent="0.75">
      <c r="A4969" t="s">
        <v>116</v>
      </c>
      <c r="B4969" s="3">
        <v>45092</v>
      </c>
      <c r="C4969">
        <v>3</v>
      </c>
      <c r="D4969" t="s">
        <v>164</v>
      </c>
      <c r="E4969" s="57">
        <f>27-2</f>
        <v>25</v>
      </c>
      <c r="G4969" t="s">
        <v>733</v>
      </c>
      <c r="H4969" t="s">
        <v>928</v>
      </c>
      <c r="I4969" t="s">
        <v>869</v>
      </c>
      <c r="J4969" s="3">
        <v>45132</v>
      </c>
      <c r="L4969" t="s">
        <v>627</v>
      </c>
    </row>
    <row r="4970" spans="1:12" x14ac:dyDescent="0.75">
      <c r="A4970" t="s">
        <v>116</v>
      </c>
      <c r="B4970" s="3">
        <v>45092</v>
      </c>
      <c r="C4970">
        <v>3</v>
      </c>
      <c r="D4970" t="s">
        <v>157</v>
      </c>
      <c r="E4970" s="57">
        <f>2-0+32-21</f>
        <v>13</v>
      </c>
      <c r="G4970" t="s">
        <v>733</v>
      </c>
      <c r="H4970" t="s">
        <v>928</v>
      </c>
      <c r="I4970" t="s">
        <v>869</v>
      </c>
      <c r="J4970" s="3">
        <v>45132</v>
      </c>
      <c r="L4970" t="s">
        <v>627</v>
      </c>
    </row>
    <row r="4971" spans="1:12" x14ac:dyDescent="0.75">
      <c r="A4971" t="s">
        <v>116</v>
      </c>
      <c r="B4971" s="3">
        <v>45092</v>
      </c>
      <c r="C4971">
        <v>3</v>
      </c>
      <c r="D4971" t="s">
        <v>201</v>
      </c>
      <c r="E4971" s="22">
        <f>21-17</f>
        <v>4</v>
      </c>
      <c r="G4971" t="s">
        <v>733</v>
      </c>
      <c r="H4971" t="s">
        <v>928</v>
      </c>
      <c r="I4971" t="s">
        <v>869</v>
      </c>
      <c r="J4971" s="3">
        <v>45132</v>
      </c>
      <c r="L4971" t="s">
        <v>627</v>
      </c>
    </row>
    <row r="4972" spans="1:12" x14ac:dyDescent="0.75">
      <c r="A4972" t="s">
        <v>116</v>
      </c>
      <c r="B4972" s="3">
        <v>45092</v>
      </c>
      <c r="C4972">
        <v>3</v>
      </c>
      <c r="D4972" s="10" t="s">
        <v>164</v>
      </c>
      <c r="E4972" s="57">
        <f>17-3</f>
        <v>14</v>
      </c>
      <c r="G4972" t="s">
        <v>733</v>
      </c>
      <c r="H4972" t="s">
        <v>928</v>
      </c>
      <c r="I4972" t="s">
        <v>869</v>
      </c>
      <c r="J4972" s="3">
        <v>45132</v>
      </c>
      <c r="L4972" t="s">
        <v>627</v>
      </c>
    </row>
    <row r="4973" spans="1:12" x14ac:dyDescent="0.75">
      <c r="A4973" t="s">
        <v>116</v>
      </c>
      <c r="B4973" s="3">
        <v>45092</v>
      </c>
      <c r="C4973">
        <v>3</v>
      </c>
      <c r="D4973" t="s">
        <v>197</v>
      </c>
      <c r="E4973" s="22">
        <f>42-20</f>
        <v>22</v>
      </c>
      <c r="G4973" t="s">
        <v>869</v>
      </c>
      <c r="H4973" t="s">
        <v>928</v>
      </c>
      <c r="I4973" t="s">
        <v>869</v>
      </c>
      <c r="J4973" s="3">
        <v>45132</v>
      </c>
      <c r="L4973" t="s">
        <v>627</v>
      </c>
    </row>
    <row r="4974" spans="1:12" x14ac:dyDescent="0.75">
      <c r="A4974" t="s">
        <v>116</v>
      </c>
      <c r="B4974" s="3">
        <v>45092</v>
      </c>
      <c r="C4974">
        <v>3</v>
      </c>
      <c r="D4974" t="s">
        <v>197</v>
      </c>
      <c r="E4974" s="22">
        <f>45-44</f>
        <v>1</v>
      </c>
      <c r="G4974" t="s">
        <v>869</v>
      </c>
      <c r="H4974" t="s">
        <v>928</v>
      </c>
      <c r="I4974" t="s">
        <v>869</v>
      </c>
      <c r="J4974" s="3">
        <v>45132</v>
      </c>
      <c r="L4974" t="s">
        <v>627</v>
      </c>
    </row>
    <row r="4975" spans="1:12" x14ac:dyDescent="0.75">
      <c r="A4975" t="s">
        <v>116</v>
      </c>
      <c r="B4975" s="3">
        <v>45092</v>
      </c>
      <c r="C4975">
        <v>3</v>
      </c>
      <c r="D4975" t="s">
        <v>197</v>
      </c>
      <c r="E4975" s="57">
        <f>44-43</f>
        <v>1</v>
      </c>
      <c r="G4975" t="s">
        <v>869</v>
      </c>
      <c r="H4975" t="s">
        <v>928</v>
      </c>
      <c r="I4975" t="s">
        <v>869</v>
      </c>
      <c r="J4975" s="3">
        <v>45132</v>
      </c>
      <c r="K4975" t="s">
        <v>978</v>
      </c>
      <c r="L4975" t="s">
        <v>627</v>
      </c>
    </row>
    <row r="4976" spans="1:12" x14ac:dyDescent="0.75">
      <c r="A4976" s="10" t="s">
        <v>116</v>
      </c>
      <c r="B4976" s="154">
        <v>45092</v>
      </c>
      <c r="C4976" s="10">
        <v>3</v>
      </c>
      <c r="D4976" s="10" t="s">
        <v>197</v>
      </c>
      <c r="E4976" s="57">
        <f>43-36</f>
        <v>7</v>
      </c>
      <c r="F4976" s="10" t="s">
        <v>363</v>
      </c>
      <c r="G4976" s="10" t="s">
        <v>869</v>
      </c>
      <c r="H4976" s="10" t="s">
        <v>928</v>
      </c>
      <c r="I4976" t="s">
        <v>869</v>
      </c>
      <c r="J4976" s="3">
        <v>45132</v>
      </c>
      <c r="K4976" s="10"/>
      <c r="L4976" s="10" t="s">
        <v>869</v>
      </c>
    </row>
    <row r="4977" spans="1:12" x14ac:dyDescent="0.75">
      <c r="A4977" t="s">
        <v>116</v>
      </c>
      <c r="B4977" s="3">
        <v>45092</v>
      </c>
      <c r="C4977">
        <v>3</v>
      </c>
      <c r="D4977" t="s">
        <v>197</v>
      </c>
      <c r="E4977" s="22">
        <f>36-28</f>
        <v>8</v>
      </c>
      <c r="F4977" t="s">
        <v>363</v>
      </c>
      <c r="G4977" t="s">
        <v>869</v>
      </c>
      <c r="H4977" t="s">
        <v>928</v>
      </c>
      <c r="I4977" t="s">
        <v>869</v>
      </c>
      <c r="J4977" s="3">
        <v>45132</v>
      </c>
      <c r="L4977" t="s">
        <v>627</v>
      </c>
    </row>
    <row r="4978" spans="1:12" x14ac:dyDescent="0.75">
      <c r="A4978" t="s">
        <v>116</v>
      </c>
      <c r="B4978" s="3">
        <v>45092</v>
      </c>
      <c r="C4978">
        <v>3</v>
      </c>
      <c r="D4978" t="s">
        <v>197</v>
      </c>
      <c r="E4978" t="s">
        <v>363</v>
      </c>
      <c r="F4978" t="s">
        <v>363</v>
      </c>
      <c r="G4978" t="s">
        <v>869</v>
      </c>
      <c r="H4978" t="s">
        <v>928</v>
      </c>
      <c r="I4978" t="s">
        <v>869</v>
      </c>
      <c r="J4978" s="3">
        <v>45132</v>
      </c>
      <c r="K4978" t="s">
        <v>979</v>
      </c>
      <c r="L4978" t="s">
        <v>869</v>
      </c>
    </row>
    <row r="4979" spans="1:12" x14ac:dyDescent="0.75">
      <c r="A4979" s="10" t="s">
        <v>116</v>
      </c>
      <c r="B4979" s="154">
        <v>45092</v>
      </c>
      <c r="C4979" s="10">
        <v>3</v>
      </c>
      <c r="D4979" s="10" t="s">
        <v>191</v>
      </c>
      <c r="E4979" s="57">
        <f>46-42</f>
        <v>4</v>
      </c>
      <c r="F4979" s="10" t="s">
        <v>363</v>
      </c>
      <c r="G4979" s="10" t="s">
        <v>869</v>
      </c>
      <c r="H4979" s="10" t="s">
        <v>928</v>
      </c>
      <c r="I4979" t="s">
        <v>869</v>
      </c>
      <c r="J4979" s="3">
        <v>45132</v>
      </c>
      <c r="K4979" s="10" t="s">
        <v>980</v>
      </c>
      <c r="L4979" s="10" t="s">
        <v>869</v>
      </c>
    </row>
    <row r="4980" spans="1:12" x14ac:dyDescent="0.75">
      <c r="A4980" s="10" t="s">
        <v>116</v>
      </c>
      <c r="B4980" s="154">
        <v>45092</v>
      </c>
      <c r="C4980" s="10">
        <v>3</v>
      </c>
      <c r="D4980" s="10" t="s">
        <v>191</v>
      </c>
      <c r="E4980" s="57">
        <f>35-23</f>
        <v>12</v>
      </c>
      <c r="F4980" s="10" t="s">
        <v>363</v>
      </c>
      <c r="G4980" s="10" t="s">
        <v>869</v>
      </c>
      <c r="H4980" s="10" t="s">
        <v>928</v>
      </c>
      <c r="I4980" t="s">
        <v>869</v>
      </c>
      <c r="J4980" s="3">
        <v>45132</v>
      </c>
      <c r="K4980" s="10" t="s">
        <v>980</v>
      </c>
      <c r="L4980" s="10" t="s">
        <v>869</v>
      </c>
    </row>
    <row r="4981" spans="1:12" x14ac:dyDescent="0.75">
      <c r="A4981" s="10" t="s">
        <v>116</v>
      </c>
      <c r="B4981" s="154">
        <v>45092</v>
      </c>
      <c r="C4981" s="10">
        <v>3</v>
      </c>
      <c r="D4981" s="10" t="s">
        <v>191</v>
      </c>
      <c r="E4981" s="57">
        <f>23-19</f>
        <v>4</v>
      </c>
      <c r="F4981" s="10" t="s">
        <v>363</v>
      </c>
      <c r="G4981" s="10" t="s">
        <v>869</v>
      </c>
      <c r="H4981" s="10" t="s">
        <v>928</v>
      </c>
      <c r="I4981" t="s">
        <v>869</v>
      </c>
      <c r="J4981" s="3">
        <v>45132</v>
      </c>
      <c r="K4981" s="10" t="s">
        <v>980</v>
      </c>
      <c r="L4981" s="10" t="s">
        <v>869</v>
      </c>
    </row>
    <row r="4982" spans="1:12" x14ac:dyDescent="0.75">
      <c r="A4982" s="10" t="s">
        <v>116</v>
      </c>
      <c r="B4982" s="154">
        <v>45092</v>
      </c>
      <c r="C4982" s="10">
        <v>3</v>
      </c>
      <c r="D4982" s="10" t="s">
        <v>201</v>
      </c>
      <c r="E4982" s="57">
        <f>18-13</f>
        <v>5</v>
      </c>
      <c r="F4982" s="10" t="s">
        <v>363</v>
      </c>
      <c r="G4982" s="10" t="s">
        <v>869</v>
      </c>
      <c r="H4982" s="10" t="s">
        <v>928</v>
      </c>
      <c r="I4982" t="s">
        <v>869</v>
      </c>
      <c r="J4982" s="3">
        <v>45132</v>
      </c>
      <c r="K4982" s="10" t="s">
        <v>980</v>
      </c>
      <c r="L4982" s="10" t="s">
        <v>869</v>
      </c>
    </row>
    <row r="4983" spans="1:12" x14ac:dyDescent="0.75">
      <c r="A4983" s="10" t="s">
        <v>116</v>
      </c>
      <c r="B4983" s="154">
        <v>45092</v>
      </c>
      <c r="C4983" s="10">
        <v>3</v>
      </c>
      <c r="D4983" s="10" t="s">
        <v>197</v>
      </c>
      <c r="E4983" s="57">
        <f>13-9</f>
        <v>4</v>
      </c>
      <c r="F4983" s="10" t="s">
        <v>363</v>
      </c>
      <c r="G4983" s="10" t="s">
        <v>869</v>
      </c>
      <c r="H4983" s="10" t="s">
        <v>928</v>
      </c>
      <c r="I4983" t="s">
        <v>869</v>
      </c>
      <c r="J4983" s="3">
        <v>45132</v>
      </c>
      <c r="K4983" s="10" t="s">
        <v>980</v>
      </c>
      <c r="L4983" s="10" t="s">
        <v>869</v>
      </c>
    </row>
    <row r="4984" spans="1:12" x14ac:dyDescent="0.75">
      <c r="A4984" s="10" t="s">
        <v>116</v>
      </c>
      <c r="B4984" s="154">
        <v>45092</v>
      </c>
      <c r="C4984" s="10">
        <v>3</v>
      </c>
      <c r="D4984" s="10" t="s">
        <v>194</v>
      </c>
      <c r="E4984" s="57">
        <f>9-0</f>
        <v>9</v>
      </c>
      <c r="F4984" s="10" t="s">
        <v>363</v>
      </c>
      <c r="G4984" s="10" t="s">
        <v>869</v>
      </c>
      <c r="H4984" s="10" t="s">
        <v>928</v>
      </c>
      <c r="I4984" t="s">
        <v>869</v>
      </c>
      <c r="J4984" s="3">
        <v>45132</v>
      </c>
      <c r="K4984" s="10" t="s">
        <v>980</v>
      </c>
      <c r="L4984" s="10" t="s">
        <v>869</v>
      </c>
    </row>
    <row r="4985" spans="1:12" x14ac:dyDescent="0.75">
      <c r="A4985" s="10" t="s">
        <v>116</v>
      </c>
      <c r="B4985" s="154">
        <v>45092</v>
      </c>
      <c r="C4985" s="10">
        <v>3</v>
      </c>
      <c r="D4985" s="10" t="s">
        <v>191</v>
      </c>
      <c r="E4985" s="57">
        <f>49-35</f>
        <v>14</v>
      </c>
      <c r="F4985" s="10" t="s">
        <v>363</v>
      </c>
      <c r="G4985" s="10" t="s">
        <v>869</v>
      </c>
      <c r="H4985" s="10" t="s">
        <v>928</v>
      </c>
      <c r="I4985" t="s">
        <v>869</v>
      </c>
      <c r="J4985" s="3">
        <v>45132</v>
      </c>
      <c r="K4985" s="10" t="s">
        <v>980</v>
      </c>
      <c r="L4985" s="10" t="s">
        <v>869</v>
      </c>
    </row>
    <row r="4986" spans="1:12" s="58" customFormat="1" x14ac:dyDescent="0.75">
      <c r="A4986" s="58" t="s">
        <v>143</v>
      </c>
      <c r="B4986" s="59">
        <v>45097</v>
      </c>
      <c r="C4986" s="58">
        <v>1</v>
      </c>
      <c r="D4986" s="58" t="s">
        <v>168</v>
      </c>
      <c r="E4986" s="58" t="s">
        <v>363</v>
      </c>
      <c r="F4986" s="58" t="s">
        <v>363</v>
      </c>
      <c r="G4986" s="58" t="s">
        <v>627</v>
      </c>
      <c r="H4986" s="58" t="s">
        <v>928</v>
      </c>
      <c r="I4986" s="58" t="s">
        <v>869</v>
      </c>
      <c r="J4986" s="59">
        <v>45132</v>
      </c>
      <c r="K4986" s="58" t="s">
        <v>981</v>
      </c>
      <c r="L4986" s="58" t="s">
        <v>627</v>
      </c>
    </row>
    <row r="4987" spans="1:12" s="58" customFormat="1" x14ac:dyDescent="0.75">
      <c r="A4987" s="58" t="s">
        <v>143</v>
      </c>
      <c r="B4987" s="59">
        <v>45097</v>
      </c>
      <c r="C4987" s="58">
        <v>1</v>
      </c>
      <c r="D4987" s="58" t="s">
        <v>168</v>
      </c>
      <c r="E4987" s="60">
        <f>28-7</f>
        <v>21</v>
      </c>
      <c r="F4987" s="58" t="s">
        <v>363</v>
      </c>
      <c r="G4987" s="58" t="s">
        <v>627</v>
      </c>
      <c r="H4987" s="58" t="s">
        <v>390</v>
      </c>
      <c r="I4987" s="58" t="s">
        <v>869</v>
      </c>
      <c r="J4987" s="59">
        <v>45132</v>
      </c>
      <c r="L4987" s="58" t="s">
        <v>627</v>
      </c>
    </row>
    <row r="4988" spans="1:12" s="58" customFormat="1" x14ac:dyDescent="0.75">
      <c r="A4988" s="58" t="s">
        <v>143</v>
      </c>
      <c r="B4988" s="59">
        <v>45097</v>
      </c>
      <c r="C4988" s="58">
        <v>1</v>
      </c>
      <c r="D4988" s="58" t="s">
        <v>201</v>
      </c>
      <c r="E4988" s="60">
        <f>15-13</f>
        <v>2</v>
      </c>
      <c r="F4988" s="58" t="s">
        <v>363</v>
      </c>
      <c r="G4988" s="58" t="s">
        <v>361</v>
      </c>
      <c r="H4988" s="58" t="s">
        <v>928</v>
      </c>
      <c r="I4988" s="58" t="s">
        <v>869</v>
      </c>
      <c r="J4988" s="59">
        <v>45132</v>
      </c>
      <c r="L4988" s="58" t="s">
        <v>627</v>
      </c>
    </row>
    <row r="4989" spans="1:12" s="58" customFormat="1" x14ac:dyDescent="0.75">
      <c r="A4989" s="58" t="s">
        <v>143</v>
      </c>
      <c r="B4989" s="59">
        <v>45097</v>
      </c>
      <c r="C4989" s="58">
        <v>1</v>
      </c>
      <c r="D4989" s="58" t="s">
        <v>168</v>
      </c>
      <c r="E4989" s="60">
        <f>21-0+13-7</f>
        <v>27</v>
      </c>
      <c r="F4989" s="58" t="s">
        <v>363</v>
      </c>
      <c r="G4989" s="58" t="s">
        <v>361</v>
      </c>
      <c r="H4989" s="58" t="s">
        <v>928</v>
      </c>
      <c r="I4989" s="58" t="s">
        <v>869</v>
      </c>
      <c r="J4989" s="59">
        <v>45132</v>
      </c>
      <c r="L4989" s="58" t="s">
        <v>627</v>
      </c>
    </row>
    <row r="4990" spans="1:12" s="58" customFormat="1" x14ac:dyDescent="0.75">
      <c r="A4990" s="58" t="s">
        <v>143</v>
      </c>
      <c r="B4990" s="59">
        <v>45097</v>
      </c>
      <c r="C4990" s="58">
        <v>1</v>
      </c>
      <c r="D4990" s="58" t="s">
        <v>172</v>
      </c>
      <c r="E4990" s="60">
        <f>13-0+19-0+52-45</f>
        <v>39</v>
      </c>
      <c r="F4990" s="58">
        <v>913</v>
      </c>
      <c r="G4990" s="58" t="s">
        <v>361</v>
      </c>
      <c r="H4990" s="58" t="s">
        <v>390</v>
      </c>
      <c r="I4990" s="58" t="s">
        <v>869</v>
      </c>
      <c r="J4990" s="59">
        <v>45132</v>
      </c>
      <c r="L4990" s="58" t="s">
        <v>627</v>
      </c>
    </row>
    <row r="4991" spans="1:12" s="58" customFormat="1" x14ac:dyDescent="0.75">
      <c r="A4991" s="58" t="s">
        <v>143</v>
      </c>
      <c r="B4991" s="59">
        <v>45097</v>
      </c>
      <c r="C4991" s="58">
        <v>1</v>
      </c>
      <c r="D4991" s="58" t="s">
        <v>172</v>
      </c>
      <c r="E4991" s="60">
        <f>10-4</f>
        <v>6</v>
      </c>
      <c r="F4991" s="58" t="s">
        <v>363</v>
      </c>
      <c r="G4991" s="58" t="s">
        <v>869</v>
      </c>
      <c r="H4991" s="58" t="s">
        <v>928</v>
      </c>
      <c r="I4991" s="58" t="s">
        <v>869</v>
      </c>
      <c r="J4991" s="59">
        <v>45132</v>
      </c>
      <c r="K4991" s="58" t="s">
        <v>982</v>
      </c>
      <c r="L4991" s="58" t="s">
        <v>627</v>
      </c>
    </row>
    <row r="4992" spans="1:12" s="58" customFormat="1" x14ac:dyDescent="0.75">
      <c r="A4992" s="58" t="s">
        <v>143</v>
      </c>
      <c r="B4992" s="59">
        <v>45097</v>
      </c>
      <c r="C4992" s="58">
        <v>1</v>
      </c>
      <c r="D4992" s="58" t="s">
        <v>172</v>
      </c>
      <c r="E4992" s="60">
        <f>4-1</f>
        <v>3</v>
      </c>
      <c r="F4992" s="58" t="s">
        <v>363</v>
      </c>
      <c r="G4992" s="58" t="s">
        <v>869</v>
      </c>
      <c r="H4992" s="58" t="s">
        <v>928</v>
      </c>
      <c r="I4992" s="58" t="s">
        <v>869</v>
      </c>
      <c r="J4992" s="59">
        <v>45132</v>
      </c>
      <c r="L4992" s="58" t="s">
        <v>627</v>
      </c>
    </row>
    <row r="4993" spans="1:12" s="58" customFormat="1" x14ac:dyDescent="0.75">
      <c r="A4993" s="58" t="s">
        <v>143</v>
      </c>
      <c r="B4993" s="59">
        <v>45097</v>
      </c>
      <c r="C4993" s="58">
        <v>1</v>
      </c>
      <c r="D4993" s="58" t="s">
        <v>201</v>
      </c>
      <c r="E4993" s="60">
        <v>1</v>
      </c>
      <c r="F4993" s="58" t="s">
        <v>363</v>
      </c>
      <c r="G4993" s="58" t="s">
        <v>869</v>
      </c>
      <c r="H4993" s="58" t="s">
        <v>928</v>
      </c>
      <c r="I4993" s="58" t="s">
        <v>869</v>
      </c>
      <c r="J4993" s="59">
        <v>45132</v>
      </c>
      <c r="L4993" s="58" t="s">
        <v>869</v>
      </c>
    </row>
    <row r="4994" spans="1:12" x14ac:dyDescent="0.75">
      <c r="A4994" t="s">
        <v>64</v>
      </c>
      <c r="B4994" s="3">
        <v>45097</v>
      </c>
      <c r="C4994">
        <v>2</v>
      </c>
      <c r="D4994" t="s">
        <v>164</v>
      </c>
      <c r="E4994" s="22">
        <f>47-15</f>
        <v>32</v>
      </c>
      <c r="F4994" t="s">
        <v>363</v>
      </c>
      <c r="G4994" t="s">
        <v>361</v>
      </c>
      <c r="H4994" t="s">
        <v>928</v>
      </c>
      <c r="I4994" t="s">
        <v>869</v>
      </c>
      <c r="J4994" s="3">
        <v>45132</v>
      </c>
      <c r="L4994" t="s">
        <v>627</v>
      </c>
    </row>
    <row r="4995" spans="1:12" x14ac:dyDescent="0.75">
      <c r="A4995" t="s">
        <v>64</v>
      </c>
      <c r="B4995" s="3">
        <v>45097</v>
      </c>
      <c r="C4995">
        <v>2</v>
      </c>
      <c r="D4995" t="s">
        <v>201</v>
      </c>
      <c r="E4995" s="22">
        <f>45-13</f>
        <v>32</v>
      </c>
      <c r="F4995" t="s">
        <v>363</v>
      </c>
      <c r="G4995" t="s">
        <v>869</v>
      </c>
      <c r="H4995" t="s">
        <v>928</v>
      </c>
      <c r="I4995" t="s">
        <v>869</v>
      </c>
      <c r="J4995" s="3">
        <v>45132</v>
      </c>
      <c r="L4995" t="s">
        <v>627</v>
      </c>
    </row>
    <row r="4996" spans="1:12" x14ac:dyDescent="0.75">
      <c r="A4996" t="s">
        <v>64</v>
      </c>
      <c r="B4996" s="3">
        <v>45097</v>
      </c>
      <c r="C4996">
        <v>2</v>
      </c>
      <c r="D4996" t="s">
        <v>168</v>
      </c>
      <c r="E4996" s="22">
        <f>13-9</f>
        <v>4</v>
      </c>
      <c r="F4996" t="s">
        <v>363</v>
      </c>
      <c r="G4996" t="s">
        <v>869</v>
      </c>
      <c r="H4996" t="s">
        <v>928</v>
      </c>
      <c r="I4996" t="s">
        <v>869</v>
      </c>
      <c r="J4996" s="3">
        <v>45132</v>
      </c>
      <c r="L4996" t="s">
        <v>627</v>
      </c>
    </row>
    <row r="4997" spans="1:12" x14ac:dyDescent="0.75">
      <c r="A4997" t="s">
        <v>64</v>
      </c>
      <c r="B4997" s="3">
        <v>45097</v>
      </c>
      <c r="C4997">
        <v>2</v>
      </c>
      <c r="D4997" t="s">
        <v>160</v>
      </c>
      <c r="E4997" s="22">
        <f>45-10</f>
        <v>35</v>
      </c>
      <c r="F4997" s="10" t="s">
        <v>983</v>
      </c>
      <c r="G4997" t="s">
        <v>869</v>
      </c>
      <c r="H4997" t="s">
        <v>390</v>
      </c>
      <c r="I4997" t="s">
        <v>869</v>
      </c>
      <c r="J4997" s="3">
        <v>45132</v>
      </c>
      <c r="L4997" t="s">
        <v>627</v>
      </c>
    </row>
    <row r="4998" spans="1:12" x14ac:dyDescent="0.75">
      <c r="A4998" t="s">
        <v>64</v>
      </c>
      <c r="B4998" s="3">
        <v>45097</v>
      </c>
      <c r="C4998">
        <v>2</v>
      </c>
      <c r="D4998" t="s">
        <v>164</v>
      </c>
      <c r="E4998" s="22">
        <f>10-4</f>
        <v>6</v>
      </c>
      <c r="F4998" t="s">
        <v>363</v>
      </c>
      <c r="G4998" t="s">
        <v>869</v>
      </c>
      <c r="H4998" t="s">
        <v>928</v>
      </c>
      <c r="I4998" t="s">
        <v>869</v>
      </c>
      <c r="J4998" s="3">
        <v>45132</v>
      </c>
      <c r="L4998" t="s">
        <v>627</v>
      </c>
    </row>
    <row r="4999" spans="1:12" s="58" customFormat="1" x14ac:dyDescent="0.75">
      <c r="A4999" s="58" t="s">
        <v>39</v>
      </c>
      <c r="B4999" s="59">
        <v>45104</v>
      </c>
      <c r="C4999" s="58">
        <v>1</v>
      </c>
      <c r="D4999" s="58" t="s">
        <v>194</v>
      </c>
      <c r="E4999" s="60">
        <f>56-48-2</f>
        <v>6</v>
      </c>
      <c r="F4999" s="58" t="s">
        <v>363</v>
      </c>
      <c r="G4999" s="58" t="s">
        <v>361</v>
      </c>
      <c r="H4999" s="58" t="s">
        <v>928</v>
      </c>
      <c r="K4999" s="58" t="s">
        <v>933</v>
      </c>
      <c r="L4999" s="58" t="s">
        <v>869</v>
      </c>
    </row>
    <row r="5000" spans="1:12" s="58" customFormat="1" x14ac:dyDescent="0.75">
      <c r="A5000" s="58" t="s">
        <v>39</v>
      </c>
      <c r="B5000" s="59">
        <v>45104</v>
      </c>
      <c r="C5000" s="58">
        <v>1</v>
      </c>
      <c r="D5000" s="58" t="s">
        <v>207</v>
      </c>
      <c r="E5000" s="60">
        <f>48-37</f>
        <v>11</v>
      </c>
      <c r="F5000" s="58" t="s">
        <v>363</v>
      </c>
      <c r="G5000" s="58" t="s">
        <v>361</v>
      </c>
      <c r="H5000" s="58" t="s">
        <v>928</v>
      </c>
      <c r="K5000" s="58" t="s">
        <v>984</v>
      </c>
      <c r="L5000" s="58" t="s">
        <v>869</v>
      </c>
    </row>
    <row r="5001" spans="1:12" s="58" customFormat="1" x14ac:dyDescent="0.75">
      <c r="A5001" s="58" t="s">
        <v>39</v>
      </c>
      <c r="B5001" s="59">
        <v>45104</v>
      </c>
      <c r="C5001" s="58">
        <v>1</v>
      </c>
      <c r="D5001" s="58" t="s">
        <v>207</v>
      </c>
      <c r="E5001" s="60">
        <f>38-27</f>
        <v>11</v>
      </c>
      <c r="F5001" s="58" t="s">
        <v>363</v>
      </c>
      <c r="G5001" s="58" t="s">
        <v>361</v>
      </c>
      <c r="H5001" s="58" t="s">
        <v>928</v>
      </c>
      <c r="L5001" s="58" t="s">
        <v>869</v>
      </c>
    </row>
    <row r="5002" spans="1:12" s="58" customFormat="1" x14ac:dyDescent="0.75">
      <c r="A5002" s="58" t="s">
        <v>39</v>
      </c>
      <c r="B5002" s="59">
        <v>45104</v>
      </c>
      <c r="C5002" s="58">
        <v>1</v>
      </c>
      <c r="D5002" s="58" t="s">
        <v>207</v>
      </c>
      <c r="E5002" s="60">
        <f>27-18</f>
        <v>9</v>
      </c>
      <c r="F5002" s="58" t="s">
        <v>363</v>
      </c>
      <c r="G5002" s="58" t="s">
        <v>361</v>
      </c>
      <c r="H5002" s="58" t="s">
        <v>928</v>
      </c>
      <c r="L5002" s="58" t="s">
        <v>869</v>
      </c>
    </row>
    <row r="5003" spans="1:12" s="58" customFormat="1" x14ac:dyDescent="0.75">
      <c r="A5003" s="58" t="s">
        <v>39</v>
      </c>
      <c r="B5003" s="59">
        <v>45104</v>
      </c>
      <c r="C5003" s="58">
        <v>1</v>
      </c>
      <c r="D5003" s="58" t="s">
        <v>153</v>
      </c>
      <c r="E5003" s="60">
        <f>18-16</f>
        <v>2</v>
      </c>
      <c r="F5003" s="58" t="s">
        <v>363</v>
      </c>
      <c r="G5003" s="58" t="s">
        <v>361</v>
      </c>
      <c r="H5003" s="58" t="s">
        <v>928</v>
      </c>
      <c r="L5003" s="58" t="s">
        <v>869</v>
      </c>
    </row>
    <row r="5004" spans="1:12" s="58" customFormat="1" x14ac:dyDescent="0.75">
      <c r="A5004" s="58" t="s">
        <v>39</v>
      </c>
      <c r="B5004" s="59">
        <v>45104</v>
      </c>
      <c r="C5004" s="58">
        <v>1</v>
      </c>
      <c r="D5004" s="58" t="s">
        <v>197</v>
      </c>
      <c r="E5004" s="60">
        <f>16-8</f>
        <v>8</v>
      </c>
      <c r="F5004" s="58" t="s">
        <v>363</v>
      </c>
      <c r="G5004" s="58" t="s">
        <v>361</v>
      </c>
      <c r="H5004" s="58" t="s">
        <v>928</v>
      </c>
      <c r="L5004" s="58" t="s">
        <v>869</v>
      </c>
    </row>
    <row r="5005" spans="1:12" s="58" customFormat="1" x14ac:dyDescent="0.75">
      <c r="A5005" s="58" t="s">
        <v>39</v>
      </c>
      <c r="B5005" s="59">
        <v>45104</v>
      </c>
      <c r="C5005" s="58">
        <v>1</v>
      </c>
      <c r="D5005" s="58" t="s">
        <v>207</v>
      </c>
      <c r="E5005" s="60">
        <f>45-32</f>
        <v>13</v>
      </c>
      <c r="F5005" s="58" t="s">
        <v>363</v>
      </c>
      <c r="G5005" s="58" t="s">
        <v>869</v>
      </c>
      <c r="H5005" s="58" t="s">
        <v>928</v>
      </c>
      <c r="K5005" s="58" t="s">
        <v>985</v>
      </c>
      <c r="L5005" s="58" t="s">
        <v>869</v>
      </c>
    </row>
    <row r="5006" spans="1:12" s="58" customFormat="1" x14ac:dyDescent="0.75">
      <c r="A5006" s="58" t="s">
        <v>39</v>
      </c>
      <c r="B5006" s="59">
        <v>45104</v>
      </c>
      <c r="C5006" s="58">
        <v>1</v>
      </c>
      <c r="D5006" s="58" t="s">
        <v>201</v>
      </c>
      <c r="E5006" s="60">
        <f>32-29</f>
        <v>3</v>
      </c>
      <c r="F5006" s="58" t="s">
        <v>363</v>
      </c>
      <c r="G5006" s="58" t="s">
        <v>869</v>
      </c>
      <c r="H5006" s="58" t="s">
        <v>928</v>
      </c>
      <c r="L5006" s="58" t="s">
        <v>869</v>
      </c>
    </row>
    <row r="5007" spans="1:12" s="58" customFormat="1" x14ac:dyDescent="0.75">
      <c r="A5007" s="58" t="s">
        <v>39</v>
      </c>
      <c r="B5007" s="59">
        <v>45104</v>
      </c>
      <c r="C5007" s="58">
        <v>1</v>
      </c>
      <c r="D5007" s="58" t="s">
        <v>199</v>
      </c>
      <c r="E5007" s="60">
        <f>29-28</f>
        <v>1</v>
      </c>
      <c r="F5007" s="58" t="s">
        <v>363</v>
      </c>
      <c r="G5007" s="58" t="s">
        <v>869</v>
      </c>
      <c r="H5007" s="58" t="s">
        <v>928</v>
      </c>
      <c r="L5007" s="58" t="s">
        <v>869</v>
      </c>
    </row>
    <row r="5008" spans="1:12" s="58" customFormat="1" x14ac:dyDescent="0.75">
      <c r="A5008" s="58" t="s">
        <v>39</v>
      </c>
      <c r="B5008" s="59">
        <v>45104</v>
      </c>
      <c r="C5008" s="58">
        <v>1</v>
      </c>
      <c r="D5008" s="58" t="s">
        <v>205</v>
      </c>
      <c r="E5008" s="60">
        <f>28-25</f>
        <v>3</v>
      </c>
      <c r="F5008" s="58" t="s">
        <v>363</v>
      </c>
      <c r="G5008" s="58" t="s">
        <v>869</v>
      </c>
      <c r="H5008" s="58" t="s">
        <v>928</v>
      </c>
      <c r="L5008" s="58" t="s">
        <v>869</v>
      </c>
    </row>
    <row r="5009" spans="1:12" s="58" customFormat="1" x14ac:dyDescent="0.75">
      <c r="A5009" s="58" t="s">
        <v>39</v>
      </c>
      <c r="B5009" s="59">
        <v>45104</v>
      </c>
      <c r="C5009" s="58">
        <v>1</v>
      </c>
      <c r="D5009" s="58" t="s">
        <v>197</v>
      </c>
      <c r="E5009" s="60">
        <f>25-0+51-6</f>
        <v>70</v>
      </c>
      <c r="F5009" s="58">
        <v>973</v>
      </c>
      <c r="G5009" s="58" t="s">
        <v>869</v>
      </c>
      <c r="H5009" s="58" t="s">
        <v>390</v>
      </c>
      <c r="L5009" s="58" t="s">
        <v>869</v>
      </c>
    </row>
    <row r="5010" spans="1:12" s="58" customFormat="1" x14ac:dyDescent="0.75">
      <c r="A5010" s="58" t="s">
        <v>39</v>
      </c>
      <c r="B5010" s="59">
        <v>45104</v>
      </c>
      <c r="C5010" s="58">
        <v>1</v>
      </c>
      <c r="D5010" s="58" t="s">
        <v>194</v>
      </c>
      <c r="E5010" s="60">
        <f>48-38</f>
        <v>10</v>
      </c>
      <c r="F5010" s="58" t="s">
        <v>363</v>
      </c>
      <c r="G5010" s="58" t="s">
        <v>869</v>
      </c>
      <c r="H5010" s="58" t="s">
        <v>928</v>
      </c>
      <c r="K5010" s="58" t="s">
        <v>986</v>
      </c>
      <c r="L5010" s="58" t="s">
        <v>869</v>
      </c>
    </row>
    <row r="5011" spans="1:12" s="58" customFormat="1" x14ac:dyDescent="0.75">
      <c r="A5011" s="58" t="s">
        <v>39</v>
      </c>
      <c r="B5011" s="59">
        <v>45104</v>
      </c>
      <c r="C5011" s="58">
        <v>1</v>
      </c>
      <c r="D5011" s="58" t="s">
        <v>201</v>
      </c>
      <c r="E5011" s="60">
        <f>38-36</f>
        <v>2</v>
      </c>
      <c r="F5011" s="58" t="s">
        <v>363</v>
      </c>
      <c r="G5011" s="58" t="s">
        <v>869</v>
      </c>
      <c r="H5011" s="58" t="s">
        <v>928</v>
      </c>
      <c r="L5011" s="58" t="s">
        <v>869</v>
      </c>
    </row>
    <row r="5012" spans="1:12" s="58" customFormat="1" x14ac:dyDescent="0.75">
      <c r="A5012" s="58" t="s">
        <v>39</v>
      </c>
      <c r="B5012" s="59">
        <v>45104</v>
      </c>
      <c r="C5012" s="58">
        <v>1</v>
      </c>
      <c r="D5012" s="58" t="s">
        <v>201</v>
      </c>
      <c r="E5012" s="60">
        <f>36-20</f>
        <v>16</v>
      </c>
      <c r="F5012" s="58" t="s">
        <v>363</v>
      </c>
      <c r="G5012" s="58" t="s">
        <v>869</v>
      </c>
      <c r="H5012" s="58" t="s">
        <v>928</v>
      </c>
      <c r="L5012" s="58" t="s">
        <v>869</v>
      </c>
    </row>
    <row r="5013" spans="1:12" s="58" customFormat="1" x14ac:dyDescent="0.75">
      <c r="A5013" s="58" t="s">
        <v>39</v>
      </c>
      <c r="B5013" s="59">
        <v>45104</v>
      </c>
      <c r="C5013" s="58">
        <v>1</v>
      </c>
      <c r="D5013" s="58" t="s">
        <v>153</v>
      </c>
      <c r="E5013" s="60">
        <f>20-16</f>
        <v>4</v>
      </c>
      <c r="F5013" s="58" t="s">
        <v>363</v>
      </c>
      <c r="G5013" s="58" t="s">
        <v>869</v>
      </c>
      <c r="H5013" s="58" t="s">
        <v>928</v>
      </c>
      <c r="L5013" s="58" t="s">
        <v>869</v>
      </c>
    </row>
    <row r="5014" spans="1:12" s="58" customFormat="1" x14ac:dyDescent="0.75">
      <c r="A5014" s="58" t="s">
        <v>39</v>
      </c>
      <c r="B5014" s="59">
        <v>45104</v>
      </c>
      <c r="C5014" s="58">
        <v>1</v>
      </c>
      <c r="D5014" s="58" t="s">
        <v>160</v>
      </c>
      <c r="E5014" s="60">
        <f>16-11</f>
        <v>5</v>
      </c>
      <c r="F5014" s="58" t="s">
        <v>363</v>
      </c>
      <c r="G5014" s="58" t="s">
        <v>869</v>
      </c>
      <c r="H5014" s="58" t="s">
        <v>928</v>
      </c>
      <c r="K5014" s="58" t="s">
        <v>987</v>
      </c>
      <c r="L5014" s="58" t="s">
        <v>869</v>
      </c>
    </row>
    <row r="5015" spans="1:12" s="58" customFormat="1" x14ac:dyDescent="0.75">
      <c r="A5015" s="58" t="s">
        <v>39</v>
      </c>
      <c r="B5015" s="59">
        <v>45104</v>
      </c>
      <c r="C5015" s="58">
        <v>1</v>
      </c>
      <c r="D5015" s="58" t="s">
        <v>207</v>
      </c>
      <c r="E5015" s="60">
        <f>11-4</f>
        <v>7</v>
      </c>
      <c r="F5015" s="58" t="s">
        <v>363</v>
      </c>
      <c r="G5015" s="58" t="s">
        <v>869</v>
      </c>
      <c r="H5015" s="58" t="s">
        <v>928</v>
      </c>
      <c r="L5015" s="58" t="s">
        <v>869</v>
      </c>
    </row>
    <row r="5016" spans="1:12" x14ac:dyDescent="0.75">
      <c r="A5016" t="s">
        <v>23</v>
      </c>
      <c r="B5016" s="3">
        <v>45104</v>
      </c>
      <c r="C5016">
        <v>1</v>
      </c>
      <c r="D5016" t="s">
        <v>160</v>
      </c>
      <c r="E5016" s="22">
        <f>9-0</f>
        <v>9</v>
      </c>
      <c r="F5016">
        <v>3884</v>
      </c>
      <c r="G5016" t="s">
        <v>361</v>
      </c>
      <c r="H5016" t="s">
        <v>390</v>
      </c>
      <c r="L5016" t="s">
        <v>869</v>
      </c>
    </row>
    <row r="5017" spans="1:12" s="58" customFormat="1" x14ac:dyDescent="0.75">
      <c r="A5017" s="58" t="s">
        <v>23</v>
      </c>
      <c r="B5017" s="59">
        <v>45104</v>
      </c>
      <c r="C5017" s="58">
        <v>2</v>
      </c>
      <c r="D5017" s="58" t="s">
        <v>207</v>
      </c>
      <c r="E5017" s="60">
        <f>4-0</f>
        <v>4</v>
      </c>
      <c r="F5017" s="58" t="s">
        <v>363</v>
      </c>
      <c r="G5017" s="58" t="s">
        <v>869</v>
      </c>
      <c r="H5017" s="58" t="s">
        <v>928</v>
      </c>
      <c r="L5017" s="58" t="s">
        <v>869</v>
      </c>
    </row>
    <row r="5018" spans="1:12" s="58" customFormat="1" x14ac:dyDescent="0.75">
      <c r="A5018" s="58" t="s">
        <v>23</v>
      </c>
      <c r="B5018" s="59">
        <v>45104</v>
      </c>
      <c r="C5018" s="58">
        <v>2</v>
      </c>
      <c r="D5018" s="58" t="s">
        <v>194</v>
      </c>
      <c r="E5018" s="60">
        <f>6-3</f>
        <v>3</v>
      </c>
      <c r="F5018" s="58" t="s">
        <v>363</v>
      </c>
      <c r="G5018" s="58" t="s">
        <v>869</v>
      </c>
      <c r="H5018" s="58" t="s">
        <v>928</v>
      </c>
      <c r="L5018" s="58" t="s">
        <v>869</v>
      </c>
    </row>
    <row r="5019" spans="1:12" s="58" customFormat="1" x14ac:dyDescent="0.75">
      <c r="A5019" s="58" t="s">
        <v>23</v>
      </c>
      <c r="B5019" s="59">
        <v>45104</v>
      </c>
      <c r="C5019" s="58">
        <v>2</v>
      </c>
      <c r="D5019" s="58" t="s">
        <v>201</v>
      </c>
      <c r="E5019" s="60">
        <f>48-27</f>
        <v>21</v>
      </c>
      <c r="F5019" s="58" t="s">
        <v>363</v>
      </c>
      <c r="G5019" s="58" t="s">
        <v>869</v>
      </c>
      <c r="H5019" s="58" t="s">
        <v>928</v>
      </c>
      <c r="L5019" s="58" t="s">
        <v>869</v>
      </c>
    </row>
    <row r="5020" spans="1:12" s="58" customFormat="1" x14ac:dyDescent="0.75">
      <c r="A5020" s="58" t="s">
        <v>23</v>
      </c>
      <c r="B5020" s="59">
        <v>45104</v>
      </c>
      <c r="C5020" s="58">
        <v>2</v>
      </c>
      <c r="D5020" s="58" t="s">
        <v>164</v>
      </c>
      <c r="E5020" s="60">
        <f>27-3</f>
        <v>24</v>
      </c>
      <c r="F5020" s="58" t="s">
        <v>363</v>
      </c>
      <c r="G5020" s="58" t="s">
        <v>869</v>
      </c>
      <c r="H5020" s="58" t="s">
        <v>928</v>
      </c>
      <c r="L5020" s="58" t="s">
        <v>869</v>
      </c>
    </row>
    <row r="5021" spans="1:12" s="58" customFormat="1" x14ac:dyDescent="0.75">
      <c r="A5021" s="58" t="s">
        <v>23</v>
      </c>
      <c r="B5021" s="59">
        <v>45104</v>
      </c>
      <c r="C5021" s="58">
        <v>2</v>
      </c>
      <c r="D5021" s="58" t="s">
        <v>197</v>
      </c>
      <c r="E5021" s="60">
        <f>3-0+4-0</f>
        <v>7</v>
      </c>
      <c r="F5021" s="58" t="s">
        <v>363</v>
      </c>
      <c r="G5021" s="58" t="s">
        <v>869</v>
      </c>
      <c r="H5021" s="58" t="s">
        <v>928</v>
      </c>
      <c r="K5021" s="58" t="s">
        <v>988</v>
      </c>
      <c r="L5021" s="58" t="s">
        <v>869</v>
      </c>
    </row>
    <row r="5022" spans="1:12" x14ac:dyDescent="0.75">
      <c r="A5022" t="s">
        <v>69</v>
      </c>
      <c r="B5022" s="3">
        <v>45105</v>
      </c>
      <c r="C5022">
        <v>1</v>
      </c>
      <c r="D5022" t="s">
        <v>197</v>
      </c>
      <c r="E5022" s="22">
        <f>57-50-2</f>
        <v>5</v>
      </c>
      <c r="F5022" t="s">
        <v>363</v>
      </c>
      <c r="G5022" t="s">
        <v>361</v>
      </c>
      <c r="H5022" t="s">
        <v>928</v>
      </c>
      <c r="K5022" t="s">
        <v>933</v>
      </c>
      <c r="L5022" t="s">
        <v>869</v>
      </c>
    </row>
    <row r="5023" spans="1:12" x14ac:dyDescent="0.75">
      <c r="A5023" t="s">
        <v>69</v>
      </c>
      <c r="B5023" s="3">
        <v>45105</v>
      </c>
      <c r="C5023">
        <v>1</v>
      </c>
      <c r="D5023" t="s">
        <v>197</v>
      </c>
      <c r="E5023" s="22">
        <f>50-46</f>
        <v>4</v>
      </c>
      <c r="F5023" t="s">
        <v>363</v>
      </c>
      <c r="G5023" t="s">
        <v>361</v>
      </c>
      <c r="H5023" t="s">
        <v>928</v>
      </c>
      <c r="L5023" t="s">
        <v>869</v>
      </c>
    </row>
    <row r="5024" spans="1:12" x14ac:dyDescent="0.75">
      <c r="A5024" t="s">
        <v>69</v>
      </c>
      <c r="B5024" s="3">
        <v>45105</v>
      </c>
      <c r="C5024">
        <v>1</v>
      </c>
      <c r="D5024" t="s">
        <v>215</v>
      </c>
      <c r="E5024" s="22">
        <f>46-40</f>
        <v>6</v>
      </c>
      <c r="F5024" t="s">
        <v>363</v>
      </c>
      <c r="G5024" t="s">
        <v>361</v>
      </c>
      <c r="H5024" t="s">
        <v>928</v>
      </c>
      <c r="L5024" t="s">
        <v>869</v>
      </c>
    </row>
    <row r="5025" spans="1:12" x14ac:dyDescent="0.75">
      <c r="A5025" t="s">
        <v>69</v>
      </c>
      <c r="B5025" s="3">
        <v>45105</v>
      </c>
      <c r="C5025">
        <v>1</v>
      </c>
      <c r="D5025" t="s">
        <v>197</v>
      </c>
      <c r="E5025" s="22">
        <f>40-36</f>
        <v>4</v>
      </c>
      <c r="F5025" t="s">
        <v>363</v>
      </c>
      <c r="G5025" t="s">
        <v>361</v>
      </c>
      <c r="H5025" t="s">
        <v>928</v>
      </c>
      <c r="L5025" t="s">
        <v>869</v>
      </c>
    </row>
    <row r="5026" spans="1:12" x14ac:dyDescent="0.75">
      <c r="A5026" t="s">
        <v>69</v>
      </c>
      <c r="B5026" s="3">
        <v>45105</v>
      </c>
      <c r="C5026">
        <v>1</v>
      </c>
      <c r="D5026" t="s">
        <v>197</v>
      </c>
      <c r="E5026" s="22">
        <f>36-33</f>
        <v>3</v>
      </c>
      <c r="F5026" t="s">
        <v>363</v>
      </c>
      <c r="G5026" t="s">
        <v>361</v>
      </c>
      <c r="H5026" t="s">
        <v>928</v>
      </c>
      <c r="L5026" t="s">
        <v>869</v>
      </c>
    </row>
    <row r="5027" spans="1:12" x14ac:dyDescent="0.75">
      <c r="A5027" t="s">
        <v>69</v>
      </c>
      <c r="B5027" s="3">
        <v>45105</v>
      </c>
      <c r="C5027">
        <v>1</v>
      </c>
      <c r="D5027" t="s">
        <v>197</v>
      </c>
      <c r="E5027" s="22">
        <f>53-42</f>
        <v>11</v>
      </c>
      <c r="F5027" t="s">
        <v>363</v>
      </c>
      <c r="G5027" t="s">
        <v>733</v>
      </c>
      <c r="H5027" t="s">
        <v>928</v>
      </c>
      <c r="L5027" t="s">
        <v>869</v>
      </c>
    </row>
    <row r="5028" spans="1:12" s="58" customFormat="1" x14ac:dyDescent="0.75">
      <c r="A5028" s="58" t="s">
        <v>69</v>
      </c>
      <c r="B5028" s="59">
        <v>45105</v>
      </c>
      <c r="C5028" s="58">
        <v>2</v>
      </c>
      <c r="D5028" s="58" t="s">
        <v>197</v>
      </c>
      <c r="E5028" s="60">
        <f>33-0+60-47-2</f>
        <v>44</v>
      </c>
      <c r="F5028" s="58" t="s">
        <v>363</v>
      </c>
      <c r="G5028" s="58" t="s">
        <v>361</v>
      </c>
      <c r="H5028" s="58" t="s">
        <v>928</v>
      </c>
      <c r="K5028" s="58" t="s">
        <v>933</v>
      </c>
      <c r="L5028" s="58" t="s">
        <v>869</v>
      </c>
    </row>
    <row r="5029" spans="1:12" s="58" customFormat="1" x14ac:dyDescent="0.75">
      <c r="A5029" s="58" t="s">
        <v>69</v>
      </c>
      <c r="B5029" s="59">
        <v>45105</v>
      </c>
      <c r="C5029" s="58">
        <v>2</v>
      </c>
      <c r="D5029" s="58" t="s">
        <v>164</v>
      </c>
      <c r="E5029" s="60">
        <f>47-41</f>
        <v>6</v>
      </c>
      <c r="F5029" s="58" t="s">
        <v>363</v>
      </c>
      <c r="G5029" s="58" t="s">
        <v>361</v>
      </c>
      <c r="H5029" s="58" t="s">
        <v>928</v>
      </c>
      <c r="L5029" s="58" t="s">
        <v>869</v>
      </c>
    </row>
    <row r="5030" spans="1:12" s="58" customFormat="1" x14ac:dyDescent="0.75">
      <c r="A5030" s="58" t="s">
        <v>69</v>
      </c>
      <c r="B5030" s="59">
        <v>45105</v>
      </c>
      <c r="C5030" s="58">
        <v>2</v>
      </c>
      <c r="D5030" s="58" t="s">
        <v>194</v>
      </c>
      <c r="E5030" s="60">
        <f>41-30</f>
        <v>11</v>
      </c>
      <c r="F5030" s="58" t="s">
        <v>363</v>
      </c>
      <c r="G5030" s="58" t="s">
        <v>361</v>
      </c>
      <c r="H5030" s="58" t="s">
        <v>928</v>
      </c>
      <c r="L5030" s="58" t="s">
        <v>869</v>
      </c>
    </row>
    <row r="5031" spans="1:12" s="58" customFormat="1" x14ac:dyDescent="0.75">
      <c r="A5031" s="58" t="s">
        <v>69</v>
      </c>
      <c r="B5031" s="59">
        <v>45105</v>
      </c>
      <c r="C5031" s="58">
        <v>2</v>
      </c>
      <c r="D5031" s="58" t="s">
        <v>194</v>
      </c>
      <c r="E5031" s="60">
        <f>30-26</f>
        <v>4</v>
      </c>
      <c r="F5031" s="58" t="s">
        <v>363</v>
      </c>
      <c r="G5031" s="58" t="s">
        <v>361</v>
      </c>
      <c r="H5031" s="58" t="s">
        <v>928</v>
      </c>
      <c r="K5031" s="58" t="s">
        <v>989</v>
      </c>
      <c r="L5031" s="58" t="s">
        <v>869</v>
      </c>
    </row>
    <row r="5032" spans="1:12" s="58" customFormat="1" x14ac:dyDescent="0.75">
      <c r="A5032" s="58" t="s">
        <v>69</v>
      </c>
      <c r="B5032" s="59">
        <v>45105</v>
      </c>
      <c r="C5032" s="58">
        <v>2</v>
      </c>
      <c r="D5032" s="58" t="s">
        <v>191</v>
      </c>
      <c r="E5032" s="60">
        <f>26-24</f>
        <v>2</v>
      </c>
      <c r="F5032" s="58" t="s">
        <v>363</v>
      </c>
      <c r="G5032" s="58" t="s">
        <v>361</v>
      </c>
      <c r="H5032" s="58" t="s">
        <v>928</v>
      </c>
      <c r="L5032" s="58" t="s">
        <v>869</v>
      </c>
    </row>
    <row r="5033" spans="1:12" s="58" customFormat="1" x14ac:dyDescent="0.75">
      <c r="A5033" s="58" t="s">
        <v>69</v>
      </c>
      <c r="B5033" s="59">
        <v>45105</v>
      </c>
      <c r="C5033" s="58">
        <v>2</v>
      </c>
      <c r="D5033" s="58" t="s">
        <v>197</v>
      </c>
      <c r="E5033" s="60">
        <f>33-10</f>
        <v>23</v>
      </c>
      <c r="F5033" s="58" t="s">
        <v>363</v>
      </c>
      <c r="G5033" s="58" t="s">
        <v>733</v>
      </c>
      <c r="H5033" s="58" t="s">
        <v>928</v>
      </c>
      <c r="L5033" s="58" t="s">
        <v>869</v>
      </c>
    </row>
    <row r="5034" spans="1:12" s="58" customFormat="1" x14ac:dyDescent="0.75">
      <c r="A5034" s="58" t="s">
        <v>69</v>
      </c>
      <c r="B5034" s="59">
        <v>45105</v>
      </c>
      <c r="C5034" s="58">
        <v>2</v>
      </c>
      <c r="D5034" s="58" t="s">
        <v>164</v>
      </c>
      <c r="E5034" s="60">
        <f>10-0+55-32</f>
        <v>33</v>
      </c>
      <c r="F5034" s="58" t="s">
        <v>363</v>
      </c>
      <c r="G5034" s="58" t="s">
        <v>733</v>
      </c>
      <c r="H5034" s="58" t="s">
        <v>928</v>
      </c>
      <c r="L5034" s="58" t="s">
        <v>869</v>
      </c>
    </row>
    <row r="5035" spans="1:12" s="58" customFormat="1" x14ac:dyDescent="0.75">
      <c r="A5035" s="58" t="s">
        <v>69</v>
      </c>
      <c r="B5035" s="59">
        <v>45105</v>
      </c>
      <c r="C5035" s="58">
        <v>2</v>
      </c>
      <c r="D5035" s="58" t="s">
        <v>164</v>
      </c>
      <c r="E5035" s="60">
        <f>32-12</f>
        <v>20</v>
      </c>
      <c r="F5035" s="58" t="s">
        <v>363</v>
      </c>
      <c r="G5035" s="58" t="s">
        <v>733</v>
      </c>
      <c r="H5035" s="58" t="s">
        <v>928</v>
      </c>
      <c r="L5035" s="58" t="s">
        <v>869</v>
      </c>
    </row>
    <row r="5036" spans="1:12" x14ac:dyDescent="0.75">
      <c r="A5036" t="s">
        <v>28</v>
      </c>
      <c r="B5036" s="3">
        <v>45112</v>
      </c>
      <c r="C5036">
        <v>1</v>
      </c>
      <c r="D5036" t="s">
        <v>207</v>
      </c>
      <c r="E5036" s="22">
        <f>25-20</f>
        <v>5</v>
      </c>
      <c r="F5036" t="s">
        <v>363</v>
      </c>
      <c r="G5036" t="s">
        <v>361</v>
      </c>
      <c r="H5036" t="s">
        <v>928</v>
      </c>
      <c r="I5036" t="s">
        <v>869</v>
      </c>
      <c r="J5036" s="3">
        <v>45153</v>
      </c>
      <c r="L5036" t="s">
        <v>628</v>
      </c>
    </row>
    <row r="5037" spans="1:12" s="58" customFormat="1" x14ac:dyDescent="0.75">
      <c r="A5037" s="58" t="s">
        <v>33</v>
      </c>
      <c r="B5037" s="59">
        <v>45112</v>
      </c>
      <c r="C5037" s="58">
        <v>1</v>
      </c>
      <c r="D5037" s="58" t="s">
        <v>201</v>
      </c>
      <c r="E5037" s="60">
        <f>39-30</f>
        <v>9</v>
      </c>
      <c r="F5037" s="58" t="s">
        <v>363</v>
      </c>
      <c r="G5037" s="58" t="s">
        <v>733</v>
      </c>
      <c r="H5037" s="58" t="s">
        <v>928</v>
      </c>
      <c r="I5037" s="58" t="s">
        <v>869</v>
      </c>
      <c r="J5037" s="59">
        <v>45153</v>
      </c>
      <c r="L5037" s="58" t="s">
        <v>628</v>
      </c>
    </row>
    <row r="5038" spans="1:12" s="58" customFormat="1" x14ac:dyDescent="0.75">
      <c r="A5038" s="58" t="s">
        <v>33</v>
      </c>
      <c r="B5038" s="59">
        <v>45112</v>
      </c>
      <c r="C5038" s="58">
        <v>1</v>
      </c>
      <c r="D5038" s="58" t="s">
        <v>201</v>
      </c>
      <c r="E5038" s="60">
        <f>21-10</f>
        <v>11</v>
      </c>
      <c r="F5038" s="58" t="s">
        <v>363</v>
      </c>
      <c r="G5038" s="58" t="s">
        <v>361</v>
      </c>
      <c r="H5038" s="58" t="s">
        <v>928</v>
      </c>
      <c r="I5038" s="58" t="s">
        <v>869</v>
      </c>
      <c r="J5038" s="59">
        <v>45153</v>
      </c>
      <c r="L5038" s="58" t="s">
        <v>628</v>
      </c>
    </row>
    <row r="5039" spans="1:12" x14ac:dyDescent="0.75">
      <c r="A5039" t="s">
        <v>96</v>
      </c>
      <c r="B5039" s="3">
        <v>45112</v>
      </c>
      <c r="C5039">
        <v>2</v>
      </c>
      <c r="D5039" t="s">
        <v>194</v>
      </c>
      <c r="E5039" s="22">
        <f>45-43</f>
        <v>2</v>
      </c>
      <c r="F5039" t="s">
        <v>363</v>
      </c>
      <c r="G5039" t="s">
        <v>733</v>
      </c>
      <c r="H5039" t="s">
        <v>928</v>
      </c>
      <c r="I5039" t="s">
        <v>869</v>
      </c>
      <c r="J5039" s="3">
        <v>45153</v>
      </c>
      <c r="L5039" t="s">
        <v>628</v>
      </c>
    </row>
    <row r="5040" spans="1:12" x14ac:dyDescent="0.75">
      <c r="A5040" t="s">
        <v>96</v>
      </c>
      <c r="B5040" s="3">
        <v>45112</v>
      </c>
      <c r="C5040">
        <v>2</v>
      </c>
      <c r="D5040" t="s">
        <v>168</v>
      </c>
      <c r="E5040" s="22">
        <f>37-24</f>
        <v>13</v>
      </c>
      <c r="F5040" t="s">
        <v>363</v>
      </c>
      <c r="G5040" t="s">
        <v>361</v>
      </c>
      <c r="H5040" t="s">
        <v>928</v>
      </c>
      <c r="I5040" t="s">
        <v>869</v>
      </c>
      <c r="J5040" s="3">
        <v>45153</v>
      </c>
      <c r="L5040" t="s">
        <v>628</v>
      </c>
    </row>
    <row r="5041" spans="1:12" s="58" customFormat="1" x14ac:dyDescent="0.75">
      <c r="A5041" s="58" t="s">
        <v>69</v>
      </c>
      <c r="B5041" s="59">
        <v>45113</v>
      </c>
      <c r="C5041" s="58">
        <v>1</v>
      </c>
      <c r="D5041" s="58" t="s">
        <v>172</v>
      </c>
      <c r="E5041" s="60">
        <f>27-21</f>
        <v>6</v>
      </c>
      <c r="F5041" s="58" t="s">
        <v>363</v>
      </c>
      <c r="G5041" s="58" t="s">
        <v>361</v>
      </c>
      <c r="H5041" s="58" t="s">
        <v>928</v>
      </c>
      <c r="I5041" s="58" t="s">
        <v>668</v>
      </c>
      <c r="J5041" s="59">
        <v>45196</v>
      </c>
      <c r="L5041" s="58" t="s">
        <v>869</v>
      </c>
    </row>
    <row r="5042" spans="1:12" s="58" customFormat="1" x14ac:dyDescent="0.75">
      <c r="A5042" s="58" t="s">
        <v>69</v>
      </c>
      <c r="B5042" s="59">
        <v>45113</v>
      </c>
      <c r="C5042" s="58">
        <v>1</v>
      </c>
      <c r="D5042" s="58" t="s">
        <v>197</v>
      </c>
      <c r="E5042" s="60">
        <f>21-15</f>
        <v>6</v>
      </c>
      <c r="F5042" s="58" t="s">
        <v>363</v>
      </c>
      <c r="G5042" s="58" t="s">
        <v>361</v>
      </c>
      <c r="H5042" s="58" t="s">
        <v>928</v>
      </c>
      <c r="I5042" s="58" t="s">
        <v>668</v>
      </c>
      <c r="J5042" s="59">
        <v>45196</v>
      </c>
      <c r="L5042" s="58" t="s">
        <v>869</v>
      </c>
    </row>
    <row r="5043" spans="1:12" s="58" customFormat="1" x14ac:dyDescent="0.75">
      <c r="A5043" s="58" t="s">
        <v>69</v>
      </c>
      <c r="B5043" s="59">
        <v>45113</v>
      </c>
      <c r="C5043" s="58">
        <v>1</v>
      </c>
      <c r="D5043" s="58" t="s">
        <v>176</v>
      </c>
      <c r="E5043" s="60">
        <f>15-0+41-39</f>
        <v>17</v>
      </c>
      <c r="F5043" s="58" t="s">
        <v>363</v>
      </c>
      <c r="G5043" s="58" t="s">
        <v>361</v>
      </c>
      <c r="H5043" s="58" t="s">
        <v>928</v>
      </c>
      <c r="I5043" s="58" t="s">
        <v>668</v>
      </c>
      <c r="J5043" s="59">
        <v>45196</v>
      </c>
      <c r="L5043" s="58" t="s">
        <v>869</v>
      </c>
    </row>
    <row r="5044" spans="1:12" s="58" customFormat="1" x14ac:dyDescent="0.75">
      <c r="A5044" s="58" t="s">
        <v>69</v>
      </c>
      <c r="B5044" s="59">
        <v>45113</v>
      </c>
      <c r="C5044" s="58">
        <v>1</v>
      </c>
      <c r="D5044" s="58" t="s">
        <v>207</v>
      </c>
      <c r="E5044" s="60">
        <f>39-35</f>
        <v>4</v>
      </c>
      <c r="F5044" s="58" t="s">
        <v>363</v>
      </c>
      <c r="G5044" s="58" t="s">
        <v>361</v>
      </c>
      <c r="H5044" s="58" t="s">
        <v>928</v>
      </c>
      <c r="I5044" s="58" t="s">
        <v>668</v>
      </c>
      <c r="J5044" s="59">
        <v>45196</v>
      </c>
      <c r="L5044" s="58" t="s">
        <v>869</v>
      </c>
    </row>
    <row r="5045" spans="1:12" s="58" customFormat="1" x14ac:dyDescent="0.75">
      <c r="A5045" s="58" t="s">
        <v>69</v>
      </c>
      <c r="B5045" s="59">
        <v>45113</v>
      </c>
      <c r="C5045" s="58">
        <v>1</v>
      </c>
      <c r="D5045" s="58" t="s">
        <v>207</v>
      </c>
      <c r="E5045" s="60">
        <f>35-32</f>
        <v>3</v>
      </c>
      <c r="F5045" s="58" t="s">
        <v>363</v>
      </c>
      <c r="G5045" s="58" t="s">
        <v>361</v>
      </c>
      <c r="H5045" s="58" t="s">
        <v>928</v>
      </c>
      <c r="I5045" s="58" t="s">
        <v>668</v>
      </c>
      <c r="J5045" s="59">
        <v>45196</v>
      </c>
      <c r="L5045" s="58" t="s">
        <v>869</v>
      </c>
    </row>
    <row r="5046" spans="1:12" s="58" customFormat="1" x14ac:dyDescent="0.75">
      <c r="A5046" s="58" t="s">
        <v>69</v>
      </c>
      <c r="B5046" s="59">
        <v>45113</v>
      </c>
      <c r="C5046" s="58">
        <v>1</v>
      </c>
      <c r="D5046" s="58" t="s">
        <v>207</v>
      </c>
      <c r="E5046" s="60">
        <f>32-28</f>
        <v>4</v>
      </c>
      <c r="F5046" s="58" t="s">
        <v>363</v>
      </c>
      <c r="G5046" s="58" t="s">
        <v>361</v>
      </c>
      <c r="H5046" s="58" t="s">
        <v>928</v>
      </c>
      <c r="I5046" s="58" t="s">
        <v>668</v>
      </c>
      <c r="J5046" s="59">
        <v>45196</v>
      </c>
      <c r="L5046" s="58" t="s">
        <v>869</v>
      </c>
    </row>
    <row r="5047" spans="1:12" s="58" customFormat="1" x14ac:dyDescent="0.75">
      <c r="A5047" s="58" t="s">
        <v>69</v>
      </c>
      <c r="B5047" s="59">
        <v>45113</v>
      </c>
      <c r="C5047" s="58">
        <v>1</v>
      </c>
      <c r="D5047" s="58" t="s">
        <v>197</v>
      </c>
      <c r="E5047" s="60">
        <f>28-0</f>
        <v>28</v>
      </c>
      <c r="F5047" s="58">
        <v>905</v>
      </c>
      <c r="G5047" s="58" t="s">
        <v>361</v>
      </c>
      <c r="H5047" s="58" t="s">
        <v>390</v>
      </c>
      <c r="I5047" s="58" t="s">
        <v>668</v>
      </c>
      <c r="J5047" s="59">
        <v>45196</v>
      </c>
      <c r="L5047" s="58" t="s">
        <v>869</v>
      </c>
    </row>
    <row r="5048" spans="1:12" s="58" customFormat="1" x14ac:dyDescent="0.75">
      <c r="A5048" s="58" t="s">
        <v>69</v>
      </c>
      <c r="B5048" s="59">
        <v>45113</v>
      </c>
      <c r="C5048" s="58">
        <v>1</v>
      </c>
      <c r="D5048" s="58" t="s">
        <v>207</v>
      </c>
      <c r="E5048" s="60">
        <f>40-39</f>
        <v>1</v>
      </c>
      <c r="F5048" s="58" t="s">
        <v>363</v>
      </c>
      <c r="G5048" s="58" t="s">
        <v>869</v>
      </c>
      <c r="H5048" s="58" t="s">
        <v>928</v>
      </c>
      <c r="I5048" s="58" t="s">
        <v>668</v>
      </c>
      <c r="J5048" s="59">
        <v>45196</v>
      </c>
      <c r="L5048" s="58" t="s">
        <v>869</v>
      </c>
    </row>
    <row r="5049" spans="1:12" s="58" customFormat="1" x14ac:dyDescent="0.75">
      <c r="A5049" s="58" t="s">
        <v>69</v>
      </c>
      <c r="B5049" s="59">
        <v>45113</v>
      </c>
      <c r="C5049" s="58">
        <v>1</v>
      </c>
      <c r="D5049" s="58" t="s">
        <v>201</v>
      </c>
      <c r="E5049" s="60">
        <f>38-33</f>
        <v>5</v>
      </c>
      <c r="F5049" s="58" t="s">
        <v>363</v>
      </c>
      <c r="G5049" s="58" t="s">
        <v>869</v>
      </c>
      <c r="H5049" s="58" t="s">
        <v>928</v>
      </c>
      <c r="I5049" s="58" t="s">
        <v>668</v>
      </c>
      <c r="J5049" s="59">
        <v>45196</v>
      </c>
      <c r="L5049" s="58" t="s">
        <v>869</v>
      </c>
    </row>
    <row r="5050" spans="1:12" s="58" customFormat="1" x14ac:dyDescent="0.75">
      <c r="A5050" s="58" t="s">
        <v>69</v>
      </c>
      <c r="B5050" s="59">
        <v>45113</v>
      </c>
      <c r="C5050" s="58">
        <v>1</v>
      </c>
      <c r="D5050" s="58" t="s">
        <v>207</v>
      </c>
      <c r="E5050" s="60">
        <f>33-28</f>
        <v>5</v>
      </c>
      <c r="F5050" s="58" t="s">
        <v>363</v>
      </c>
      <c r="G5050" s="58" t="s">
        <v>869</v>
      </c>
      <c r="H5050" s="58" t="s">
        <v>928</v>
      </c>
      <c r="I5050" s="58" t="s">
        <v>668</v>
      </c>
      <c r="J5050" s="59">
        <v>45196</v>
      </c>
      <c r="L5050" s="58" t="s">
        <v>869</v>
      </c>
    </row>
    <row r="5051" spans="1:12" s="58" customFormat="1" x14ac:dyDescent="0.75">
      <c r="A5051" s="58" t="s">
        <v>69</v>
      </c>
      <c r="B5051" s="59">
        <v>45113</v>
      </c>
      <c r="C5051" s="58">
        <v>1</v>
      </c>
      <c r="D5051" s="58" t="s">
        <v>207</v>
      </c>
      <c r="E5051" s="60">
        <f>28-27</f>
        <v>1</v>
      </c>
      <c r="F5051" s="58" t="s">
        <v>363</v>
      </c>
      <c r="G5051" s="58" t="s">
        <v>869</v>
      </c>
      <c r="H5051" s="58" t="s">
        <v>928</v>
      </c>
      <c r="I5051" s="58" t="s">
        <v>668</v>
      </c>
      <c r="J5051" s="59">
        <v>45196</v>
      </c>
      <c r="L5051" s="58" t="s">
        <v>869</v>
      </c>
    </row>
    <row r="5052" spans="1:12" s="58" customFormat="1" x14ac:dyDescent="0.75">
      <c r="A5052" s="58" t="s">
        <v>69</v>
      </c>
      <c r="B5052" s="59">
        <v>45113</v>
      </c>
      <c r="C5052" s="58">
        <v>1</v>
      </c>
      <c r="D5052" s="58" t="s">
        <v>207</v>
      </c>
      <c r="E5052" s="60">
        <f>27-26</f>
        <v>1</v>
      </c>
      <c r="F5052" s="58" t="s">
        <v>363</v>
      </c>
      <c r="G5052" s="58" t="s">
        <v>869</v>
      </c>
      <c r="H5052" s="58" t="s">
        <v>928</v>
      </c>
      <c r="I5052" s="58" t="s">
        <v>668</v>
      </c>
      <c r="J5052" s="59">
        <v>45196</v>
      </c>
      <c r="L5052" s="58" t="s">
        <v>869</v>
      </c>
    </row>
    <row r="5053" spans="1:12" s="58" customFormat="1" x14ac:dyDescent="0.75">
      <c r="A5053" s="58" t="s">
        <v>69</v>
      </c>
      <c r="B5053" s="59">
        <v>45113</v>
      </c>
      <c r="C5053" s="58">
        <v>1</v>
      </c>
      <c r="D5053" s="58" t="s">
        <v>207</v>
      </c>
      <c r="E5053" s="60">
        <f>30-29</f>
        <v>1</v>
      </c>
      <c r="F5053" s="58" t="s">
        <v>363</v>
      </c>
      <c r="G5053" s="58" t="s">
        <v>869</v>
      </c>
      <c r="H5053" s="58" t="s">
        <v>928</v>
      </c>
      <c r="I5053" s="58" t="s">
        <v>668</v>
      </c>
      <c r="J5053" s="59">
        <v>45196</v>
      </c>
      <c r="L5053" s="58" t="s">
        <v>869</v>
      </c>
    </row>
    <row r="5054" spans="1:12" s="58" customFormat="1" x14ac:dyDescent="0.75">
      <c r="A5054" s="58" t="s">
        <v>69</v>
      </c>
      <c r="B5054" s="59">
        <v>45113</v>
      </c>
      <c r="C5054" s="58">
        <v>1</v>
      </c>
      <c r="D5054" s="58" t="s">
        <v>207</v>
      </c>
      <c r="E5054" s="60">
        <f>29-27</f>
        <v>2</v>
      </c>
      <c r="F5054" s="58" t="s">
        <v>363</v>
      </c>
      <c r="G5054" s="58" t="s">
        <v>869</v>
      </c>
      <c r="H5054" s="58" t="s">
        <v>928</v>
      </c>
      <c r="I5054" s="58" t="s">
        <v>668</v>
      </c>
      <c r="J5054" s="59">
        <v>45196</v>
      </c>
      <c r="L5054" s="58" t="s">
        <v>869</v>
      </c>
    </row>
    <row r="5055" spans="1:12" s="58" customFormat="1" x14ac:dyDescent="0.75">
      <c r="A5055" s="58" t="s">
        <v>69</v>
      </c>
      <c r="B5055" s="59">
        <v>45113</v>
      </c>
      <c r="C5055" s="58">
        <v>1</v>
      </c>
      <c r="D5055" s="58" t="s">
        <v>207</v>
      </c>
      <c r="E5055" s="60">
        <f>27-24</f>
        <v>3</v>
      </c>
      <c r="F5055" s="58" t="s">
        <v>363</v>
      </c>
      <c r="G5055" s="58" t="s">
        <v>869</v>
      </c>
      <c r="H5055" s="58" t="s">
        <v>928</v>
      </c>
      <c r="I5055" s="58" t="s">
        <v>668</v>
      </c>
      <c r="J5055" s="59">
        <v>45196</v>
      </c>
      <c r="L5055" s="58" t="s">
        <v>869</v>
      </c>
    </row>
    <row r="5056" spans="1:12" s="58" customFormat="1" x14ac:dyDescent="0.75">
      <c r="A5056" s="58" t="s">
        <v>69</v>
      </c>
      <c r="B5056" s="59">
        <v>45113</v>
      </c>
      <c r="C5056" s="58">
        <v>1</v>
      </c>
      <c r="D5056" s="58" t="s">
        <v>197</v>
      </c>
      <c r="E5056" s="60">
        <f>26-9</f>
        <v>17</v>
      </c>
      <c r="F5056" s="58" t="s">
        <v>363</v>
      </c>
      <c r="G5056" s="58" t="s">
        <v>869</v>
      </c>
      <c r="H5056" s="58" t="s">
        <v>390</v>
      </c>
      <c r="I5056" s="58" t="s">
        <v>668</v>
      </c>
      <c r="J5056" s="59">
        <v>45196</v>
      </c>
      <c r="L5056" s="58" t="s">
        <v>869</v>
      </c>
    </row>
    <row r="5057" spans="1:12" s="58" customFormat="1" x14ac:dyDescent="0.75">
      <c r="A5057" s="58" t="s">
        <v>69</v>
      </c>
      <c r="B5057" s="59">
        <v>45113</v>
      </c>
      <c r="C5057" s="58">
        <v>1</v>
      </c>
      <c r="D5057" s="58" t="s">
        <v>168</v>
      </c>
      <c r="E5057" s="60">
        <f>34-13</f>
        <v>21</v>
      </c>
      <c r="F5057" s="58" t="s">
        <v>363</v>
      </c>
      <c r="G5057" s="58" t="s">
        <v>869</v>
      </c>
      <c r="H5057" s="58" t="s">
        <v>928</v>
      </c>
      <c r="I5057" s="58" t="s">
        <v>668</v>
      </c>
      <c r="J5057" s="59">
        <v>45196</v>
      </c>
      <c r="L5057" s="58" t="s">
        <v>869</v>
      </c>
    </row>
    <row r="5058" spans="1:12" s="58" customFormat="1" x14ac:dyDescent="0.75">
      <c r="A5058" s="58" t="s">
        <v>69</v>
      </c>
      <c r="B5058" s="59">
        <v>45113</v>
      </c>
      <c r="C5058" s="58">
        <v>1</v>
      </c>
      <c r="D5058" s="58" t="s">
        <v>168</v>
      </c>
      <c r="E5058" s="60">
        <f>24-10</f>
        <v>14</v>
      </c>
      <c r="F5058" s="58" t="s">
        <v>363</v>
      </c>
      <c r="G5058" s="58" t="s">
        <v>869</v>
      </c>
      <c r="H5058" s="58" t="s">
        <v>928</v>
      </c>
      <c r="I5058" s="58" t="s">
        <v>668</v>
      </c>
      <c r="J5058" s="59">
        <v>45196</v>
      </c>
      <c r="L5058" s="58" t="s">
        <v>869</v>
      </c>
    </row>
    <row r="5059" spans="1:12" s="58" customFormat="1" x14ac:dyDescent="0.75">
      <c r="A5059" s="58" t="s">
        <v>69</v>
      </c>
      <c r="B5059" s="59">
        <v>45113</v>
      </c>
      <c r="C5059" s="58">
        <v>1</v>
      </c>
      <c r="D5059" s="58" t="s">
        <v>172</v>
      </c>
      <c r="E5059" s="60">
        <f>9-1</f>
        <v>8</v>
      </c>
      <c r="F5059" s="58" t="s">
        <v>363</v>
      </c>
      <c r="G5059" s="58" t="s">
        <v>869</v>
      </c>
      <c r="H5059" s="58" t="s">
        <v>928</v>
      </c>
      <c r="I5059" s="58" t="s">
        <v>668</v>
      </c>
      <c r="J5059" s="59">
        <v>45196</v>
      </c>
      <c r="L5059" s="58" t="s">
        <v>869</v>
      </c>
    </row>
    <row r="5060" spans="1:12" s="58" customFormat="1" x14ac:dyDescent="0.75">
      <c r="A5060" s="58" t="s">
        <v>69</v>
      </c>
      <c r="B5060" s="59">
        <v>45113</v>
      </c>
      <c r="C5060" s="58">
        <v>1</v>
      </c>
      <c r="D5060" s="58" t="s">
        <v>168</v>
      </c>
      <c r="E5060" s="60">
        <f>14-5</f>
        <v>9</v>
      </c>
      <c r="F5060" s="58" t="s">
        <v>363</v>
      </c>
      <c r="G5060" s="58" t="s">
        <v>869</v>
      </c>
      <c r="H5060" s="58" t="s">
        <v>928</v>
      </c>
      <c r="I5060" s="58" t="s">
        <v>668</v>
      </c>
      <c r="J5060" s="59">
        <v>45196</v>
      </c>
      <c r="L5060" s="58" t="s">
        <v>869</v>
      </c>
    </row>
    <row r="5061" spans="1:12" s="58" customFormat="1" x14ac:dyDescent="0.75">
      <c r="A5061" s="58" t="s">
        <v>69</v>
      </c>
      <c r="B5061" s="59">
        <v>45113</v>
      </c>
      <c r="C5061" s="58">
        <v>1</v>
      </c>
      <c r="D5061" s="58" t="s">
        <v>172</v>
      </c>
      <c r="E5061" s="60">
        <f>10-0</f>
        <v>10</v>
      </c>
      <c r="F5061" s="58" t="s">
        <v>363</v>
      </c>
      <c r="G5061" s="58" t="s">
        <v>869</v>
      </c>
      <c r="H5061" s="58" t="s">
        <v>928</v>
      </c>
      <c r="I5061" s="58" t="s">
        <v>668</v>
      </c>
      <c r="J5061" s="59">
        <v>45196</v>
      </c>
      <c r="L5061" s="58" t="s">
        <v>869</v>
      </c>
    </row>
    <row r="5062" spans="1:12" s="58" customFormat="1" x14ac:dyDescent="0.75">
      <c r="A5062" s="58" t="s">
        <v>69</v>
      </c>
      <c r="B5062" s="59">
        <v>45113</v>
      </c>
      <c r="C5062" s="58">
        <v>1</v>
      </c>
      <c r="D5062" s="58" t="s">
        <v>207</v>
      </c>
      <c r="E5062" s="60">
        <f>4-3</f>
        <v>1</v>
      </c>
      <c r="F5062" s="58" t="s">
        <v>363</v>
      </c>
      <c r="G5062" s="58" t="s">
        <v>869</v>
      </c>
      <c r="H5062" s="58" t="s">
        <v>928</v>
      </c>
      <c r="I5062" s="58" t="s">
        <v>668</v>
      </c>
      <c r="J5062" s="59">
        <v>45196</v>
      </c>
      <c r="L5062" s="58" t="s">
        <v>869</v>
      </c>
    </row>
    <row r="5063" spans="1:12" s="58" customFormat="1" x14ac:dyDescent="0.75">
      <c r="A5063" s="58" t="s">
        <v>69</v>
      </c>
      <c r="B5063" s="59">
        <v>45113</v>
      </c>
      <c r="C5063" s="58">
        <v>1</v>
      </c>
      <c r="D5063" s="58" t="s">
        <v>207</v>
      </c>
      <c r="E5063" s="60">
        <f>2-1</f>
        <v>1</v>
      </c>
      <c r="F5063" s="58" t="s">
        <v>363</v>
      </c>
      <c r="G5063" s="58" t="s">
        <v>869</v>
      </c>
      <c r="H5063" s="58" t="s">
        <v>928</v>
      </c>
      <c r="I5063" s="58" t="s">
        <v>668</v>
      </c>
      <c r="J5063" s="59">
        <v>45196</v>
      </c>
      <c r="L5063" s="58" t="s">
        <v>869</v>
      </c>
    </row>
    <row r="5064" spans="1:12" x14ac:dyDescent="0.75">
      <c r="A5064" t="s">
        <v>69</v>
      </c>
      <c r="B5064" s="3">
        <v>45113</v>
      </c>
      <c r="C5064">
        <v>2</v>
      </c>
      <c r="D5064" t="s">
        <v>207</v>
      </c>
      <c r="E5064" s="22">
        <f>42-37</f>
        <v>5</v>
      </c>
      <c r="F5064" t="s">
        <v>363</v>
      </c>
      <c r="G5064" t="s">
        <v>869</v>
      </c>
      <c r="H5064" t="s">
        <v>928</v>
      </c>
      <c r="I5064" t="s">
        <v>668</v>
      </c>
      <c r="J5064" s="3">
        <v>45196</v>
      </c>
      <c r="L5064" t="s">
        <v>869</v>
      </c>
    </row>
    <row r="5065" spans="1:12" x14ac:dyDescent="0.75">
      <c r="A5065" t="s">
        <v>69</v>
      </c>
      <c r="B5065" s="3">
        <v>45113</v>
      </c>
      <c r="C5065">
        <v>2</v>
      </c>
      <c r="D5065" t="s">
        <v>197</v>
      </c>
      <c r="E5065" s="22">
        <f>47-38</f>
        <v>9</v>
      </c>
      <c r="F5065" t="s">
        <v>363</v>
      </c>
      <c r="G5065" t="s">
        <v>869</v>
      </c>
      <c r="H5065" t="s">
        <v>928</v>
      </c>
      <c r="I5065" t="s">
        <v>668</v>
      </c>
      <c r="J5065" s="3">
        <v>45196</v>
      </c>
      <c r="L5065" t="s">
        <v>869</v>
      </c>
    </row>
    <row r="5066" spans="1:12" s="58" customFormat="1" x14ac:dyDescent="0.75">
      <c r="A5066" s="58" t="s">
        <v>69</v>
      </c>
      <c r="B5066" s="59">
        <v>45113</v>
      </c>
      <c r="C5066" s="58">
        <v>3</v>
      </c>
      <c r="D5066" s="58" t="s">
        <v>207</v>
      </c>
      <c r="E5066" s="60">
        <f>39-36</f>
        <v>3</v>
      </c>
      <c r="F5066" s="58" t="s">
        <v>363</v>
      </c>
      <c r="G5066" s="58" t="s">
        <v>869</v>
      </c>
      <c r="H5066" s="58" t="s">
        <v>928</v>
      </c>
      <c r="I5066" s="58" t="s">
        <v>668</v>
      </c>
      <c r="J5066" s="59">
        <v>45196</v>
      </c>
      <c r="L5066" s="58" t="s">
        <v>869</v>
      </c>
    </row>
    <row r="5067" spans="1:12" s="58" customFormat="1" x14ac:dyDescent="0.75">
      <c r="A5067" s="58" t="s">
        <v>69</v>
      </c>
      <c r="B5067" s="59">
        <v>45113</v>
      </c>
      <c r="C5067" s="58">
        <v>3</v>
      </c>
      <c r="D5067" s="58" t="s">
        <v>205</v>
      </c>
      <c r="E5067" s="60">
        <f>36-32</f>
        <v>4</v>
      </c>
      <c r="F5067" s="58" t="s">
        <v>363</v>
      </c>
      <c r="G5067" s="58" t="s">
        <v>869</v>
      </c>
      <c r="H5067" s="58" t="s">
        <v>928</v>
      </c>
      <c r="I5067" s="58" t="s">
        <v>668</v>
      </c>
      <c r="J5067" s="59">
        <v>45196</v>
      </c>
      <c r="L5067" s="58" t="s">
        <v>869</v>
      </c>
    </row>
    <row r="5068" spans="1:12" s="58" customFormat="1" x14ac:dyDescent="0.75">
      <c r="A5068" s="58" t="s">
        <v>69</v>
      </c>
      <c r="B5068" s="59">
        <v>45113</v>
      </c>
      <c r="C5068" s="58">
        <v>3</v>
      </c>
      <c r="D5068" s="58" t="s">
        <v>201</v>
      </c>
      <c r="E5068" s="60">
        <f>36-35</f>
        <v>1</v>
      </c>
      <c r="F5068" s="58" t="s">
        <v>363</v>
      </c>
      <c r="G5068" s="58" t="s">
        <v>869</v>
      </c>
      <c r="H5068" s="58" t="s">
        <v>928</v>
      </c>
      <c r="I5068" s="58" t="s">
        <v>668</v>
      </c>
      <c r="J5068" s="59">
        <v>45196</v>
      </c>
      <c r="L5068" s="58" t="s">
        <v>869</v>
      </c>
    </row>
    <row r="5069" spans="1:12" x14ac:dyDescent="0.75">
      <c r="A5069" t="s">
        <v>116</v>
      </c>
      <c r="B5069" s="3">
        <v>45118</v>
      </c>
      <c r="C5069">
        <v>1</v>
      </c>
      <c r="D5069" t="s">
        <v>201</v>
      </c>
      <c r="E5069" s="22">
        <f>43-38</f>
        <v>5</v>
      </c>
      <c r="F5069" t="s">
        <v>363</v>
      </c>
      <c r="G5069" t="s">
        <v>627</v>
      </c>
      <c r="H5069" t="s">
        <v>928</v>
      </c>
      <c r="I5069" t="s">
        <v>668</v>
      </c>
      <c r="J5069" s="3">
        <v>45197</v>
      </c>
      <c r="L5069" t="s">
        <v>869</v>
      </c>
    </row>
    <row r="5070" spans="1:12" x14ac:dyDescent="0.75">
      <c r="A5070" t="s">
        <v>116</v>
      </c>
      <c r="B5070" s="3">
        <v>45118</v>
      </c>
      <c r="C5070">
        <v>1</v>
      </c>
      <c r="D5070" t="s">
        <v>215</v>
      </c>
      <c r="E5070" s="22">
        <f>53-45</f>
        <v>8</v>
      </c>
      <c r="F5070" t="s">
        <v>363</v>
      </c>
      <c r="G5070" t="s">
        <v>627</v>
      </c>
      <c r="H5070" t="s">
        <v>928</v>
      </c>
      <c r="I5070" t="s">
        <v>668</v>
      </c>
      <c r="J5070" s="3">
        <v>45197</v>
      </c>
      <c r="L5070" t="s">
        <v>869</v>
      </c>
    </row>
    <row r="5071" spans="1:12" x14ac:dyDescent="0.75">
      <c r="A5071" t="s">
        <v>116</v>
      </c>
      <c r="B5071" s="3">
        <v>45118</v>
      </c>
      <c r="C5071">
        <v>1</v>
      </c>
      <c r="D5071" t="s">
        <v>201</v>
      </c>
      <c r="E5071" s="22">
        <f>51-44</f>
        <v>7</v>
      </c>
      <c r="F5071" t="s">
        <v>363</v>
      </c>
      <c r="G5071" t="s">
        <v>627</v>
      </c>
      <c r="H5071" t="s">
        <v>928</v>
      </c>
      <c r="I5071" t="s">
        <v>668</v>
      </c>
      <c r="J5071" s="3">
        <v>45197</v>
      </c>
      <c r="L5071" t="s">
        <v>869</v>
      </c>
    </row>
    <row r="5072" spans="1:12" x14ac:dyDescent="0.75">
      <c r="A5072" t="s">
        <v>116</v>
      </c>
      <c r="B5072" s="3">
        <v>45118</v>
      </c>
      <c r="C5072">
        <v>1</v>
      </c>
      <c r="D5072" t="s">
        <v>191</v>
      </c>
      <c r="E5072" s="22">
        <f>44-27</f>
        <v>17</v>
      </c>
      <c r="F5072" t="s">
        <v>363</v>
      </c>
      <c r="G5072" t="s">
        <v>627</v>
      </c>
      <c r="H5072" t="s">
        <v>928</v>
      </c>
      <c r="I5072" t="s">
        <v>668</v>
      </c>
      <c r="J5072" s="3">
        <v>45197</v>
      </c>
      <c r="L5072" t="s">
        <v>869</v>
      </c>
    </row>
    <row r="5073" spans="1:12" x14ac:dyDescent="0.75">
      <c r="A5073" t="s">
        <v>116</v>
      </c>
      <c r="B5073" s="3">
        <v>45118</v>
      </c>
      <c r="C5073">
        <v>1</v>
      </c>
      <c r="D5073" t="s">
        <v>201</v>
      </c>
      <c r="E5073" s="22">
        <f>24-0</f>
        <v>24</v>
      </c>
      <c r="F5073" t="s">
        <v>363</v>
      </c>
      <c r="G5073" t="s">
        <v>627</v>
      </c>
      <c r="H5073" t="s">
        <v>928</v>
      </c>
      <c r="I5073" t="s">
        <v>668</v>
      </c>
      <c r="J5073" s="3">
        <v>45197</v>
      </c>
      <c r="L5073" t="s">
        <v>869</v>
      </c>
    </row>
    <row r="5074" spans="1:12" x14ac:dyDescent="0.75">
      <c r="A5074" t="s">
        <v>116</v>
      </c>
      <c r="B5074" s="3">
        <v>45118</v>
      </c>
      <c r="C5074">
        <v>1</v>
      </c>
      <c r="D5074" t="s">
        <v>191</v>
      </c>
      <c r="E5074" s="22">
        <f>42-33</f>
        <v>9</v>
      </c>
      <c r="F5074" t="s">
        <v>363</v>
      </c>
      <c r="G5074" t="s">
        <v>627</v>
      </c>
      <c r="H5074" t="s">
        <v>928</v>
      </c>
      <c r="I5074" t="s">
        <v>668</v>
      </c>
      <c r="J5074" s="3">
        <v>45197</v>
      </c>
      <c r="L5074" t="s">
        <v>869</v>
      </c>
    </row>
    <row r="5075" spans="1:12" x14ac:dyDescent="0.75">
      <c r="A5075" t="s">
        <v>116</v>
      </c>
      <c r="B5075" s="3">
        <v>45118</v>
      </c>
      <c r="C5075">
        <v>1</v>
      </c>
      <c r="D5075" t="s">
        <v>191</v>
      </c>
      <c r="E5075" s="22">
        <f>44-34</f>
        <v>10</v>
      </c>
      <c r="F5075" t="s">
        <v>363</v>
      </c>
      <c r="G5075" t="s">
        <v>627</v>
      </c>
      <c r="H5075" t="s">
        <v>928</v>
      </c>
      <c r="I5075" t="s">
        <v>668</v>
      </c>
      <c r="J5075" s="3">
        <v>45197</v>
      </c>
      <c r="L5075" t="s">
        <v>869</v>
      </c>
    </row>
    <row r="5076" spans="1:12" x14ac:dyDescent="0.75">
      <c r="A5076" t="s">
        <v>116</v>
      </c>
      <c r="B5076" s="3">
        <v>45118</v>
      </c>
      <c r="C5076">
        <v>1</v>
      </c>
      <c r="D5076" t="s">
        <v>201</v>
      </c>
      <c r="E5076" s="22">
        <f>40-20</f>
        <v>20</v>
      </c>
      <c r="F5076" t="s">
        <v>363</v>
      </c>
      <c r="G5076" t="s">
        <v>627</v>
      </c>
      <c r="H5076" t="s">
        <v>928</v>
      </c>
      <c r="I5076" t="s">
        <v>668</v>
      </c>
      <c r="J5076" s="3">
        <v>45197</v>
      </c>
      <c r="L5076" t="s">
        <v>869</v>
      </c>
    </row>
    <row r="5077" spans="1:12" x14ac:dyDescent="0.75">
      <c r="A5077" t="s">
        <v>116</v>
      </c>
      <c r="B5077" s="3">
        <v>45118</v>
      </c>
      <c r="C5077">
        <v>1</v>
      </c>
      <c r="D5077" t="s">
        <v>153</v>
      </c>
      <c r="E5077" s="22">
        <f>20-18</f>
        <v>2</v>
      </c>
      <c r="F5077" t="s">
        <v>363</v>
      </c>
      <c r="G5077" t="s">
        <v>627</v>
      </c>
      <c r="H5077" t="s">
        <v>928</v>
      </c>
      <c r="I5077" t="s">
        <v>668</v>
      </c>
      <c r="J5077" s="3">
        <v>45197</v>
      </c>
      <c r="L5077" t="s">
        <v>869</v>
      </c>
    </row>
    <row r="5078" spans="1:12" x14ac:dyDescent="0.75">
      <c r="A5078" t="s">
        <v>116</v>
      </c>
      <c r="B5078" s="3">
        <v>45118</v>
      </c>
      <c r="C5078">
        <v>1</v>
      </c>
      <c r="D5078" t="s">
        <v>197</v>
      </c>
      <c r="E5078" s="22">
        <f>50-24</f>
        <v>26</v>
      </c>
      <c r="F5078" t="s">
        <v>363</v>
      </c>
      <c r="G5078" t="s">
        <v>361</v>
      </c>
      <c r="H5078" t="s">
        <v>928</v>
      </c>
      <c r="I5078" t="s">
        <v>668</v>
      </c>
      <c r="J5078" s="3">
        <v>45197</v>
      </c>
      <c r="L5078" t="s">
        <v>869</v>
      </c>
    </row>
    <row r="5079" spans="1:12" x14ac:dyDescent="0.75">
      <c r="A5079" t="s">
        <v>116</v>
      </c>
      <c r="B5079" s="3">
        <v>45118</v>
      </c>
      <c r="C5079">
        <v>1</v>
      </c>
      <c r="D5079" t="s">
        <v>191</v>
      </c>
      <c r="E5079" s="22">
        <f>24-0+45-30</f>
        <v>39</v>
      </c>
      <c r="F5079" t="s">
        <v>363</v>
      </c>
      <c r="G5079" t="s">
        <v>361</v>
      </c>
      <c r="H5079" t="s">
        <v>928</v>
      </c>
      <c r="I5079" t="s">
        <v>668</v>
      </c>
      <c r="J5079" s="3">
        <v>45197</v>
      </c>
      <c r="L5079" t="s">
        <v>869</v>
      </c>
    </row>
    <row r="5080" spans="1:12" s="58" customFormat="1" x14ac:dyDescent="0.75">
      <c r="A5080" s="58" t="s">
        <v>116</v>
      </c>
      <c r="B5080" s="59">
        <v>45118</v>
      </c>
      <c r="C5080" s="58">
        <v>2</v>
      </c>
      <c r="D5080" s="58" t="s">
        <v>201</v>
      </c>
      <c r="E5080" s="60">
        <f>34-20</f>
        <v>14</v>
      </c>
      <c r="F5080" s="58" t="s">
        <v>363</v>
      </c>
      <c r="G5080" s="58" t="s">
        <v>627</v>
      </c>
      <c r="H5080" s="58" t="s">
        <v>928</v>
      </c>
      <c r="I5080" s="58" t="s">
        <v>668</v>
      </c>
      <c r="J5080" s="59">
        <v>45197</v>
      </c>
      <c r="L5080" s="58" t="s">
        <v>869</v>
      </c>
    </row>
    <row r="5081" spans="1:12" s="58" customFormat="1" x14ac:dyDescent="0.75">
      <c r="A5081" s="58" t="s">
        <v>116</v>
      </c>
      <c r="B5081" s="59">
        <v>45118</v>
      </c>
      <c r="C5081" s="58">
        <v>2</v>
      </c>
      <c r="D5081" s="58" t="s">
        <v>164</v>
      </c>
      <c r="E5081" s="60">
        <f>20-14</f>
        <v>6</v>
      </c>
      <c r="F5081" s="58" t="s">
        <v>363</v>
      </c>
      <c r="G5081" s="58" t="s">
        <v>627</v>
      </c>
      <c r="H5081" s="58" t="s">
        <v>928</v>
      </c>
      <c r="I5081" s="58" t="s">
        <v>668</v>
      </c>
      <c r="J5081" s="59">
        <v>45197</v>
      </c>
      <c r="L5081" s="58" t="s">
        <v>869</v>
      </c>
    </row>
    <row r="5082" spans="1:12" s="58" customFormat="1" x14ac:dyDescent="0.75">
      <c r="A5082" s="58" t="s">
        <v>116</v>
      </c>
      <c r="B5082" s="59">
        <v>45118</v>
      </c>
      <c r="C5082" s="58">
        <v>2</v>
      </c>
      <c r="D5082" s="58" t="s">
        <v>207</v>
      </c>
      <c r="E5082" s="60">
        <f>14-7</f>
        <v>7</v>
      </c>
      <c r="F5082" s="58" t="s">
        <v>363</v>
      </c>
      <c r="G5082" s="58" t="s">
        <v>627</v>
      </c>
      <c r="H5082" s="58" t="s">
        <v>928</v>
      </c>
      <c r="I5082" s="58" t="s">
        <v>668</v>
      </c>
      <c r="J5082" s="59">
        <v>45197</v>
      </c>
      <c r="L5082" s="58" t="s">
        <v>869</v>
      </c>
    </row>
    <row r="5083" spans="1:12" s="58" customFormat="1" x14ac:dyDescent="0.75">
      <c r="A5083" s="58" t="s">
        <v>116</v>
      </c>
      <c r="B5083" s="59">
        <v>45118</v>
      </c>
      <c r="C5083" s="58">
        <v>2</v>
      </c>
      <c r="D5083" s="58" t="s">
        <v>197</v>
      </c>
      <c r="E5083" s="60">
        <f>7-0</f>
        <v>7</v>
      </c>
      <c r="F5083" s="58" t="s">
        <v>363</v>
      </c>
      <c r="G5083" s="58" t="s">
        <v>627</v>
      </c>
      <c r="H5083" s="58" t="s">
        <v>928</v>
      </c>
      <c r="I5083" s="58" t="s">
        <v>668</v>
      </c>
      <c r="J5083" s="59">
        <v>45197</v>
      </c>
      <c r="L5083" s="58" t="s">
        <v>869</v>
      </c>
    </row>
    <row r="5084" spans="1:12" s="58" customFormat="1" x14ac:dyDescent="0.75">
      <c r="A5084" s="58" t="s">
        <v>116</v>
      </c>
      <c r="B5084" s="59">
        <v>45118</v>
      </c>
      <c r="C5084" s="58">
        <v>2</v>
      </c>
      <c r="D5084" s="58" t="s">
        <v>176</v>
      </c>
      <c r="E5084" s="60">
        <f>39-19</f>
        <v>20</v>
      </c>
      <c r="F5084" s="58" t="s">
        <v>363</v>
      </c>
      <c r="G5084" s="58" t="s">
        <v>627</v>
      </c>
      <c r="H5084" s="58" t="s">
        <v>928</v>
      </c>
      <c r="I5084" s="58" t="s">
        <v>668</v>
      </c>
      <c r="J5084" s="59">
        <v>45197</v>
      </c>
      <c r="L5084" s="58" t="s">
        <v>869</v>
      </c>
    </row>
    <row r="5085" spans="1:12" s="58" customFormat="1" x14ac:dyDescent="0.75">
      <c r="A5085" s="58" t="s">
        <v>116</v>
      </c>
      <c r="B5085" s="59">
        <v>45118</v>
      </c>
      <c r="C5085" s="58">
        <v>2</v>
      </c>
      <c r="D5085" s="58" t="s">
        <v>215</v>
      </c>
      <c r="E5085" s="60">
        <f>19-3</f>
        <v>16</v>
      </c>
      <c r="F5085" s="58" t="s">
        <v>363</v>
      </c>
      <c r="G5085" s="58" t="s">
        <v>627</v>
      </c>
      <c r="H5085" s="58" t="s">
        <v>928</v>
      </c>
      <c r="I5085" s="58" t="s">
        <v>668</v>
      </c>
      <c r="J5085" s="59">
        <v>45197</v>
      </c>
      <c r="L5085" s="58" t="s">
        <v>869</v>
      </c>
    </row>
    <row r="5086" spans="1:12" s="58" customFormat="1" x14ac:dyDescent="0.75">
      <c r="A5086" s="58" t="s">
        <v>116</v>
      </c>
      <c r="B5086" s="59">
        <v>45118</v>
      </c>
      <c r="C5086" s="58">
        <v>2</v>
      </c>
      <c r="D5086" s="58" t="s">
        <v>191</v>
      </c>
      <c r="E5086" s="60">
        <f>3-0</f>
        <v>3</v>
      </c>
      <c r="F5086" s="58" t="s">
        <v>363</v>
      </c>
      <c r="G5086" s="58" t="s">
        <v>627</v>
      </c>
      <c r="H5086" s="58" t="s">
        <v>928</v>
      </c>
      <c r="I5086" s="58" t="s">
        <v>668</v>
      </c>
      <c r="J5086" s="59">
        <v>45197</v>
      </c>
      <c r="L5086" s="58" t="s">
        <v>869</v>
      </c>
    </row>
    <row r="5087" spans="1:12" s="58" customFormat="1" x14ac:dyDescent="0.75">
      <c r="A5087" s="58" t="s">
        <v>116</v>
      </c>
      <c r="B5087" s="59">
        <v>45118</v>
      </c>
      <c r="C5087" s="58">
        <v>2</v>
      </c>
      <c r="D5087" s="58" t="s">
        <v>191</v>
      </c>
      <c r="E5087" s="60">
        <f>43-21</f>
        <v>22</v>
      </c>
      <c r="F5087" s="58" t="s">
        <v>363</v>
      </c>
      <c r="G5087" s="58" t="s">
        <v>627</v>
      </c>
      <c r="H5087" s="58" t="s">
        <v>928</v>
      </c>
      <c r="I5087" s="58" t="s">
        <v>668</v>
      </c>
      <c r="J5087" s="59">
        <v>45197</v>
      </c>
      <c r="L5087" s="58" t="s">
        <v>869</v>
      </c>
    </row>
    <row r="5088" spans="1:12" s="58" customFormat="1" x14ac:dyDescent="0.75">
      <c r="A5088" s="58" t="s">
        <v>116</v>
      </c>
      <c r="B5088" s="59">
        <v>45118</v>
      </c>
      <c r="C5088" s="58">
        <v>2</v>
      </c>
      <c r="D5088" s="58" t="s">
        <v>164</v>
      </c>
      <c r="E5088" s="60">
        <f>30-10</f>
        <v>20</v>
      </c>
      <c r="F5088" s="58" t="s">
        <v>363</v>
      </c>
      <c r="G5088" s="58" t="s">
        <v>361</v>
      </c>
      <c r="H5088" s="58" t="s">
        <v>928</v>
      </c>
      <c r="I5088" s="58" t="s">
        <v>668</v>
      </c>
      <c r="J5088" s="59">
        <v>45197</v>
      </c>
      <c r="L5088" s="58" t="s">
        <v>869</v>
      </c>
    </row>
    <row r="5089" spans="1:12" s="58" customFormat="1" x14ac:dyDescent="0.75">
      <c r="A5089" s="58" t="s">
        <v>116</v>
      </c>
      <c r="B5089" s="59">
        <v>45118</v>
      </c>
      <c r="C5089" s="58">
        <v>2</v>
      </c>
      <c r="D5089" s="58" t="s">
        <v>191</v>
      </c>
      <c r="E5089" s="60">
        <f>10-0+47-38</f>
        <v>19</v>
      </c>
      <c r="F5089" s="58" t="s">
        <v>363</v>
      </c>
      <c r="G5089" s="58" t="s">
        <v>361</v>
      </c>
      <c r="H5089" s="58" t="s">
        <v>928</v>
      </c>
      <c r="I5089" s="58" t="s">
        <v>668</v>
      </c>
      <c r="J5089" s="59">
        <v>45197</v>
      </c>
      <c r="L5089" s="58" t="s">
        <v>869</v>
      </c>
    </row>
    <row r="5090" spans="1:12" s="58" customFormat="1" x14ac:dyDescent="0.75">
      <c r="A5090" s="58" t="s">
        <v>116</v>
      </c>
      <c r="B5090" s="59">
        <v>45118</v>
      </c>
      <c r="C5090" s="58">
        <v>2</v>
      </c>
      <c r="D5090" s="58" t="s">
        <v>201</v>
      </c>
      <c r="E5090" s="60">
        <f>38-34</f>
        <v>4</v>
      </c>
      <c r="F5090" s="58" t="s">
        <v>363</v>
      </c>
      <c r="G5090" s="58" t="s">
        <v>361</v>
      </c>
      <c r="H5090" s="58" t="s">
        <v>390</v>
      </c>
      <c r="I5090" s="58" t="s">
        <v>668</v>
      </c>
      <c r="J5090" s="59">
        <v>45197</v>
      </c>
      <c r="K5090" s="58" t="s">
        <v>990</v>
      </c>
      <c r="L5090" s="58" t="s">
        <v>869</v>
      </c>
    </row>
    <row r="5091" spans="1:12" x14ac:dyDescent="0.75">
      <c r="A5091" t="s">
        <v>116</v>
      </c>
      <c r="B5091" s="3">
        <v>45118</v>
      </c>
      <c r="C5091">
        <v>3</v>
      </c>
      <c r="D5091" t="s">
        <v>191</v>
      </c>
      <c r="E5091" s="57">
        <f>35-0+21-16</f>
        <v>40</v>
      </c>
      <c r="F5091" t="s">
        <v>363</v>
      </c>
      <c r="G5091" t="s">
        <v>627</v>
      </c>
      <c r="H5091" t="s">
        <v>928</v>
      </c>
      <c r="I5091" t="s">
        <v>668</v>
      </c>
      <c r="J5091" s="3">
        <v>45197</v>
      </c>
      <c r="L5091" t="s">
        <v>869</v>
      </c>
    </row>
    <row r="5092" spans="1:12" x14ac:dyDescent="0.75">
      <c r="A5092" t="s">
        <v>116</v>
      </c>
      <c r="B5092" s="3">
        <v>45118</v>
      </c>
      <c r="C5092">
        <v>3</v>
      </c>
      <c r="D5092" t="s">
        <v>176</v>
      </c>
      <c r="E5092" s="57">
        <f>16-10</f>
        <v>6</v>
      </c>
      <c r="F5092" t="s">
        <v>363</v>
      </c>
      <c r="G5092" t="s">
        <v>627</v>
      </c>
      <c r="H5092" t="s">
        <v>928</v>
      </c>
      <c r="I5092" t="s">
        <v>668</v>
      </c>
      <c r="J5092" s="3">
        <v>45197</v>
      </c>
      <c r="L5092" t="s">
        <v>869</v>
      </c>
    </row>
    <row r="5093" spans="1:12" x14ac:dyDescent="0.75">
      <c r="A5093" t="s">
        <v>116</v>
      </c>
      <c r="B5093" s="3">
        <v>45118</v>
      </c>
      <c r="C5093">
        <v>3</v>
      </c>
      <c r="D5093" t="s">
        <v>164</v>
      </c>
      <c r="E5093" s="22">
        <f>10-0+19-6</f>
        <v>23</v>
      </c>
      <c r="F5093" t="s">
        <v>363</v>
      </c>
      <c r="G5093" t="s">
        <v>627</v>
      </c>
      <c r="H5093" t="s">
        <v>928</v>
      </c>
      <c r="I5093" t="s">
        <v>668</v>
      </c>
      <c r="J5093" s="3">
        <v>45197</v>
      </c>
      <c r="L5093" t="s">
        <v>869</v>
      </c>
    </row>
    <row r="5094" spans="1:12" x14ac:dyDescent="0.75">
      <c r="A5094" t="s">
        <v>116</v>
      </c>
      <c r="B5094" s="3">
        <v>45118</v>
      </c>
      <c r="C5094">
        <v>3</v>
      </c>
      <c r="D5094" t="s">
        <v>207</v>
      </c>
      <c r="E5094" s="22">
        <f>6-0</f>
        <v>6</v>
      </c>
      <c r="F5094" t="s">
        <v>363</v>
      </c>
      <c r="G5094" t="s">
        <v>627</v>
      </c>
      <c r="H5094" t="s">
        <v>928</v>
      </c>
      <c r="I5094" t="s">
        <v>668</v>
      </c>
      <c r="J5094" s="3">
        <v>45197</v>
      </c>
      <c r="L5094" t="s">
        <v>869</v>
      </c>
    </row>
    <row r="5095" spans="1:12" x14ac:dyDescent="0.75">
      <c r="A5095" t="s">
        <v>116</v>
      </c>
      <c r="B5095" s="3">
        <v>45118</v>
      </c>
      <c r="C5095">
        <v>3</v>
      </c>
      <c r="D5095" t="s">
        <v>176</v>
      </c>
      <c r="E5095" s="22">
        <f>45-25</f>
        <v>20</v>
      </c>
      <c r="F5095" t="s">
        <v>363</v>
      </c>
      <c r="G5095" t="s">
        <v>361</v>
      </c>
      <c r="H5095" t="s">
        <v>928</v>
      </c>
      <c r="I5095" t="s">
        <v>668</v>
      </c>
      <c r="J5095" s="3">
        <v>45197</v>
      </c>
      <c r="L5095" t="s">
        <v>869</v>
      </c>
    </row>
    <row r="5096" spans="1:12" x14ac:dyDescent="0.75">
      <c r="A5096" t="s">
        <v>116</v>
      </c>
      <c r="B5096" s="3">
        <v>45118</v>
      </c>
      <c r="C5096">
        <v>3</v>
      </c>
      <c r="D5096" t="s">
        <v>176</v>
      </c>
      <c r="E5096" s="22">
        <f>25-12</f>
        <v>13</v>
      </c>
      <c r="F5096" t="s">
        <v>363</v>
      </c>
      <c r="G5096" t="s">
        <v>361</v>
      </c>
      <c r="H5096" t="s">
        <v>928</v>
      </c>
      <c r="I5096" t="s">
        <v>668</v>
      </c>
      <c r="J5096" s="3">
        <v>45197</v>
      </c>
      <c r="L5096" t="s">
        <v>869</v>
      </c>
    </row>
    <row r="5097" spans="1:12" x14ac:dyDescent="0.75">
      <c r="A5097" t="s">
        <v>116</v>
      </c>
      <c r="B5097" s="3">
        <v>45118</v>
      </c>
      <c r="C5097">
        <v>3</v>
      </c>
      <c r="D5097" t="s">
        <v>164</v>
      </c>
      <c r="E5097" s="22">
        <f>12-0+36-0</f>
        <v>48</v>
      </c>
      <c r="F5097" t="s">
        <v>363</v>
      </c>
      <c r="G5097" t="s">
        <v>361</v>
      </c>
      <c r="H5097" t="s">
        <v>928</v>
      </c>
      <c r="I5097" t="s">
        <v>668</v>
      </c>
      <c r="J5097" s="3">
        <v>45197</v>
      </c>
      <c r="L5097" t="s">
        <v>869</v>
      </c>
    </row>
    <row r="5098" spans="1:12" x14ac:dyDescent="0.75">
      <c r="A5098" t="s">
        <v>116</v>
      </c>
      <c r="B5098" s="3">
        <v>45118</v>
      </c>
      <c r="C5098">
        <v>3</v>
      </c>
      <c r="D5098" t="s">
        <v>176</v>
      </c>
      <c r="E5098" s="22">
        <f>41-20</f>
        <v>21</v>
      </c>
      <c r="F5098" t="s">
        <v>363</v>
      </c>
      <c r="G5098" t="s">
        <v>361</v>
      </c>
      <c r="H5098" t="s">
        <v>928</v>
      </c>
      <c r="I5098" t="s">
        <v>668</v>
      </c>
      <c r="J5098" s="3">
        <v>45197</v>
      </c>
      <c r="L5098" t="s">
        <v>869</v>
      </c>
    </row>
    <row r="5099" spans="1:12" x14ac:dyDescent="0.75">
      <c r="A5099" t="s">
        <v>116</v>
      </c>
      <c r="B5099" s="3">
        <v>45118</v>
      </c>
      <c r="C5099">
        <v>3</v>
      </c>
      <c r="D5099" t="s">
        <v>201</v>
      </c>
      <c r="E5099" s="22">
        <f>20-8</f>
        <v>12</v>
      </c>
      <c r="F5099" t="s">
        <v>363</v>
      </c>
      <c r="G5099" t="s">
        <v>361</v>
      </c>
      <c r="H5099" t="s">
        <v>928</v>
      </c>
      <c r="I5099" t="s">
        <v>668</v>
      </c>
      <c r="J5099" s="3">
        <v>45197</v>
      </c>
      <c r="L5099" t="s">
        <v>869</v>
      </c>
    </row>
    <row r="5100" spans="1:12" x14ac:dyDescent="0.75">
      <c r="A5100" t="s">
        <v>116</v>
      </c>
      <c r="B5100" s="3">
        <v>45118</v>
      </c>
      <c r="C5100">
        <v>3</v>
      </c>
      <c r="D5100" t="s">
        <v>176</v>
      </c>
      <c r="E5100" s="22">
        <f>8-0</f>
        <v>8</v>
      </c>
      <c r="F5100">
        <v>910</v>
      </c>
      <c r="G5100" t="s">
        <v>361</v>
      </c>
      <c r="H5100" t="s">
        <v>390</v>
      </c>
      <c r="I5100" t="s">
        <v>668</v>
      </c>
      <c r="J5100" s="3">
        <v>45197</v>
      </c>
      <c r="L5100" t="s">
        <v>869</v>
      </c>
    </row>
    <row r="5101" spans="1:12" s="58" customFormat="1" x14ac:dyDescent="0.75">
      <c r="A5101" s="58" t="s">
        <v>48</v>
      </c>
      <c r="B5101" s="59">
        <v>45119</v>
      </c>
      <c r="C5101" s="58">
        <v>1</v>
      </c>
      <c r="D5101" s="58" t="s">
        <v>191</v>
      </c>
      <c r="E5101" s="60">
        <f>48-40</f>
        <v>8</v>
      </c>
      <c r="F5101" s="58" t="s">
        <v>363</v>
      </c>
      <c r="G5101" s="58" t="s">
        <v>627</v>
      </c>
      <c r="H5101" s="58" t="s">
        <v>928</v>
      </c>
      <c r="I5101" s="58" t="s">
        <v>869</v>
      </c>
      <c r="J5101" s="59">
        <v>45204</v>
      </c>
      <c r="L5101" s="58" t="s">
        <v>627</v>
      </c>
    </row>
    <row r="5102" spans="1:12" x14ac:dyDescent="0.75">
      <c r="A5102" t="s">
        <v>44</v>
      </c>
      <c r="B5102" s="3">
        <v>45119</v>
      </c>
      <c r="C5102">
        <v>1</v>
      </c>
      <c r="D5102" t="s">
        <v>168</v>
      </c>
      <c r="E5102" s="22">
        <f>40-20</f>
        <v>20</v>
      </c>
      <c r="F5102" t="s">
        <v>363</v>
      </c>
      <c r="G5102" t="s">
        <v>627</v>
      </c>
      <c r="H5102" t="s">
        <v>928</v>
      </c>
      <c r="I5102" t="s">
        <v>869</v>
      </c>
      <c r="J5102" s="3">
        <v>45204</v>
      </c>
      <c r="L5102" t="s">
        <v>627</v>
      </c>
    </row>
    <row r="5103" spans="1:12" x14ac:dyDescent="0.75">
      <c r="A5103" t="s">
        <v>44</v>
      </c>
      <c r="B5103" s="3">
        <v>45119</v>
      </c>
      <c r="C5103">
        <v>1</v>
      </c>
      <c r="D5103" t="s">
        <v>207</v>
      </c>
      <c r="E5103" s="57">
        <f>20-7</f>
        <v>13</v>
      </c>
      <c r="F5103" t="s">
        <v>363</v>
      </c>
      <c r="G5103" t="s">
        <v>627</v>
      </c>
      <c r="H5103" t="s">
        <v>928</v>
      </c>
      <c r="I5103" t="s">
        <v>869</v>
      </c>
      <c r="J5103" s="3">
        <v>45204</v>
      </c>
      <c r="L5103" t="s">
        <v>627</v>
      </c>
    </row>
    <row r="5104" spans="1:12" x14ac:dyDescent="0.75">
      <c r="A5104" t="s">
        <v>44</v>
      </c>
      <c r="B5104" s="3">
        <v>45119</v>
      </c>
      <c r="C5104">
        <v>1</v>
      </c>
      <c r="D5104" t="s">
        <v>168</v>
      </c>
      <c r="E5104" s="57">
        <f>7-0+31-2</f>
        <v>36</v>
      </c>
      <c r="F5104" t="s">
        <v>363</v>
      </c>
      <c r="G5104" t="s">
        <v>627</v>
      </c>
      <c r="H5104" t="s">
        <v>928</v>
      </c>
      <c r="I5104" t="s">
        <v>869</v>
      </c>
      <c r="J5104" s="3">
        <v>45204</v>
      </c>
      <c r="L5104" t="s">
        <v>627</v>
      </c>
    </row>
    <row r="5105" spans="1:12" x14ac:dyDescent="0.75">
      <c r="A5105" t="s">
        <v>44</v>
      </c>
      <c r="B5105" s="3">
        <v>45119</v>
      </c>
      <c r="C5105">
        <v>1</v>
      </c>
      <c r="D5105" t="s">
        <v>191</v>
      </c>
      <c r="E5105" s="22">
        <f>2-0+50-36</f>
        <v>16</v>
      </c>
      <c r="F5105" t="s">
        <v>363</v>
      </c>
      <c r="G5105" t="s">
        <v>627</v>
      </c>
      <c r="H5105" t="s">
        <v>928</v>
      </c>
      <c r="I5105" t="s">
        <v>869</v>
      </c>
      <c r="J5105" s="3">
        <v>45204</v>
      </c>
      <c r="L5105" t="s">
        <v>627</v>
      </c>
    </row>
    <row r="5106" spans="1:12" x14ac:dyDescent="0.75">
      <c r="A5106" t="s">
        <v>44</v>
      </c>
      <c r="B5106" s="3">
        <v>45119</v>
      </c>
      <c r="C5106">
        <v>1</v>
      </c>
      <c r="D5106" s="10" t="s">
        <v>199</v>
      </c>
      <c r="E5106" s="22">
        <f>37-10</f>
        <v>27</v>
      </c>
      <c r="F5106" t="s">
        <v>363</v>
      </c>
      <c r="G5106" t="s">
        <v>627</v>
      </c>
      <c r="H5106" t="s">
        <v>928</v>
      </c>
      <c r="I5106" t="s">
        <v>869</v>
      </c>
      <c r="J5106" s="3">
        <v>45204</v>
      </c>
      <c r="L5106" t="s">
        <v>627</v>
      </c>
    </row>
    <row r="5107" spans="1:12" x14ac:dyDescent="0.75">
      <c r="A5107" t="s">
        <v>44</v>
      </c>
      <c r="B5107" s="3">
        <v>45119</v>
      </c>
      <c r="C5107">
        <v>1</v>
      </c>
      <c r="D5107" t="s">
        <v>194</v>
      </c>
      <c r="E5107" s="22">
        <f>10-0+50-44</f>
        <v>16</v>
      </c>
      <c r="F5107" t="s">
        <v>363</v>
      </c>
      <c r="G5107" t="s">
        <v>627</v>
      </c>
      <c r="H5107" t="s">
        <v>928</v>
      </c>
      <c r="I5107" t="s">
        <v>869</v>
      </c>
      <c r="J5107" s="3">
        <v>45204</v>
      </c>
      <c r="L5107" t="s">
        <v>627</v>
      </c>
    </row>
    <row r="5108" spans="1:12" x14ac:dyDescent="0.75">
      <c r="A5108" t="s">
        <v>44</v>
      </c>
      <c r="B5108" s="3">
        <v>45119</v>
      </c>
      <c r="C5108">
        <v>1</v>
      </c>
      <c r="D5108" t="s">
        <v>168</v>
      </c>
      <c r="E5108" s="22">
        <f>59-45</f>
        <v>14</v>
      </c>
      <c r="F5108" t="s">
        <v>363</v>
      </c>
      <c r="G5108" t="s">
        <v>361</v>
      </c>
      <c r="H5108" t="s">
        <v>928</v>
      </c>
      <c r="I5108" t="s">
        <v>869</v>
      </c>
      <c r="J5108" s="3">
        <v>45204</v>
      </c>
      <c r="L5108" t="s">
        <v>627</v>
      </c>
    </row>
    <row r="5109" spans="1:12" x14ac:dyDescent="0.75">
      <c r="A5109" t="s">
        <v>44</v>
      </c>
      <c r="B5109" s="3">
        <v>45119</v>
      </c>
      <c r="C5109">
        <v>1</v>
      </c>
      <c r="D5109" t="s">
        <v>172</v>
      </c>
      <c r="E5109" s="22">
        <f>45-31</f>
        <v>14</v>
      </c>
      <c r="F5109" t="s">
        <v>363</v>
      </c>
      <c r="G5109" t="s">
        <v>361</v>
      </c>
      <c r="H5109" t="s">
        <v>928</v>
      </c>
      <c r="I5109" t="s">
        <v>869</v>
      </c>
      <c r="J5109" s="3">
        <v>45204</v>
      </c>
      <c r="L5109" t="s">
        <v>627</v>
      </c>
    </row>
    <row r="5110" spans="1:12" x14ac:dyDescent="0.75">
      <c r="A5110" t="s">
        <v>44</v>
      </c>
      <c r="B5110" s="3">
        <v>45119</v>
      </c>
      <c r="C5110">
        <v>1</v>
      </c>
      <c r="D5110" t="s">
        <v>197</v>
      </c>
      <c r="E5110" s="22">
        <f>31-25</f>
        <v>6</v>
      </c>
      <c r="F5110" t="s">
        <v>363</v>
      </c>
      <c r="G5110" t="s">
        <v>361</v>
      </c>
      <c r="H5110" t="s">
        <v>928</v>
      </c>
      <c r="I5110" t="s">
        <v>869</v>
      </c>
      <c r="J5110" s="3">
        <v>45204</v>
      </c>
      <c r="L5110" t="s">
        <v>627</v>
      </c>
    </row>
    <row r="5111" spans="1:12" s="58" customFormat="1" x14ac:dyDescent="0.75">
      <c r="A5111" s="58" t="s">
        <v>60</v>
      </c>
      <c r="B5111" s="59">
        <v>45119</v>
      </c>
      <c r="C5111" s="58">
        <v>1</v>
      </c>
      <c r="D5111" s="58" t="s">
        <v>194</v>
      </c>
      <c r="E5111" s="60">
        <f>50-34</f>
        <v>16</v>
      </c>
      <c r="F5111" s="58" t="s">
        <v>363</v>
      </c>
      <c r="G5111" s="58" t="s">
        <v>627</v>
      </c>
      <c r="H5111" s="58" t="s">
        <v>928</v>
      </c>
      <c r="I5111" s="58" t="s">
        <v>869</v>
      </c>
      <c r="J5111" s="59">
        <v>45204</v>
      </c>
      <c r="L5111" s="58" t="s">
        <v>627</v>
      </c>
    </row>
    <row r="5112" spans="1:12" s="58" customFormat="1" x14ac:dyDescent="0.75">
      <c r="A5112" s="58" t="s">
        <v>60</v>
      </c>
      <c r="B5112" s="59">
        <v>45119</v>
      </c>
      <c r="C5112" s="58">
        <v>1</v>
      </c>
      <c r="D5112" s="58" t="s">
        <v>191</v>
      </c>
      <c r="E5112" s="60">
        <f>34-31</f>
        <v>3</v>
      </c>
      <c r="F5112" s="58" t="s">
        <v>363</v>
      </c>
      <c r="G5112" s="58" t="s">
        <v>627</v>
      </c>
      <c r="H5112" s="58" t="s">
        <v>928</v>
      </c>
      <c r="I5112" s="58" t="s">
        <v>869</v>
      </c>
      <c r="J5112" s="59">
        <v>45204</v>
      </c>
      <c r="L5112" s="58" t="s">
        <v>627</v>
      </c>
    </row>
    <row r="5113" spans="1:12" s="58" customFormat="1" x14ac:dyDescent="0.75">
      <c r="A5113" s="58" t="s">
        <v>60</v>
      </c>
      <c r="B5113" s="59">
        <v>45119</v>
      </c>
      <c r="C5113" s="58">
        <v>1</v>
      </c>
      <c r="D5113" s="58" t="s">
        <v>194</v>
      </c>
      <c r="E5113" s="60">
        <f>25-0+55-43</f>
        <v>37</v>
      </c>
      <c r="F5113" s="58" t="s">
        <v>363</v>
      </c>
      <c r="G5113" s="58" t="s">
        <v>361</v>
      </c>
      <c r="H5113" s="58" t="s">
        <v>928</v>
      </c>
      <c r="I5113" s="58" t="s">
        <v>869</v>
      </c>
      <c r="J5113" s="59">
        <v>45204</v>
      </c>
      <c r="L5113" s="58" t="s">
        <v>627</v>
      </c>
    </row>
    <row r="5114" spans="1:12" x14ac:dyDescent="0.75">
      <c r="A5114" t="s">
        <v>23</v>
      </c>
      <c r="B5114" s="3">
        <v>45120</v>
      </c>
      <c r="C5114">
        <v>1</v>
      </c>
      <c r="D5114" t="s">
        <v>207</v>
      </c>
      <c r="E5114" s="22">
        <f>44-27</f>
        <v>17</v>
      </c>
      <c r="F5114" t="s">
        <v>363</v>
      </c>
      <c r="G5114" t="s">
        <v>627</v>
      </c>
      <c r="H5114" t="s">
        <v>928</v>
      </c>
      <c r="I5114" t="s">
        <v>869</v>
      </c>
      <c r="J5114" s="3">
        <v>45204</v>
      </c>
      <c r="L5114" t="s">
        <v>627</v>
      </c>
    </row>
    <row r="5115" spans="1:12" x14ac:dyDescent="0.75">
      <c r="A5115" t="s">
        <v>23</v>
      </c>
      <c r="B5115" s="3">
        <v>45120</v>
      </c>
      <c r="C5115">
        <v>1</v>
      </c>
      <c r="D5115" t="s">
        <v>197</v>
      </c>
      <c r="E5115" s="22">
        <f>27-17</f>
        <v>10</v>
      </c>
      <c r="F5115" t="s">
        <v>363</v>
      </c>
      <c r="G5115" t="s">
        <v>627</v>
      </c>
      <c r="H5115" t="s">
        <v>928</v>
      </c>
      <c r="I5115" t="s">
        <v>869</v>
      </c>
      <c r="J5115" s="3">
        <v>45204</v>
      </c>
      <c r="L5115" t="s">
        <v>627</v>
      </c>
    </row>
    <row r="5116" spans="1:12" x14ac:dyDescent="0.75">
      <c r="A5116" t="s">
        <v>23</v>
      </c>
      <c r="B5116" s="3">
        <v>45120</v>
      </c>
      <c r="C5116">
        <v>1</v>
      </c>
      <c r="D5116" t="s">
        <v>197</v>
      </c>
      <c r="E5116" s="22">
        <f>17-7</f>
        <v>10</v>
      </c>
      <c r="F5116" t="s">
        <v>363</v>
      </c>
      <c r="G5116" t="s">
        <v>627</v>
      </c>
      <c r="H5116" t="s">
        <v>928</v>
      </c>
      <c r="I5116" t="s">
        <v>869</v>
      </c>
      <c r="J5116" s="3">
        <v>45204</v>
      </c>
      <c r="L5116" t="s">
        <v>627</v>
      </c>
    </row>
    <row r="5117" spans="1:12" x14ac:dyDescent="0.75">
      <c r="A5117" t="s">
        <v>23</v>
      </c>
      <c r="B5117" s="3">
        <v>45120</v>
      </c>
      <c r="C5117">
        <v>1</v>
      </c>
      <c r="D5117" t="s">
        <v>197</v>
      </c>
      <c r="E5117" s="22">
        <f>7-0+32-24</f>
        <v>15</v>
      </c>
      <c r="F5117" t="s">
        <v>363</v>
      </c>
      <c r="G5117" t="s">
        <v>627</v>
      </c>
      <c r="H5117" t="s">
        <v>928</v>
      </c>
      <c r="I5117" t="s">
        <v>869</v>
      </c>
      <c r="J5117" s="3">
        <v>45204</v>
      </c>
      <c r="L5117" t="s">
        <v>627</v>
      </c>
    </row>
    <row r="5118" spans="1:12" x14ac:dyDescent="0.75">
      <c r="A5118" t="s">
        <v>23</v>
      </c>
      <c r="B5118" s="3">
        <v>45120</v>
      </c>
      <c r="C5118">
        <v>1</v>
      </c>
      <c r="D5118" t="s">
        <v>207</v>
      </c>
      <c r="E5118" s="22">
        <f>24-5</f>
        <v>19</v>
      </c>
      <c r="F5118" t="s">
        <v>363</v>
      </c>
      <c r="G5118" t="s">
        <v>627</v>
      </c>
      <c r="H5118" t="s">
        <v>928</v>
      </c>
      <c r="I5118" t="s">
        <v>869</v>
      </c>
      <c r="J5118" s="3">
        <v>45204</v>
      </c>
      <c r="L5118" t="s">
        <v>627</v>
      </c>
    </row>
    <row r="5119" spans="1:12" x14ac:dyDescent="0.75">
      <c r="A5119" t="s">
        <v>23</v>
      </c>
      <c r="B5119" s="3">
        <v>45120</v>
      </c>
      <c r="C5119">
        <v>1</v>
      </c>
      <c r="D5119" t="s">
        <v>197</v>
      </c>
      <c r="E5119" s="22">
        <f>5-0</f>
        <v>5</v>
      </c>
      <c r="F5119" t="s">
        <v>363</v>
      </c>
      <c r="G5119" t="s">
        <v>627</v>
      </c>
      <c r="H5119" t="s">
        <v>928</v>
      </c>
      <c r="I5119" t="s">
        <v>869</v>
      </c>
      <c r="J5119" s="3">
        <v>45204</v>
      </c>
      <c r="L5119" t="s">
        <v>627</v>
      </c>
    </row>
    <row r="5120" spans="1:12" x14ac:dyDescent="0.75">
      <c r="A5120" t="s">
        <v>23</v>
      </c>
      <c r="B5120" s="3">
        <v>45120</v>
      </c>
      <c r="C5120">
        <v>1</v>
      </c>
      <c r="D5120" t="s">
        <v>197</v>
      </c>
      <c r="E5120" s="57">
        <f>44-36</f>
        <v>8</v>
      </c>
      <c r="F5120" t="s">
        <v>363</v>
      </c>
      <c r="G5120" t="s">
        <v>361</v>
      </c>
      <c r="H5120" t="s">
        <v>928</v>
      </c>
      <c r="I5120" t="s">
        <v>869</v>
      </c>
      <c r="J5120" s="3">
        <v>45204</v>
      </c>
      <c r="L5120" t="s">
        <v>627</v>
      </c>
    </row>
    <row r="5121" spans="1:12" x14ac:dyDescent="0.75">
      <c r="A5121" t="s">
        <v>23</v>
      </c>
      <c r="B5121" s="3">
        <v>45120</v>
      </c>
      <c r="C5121">
        <v>1</v>
      </c>
      <c r="D5121" t="s">
        <v>197</v>
      </c>
      <c r="E5121" s="22">
        <f>36-19</f>
        <v>17</v>
      </c>
      <c r="F5121" t="s">
        <v>363</v>
      </c>
      <c r="G5121" t="s">
        <v>361</v>
      </c>
      <c r="H5121" t="s">
        <v>928</v>
      </c>
      <c r="I5121" t="s">
        <v>869</v>
      </c>
      <c r="J5121" s="3">
        <v>45204</v>
      </c>
      <c r="L5121" t="s">
        <v>627</v>
      </c>
    </row>
    <row r="5122" spans="1:12" x14ac:dyDescent="0.75">
      <c r="A5122" t="s">
        <v>23</v>
      </c>
      <c r="B5122" s="3">
        <v>45120</v>
      </c>
      <c r="C5122">
        <v>1</v>
      </c>
      <c r="D5122" t="s">
        <v>201</v>
      </c>
      <c r="E5122" s="57">
        <f>19-4</f>
        <v>15</v>
      </c>
      <c r="F5122" t="s">
        <v>363</v>
      </c>
      <c r="G5122" t="s">
        <v>361</v>
      </c>
      <c r="H5122" t="s">
        <v>928</v>
      </c>
      <c r="I5122" t="s">
        <v>869</v>
      </c>
      <c r="J5122" s="3">
        <v>45204</v>
      </c>
      <c r="L5122" t="s">
        <v>627</v>
      </c>
    </row>
    <row r="5123" spans="1:12" x14ac:dyDescent="0.75">
      <c r="A5123" t="s">
        <v>23</v>
      </c>
      <c r="B5123" s="3">
        <v>45120</v>
      </c>
      <c r="C5123">
        <v>1</v>
      </c>
      <c r="D5123" t="s">
        <v>197</v>
      </c>
      <c r="E5123" s="57">
        <f>4-0</f>
        <v>4</v>
      </c>
      <c r="F5123" t="s">
        <v>363</v>
      </c>
      <c r="G5123" t="s">
        <v>361</v>
      </c>
      <c r="H5123" t="s">
        <v>928</v>
      </c>
      <c r="I5123" t="s">
        <v>869</v>
      </c>
      <c r="J5123" s="3">
        <v>45204</v>
      </c>
      <c r="L5123" t="s">
        <v>627</v>
      </c>
    </row>
    <row r="5124" spans="1:12" s="58" customFormat="1" x14ac:dyDescent="0.75">
      <c r="A5124" s="58" t="s">
        <v>87</v>
      </c>
      <c r="B5124" s="59">
        <v>45128</v>
      </c>
      <c r="C5124" s="58">
        <v>1</v>
      </c>
      <c r="D5124" s="58" t="s">
        <v>194</v>
      </c>
      <c r="E5124" s="60">
        <f>58-42</f>
        <v>16</v>
      </c>
      <c r="F5124" s="58" t="s">
        <v>363</v>
      </c>
      <c r="G5124" s="58" t="s">
        <v>869</v>
      </c>
      <c r="H5124" s="58" t="s">
        <v>928</v>
      </c>
      <c r="I5124" s="58" t="s">
        <v>869</v>
      </c>
      <c r="J5124" s="59">
        <v>45154</v>
      </c>
      <c r="L5124" s="58" t="s">
        <v>628</v>
      </c>
    </row>
    <row r="5125" spans="1:12" s="58" customFormat="1" x14ac:dyDescent="0.75">
      <c r="A5125" s="58" t="s">
        <v>87</v>
      </c>
      <c r="B5125" s="59">
        <v>45128</v>
      </c>
      <c r="C5125" s="58">
        <v>1</v>
      </c>
      <c r="D5125" s="58" t="s">
        <v>194</v>
      </c>
      <c r="E5125" s="60">
        <f>42-40</f>
        <v>2</v>
      </c>
      <c r="F5125" s="58" t="s">
        <v>363</v>
      </c>
      <c r="G5125" s="58" t="s">
        <v>869</v>
      </c>
      <c r="H5125" s="58" t="s">
        <v>928</v>
      </c>
      <c r="I5125" s="58" t="s">
        <v>869</v>
      </c>
      <c r="J5125" s="59">
        <v>45154</v>
      </c>
      <c r="L5125" s="58" t="s">
        <v>628</v>
      </c>
    </row>
    <row r="5126" spans="1:12" s="58" customFormat="1" x14ac:dyDescent="0.75">
      <c r="A5126" s="58" t="s">
        <v>87</v>
      </c>
      <c r="B5126" s="59">
        <v>45128</v>
      </c>
      <c r="C5126" s="58">
        <v>1</v>
      </c>
      <c r="D5126" s="58" t="s">
        <v>215</v>
      </c>
      <c r="E5126" s="60">
        <f>40-37</f>
        <v>3</v>
      </c>
      <c r="F5126" s="58" t="s">
        <v>363</v>
      </c>
      <c r="G5126" s="58" t="s">
        <v>869</v>
      </c>
      <c r="H5126" s="58" t="s">
        <v>928</v>
      </c>
      <c r="I5126" s="58" t="s">
        <v>869</v>
      </c>
      <c r="J5126" s="59">
        <v>45154</v>
      </c>
      <c r="L5126" s="58" t="s">
        <v>628</v>
      </c>
    </row>
    <row r="5127" spans="1:12" s="58" customFormat="1" x14ac:dyDescent="0.75">
      <c r="A5127" s="58" t="s">
        <v>87</v>
      </c>
      <c r="B5127" s="59">
        <v>45128</v>
      </c>
      <c r="C5127" s="58">
        <v>1</v>
      </c>
      <c r="D5127" s="58" t="s">
        <v>197</v>
      </c>
      <c r="E5127" s="60">
        <f>37-35</f>
        <v>2</v>
      </c>
      <c r="F5127" s="58" t="s">
        <v>363</v>
      </c>
      <c r="G5127" s="58" t="s">
        <v>869</v>
      </c>
      <c r="H5127" s="58" t="s">
        <v>928</v>
      </c>
      <c r="I5127" s="58" t="s">
        <v>869</v>
      </c>
      <c r="J5127" s="59">
        <v>45154</v>
      </c>
      <c r="L5127" s="58" t="s">
        <v>628</v>
      </c>
    </row>
    <row r="5128" spans="1:12" s="58" customFormat="1" x14ac:dyDescent="0.75">
      <c r="A5128" s="58" t="s">
        <v>87</v>
      </c>
      <c r="B5128" s="59">
        <v>45128</v>
      </c>
      <c r="C5128" s="58">
        <v>1</v>
      </c>
      <c r="D5128" s="58" t="s">
        <v>194</v>
      </c>
      <c r="E5128" s="60">
        <f>35-30</f>
        <v>5</v>
      </c>
      <c r="F5128" s="58" t="s">
        <v>363</v>
      </c>
      <c r="G5128" s="58" t="s">
        <v>869</v>
      </c>
      <c r="H5128" s="58" t="s">
        <v>928</v>
      </c>
      <c r="I5128" s="58" t="s">
        <v>869</v>
      </c>
      <c r="J5128" s="59">
        <v>45154</v>
      </c>
      <c r="L5128" s="58" t="s">
        <v>628</v>
      </c>
    </row>
    <row r="5129" spans="1:12" x14ac:dyDescent="0.75">
      <c r="A5129" t="s">
        <v>87</v>
      </c>
      <c r="B5129" s="3">
        <v>45128</v>
      </c>
      <c r="C5129">
        <v>2</v>
      </c>
      <c r="D5129" t="s">
        <v>197</v>
      </c>
      <c r="E5129" s="22">
        <f>30-24</f>
        <v>6</v>
      </c>
      <c r="F5129" t="s">
        <v>363</v>
      </c>
      <c r="G5129" t="s">
        <v>869</v>
      </c>
      <c r="H5129" t="s">
        <v>928</v>
      </c>
      <c r="I5129" t="s">
        <v>869</v>
      </c>
      <c r="J5129" s="3">
        <v>45154</v>
      </c>
      <c r="L5129" t="s">
        <v>628</v>
      </c>
    </row>
    <row r="5130" spans="1:12" x14ac:dyDescent="0.75">
      <c r="A5130" t="s">
        <v>87</v>
      </c>
      <c r="B5130" s="3">
        <v>45128</v>
      </c>
      <c r="C5130">
        <v>2</v>
      </c>
      <c r="D5130" t="s">
        <v>194</v>
      </c>
      <c r="E5130" s="22">
        <f>24-12</f>
        <v>12</v>
      </c>
      <c r="F5130" t="s">
        <v>363</v>
      </c>
      <c r="G5130" t="s">
        <v>869</v>
      </c>
      <c r="H5130" t="s">
        <v>928</v>
      </c>
      <c r="I5130" t="s">
        <v>869</v>
      </c>
      <c r="J5130" s="3">
        <v>45154</v>
      </c>
      <c r="L5130" t="s">
        <v>628</v>
      </c>
    </row>
    <row r="5131" spans="1:12" s="58" customFormat="1" x14ac:dyDescent="0.75">
      <c r="A5131" s="58" t="s">
        <v>87</v>
      </c>
      <c r="B5131" s="59">
        <v>45128</v>
      </c>
      <c r="C5131" s="58">
        <v>3</v>
      </c>
      <c r="D5131" s="58" t="s">
        <v>160</v>
      </c>
      <c r="E5131" s="60">
        <f>12</f>
        <v>12</v>
      </c>
      <c r="F5131" s="58">
        <v>187</v>
      </c>
      <c r="G5131" s="58" t="s">
        <v>869</v>
      </c>
      <c r="H5131" s="58" t="s">
        <v>390</v>
      </c>
      <c r="I5131" s="58" t="s">
        <v>869</v>
      </c>
      <c r="J5131" s="59">
        <v>45154</v>
      </c>
      <c r="L5131" s="58" t="s">
        <v>628</v>
      </c>
    </row>
    <row r="5132" spans="1:12" x14ac:dyDescent="0.75">
      <c r="A5132" t="s">
        <v>116</v>
      </c>
      <c r="B5132" s="3">
        <v>45133</v>
      </c>
      <c r="C5132">
        <v>1</v>
      </c>
      <c r="D5132" t="s">
        <v>191</v>
      </c>
      <c r="E5132" s="22">
        <f>51-0+50-36</f>
        <v>65</v>
      </c>
      <c r="F5132" t="s">
        <v>363</v>
      </c>
      <c r="G5132" t="s">
        <v>627</v>
      </c>
      <c r="H5132" t="s">
        <v>928</v>
      </c>
      <c r="I5132" t="s">
        <v>869</v>
      </c>
      <c r="J5132" s="3">
        <v>45204</v>
      </c>
      <c r="L5132" t="s">
        <v>627</v>
      </c>
    </row>
    <row r="5133" spans="1:12" x14ac:dyDescent="0.75">
      <c r="A5133" t="s">
        <v>116</v>
      </c>
      <c r="B5133" s="3">
        <v>45133</v>
      </c>
      <c r="C5133">
        <v>1</v>
      </c>
      <c r="D5133" t="s">
        <v>201</v>
      </c>
      <c r="E5133" s="22">
        <f>36-27</f>
        <v>9</v>
      </c>
      <c r="F5133" t="s">
        <v>363</v>
      </c>
      <c r="G5133" t="s">
        <v>627</v>
      </c>
      <c r="H5133" t="s">
        <v>928</v>
      </c>
      <c r="I5133" t="s">
        <v>869</v>
      </c>
      <c r="J5133" s="3">
        <v>45204</v>
      </c>
      <c r="L5133" t="s">
        <v>627</v>
      </c>
    </row>
    <row r="5134" spans="1:12" x14ac:dyDescent="0.75">
      <c r="A5134" t="s">
        <v>116</v>
      </c>
      <c r="B5134" s="3">
        <v>45133</v>
      </c>
      <c r="C5134">
        <v>1</v>
      </c>
      <c r="D5134" t="s">
        <v>191</v>
      </c>
      <c r="E5134" s="22">
        <f>27-24</f>
        <v>3</v>
      </c>
      <c r="F5134" t="s">
        <v>363</v>
      </c>
      <c r="G5134" t="s">
        <v>627</v>
      </c>
      <c r="H5134" t="s">
        <v>928</v>
      </c>
      <c r="I5134" t="s">
        <v>869</v>
      </c>
      <c r="J5134" s="3">
        <v>45204</v>
      </c>
      <c r="L5134" t="s">
        <v>627</v>
      </c>
    </row>
    <row r="5135" spans="1:12" x14ac:dyDescent="0.75">
      <c r="A5135" t="s">
        <v>116</v>
      </c>
      <c r="B5135" s="3">
        <v>45133</v>
      </c>
      <c r="C5135">
        <v>1</v>
      </c>
      <c r="D5135" s="10" t="s">
        <v>191</v>
      </c>
      <c r="E5135" s="57">
        <f>24-22</f>
        <v>2</v>
      </c>
      <c r="F5135" t="s">
        <v>363</v>
      </c>
      <c r="G5135" t="s">
        <v>627</v>
      </c>
      <c r="H5135" t="s">
        <v>928</v>
      </c>
      <c r="I5135" t="s">
        <v>869</v>
      </c>
      <c r="J5135" s="3">
        <v>45204</v>
      </c>
      <c r="K5135" t="s">
        <v>991</v>
      </c>
      <c r="L5135" t="s">
        <v>627</v>
      </c>
    </row>
    <row r="5136" spans="1:12" x14ac:dyDescent="0.75">
      <c r="A5136" t="s">
        <v>116</v>
      </c>
      <c r="B5136" s="3">
        <v>45133</v>
      </c>
      <c r="C5136">
        <v>1</v>
      </c>
      <c r="D5136" s="10" t="s">
        <v>191</v>
      </c>
      <c r="E5136" s="57">
        <f>22-21</f>
        <v>1</v>
      </c>
      <c r="F5136" t="s">
        <v>363</v>
      </c>
      <c r="G5136" t="s">
        <v>627</v>
      </c>
      <c r="H5136" t="s">
        <v>928</v>
      </c>
      <c r="I5136" t="s">
        <v>869</v>
      </c>
      <c r="J5136" s="3">
        <v>45204</v>
      </c>
      <c r="K5136" t="s">
        <v>992</v>
      </c>
      <c r="L5136" t="s">
        <v>374</v>
      </c>
    </row>
    <row r="5137" spans="1:12" x14ac:dyDescent="0.75">
      <c r="A5137" t="s">
        <v>116</v>
      </c>
      <c r="B5137" s="3">
        <v>45133</v>
      </c>
      <c r="C5137">
        <v>1</v>
      </c>
      <c r="D5137" t="s">
        <v>191</v>
      </c>
      <c r="E5137" s="22">
        <f>21-12</f>
        <v>9</v>
      </c>
      <c r="F5137" t="s">
        <v>363</v>
      </c>
      <c r="G5137" t="s">
        <v>627</v>
      </c>
      <c r="H5137" t="s">
        <v>928</v>
      </c>
      <c r="I5137" t="s">
        <v>869</v>
      </c>
      <c r="J5137" s="3">
        <v>45204</v>
      </c>
      <c r="L5137" t="s">
        <v>627</v>
      </c>
    </row>
    <row r="5138" spans="1:12" x14ac:dyDescent="0.75">
      <c r="A5138" t="s">
        <v>116</v>
      </c>
      <c r="B5138" s="3">
        <v>45133</v>
      </c>
      <c r="C5138">
        <v>1</v>
      </c>
      <c r="D5138" t="s">
        <v>215</v>
      </c>
      <c r="E5138" s="57">
        <f>12-3</f>
        <v>9</v>
      </c>
      <c r="F5138" t="s">
        <v>363</v>
      </c>
      <c r="G5138" t="s">
        <v>627</v>
      </c>
      <c r="H5138" t="s">
        <v>928</v>
      </c>
      <c r="I5138" t="s">
        <v>869</v>
      </c>
      <c r="J5138" s="3">
        <v>45204</v>
      </c>
      <c r="K5138" t="s">
        <v>993</v>
      </c>
      <c r="L5138" t="s">
        <v>627</v>
      </c>
    </row>
    <row r="5139" spans="1:12" x14ac:dyDescent="0.75">
      <c r="A5139" t="s">
        <v>116</v>
      </c>
      <c r="B5139" s="3">
        <v>45133</v>
      </c>
      <c r="C5139">
        <v>1</v>
      </c>
      <c r="D5139" t="s">
        <v>197</v>
      </c>
      <c r="E5139" s="57">
        <f>3-0+48-12</f>
        <v>39</v>
      </c>
      <c r="F5139" t="s">
        <v>363</v>
      </c>
      <c r="G5139" t="s">
        <v>627</v>
      </c>
      <c r="H5139" t="s">
        <v>390</v>
      </c>
      <c r="I5139" t="s">
        <v>869</v>
      </c>
      <c r="J5139" s="3">
        <v>45204</v>
      </c>
      <c r="K5139" t="s">
        <v>994</v>
      </c>
      <c r="L5139" t="s">
        <v>627</v>
      </c>
    </row>
    <row r="5140" spans="1:12" x14ac:dyDescent="0.75">
      <c r="A5140" t="s">
        <v>116</v>
      </c>
      <c r="B5140" s="3">
        <v>45133</v>
      </c>
      <c r="C5140">
        <v>1</v>
      </c>
      <c r="D5140" t="s">
        <v>191</v>
      </c>
      <c r="E5140" s="22">
        <f>12-0</f>
        <v>12</v>
      </c>
      <c r="F5140" t="s">
        <v>363</v>
      </c>
      <c r="G5140" t="s">
        <v>627</v>
      </c>
      <c r="H5140" t="s">
        <v>928</v>
      </c>
      <c r="I5140" t="s">
        <v>869</v>
      </c>
      <c r="J5140" s="3">
        <v>45204</v>
      </c>
      <c r="L5140" t="s">
        <v>627</v>
      </c>
    </row>
    <row r="5141" spans="1:12" x14ac:dyDescent="0.75">
      <c r="A5141" t="s">
        <v>116</v>
      </c>
      <c r="B5141" s="3">
        <v>45133</v>
      </c>
      <c r="C5141">
        <v>1</v>
      </c>
      <c r="D5141" t="s">
        <v>176</v>
      </c>
      <c r="E5141" s="22">
        <f>38-23</f>
        <v>15</v>
      </c>
      <c r="F5141" t="s">
        <v>363</v>
      </c>
      <c r="G5141" t="s">
        <v>627</v>
      </c>
      <c r="H5141" t="s">
        <v>928</v>
      </c>
      <c r="I5141" t="s">
        <v>869</v>
      </c>
      <c r="J5141" s="3">
        <v>45204</v>
      </c>
      <c r="K5141" t="s">
        <v>994</v>
      </c>
      <c r="L5141" t="s">
        <v>627</v>
      </c>
    </row>
    <row r="5142" spans="1:12" x14ac:dyDescent="0.75">
      <c r="A5142" t="s">
        <v>116</v>
      </c>
      <c r="B5142" s="3">
        <v>45133</v>
      </c>
      <c r="C5142">
        <v>1</v>
      </c>
      <c r="D5142" t="s">
        <v>201</v>
      </c>
      <c r="E5142" s="22">
        <f>23-17</f>
        <v>6</v>
      </c>
      <c r="F5142" t="s">
        <v>363</v>
      </c>
      <c r="G5142" t="s">
        <v>627</v>
      </c>
      <c r="H5142" t="s">
        <v>928</v>
      </c>
      <c r="I5142" t="s">
        <v>869</v>
      </c>
      <c r="J5142" s="3">
        <v>45204</v>
      </c>
      <c r="L5142" t="s">
        <v>627</v>
      </c>
    </row>
    <row r="5143" spans="1:12" x14ac:dyDescent="0.75">
      <c r="A5143" t="s">
        <v>116</v>
      </c>
      <c r="B5143" s="3">
        <v>45133</v>
      </c>
      <c r="C5143">
        <v>1</v>
      </c>
      <c r="D5143" t="s">
        <v>201</v>
      </c>
      <c r="E5143" s="22">
        <f>17-5</f>
        <v>12</v>
      </c>
      <c r="F5143" t="s">
        <v>363</v>
      </c>
      <c r="G5143" t="s">
        <v>627</v>
      </c>
      <c r="H5143" t="s">
        <v>928</v>
      </c>
      <c r="I5143" t="s">
        <v>869</v>
      </c>
      <c r="J5143" s="3">
        <v>45204</v>
      </c>
      <c r="L5143" t="s">
        <v>627</v>
      </c>
    </row>
    <row r="5144" spans="1:12" x14ac:dyDescent="0.75">
      <c r="A5144" t="s">
        <v>116</v>
      </c>
      <c r="B5144" s="3">
        <v>45133</v>
      </c>
      <c r="C5144">
        <v>1</v>
      </c>
      <c r="D5144" t="s">
        <v>201</v>
      </c>
      <c r="E5144" s="57">
        <f>48-34</f>
        <v>14</v>
      </c>
      <c r="F5144">
        <v>921</v>
      </c>
      <c r="G5144" t="s">
        <v>361</v>
      </c>
      <c r="H5144" s="10" t="s">
        <v>390</v>
      </c>
      <c r="I5144" t="s">
        <v>869</v>
      </c>
      <c r="J5144" s="3">
        <v>45204</v>
      </c>
      <c r="L5144" t="s">
        <v>627</v>
      </c>
    </row>
    <row r="5145" spans="1:12" x14ac:dyDescent="0.75">
      <c r="A5145" t="s">
        <v>116</v>
      </c>
      <c r="B5145" s="3">
        <v>45133</v>
      </c>
      <c r="C5145">
        <v>1</v>
      </c>
      <c r="D5145" t="s">
        <v>201</v>
      </c>
      <c r="E5145" s="22">
        <f>34-24</f>
        <v>10</v>
      </c>
      <c r="F5145">
        <v>982</v>
      </c>
      <c r="G5145" t="s">
        <v>361</v>
      </c>
      <c r="H5145" s="10" t="s">
        <v>390</v>
      </c>
      <c r="I5145" t="s">
        <v>869</v>
      </c>
      <c r="J5145" s="3">
        <v>45204</v>
      </c>
      <c r="L5145" t="s">
        <v>627</v>
      </c>
    </row>
    <row r="5146" spans="1:12" x14ac:dyDescent="0.75">
      <c r="A5146" t="s">
        <v>116</v>
      </c>
      <c r="B5146" s="3">
        <v>45133</v>
      </c>
      <c r="C5146">
        <v>1</v>
      </c>
      <c r="D5146" t="s">
        <v>176</v>
      </c>
      <c r="E5146" s="22">
        <f>24-12</f>
        <v>12</v>
      </c>
      <c r="F5146" t="s">
        <v>363</v>
      </c>
      <c r="G5146" t="s">
        <v>361</v>
      </c>
      <c r="H5146" t="s">
        <v>928</v>
      </c>
      <c r="I5146" t="s">
        <v>869</v>
      </c>
      <c r="J5146" s="3">
        <v>45204</v>
      </c>
      <c r="L5146" t="s">
        <v>627</v>
      </c>
    </row>
    <row r="5147" spans="1:12" s="58" customFormat="1" x14ac:dyDescent="0.75">
      <c r="A5147" s="58" t="s">
        <v>116</v>
      </c>
      <c r="B5147" s="59">
        <v>45133</v>
      </c>
      <c r="C5147" s="58">
        <v>2</v>
      </c>
      <c r="D5147" s="58" t="s">
        <v>194</v>
      </c>
      <c r="E5147" s="60">
        <f>54-46</f>
        <v>8</v>
      </c>
      <c r="F5147" s="58" t="s">
        <v>363</v>
      </c>
      <c r="G5147" s="58" t="s">
        <v>627</v>
      </c>
      <c r="H5147" s="58" t="s">
        <v>928</v>
      </c>
      <c r="I5147" s="58" t="s">
        <v>869</v>
      </c>
      <c r="J5147" s="59">
        <v>45204</v>
      </c>
      <c r="L5147" s="58" t="s">
        <v>627</v>
      </c>
    </row>
    <row r="5148" spans="1:12" s="58" customFormat="1" x14ac:dyDescent="0.75">
      <c r="A5148" s="58" t="s">
        <v>116</v>
      </c>
      <c r="B5148" s="59">
        <v>45133</v>
      </c>
      <c r="C5148" s="58">
        <v>2</v>
      </c>
      <c r="D5148" s="58" t="s">
        <v>191</v>
      </c>
      <c r="E5148" s="60">
        <f>46-42</f>
        <v>4</v>
      </c>
      <c r="F5148" s="58" t="s">
        <v>363</v>
      </c>
      <c r="G5148" s="58" t="s">
        <v>627</v>
      </c>
      <c r="H5148" s="58" t="s">
        <v>928</v>
      </c>
      <c r="I5148" s="58" t="s">
        <v>869</v>
      </c>
      <c r="J5148" s="59">
        <v>45204</v>
      </c>
      <c r="L5148" s="58" t="s">
        <v>627</v>
      </c>
    </row>
    <row r="5149" spans="1:12" s="58" customFormat="1" x14ac:dyDescent="0.75">
      <c r="A5149" s="58" t="s">
        <v>116</v>
      </c>
      <c r="B5149" s="59">
        <v>45133</v>
      </c>
      <c r="C5149" s="58">
        <v>2</v>
      </c>
      <c r="D5149" s="58" t="s">
        <v>191</v>
      </c>
      <c r="E5149" s="60">
        <f>42-33</f>
        <v>9</v>
      </c>
      <c r="F5149" s="58" t="s">
        <v>363</v>
      </c>
      <c r="G5149" s="58" t="s">
        <v>627</v>
      </c>
      <c r="H5149" s="58" t="s">
        <v>928</v>
      </c>
      <c r="I5149" s="58" t="s">
        <v>869</v>
      </c>
      <c r="J5149" s="59">
        <v>45204</v>
      </c>
      <c r="L5149" s="58" t="s">
        <v>627</v>
      </c>
    </row>
    <row r="5150" spans="1:12" s="58" customFormat="1" x14ac:dyDescent="0.75">
      <c r="A5150" s="58" t="s">
        <v>116</v>
      </c>
      <c r="B5150" s="59">
        <v>45133</v>
      </c>
      <c r="C5150" s="58">
        <v>2</v>
      </c>
      <c r="D5150" s="58" t="s">
        <v>191</v>
      </c>
      <c r="E5150" s="60">
        <f>33-27</f>
        <v>6</v>
      </c>
      <c r="F5150" s="58" t="s">
        <v>363</v>
      </c>
      <c r="G5150" s="58" t="s">
        <v>627</v>
      </c>
      <c r="H5150" s="58" t="s">
        <v>928</v>
      </c>
      <c r="I5150" s="58" t="s">
        <v>869</v>
      </c>
      <c r="J5150" s="59">
        <v>45204</v>
      </c>
      <c r="L5150" s="58" t="s">
        <v>627</v>
      </c>
    </row>
    <row r="5151" spans="1:12" s="58" customFormat="1" x14ac:dyDescent="0.75">
      <c r="A5151" s="58" t="s">
        <v>116</v>
      </c>
      <c r="B5151" s="59">
        <v>45133</v>
      </c>
      <c r="C5151" s="58">
        <v>2</v>
      </c>
      <c r="D5151" s="58" t="s">
        <v>191</v>
      </c>
      <c r="E5151" s="60">
        <f>27-20</f>
        <v>7</v>
      </c>
      <c r="F5151" s="58" t="s">
        <v>363</v>
      </c>
      <c r="G5151" s="58" t="s">
        <v>627</v>
      </c>
      <c r="H5151" s="58" t="s">
        <v>928</v>
      </c>
      <c r="I5151" s="58" t="s">
        <v>869</v>
      </c>
      <c r="J5151" s="59">
        <v>45204</v>
      </c>
      <c r="L5151" s="58" t="s">
        <v>627</v>
      </c>
    </row>
    <row r="5152" spans="1:12" s="58" customFormat="1" x14ac:dyDescent="0.75">
      <c r="A5152" s="58" t="s">
        <v>116</v>
      </c>
      <c r="B5152" s="59">
        <v>45133</v>
      </c>
      <c r="C5152" s="58">
        <v>2</v>
      </c>
      <c r="D5152" s="58" t="s">
        <v>201</v>
      </c>
      <c r="E5152" s="60">
        <f>20-0</f>
        <v>20</v>
      </c>
      <c r="F5152" s="58" t="s">
        <v>363</v>
      </c>
      <c r="G5152" s="58" t="s">
        <v>627</v>
      </c>
      <c r="H5152" s="58" t="s">
        <v>928</v>
      </c>
      <c r="I5152" s="58" t="s">
        <v>869</v>
      </c>
      <c r="J5152" s="59">
        <v>45204</v>
      </c>
      <c r="L5152" s="58" t="s">
        <v>627</v>
      </c>
    </row>
    <row r="5153" spans="1:12" s="58" customFormat="1" x14ac:dyDescent="0.75">
      <c r="A5153" s="58" t="s">
        <v>116</v>
      </c>
      <c r="B5153" s="59">
        <v>45133</v>
      </c>
      <c r="C5153" s="58">
        <v>2</v>
      </c>
      <c r="D5153" s="58" t="s">
        <v>191</v>
      </c>
      <c r="E5153" s="60">
        <f>6-0+53-48</f>
        <v>11</v>
      </c>
      <c r="F5153" s="58" t="s">
        <v>363</v>
      </c>
      <c r="G5153" s="58" t="s">
        <v>627</v>
      </c>
      <c r="H5153" s="58" t="s">
        <v>928</v>
      </c>
      <c r="I5153" s="58" t="s">
        <v>869</v>
      </c>
      <c r="J5153" s="59">
        <v>45204</v>
      </c>
      <c r="K5153" s="58" t="s">
        <v>994</v>
      </c>
      <c r="L5153" s="58" t="s">
        <v>627</v>
      </c>
    </row>
    <row r="5154" spans="1:12" s="58" customFormat="1" x14ac:dyDescent="0.75">
      <c r="A5154" s="58" t="s">
        <v>116</v>
      </c>
      <c r="B5154" s="59">
        <v>45133</v>
      </c>
      <c r="C5154" s="58">
        <v>2</v>
      </c>
      <c r="D5154" s="58" t="s">
        <v>164</v>
      </c>
      <c r="E5154" s="60">
        <f>48-30</f>
        <v>18</v>
      </c>
      <c r="F5154" s="58" t="s">
        <v>363</v>
      </c>
      <c r="G5154" s="58" t="s">
        <v>627</v>
      </c>
      <c r="H5154" s="58" t="s">
        <v>390</v>
      </c>
      <c r="I5154" s="58" t="s">
        <v>869</v>
      </c>
      <c r="J5154" s="59">
        <v>45204</v>
      </c>
      <c r="L5154" s="58" t="s">
        <v>627</v>
      </c>
    </row>
    <row r="5155" spans="1:12" s="58" customFormat="1" x14ac:dyDescent="0.75">
      <c r="A5155" s="58" t="s">
        <v>116</v>
      </c>
      <c r="B5155" s="59">
        <v>45133</v>
      </c>
      <c r="C5155" s="58">
        <v>2</v>
      </c>
      <c r="D5155" s="58" t="s">
        <v>207</v>
      </c>
      <c r="E5155" s="60">
        <f>30-27</f>
        <v>3</v>
      </c>
      <c r="F5155" s="58" t="s">
        <v>363</v>
      </c>
      <c r="G5155" s="58" t="s">
        <v>627</v>
      </c>
      <c r="H5155" s="58" t="s">
        <v>928</v>
      </c>
      <c r="I5155" s="58" t="s">
        <v>869</v>
      </c>
      <c r="J5155" s="59">
        <v>45204</v>
      </c>
      <c r="L5155" s="58" t="s">
        <v>627</v>
      </c>
    </row>
    <row r="5156" spans="1:12" s="58" customFormat="1" x14ac:dyDescent="0.75">
      <c r="A5156" s="58" t="s">
        <v>116</v>
      </c>
      <c r="B5156" s="59">
        <v>45133</v>
      </c>
      <c r="C5156" s="58">
        <v>2</v>
      </c>
      <c r="D5156" s="58" t="s">
        <v>191</v>
      </c>
      <c r="E5156" s="60">
        <f>27-0+50-44</f>
        <v>33</v>
      </c>
      <c r="F5156" s="58" t="s">
        <v>363</v>
      </c>
      <c r="G5156" s="58" t="s">
        <v>627</v>
      </c>
      <c r="H5156" s="58" t="s">
        <v>928</v>
      </c>
      <c r="I5156" s="58" t="s">
        <v>869</v>
      </c>
      <c r="J5156" s="59">
        <v>45204</v>
      </c>
      <c r="L5156" s="58" t="s">
        <v>627</v>
      </c>
    </row>
    <row r="5157" spans="1:12" s="58" customFormat="1" x14ac:dyDescent="0.75">
      <c r="A5157" s="58" t="s">
        <v>116</v>
      </c>
      <c r="B5157" s="59">
        <v>45133</v>
      </c>
      <c r="C5157" s="58">
        <v>2</v>
      </c>
      <c r="D5157" s="58" t="s">
        <v>176</v>
      </c>
      <c r="E5157" s="60">
        <f>12-3</f>
        <v>9</v>
      </c>
      <c r="F5157" s="58" t="s">
        <v>363</v>
      </c>
      <c r="G5157" s="58" t="s">
        <v>361</v>
      </c>
      <c r="H5157" s="58" t="s">
        <v>928</v>
      </c>
      <c r="I5157" s="58" t="s">
        <v>869</v>
      </c>
      <c r="J5157" s="59">
        <v>45204</v>
      </c>
      <c r="L5157" s="58" t="s">
        <v>627</v>
      </c>
    </row>
    <row r="5158" spans="1:12" s="58" customFormat="1" x14ac:dyDescent="0.75">
      <c r="A5158" s="58" t="s">
        <v>116</v>
      </c>
      <c r="B5158" s="59">
        <v>45133</v>
      </c>
      <c r="C5158" s="58">
        <v>2</v>
      </c>
      <c r="D5158" s="58" t="s">
        <v>207</v>
      </c>
      <c r="E5158" s="60">
        <f>3-1</f>
        <v>2</v>
      </c>
      <c r="F5158" s="58" t="s">
        <v>363</v>
      </c>
      <c r="G5158" s="58" t="s">
        <v>361</v>
      </c>
      <c r="H5158" s="58" t="s">
        <v>928</v>
      </c>
      <c r="I5158" s="58" t="s">
        <v>869</v>
      </c>
      <c r="J5158" s="59">
        <v>45204</v>
      </c>
      <c r="L5158" s="58" t="s">
        <v>627</v>
      </c>
    </row>
    <row r="5159" spans="1:12" s="58" customFormat="1" x14ac:dyDescent="0.75">
      <c r="A5159" s="58" t="s">
        <v>116</v>
      </c>
      <c r="B5159" s="59">
        <v>45133</v>
      </c>
      <c r="C5159" s="58">
        <v>2</v>
      </c>
      <c r="D5159" s="58" t="s">
        <v>201</v>
      </c>
      <c r="E5159" s="60">
        <f>1-0+58-46</f>
        <v>13</v>
      </c>
      <c r="F5159" s="58" t="s">
        <v>363</v>
      </c>
      <c r="G5159" s="58" t="s">
        <v>361</v>
      </c>
      <c r="H5159" s="58" t="s">
        <v>928</v>
      </c>
      <c r="I5159" s="58" t="s">
        <v>869</v>
      </c>
      <c r="J5159" s="59">
        <v>45204</v>
      </c>
      <c r="K5159" s="58" t="s">
        <v>994</v>
      </c>
      <c r="L5159" s="58" t="s">
        <v>627</v>
      </c>
    </row>
    <row r="5160" spans="1:12" s="58" customFormat="1" x14ac:dyDescent="0.75">
      <c r="A5160" s="58" t="s">
        <v>116</v>
      </c>
      <c r="B5160" s="59">
        <v>45133</v>
      </c>
      <c r="C5160" s="58">
        <v>2</v>
      </c>
      <c r="D5160" s="58" t="s">
        <v>176</v>
      </c>
      <c r="E5160" s="60">
        <f>46-39</f>
        <v>7</v>
      </c>
      <c r="F5160" s="58">
        <v>910</v>
      </c>
      <c r="G5160" s="58" t="s">
        <v>361</v>
      </c>
      <c r="H5160" s="58" t="s">
        <v>390</v>
      </c>
      <c r="I5160" s="58" t="s">
        <v>869</v>
      </c>
      <c r="J5160" s="59">
        <v>45204</v>
      </c>
      <c r="L5160" s="58" t="s">
        <v>627</v>
      </c>
    </row>
    <row r="5161" spans="1:12" s="58" customFormat="1" x14ac:dyDescent="0.75">
      <c r="A5161" s="58" t="s">
        <v>116</v>
      </c>
      <c r="B5161" s="59">
        <v>45133</v>
      </c>
      <c r="C5161" s="58">
        <v>2</v>
      </c>
      <c r="D5161" s="58" t="s">
        <v>164</v>
      </c>
      <c r="E5161" s="60">
        <f>39-26</f>
        <v>13</v>
      </c>
      <c r="F5161" s="58" t="s">
        <v>363</v>
      </c>
      <c r="G5161" s="58" t="s">
        <v>361</v>
      </c>
      <c r="H5161" s="58" t="s">
        <v>928</v>
      </c>
      <c r="I5161" s="58" t="s">
        <v>869</v>
      </c>
      <c r="J5161" s="59">
        <v>45204</v>
      </c>
      <c r="L5161" s="58" t="s">
        <v>627</v>
      </c>
    </row>
    <row r="5162" spans="1:12" s="58" customFormat="1" x14ac:dyDescent="0.75">
      <c r="A5162" s="58" t="s">
        <v>116</v>
      </c>
      <c r="B5162" s="59">
        <v>45133</v>
      </c>
      <c r="C5162" s="58">
        <v>2</v>
      </c>
      <c r="D5162" s="58" t="s">
        <v>201</v>
      </c>
      <c r="E5162" s="60">
        <f>26-11</f>
        <v>15</v>
      </c>
      <c r="F5162" s="58" t="s">
        <v>363</v>
      </c>
      <c r="G5162" s="58" t="s">
        <v>361</v>
      </c>
      <c r="H5162" s="58" t="s">
        <v>390</v>
      </c>
      <c r="I5162" s="58" t="s">
        <v>869</v>
      </c>
      <c r="J5162" s="59">
        <v>45204</v>
      </c>
      <c r="L5162" s="58" t="s">
        <v>627</v>
      </c>
    </row>
    <row r="5163" spans="1:12" x14ac:dyDescent="0.75">
      <c r="A5163" t="s">
        <v>116</v>
      </c>
      <c r="B5163" s="3">
        <v>45133</v>
      </c>
      <c r="C5163">
        <v>3</v>
      </c>
      <c r="D5163" t="s">
        <v>164</v>
      </c>
      <c r="E5163" s="22">
        <f>56-41</f>
        <v>15</v>
      </c>
      <c r="F5163" t="s">
        <v>363</v>
      </c>
      <c r="G5163" t="s">
        <v>627</v>
      </c>
      <c r="H5163" t="s">
        <v>928</v>
      </c>
      <c r="I5163" t="s">
        <v>869</v>
      </c>
      <c r="J5163" s="3">
        <v>45204</v>
      </c>
      <c r="K5163" t="s">
        <v>994</v>
      </c>
      <c r="L5163" t="s">
        <v>627</v>
      </c>
    </row>
    <row r="5164" spans="1:12" x14ac:dyDescent="0.75">
      <c r="A5164" t="s">
        <v>116</v>
      </c>
      <c r="B5164" s="3">
        <v>45133</v>
      </c>
      <c r="C5164">
        <v>3</v>
      </c>
      <c r="D5164" t="s">
        <v>164</v>
      </c>
      <c r="E5164" s="22">
        <f>38-10</f>
        <v>28</v>
      </c>
      <c r="F5164" t="s">
        <v>363</v>
      </c>
      <c r="G5164" t="s">
        <v>627</v>
      </c>
      <c r="H5164" t="s">
        <v>928</v>
      </c>
      <c r="I5164" t="s">
        <v>869</v>
      </c>
      <c r="J5164" s="3">
        <v>45204</v>
      </c>
      <c r="L5164" t="s">
        <v>627</v>
      </c>
    </row>
    <row r="5165" spans="1:12" s="58" customFormat="1" x14ac:dyDescent="0.75">
      <c r="A5165" s="58" t="s">
        <v>116</v>
      </c>
      <c r="B5165" s="59">
        <v>45134</v>
      </c>
      <c r="C5165" s="58">
        <v>1</v>
      </c>
      <c r="D5165" s="58" t="s">
        <v>164</v>
      </c>
      <c r="E5165" s="60">
        <f>54-36</f>
        <v>18</v>
      </c>
      <c r="F5165" s="58" t="s">
        <v>363</v>
      </c>
      <c r="G5165" s="58" t="s">
        <v>361</v>
      </c>
      <c r="H5165" s="58" t="s">
        <v>928</v>
      </c>
      <c r="I5165" s="58" t="s">
        <v>869</v>
      </c>
      <c r="J5165" s="59">
        <v>45156</v>
      </c>
      <c r="L5165" s="58" t="s">
        <v>628</v>
      </c>
    </row>
    <row r="5166" spans="1:12" s="58" customFormat="1" x14ac:dyDescent="0.75">
      <c r="A5166" s="58" t="s">
        <v>116</v>
      </c>
      <c r="B5166" s="59">
        <v>45134</v>
      </c>
      <c r="C5166" s="58">
        <v>1</v>
      </c>
      <c r="D5166" s="58" t="s">
        <v>194</v>
      </c>
      <c r="E5166" s="60">
        <f>36-24</f>
        <v>12</v>
      </c>
      <c r="F5166" s="58" t="s">
        <v>363</v>
      </c>
      <c r="G5166" s="58" t="s">
        <v>361</v>
      </c>
      <c r="H5166" s="58" t="s">
        <v>928</v>
      </c>
      <c r="I5166" s="58" t="s">
        <v>869</v>
      </c>
      <c r="J5166" s="59">
        <v>45156</v>
      </c>
      <c r="L5166" s="58" t="s">
        <v>628</v>
      </c>
    </row>
    <row r="5167" spans="1:12" s="58" customFormat="1" x14ac:dyDescent="0.75">
      <c r="A5167" s="58" t="s">
        <v>116</v>
      </c>
      <c r="B5167" s="59">
        <v>45134</v>
      </c>
      <c r="C5167" s="58">
        <v>1</v>
      </c>
      <c r="D5167" s="58" t="s">
        <v>164</v>
      </c>
      <c r="E5167" s="60">
        <v>24</v>
      </c>
      <c r="F5167" s="58" t="s">
        <v>363</v>
      </c>
      <c r="G5167" s="58" t="s">
        <v>361</v>
      </c>
      <c r="H5167" s="58" t="s">
        <v>928</v>
      </c>
      <c r="I5167" s="58" t="s">
        <v>869</v>
      </c>
      <c r="J5167" s="59">
        <v>45156</v>
      </c>
      <c r="L5167" s="58" t="s">
        <v>628</v>
      </c>
    </row>
    <row r="5168" spans="1:12" s="58" customFormat="1" x14ac:dyDescent="0.75">
      <c r="A5168" s="58" t="s">
        <v>116</v>
      </c>
      <c r="B5168" s="59">
        <v>45134</v>
      </c>
      <c r="C5168" s="58">
        <v>1</v>
      </c>
      <c r="D5168" s="58" t="s">
        <v>164</v>
      </c>
      <c r="E5168" s="60">
        <f>11+60-44</f>
        <v>27</v>
      </c>
      <c r="F5168" s="58" t="s">
        <v>363</v>
      </c>
      <c r="G5168" s="58" t="s">
        <v>361</v>
      </c>
      <c r="H5168" s="58" t="s">
        <v>928</v>
      </c>
      <c r="I5168" s="58" t="s">
        <v>869</v>
      </c>
      <c r="J5168" s="59">
        <v>45156</v>
      </c>
      <c r="L5168" s="58" t="s">
        <v>628</v>
      </c>
    </row>
    <row r="5169" spans="1:12" s="58" customFormat="1" x14ac:dyDescent="0.75">
      <c r="A5169" s="58" t="s">
        <v>116</v>
      </c>
      <c r="B5169" s="59">
        <v>45134</v>
      </c>
      <c r="C5169" s="58">
        <v>1</v>
      </c>
      <c r="D5169" s="58" t="s">
        <v>194</v>
      </c>
      <c r="E5169" s="58">
        <f>47-40</f>
        <v>7</v>
      </c>
      <c r="F5169" s="58" t="s">
        <v>363</v>
      </c>
      <c r="G5169" s="58" t="s">
        <v>869</v>
      </c>
      <c r="H5169" s="58" t="s">
        <v>928</v>
      </c>
      <c r="I5169" s="58" t="s">
        <v>869</v>
      </c>
      <c r="J5169" s="59">
        <v>45156</v>
      </c>
      <c r="L5169" s="58" t="s">
        <v>628</v>
      </c>
    </row>
    <row r="5170" spans="1:12" s="58" customFormat="1" x14ac:dyDescent="0.75">
      <c r="A5170" s="58" t="s">
        <v>116</v>
      </c>
      <c r="B5170" s="59">
        <v>45134</v>
      </c>
      <c r="C5170" s="58">
        <v>1</v>
      </c>
      <c r="D5170" s="58" t="s">
        <v>194</v>
      </c>
      <c r="E5170" s="60">
        <f>40-30</f>
        <v>10</v>
      </c>
      <c r="F5170" s="58" t="s">
        <v>363</v>
      </c>
      <c r="G5170" s="58" t="s">
        <v>869</v>
      </c>
      <c r="H5170" s="58" t="s">
        <v>928</v>
      </c>
      <c r="I5170" s="58" t="s">
        <v>869</v>
      </c>
      <c r="J5170" s="59">
        <v>45156</v>
      </c>
      <c r="L5170" s="58" t="s">
        <v>628</v>
      </c>
    </row>
    <row r="5171" spans="1:12" s="58" customFormat="1" x14ac:dyDescent="0.75">
      <c r="A5171" s="58" t="s">
        <v>116</v>
      </c>
      <c r="B5171" s="59">
        <v>45134</v>
      </c>
      <c r="C5171" s="58">
        <v>1</v>
      </c>
      <c r="D5171" s="58" t="s">
        <v>197</v>
      </c>
      <c r="E5171" s="60">
        <f>30-21</f>
        <v>9</v>
      </c>
      <c r="G5171" s="58" t="s">
        <v>869</v>
      </c>
      <c r="H5171" s="58" t="s">
        <v>928</v>
      </c>
      <c r="I5171" s="58" t="s">
        <v>869</v>
      </c>
      <c r="J5171" s="59">
        <v>45156</v>
      </c>
      <c r="L5171" s="58" t="s">
        <v>628</v>
      </c>
    </row>
    <row r="5172" spans="1:12" s="58" customFormat="1" x14ac:dyDescent="0.75">
      <c r="A5172" s="58" t="s">
        <v>116</v>
      </c>
      <c r="B5172" s="59">
        <v>45134</v>
      </c>
      <c r="C5172" s="58">
        <v>1</v>
      </c>
      <c r="D5172" s="58" t="s">
        <v>176</v>
      </c>
      <c r="E5172" s="60">
        <f>21-16</f>
        <v>5</v>
      </c>
      <c r="F5172" s="58" t="s">
        <v>363</v>
      </c>
      <c r="G5172" s="58" t="s">
        <v>869</v>
      </c>
      <c r="H5172" s="58" t="s">
        <v>928</v>
      </c>
      <c r="I5172" s="58" t="s">
        <v>869</v>
      </c>
      <c r="J5172" s="59">
        <v>45156</v>
      </c>
      <c r="L5172" s="58" t="s">
        <v>628</v>
      </c>
    </row>
    <row r="5173" spans="1:12" s="58" customFormat="1" x14ac:dyDescent="0.75">
      <c r="A5173" s="58" t="s">
        <v>116</v>
      </c>
      <c r="B5173" s="59">
        <v>45134</v>
      </c>
      <c r="C5173" s="58">
        <v>1</v>
      </c>
      <c r="D5173" s="58" t="s">
        <v>164</v>
      </c>
      <c r="E5173" s="60">
        <f>16-1</f>
        <v>15</v>
      </c>
      <c r="F5173" s="58" t="s">
        <v>363</v>
      </c>
      <c r="G5173" s="58" t="s">
        <v>869</v>
      </c>
      <c r="H5173" s="58" t="s">
        <v>928</v>
      </c>
      <c r="I5173" s="58" t="s">
        <v>869</v>
      </c>
      <c r="J5173" s="59">
        <v>45156</v>
      </c>
      <c r="L5173" s="58" t="s">
        <v>628</v>
      </c>
    </row>
    <row r="5174" spans="1:12" s="58" customFormat="1" x14ac:dyDescent="0.75">
      <c r="A5174" s="58" t="s">
        <v>116</v>
      </c>
      <c r="B5174" s="59">
        <v>45134</v>
      </c>
      <c r="C5174" s="58">
        <v>1</v>
      </c>
      <c r="D5174" s="58" t="s">
        <v>191</v>
      </c>
      <c r="E5174" s="60">
        <f>1</f>
        <v>1</v>
      </c>
      <c r="F5174" s="58" t="s">
        <v>363</v>
      </c>
      <c r="G5174" s="58" t="s">
        <v>869</v>
      </c>
      <c r="H5174" s="58" t="s">
        <v>928</v>
      </c>
      <c r="I5174" s="58" t="s">
        <v>869</v>
      </c>
      <c r="J5174" s="59">
        <v>45156</v>
      </c>
      <c r="L5174" s="58" t="s">
        <v>628</v>
      </c>
    </row>
    <row r="5175" spans="1:12" s="58" customFormat="1" x14ac:dyDescent="0.75">
      <c r="A5175" s="58" t="s">
        <v>116</v>
      </c>
      <c r="B5175" s="59">
        <v>45134</v>
      </c>
      <c r="C5175" s="58">
        <v>1</v>
      </c>
      <c r="D5175" s="58" t="s">
        <v>197</v>
      </c>
      <c r="E5175" s="60">
        <f>52-44</f>
        <v>8</v>
      </c>
      <c r="F5175" s="58" t="s">
        <v>363</v>
      </c>
      <c r="G5175" s="58" t="s">
        <v>869</v>
      </c>
      <c r="H5175" s="58" t="s">
        <v>928</v>
      </c>
      <c r="I5175" s="58" t="s">
        <v>869</v>
      </c>
      <c r="J5175" s="59">
        <v>45156</v>
      </c>
      <c r="L5175" s="58" t="s">
        <v>628</v>
      </c>
    </row>
    <row r="5176" spans="1:12" s="58" customFormat="1" x14ac:dyDescent="0.75">
      <c r="A5176" s="58" t="s">
        <v>116</v>
      </c>
      <c r="B5176" s="59">
        <v>45134</v>
      </c>
      <c r="C5176" s="58">
        <v>1</v>
      </c>
      <c r="D5176" s="58" t="s">
        <v>194</v>
      </c>
      <c r="E5176" s="60">
        <f>44-37</f>
        <v>7</v>
      </c>
      <c r="F5176" s="58" t="s">
        <v>363</v>
      </c>
      <c r="G5176" s="58" t="s">
        <v>869</v>
      </c>
      <c r="H5176" s="58" t="s">
        <v>928</v>
      </c>
      <c r="I5176" s="58" t="s">
        <v>869</v>
      </c>
      <c r="J5176" s="59">
        <v>45156</v>
      </c>
      <c r="L5176" s="58" t="s">
        <v>628</v>
      </c>
    </row>
    <row r="5177" spans="1:12" s="58" customFormat="1" x14ac:dyDescent="0.75">
      <c r="A5177" s="58" t="s">
        <v>116</v>
      </c>
      <c r="B5177" s="59">
        <v>45134</v>
      </c>
      <c r="C5177" s="58">
        <v>1</v>
      </c>
      <c r="D5177" s="58" t="s">
        <v>194</v>
      </c>
      <c r="E5177" s="60">
        <f>37-32</f>
        <v>5</v>
      </c>
      <c r="F5177" s="58" t="s">
        <v>363</v>
      </c>
      <c r="G5177" s="58" t="s">
        <v>869</v>
      </c>
      <c r="H5177" s="58" t="s">
        <v>928</v>
      </c>
      <c r="I5177" s="58" t="s">
        <v>869</v>
      </c>
      <c r="J5177" s="59">
        <v>45156</v>
      </c>
      <c r="L5177" s="58" t="s">
        <v>628</v>
      </c>
    </row>
    <row r="5178" spans="1:12" s="58" customFormat="1" x14ac:dyDescent="0.75">
      <c r="A5178" s="58" t="s">
        <v>116</v>
      </c>
      <c r="B5178" s="59">
        <v>45134</v>
      </c>
      <c r="C5178" s="58">
        <v>1</v>
      </c>
      <c r="D5178" s="58" t="s">
        <v>201</v>
      </c>
      <c r="E5178" s="60">
        <f>32-23</f>
        <v>9</v>
      </c>
      <c r="F5178" s="58" t="s">
        <v>363</v>
      </c>
      <c r="G5178" s="58" t="s">
        <v>869</v>
      </c>
      <c r="H5178" s="58" t="s">
        <v>928</v>
      </c>
      <c r="I5178" s="58" t="s">
        <v>869</v>
      </c>
      <c r="J5178" s="59">
        <v>45156</v>
      </c>
      <c r="L5178" s="58" t="s">
        <v>628</v>
      </c>
    </row>
    <row r="5179" spans="1:12" s="58" customFormat="1" x14ac:dyDescent="0.75">
      <c r="A5179" s="58" t="s">
        <v>116</v>
      </c>
      <c r="B5179" s="59">
        <v>45134</v>
      </c>
      <c r="C5179" s="58">
        <v>1</v>
      </c>
      <c r="D5179" s="58" t="s">
        <v>201</v>
      </c>
      <c r="E5179" s="60">
        <f>23-20</f>
        <v>3</v>
      </c>
      <c r="F5179" s="58" t="s">
        <v>363</v>
      </c>
      <c r="G5179" s="58" t="s">
        <v>869</v>
      </c>
      <c r="H5179" s="58" t="s">
        <v>928</v>
      </c>
      <c r="I5179" s="58" t="s">
        <v>869</v>
      </c>
      <c r="J5179" s="59">
        <v>45156</v>
      </c>
      <c r="L5179" s="58" t="s">
        <v>628</v>
      </c>
    </row>
    <row r="5180" spans="1:12" s="58" customFormat="1" x14ac:dyDescent="0.75">
      <c r="A5180" s="58" t="s">
        <v>116</v>
      </c>
      <c r="B5180" s="59">
        <v>45134</v>
      </c>
      <c r="C5180" s="58">
        <v>1</v>
      </c>
      <c r="D5180" s="58" t="s">
        <v>164</v>
      </c>
      <c r="E5180" s="60">
        <f>20-7</f>
        <v>13</v>
      </c>
      <c r="F5180" s="58" t="s">
        <v>363</v>
      </c>
      <c r="G5180" s="58" t="s">
        <v>869</v>
      </c>
      <c r="H5180" s="58" t="s">
        <v>928</v>
      </c>
      <c r="I5180" s="58" t="s">
        <v>869</v>
      </c>
      <c r="J5180" s="59">
        <v>45156</v>
      </c>
      <c r="L5180" s="58" t="s">
        <v>628</v>
      </c>
    </row>
    <row r="5181" spans="1:12" s="58" customFormat="1" x14ac:dyDescent="0.75">
      <c r="A5181" s="58" t="s">
        <v>116</v>
      </c>
      <c r="B5181" s="59">
        <v>45134</v>
      </c>
      <c r="C5181" s="58">
        <v>1</v>
      </c>
      <c r="D5181" s="58" t="s">
        <v>197</v>
      </c>
      <c r="E5181" s="60">
        <f>7-3</f>
        <v>4</v>
      </c>
      <c r="F5181" s="58" t="s">
        <v>363</v>
      </c>
      <c r="G5181" s="58" t="s">
        <v>869</v>
      </c>
      <c r="H5181" s="58" t="s">
        <v>928</v>
      </c>
      <c r="I5181" s="58" t="s">
        <v>869</v>
      </c>
      <c r="J5181" s="59">
        <v>45156</v>
      </c>
      <c r="L5181" s="58" t="s">
        <v>628</v>
      </c>
    </row>
    <row r="5182" spans="1:12" s="58" customFormat="1" x14ac:dyDescent="0.75">
      <c r="A5182" s="58" t="s">
        <v>116</v>
      </c>
      <c r="B5182" s="59">
        <v>45134</v>
      </c>
      <c r="C5182" s="58">
        <v>1</v>
      </c>
      <c r="D5182" s="58" t="s">
        <v>201</v>
      </c>
      <c r="E5182" s="58" t="s">
        <v>363</v>
      </c>
      <c r="F5182" s="58" t="s">
        <v>363</v>
      </c>
      <c r="G5182" s="58" t="s">
        <v>869</v>
      </c>
      <c r="H5182" s="58" t="s">
        <v>928</v>
      </c>
      <c r="I5182" s="58" t="s">
        <v>869</v>
      </c>
      <c r="J5182" s="59">
        <v>45156</v>
      </c>
      <c r="K5182" s="58" t="s">
        <v>995</v>
      </c>
      <c r="L5182" s="58" t="s">
        <v>628</v>
      </c>
    </row>
    <row r="5183" spans="1:12" s="58" customFormat="1" x14ac:dyDescent="0.75">
      <c r="A5183" s="58" t="s">
        <v>116</v>
      </c>
      <c r="B5183" s="59">
        <v>45134</v>
      </c>
      <c r="C5183" s="58">
        <v>1</v>
      </c>
      <c r="D5183" s="58" t="s">
        <v>176</v>
      </c>
      <c r="E5183" s="60">
        <f>54-41</f>
        <v>13</v>
      </c>
      <c r="F5183" s="58" t="s">
        <v>363</v>
      </c>
      <c r="G5183" s="58" t="s">
        <v>869</v>
      </c>
      <c r="H5183" s="58" t="s">
        <v>928</v>
      </c>
      <c r="I5183" s="58" t="s">
        <v>869</v>
      </c>
      <c r="J5183" s="59">
        <v>45156</v>
      </c>
      <c r="L5183" s="58" t="s">
        <v>628</v>
      </c>
    </row>
    <row r="5184" spans="1:12" s="58" customFormat="1" x14ac:dyDescent="0.75">
      <c r="A5184" s="58" t="s">
        <v>116</v>
      </c>
      <c r="B5184" s="59">
        <v>45134</v>
      </c>
      <c r="C5184" s="58">
        <v>1</v>
      </c>
      <c r="D5184" s="58" t="s">
        <v>194</v>
      </c>
      <c r="E5184" s="60">
        <f>41-14</f>
        <v>27</v>
      </c>
      <c r="F5184" s="58" t="s">
        <v>363</v>
      </c>
      <c r="G5184" s="58" t="s">
        <v>869</v>
      </c>
      <c r="H5184" s="58" t="s">
        <v>928</v>
      </c>
      <c r="I5184" s="58" t="s">
        <v>869</v>
      </c>
      <c r="J5184" s="59">
        <v>45156</v>
      </c>
      <c r="L5184" s="58" t="s">
        <v>628</v>
      </c>
    </row>
    <row r="5185" spans="1:12" s="58" customFormat="1" x14ac:dyDescent="0.75">
      <c r="A5185" s="58" t="s">
        <v>116</v>
      </c>
      <c r="B5185" s="59">
        <v>45134</v>
      </c>
      <c r="C5185" s="58">
        <v>1</v>
      </c>
      <c r="D5185" s="58" t="s">
        <v>197</v>
      </c>
      <c r="E5185" s="60">
        <f>14-2</f>
        <v>12</v>
      </c>
      <c r="F5185" s="58" t="s">
        <v>363</v>
      </c>
      <c r="G5185" s="58" t="s">
        <v>869</v>
      </c>
      <c r="H5185" s="58" t="s">
        <v>928</v>
      </c>
      <c r="I5185" s="58" t="s">
        <v>869</v>
      </c>
      <c r="J5185" s="59">
        <v>45156</v>
      </c>
      <c r="L5185" s="58" t="s">
        <v>628</v>
      </c>
    </row>
    <row r="5186" spans="1:12" s="58" customFormat="1" x14ac:dyDescent="0.75">
      <c r="A5186" s="58" t="s">
        <v>116</v>
      </c>
      <c r="B5186" s="59">
        <v>45134</v>
      </c>
      <c r="C5186" s="58">
        <v>1</v>
      </c>
      <c r="D5186" s="58" t="s">
        <v>197</v>
      </c>
      <c r="E5186" s="60">
        <f>52-42</f>
        <v>10</v>
      </c>
      <c r="F5186" s="58" t="s">
        <v>363</v>
      </c>
      <c r="G5186" s="58" t="s">
        <v>869</v>
      </c>
      <c r="H5186" s="58" t="s">
        <v>928</v>
      </c>
      <c r="I5186" s="58" t="s">
        <v>869</v>
      </c>
      <c r="J5186" s="59">
        <v>45156</v>
      </c>
      <c r="L5186" s="58" t="s">
        <v>628</v>
      </c>
    </row>
    <row r="5187" spans="1:12" s="58" customFormat="1" x14ac:dyDescent="0.75">
      <c r="A5187" s="58" t="s">
        <v>116</v>
      </c>
      <c r="B5187" s="59">
        <v>45134</v>
      </c>
      <c r="C5187" s="58">
        <v>1</v>
      </c>
      <c r="D5187" s="58" t="s">
        <v>164</v>
      </c>
      <c r="E5187" s="60">
        <f>53-47</f>
        <v>6</v>
      </c>
      <c r="F5187" s="58">
        <v>967</v>
      </c>
      <c r="G5187" s="58" t="s">
        <v>869</v>
      </c>
      <c r="H5187" s="58" t="s">
        <v>390</v>
      </c>
      <c r="I5187" s="58" t="s">
        <v>869</v>
      </c>
      <c r="J5187" s="59">
        <v>45156</v>
      </c>
      <c r="L5187" s="58" t="s">
        <v>628</v>
      </c>
    </row>
    <row r="5188" spans="1:12" s="58" customFormat="1" x14ac:dyDescent="0.75">
      <c r="A5188" s="58" t="s">
        <v>116</v>
      </c>
      <c r="B5188" s="59">
        <v>45134</v>
      </c>
      <c r="C5188" s="58">
        <v>1</v>
      </c>
      <c r="D5188" s="58" t="s">
        <v>197</v>
      </c>
      <c r="E5188" s="58" t="s">
        <v>363</v>
      </c>
      <c r="F5188" s="58" t="s">
        <v>363</v>
      </c>
      <c r="G5188" s="58" t="s">
        <v>869</v>
      </c>
      <c r="H5188" s="58" t="s">
        <v>928</v>
      </c>
      <c r="I5188" s="58" t="s">
        <v>869</v>
      </c>
      <c r="J5188" s="59">
        <v>45204</v>
      </c>
      <c r="L5188" s="58" t="s">
        <v>374</v>
      </c>
    </row>
    <row r="5189" spans="1:12" x14ac:dyDescent="0.75">
      <c r="A5189" t="s">
        <v>116</v>
      </c>
      <c r="B5189" s="3">
        <v>45134</v>
      </c>
      <c r="C5189">
        <v>2</v>
      </c>
      <c r="D5189" t="s">
        <v>201</v>
      </c>
      <c r="E5189" s="22">
        <f>35</f>
        <v>35</v>
      </c>
      <c r="F5189" t="s">
        <v>363</v>
      </c>
      <c r="G5189" t="s">
        <v>361</v>
      </c>
      <c r="H5189" t="s">
        <v>928</v>
      </c>
      <c r="I5189" t="s">
        <v>869</v>
      </c>
      <c r="J5189" s="3">
        <v>45156</v>
      </c>
      <c r="L5189" t="s">
        <v>628</v>
      </c>
    </row>
    <row r="5190" spans="1:12" x14ac:dyDescent="0.75">
      <c r="A5190" t="s">
        <v>116</v>
      </c>
      <c r="B5190" s="3">
        <v>45134</v>
      </c>
      <c r="C5190">
        <v>2</v>
      </c>
      <c r="D5190" t="s">
        <v>201</v>
      </c>
      <c r="E5190" s="22">
        <f>56-19</f>
        <v>37</v>
      </c>
      <c r="F5190" t="s">
        <v>363</v>
      </c>
      <c r="G5190" t="s">
        <v>361</v>
      </c>
      <c r="H5190" t="s">
        <v>928</v>
      </c>
      <c r="I5190" t="s">
        <v>869</v>
      </c>
      <c r="J5190" s="3">
        <v>45156</v>
      </c>
      <c r="L5190" t="s">
        <v>628</v>
      </c>
    </row>
    <row r="5191" spans="1:12" x14ac:dyDescent="0.75">
      <c r="A5191" t="s">
        <v>116</v>
      </c>
      <c r="B5191" s="3">
        <v>45134</v>
      </c>
      <c r="C5191">
        <v>2</v>
      </c>
      <c r="D5191" t="s">
        <v>176</v>
      </c>
      <c r="E5191" s="57">
        <f>19-14</f>
        <v>5</v>
      </c>
      <c r="F5191" t="s">
        <v>363</v>
      </c>
      <c r="G5191" t="s">
        <v>361</v>
      </c>
      <c r="H5191" t="s">
        <v>928</v>
      </c>
      <c r="I5191" t="s">
        <v>869</v>
      </c>
      <c r="J5191" s="3">
        <v>45156</v>
      </c>
      <c r="L5191" t="s">
        <v>628</v>
      </c>
    </row>
    <row r="5192" spans="1:12" x14ac:dyDescent="0.75">
      <c r="A5192" t="s">
        <v>116</v>
      </c>
      <c r="B5192" s="3">
        <v>45134</v>
      </c>
      <c r="C5192">
        <v>2</v>
      </c>
      <c r="D5192" t="s">
        <v>176</v>
      </c>
      <c r="E5192" s="57">
        <f>14-6</f>
        <v>8</v>
      </c>
      <c r="F5192" t="s">
        <v>363</v>
      </c>
      <c r="G5192" t="s">
        <v>361</v>
      </c>
      <c r="H5192" t="s">
        <v>928</v>
      </c>
      <c r="I5192" t="s">
        <v>869</v>
      </c>
      <c r="J5192" s="3">
        <v>45156</v>
      </c>
      <c r="L5192" t="s">
        <v>628</v>
      </c>
    </row>
    <row r="5193" spans="1:12" x14ac:dyDescent="0.75">
      <c r="A5193" t="s">
        <v>116</v>
      </c>
      <c r="B5193" s="3">
        <v>45134</v>
      </c>
      <c r="C5193">
        <v>2</v>
      </c>
      <c r="D5193" t="s">
        <v>201</v>
      </c>
      <c r="E5193" s="22">
        <f>6+48-25</f>
        <v>29</v>
      </c>
      <c r="F5193">
        <v>925</v>
      </c>
      <c r="G5193" t="s">
        <v>361</v>
      </c>
      <c r="H5193" t="s">
        <v>390</v>
      </c>
      <c r="I5193" t="s">
        <v>869</v>
      </c>
      <c r="J5193" s="3">
        <v>45156</v>
      </c>
      <c r="L5193" t="s">
        <v>628</v>
      </c>
    </row>
    <row r="5194" spans="1:12" x14ac:dyDescent="0.75">
      <c r="A5194" t="s">
        <v>116</v>
      </c>
      <c r="B5194" s="3">
        <v>45134</v>
      </c>
      <c r="C5194">
        <v>2</v>
      </c>
      <c r="D5194" t="s">
        <v>164</v>
      </c>
      <c r="E5194" s="22">
        <f>52-38</f>
        <v>14</v>
      </c>
      <c r="F5194" t="s">
        <v>363</v>
      </c>
      <c r="G5194" t="s">
        <v>869</v>
      </c>
      <c r="H5194" t="s">
        <v>928</v>
      </c>
      <c r="I5194" t="s">
        <v>869</v>
      </c>
      <c r="J5194" s="3">
        <v>45156</v>
      </c>
      <c r="L5194" t="s">
        <v>628</v>
      </c>
    </row>
    <row r="5195" spans="1:12" x14ac:dyDescent="0.75">
      <c r="A5195" t="s">
        <v>116</v>
      </c>
      <c r="B5195" s="3">
        <v>45134</v>
      </c>
      <c r="C5195">
        <v>2</v>
      </c>
      <c r="D5195" t="s">
        <v>164</v>
      </c>
      <c r="E5195" s="22">
        <f>38-36</f>
        <v>2</v>
      </c>
      <c r="F5195" t="s">
        <v>363</v>
      </c>
      <c r="G5195" t="s">
        <v>869</v>
      </c>
      <c r="H5195" t="s">
        <v>928</v>
      </c>
      <c r="I5195" t="s">
        <v>869</v>
      </c>
      <c r="J5195" s="3">
        <v>45156</v>
      </c>
      <c r="L5195" t="s">
        <v>628</v>
      </c>
    </row>
    <row r="5196" spans="1:12" x14ac:dyDescent="0.75">
      <c r="A5196" t="s">
        <v>116</v>
      </c>
      <c r="B5196" s="3">
        <v>45134</v>
      </c>
      <c r="C5196">
        <v>2</v>
      </c>
      <c r="D5196" t="s">
        <v>164</v>
      </c>
      <c r="E5196" s="22">
        <f>50-23</f>
        <v>27</v>
      </c>
      <c r="F5196" t="s">
        <v>363</v>
      </c>
      <c r="G5196" t="s">
        <v>869</v>
      </c>
      <c r="H5196" t="s">
        <v>928</v>
      </c>
      <c r="I5196" t="s">
        <v>869</v>
      </c>
      <c r="J5196" s="3">
        <v>45156</v>
      </c>
      <c r="L5196" t="s">
        <v>628</v>
      </c>
    </row>
    <row r="5197" spans="1:12" x14ac:dyDescent="0.75">
      <c r="A5197" t="s">
        <v>116</v>
      </c>
      <c r="B5197" s="3">
        <v>45134</v>
      </c>
      <c r="C5197">
        <v>2</v>
      </c>
      <c r="D5197" t="s">
        <v>164</v>
      </c>
      <c r="E5197" s="22">
        <f>23-18</f>
        <v>5</v>
      </c>
      <c r="F5197" t="s">
        <v>363</v>
      </c>
      <c r="G5197" t="s">
        <v>869</v>
      </c>
      <c r="H5197" t="s">
        <v>928</v>
      </c>
      <c r="I5197" t="s">
        <v>869</v>
      </c>
      <c r="J5197" s="3">
        <v>45156</v>
      </c>
      <c r="L5197" t="s">
        <v>628</v>
      </c>
    </row>
    <row r="5198" spans="1:12" x14ac:dyDescent="0.75">
      <c r="A5198" t="s">
        <v>116</v>
      </c>
      <c r="B5198" s="3">
        <v>45134</v>
      </c>
      <c r="C5198">
        <v>2</v>
      </c>
      <c r="D5198" t="s">
        <v>201</v>
      </c>
      <c r="E5198" s="22">
        <f>54+55-13</f>
        <v>96</v>
      </c>
      <c r="F5198" t="s">
        <v>363</v>
      </c>
      <c r="G5198" t="s">
        <v>869</v>
      </c>
      <c r="H5198" t="s">
        <v>928</v>
      </c>
      <c r="I5198" t="s">
        <v>869</v>
      </c>
      <c r="J5198" s="3">
        <v>45156</v>
      </c>
      <c r="L5198" t="s">
        <v>628</v>
      </c>
    </row>
    <row r="5199" spans="1:12" x14ac:dyDescent="0.75">
      <c r="A5199" t="s">
        <v>116</v>
      </c>
      <c r="B5199" s="3">
        <v>45134</v>
      </c>
      <c r="C5199">
        <v>2</v>
      </c>
      <c r="D5199" t="s">
        <v>201</v>
      </c>
      <c r="E5199" s="22">
        <f>36-29</f>
        <v>7</v>
      </c>
      <c r="F5199" t="s">
        <v>363</v>
      </c>
      <c r="G5199" t="s">
        <v>869</v>
      </c>
      <c r="H5199" t="s">
        <v>928</v>
      </c>
      <c r="I5199" t="s">
        <v>869</v>
      </c>
      <c r="J5199" s="3">
        <v>45156</v>
      </c>
      <c r="L5199" t="s">
        <v>628</v>
      </c>
    </row>
    <row r="5200" spans="1:12" x14ac:dyDescent="0.75">
      <c r="A5200" t="s">
        <v>116</v>
      </c>
      <c r="B5200" s="3">
        <v>45134</v>
      </c>
      <c r="C5200">
        <v>2</v>
      </c>
      <c r="D5200" t="s">
        <v>164</v>
      </c>
      <c r="E5200" s="22">
        <f>29-24</f>
        <v>5</v>
      </c>
      <c r="F5200" t="s">
        <v>363</v>
      </c>
      <c r="G5200" t="s">
        <v>869</v>
      </c>
      <c r="H5200" t="s">
        <v>928</v>
      </c>
      <c r="I5200" t="s">
        <v>869</v>
      </c>
      <c r="J5200" s="3">
        <v>45156</v>
      </c>
      <c r="L5200" t="s">
        <v>628</v>
      </c>
    </row>
    <row r="5201" spans="1:12" x14ac:dyDescent="0.75">
      <c r="A5201" t="s">
        <v>116</v>
      </c>
      <c r="B5201" s="3">
        <v>45134</v>
      </c>
      <c r="C5201">
        <v>2</v>
      </c>
      <c r="D5201" t="s">
        <v>176</v>
      </c>
      <c r="E5201" s="22">
        <f>24-8</f>
        <v>16</v>
      </c>
      <c r="F5201" t="s">
        <v>363</v>
      </c>
      <c r="G5201" t="s">
        <v>869</v>
      </c>
      <c r="H5201" t="s">
        <v>928</v>
      </c>
      <c r="I5201" t="s">
        <v>869</v>
      </c>
      <c r="J5201" s="3">
        <v>45156</v>
      </c>
      <c r="L5201" t="s">
        <v>628</v>
      </c>
    </row>
    <row r="5202" spans="1:12" x14ac:dyDescent="0.75">
      <c r="A5202" t="s">
        <v>116</v>
      </c>
      <c r="B5202" s="3">
        <v>45134</v>
      </c>
      <c r="C5202">
        <v>2</v>
      </c>
      <c r="D5202" t="s">
        <v>164</v>
      </c>
      <c r="E5202" s="22">
        <f>8-2</f>
        <v>6</v>
      </c>
      <c r="F5202" t="s">
        <v>363</v>
      </c>
      <c r="G5202" t="s">
        <v>869</v>
      </c>
      <c r="H5202" t="s">
        <v>928</v>
      </c>
      <c r="I5202" t="s">
        <v>869</v>
      </c>
      <c r="J5202" s="3">
        <v>45156</v>
      </c>
      <c r="L5202" t="s">
        <v>628</v>
      </c>
    </row>
    <row r="5203" spans="1:12" s="58" customFormat="1" x14ac:dyDescent="0.75">
      <c r="A5203" s="58" t="s">
        <v>74</v>
      </c>
      <c r="B5203" s="59">
        <v>45139</v>
      </c>
      <c r="C5203" s="58">
        <v>1</v>
      </c>
      <c r="D5203" s="58" t="s">
        <v>207</v>
      </c>
      <c r="E5203" s="60">
        <f>48-43</f>
        <v>5</v>
      </c>
      <c r="F5203" s="58" t="s">
        <v>363</v>
      </c>
      <c r="G5203" s="58" t="s">
        <v>361</v>
      </c>
      <c r="H5203" s="58" t="s">
        <v>928</v>
      </c>
      <c r="I5203" s="58" t="s">
        <v>869</v>
      </c>
      <c r="J5203" s="59">
        <v>45156</v>
      </c>
      <c r="L5203" s="58" t="s">
        <v>628</v>
      </c>
    </row>
    <row r="5204" spans="1:12" s="58" customFormat="1" x14ac:dyDescent="0.75">
      <c r="A5204" s="58" t="s">
        <v>74</v>
      </c>
      <c r="B5204" s="59">
        <v>45139</v>
      </c>
      <c r="C5204" s="58">
        <v>1</v>
      </c>
      <c r="D5204" s="58" t="s">
        <v>160</v>
      </c>
      <c r="E5204" s="60">
        <f>53+38</f>
        <v>91</v>
      </c>
      <c r="F5204" s="58" t="s">
        <v>363</v>
      </c>
      <c r="G5204" s="58" t="s">
        <v>869</v>
      </c>
      <c r="H5204" s="58" t="s">
        <v>390</v>
      </c>
      <c r="I5204" s="58" t="s">
        <v>869</v>
      </c>
      <c r="J5204" s="59">
        <v>45156</v>
      </c>
      <c r="L5204" s="58" t="s">
        <v>628</v>
      </c>
    </row>
    <row r="5205" spans="1:12" s="58" customFormat="1" x14ac:dyDescent="0.75">
      <c r="A5205" s="58" t="s">
        <v>74</v>
      </c>
      <c r="B5205" s="59">
        <v>45139</v>
      </c>
      <c r="C5205" s="58">
        <v>1</v>
      </c>
      <c r="D5205" s="58" t="s">
        <v>160</v>
      </c>
      <c r="E5205" s="60">
        <f>48-43</f>
        <v>5</v>
      </c>
      <c r="F5205" s="58" t="s">
        <v>363</v>
      </c>
      <c r="G5205" s="58" t="s">
        <v>869</v>
      </c>
      <c r="H5205" s="58" t="s">
        <v>928</v>
      </c>
      <c r="I5205" s="58" t="s">
        <v>869</v>
      </c>
      <c r="J5205" s="59">
        <v>45156</v>
      </c>
      <c r="L5205" s="58" t="s">
        <v>628</v>
      </c>
    </row>
    <row r="5206" spans="1:12" x14ac:dyDescent="0.75">
      <c r="A5206" t="s">
        <v>87</v>
      </c>
      <c r="B5206" s="3">
        <v>45139</v>
      </c>
      <c r="C5206">
        <v>1</v>
      </c>
      <c r="D5206" t="s">
        <v>201</v>
      </c>
      <c r="E5206" s="57">
        <f>43-39</f>
        <v>4</v>
      </c>
      <c r="F5206" t="s">
        <v>363</v>
      </c>
      <c r="G5206" t="s">
        <v>361</v>
      </c>
      <c r="H5206" t="s">
        <v>928</v>
      </c>
      <c r="I5206" t="s">
        <v>869</v>
      </c>
      <c r="J5206" s="3">
        <v>45156</v>
      </c>
      <c r="L5206" t="s">
        <v>628</v>
      </c>
    </row>
    <row r="5207" spans="1:12" x14ac:dyDescent="0.75">
      <c r="A5207" t="s">
        <v>87</v>
      </c>
      <c r="B5207" s="3">
        <v>45139</v>
      </c>
      <c r="C5207">
        <v>1</v>
      </c>
      <c r="D5207" t="s">
        <v>201</v>
      </c>
      <c r="E5207" s="22">
        <f>39-13</f>
        <v>26</v>
      </c>
      <c r="F5207" t="s">
        <v>363</v>
      </c>
      <c r="G5207" t="s">
        <v>361</v>
      </c>
      <c r="H5207" t="s">
        <v>928</v>
      </c>
      <c r="I5207" t="s">
        <v>869</v>
      </c>
      <c r="J5207" s="3">
        <v>45156</v>
      </c>
      <c r="L5207" t="s">
        <v>628</v>
      </c>
    </row>
    <row r="5208" spans="1:12" x14ac:dyDescent="0.75">
      <c r="A5208" t="s">
        <v>87</v>
      </c>
      <c r="B5208" s="3">
        <v>45139</v>
      </c>
      <c r="C5208">
        <v>1</v>
      </c>
      <c r="D5208" t="s">
        <v>164</v>
      </c>
      <c r="E5208" s="22">
        <f>13+50-2</f>
        <v>61</v>
      </c>
      <c r="F5208" t="s">
        <v>363</v>
      </c>
      <c r="G5208" t="s">
        <v>361</v>
      </c>
      <c r="H5208" t="s">
        <v>928</v>
      </c>
      <c r="I5208" t="s">
        <v>869</v>
      </c>
      <c r="J5208" s="3">
        <v>45156</v>
      </c>
      <c r="L5208" t="s">
        <v>628</v>
      </c>
    </row>
    <row r="5209" spans="1:12" x14ac:dyDescent="0.75">
      <c r="A5209" t="s">
        <v>87</v>
      </c>
      <c r="B5209" s="3">
        <v>45139</v>
      </c>
      <c r="C5209">
        <v>1</v>
      </c>
      <c r="D5209" t="s">
        <v>197</v>
      </c>
      <c r="E5209" s="22">
        <f>2+46-45</f>
        <v>3</v>
      </c>
      <c r="F5209" t="s">
        <v>363</v>
      </c>
      <c r="G5209" t="s">
        <v>361</v>
      </c>
      <c r="H5209" t="s">
        <v>928</v>
      </c>
      <c r="I5209" t="s">
        <v>869</v>
      </c>
      <c r="J5209" s="3">
        <v>45156</v>
      </c>
      <c r="L5209" t="s">
        <v>628</v>
      </c>
    </row>
    <row r="5210" spans="1:12" x14ac:dyDescent="0.75">
      <c r="A5210" t="s">
        <v>87</v>
      </c>
      <c r="B5210" s="3">
        <v>45139</v>
      </c>
      <c r="C5210">
        <v>1</v>
      </c>
      <c r="D5210" t="s">
        <v>194</v>
      </c>
      <c r="E5210" s="22">
        <f>49-42</f>
        <v>7</v>
      </c>
      <c r="F5210" t="s">
        <v>363</v>
      </c>
      <c r="G5210" t="s">
        <v>869</v>
      </c>
      <c r="H5210" t="s">
        <v>928</v>
      </c>
      <c r="I5210" t="s">
        <v>869</v>
      </c>
      <c r="J5210" s="3">
        <v>45156</v>
      </c>
      <c r="L5210" t="s">
        <v>628</v>
      </c>
    </row>
    <row r="5211" spans="1:12" x14ac:dyDescent="0.75">
      <c r="A5211" t="s">
        <v>87</v>
      </c>
      <c r="B5211" s="3">
        <v>45139</v>
      </c>
      <c r="C5211">
        <v>1</v>
      </c>
      <c r="D5211" t="s">
        <v>194</v>
      </c>
      <c r="E5211" s="22">
        <f>42-35</f>
        <v>7</v>
      </c>
      <c r="F5211" t="s">
        <v>363</v>
      </c>
      <c r="G5211" t="s">
        <v>869</v>
      </c>
      <c r="H5211" t="s">
        <v>928</v>
      </c>
      <c r="I5211" t="s">
        <v>869</v>
      </c>
      <c r="J5211" s="3">
        <v>45156</v>
      </c>
      <c r="L5211" t="s">
        <v>628</v>
      </c>
    </row>
    <row r="5212" spans="1:12" x14ac:dyDescent="0.75">
      <c r="A5212" t="s">
        <v>87</v>
      </c>
      <c r="B5212" s="3">
        <v>45139</v>
      </c>
      <c r="C5212">
        <v>1</v>
      </c>
      <c r="D5212" t="s">
        <v>197</v>
      </c>
      <c r="E5212" s="22">
        <f>35-31</f>
        <v>4</v>
      </c>
      <c r="F5212" t="s">
        <v>363</v>
      </c>
      <c r="G5212" t="s">
        <v>869</v>
      </c>
      <c r="H5212" t="s">
        <v>928</v>
      </c>
      <c r="I5212" t="s">
        <v>869</v>
      </c>
      <c r="J5212" s="3">
        <v>45156</v>
      </c>
      <c r="L5212" t="s">
        <v>628</v>
      </c>
    </row>
    <row r="5213" spans="1:12" x14ac:dyDescent="0.75">
      <c r="A5213" t="s">
        <v>87</v>
      </c>
      <c r="B5213" s="3">
        <v>45139</v>
      </c>
      <c r="C5213">
        <v>1</v>
      </c>
      <c r="D5213" t="s">
        <v>217</v>
      </c>
      <c r="E5213" s="22">
        <f>31-28</f>
        <v>3</v>
      </c>
      <c r="F5213" t="s">
        <v>363</v>
      </c>
      <c r="G5213" t="s">
        <v>869</v>
      </c>
      <c r="H5213" t="s">
        <v>928</v>
      </c>
      <c r="I5213" t="s">
        <v>869</v>
      </c>
      <c r="J5213" s="3">
        <v>45156</v>
      </c>
      <c r="L5213" t="s">
        <v>628</v>
      </c>
    </row>
    <row r="5214" spans="1:12" x14ac:dyDescent="0.75">
      <c r="A5214" t="s">
        <v>87</v>
      </c>
      <c r="B5214" s="3">
        <v>45139</v>
      </c>
      <c r="C5214">
        <v>1</v>
      </c>
      <c r="D5214" t="s">
        <v>197</v>
      </c>
      <c r="E5214" s="22">
        <f>28-23</f>
        <v>5</v>
      </c>
      <c r="F5214" t="s">
        <v>363</v>
      </c>
      <c r="G5214" t="s">
        <v>869</v>
      </c>
      <c r="H5214" t="s">
        <v>928</v>
      </c>
      <c r="I5214" t="s">
        <v>869</v>
      </c>
      <c r="J5214" s="3">
        <v>45156</v>
      </c>
      <c r="L5214" t="s">
        <v>628</v>
      </c>
    </row>
    <row r="5215" spans="1:12" s="58" customFormat="1" x14ac:dyDescent="0.75">
      <c r="A5215" s="58" t="s">
        <v>87</v>
      </c>
      <c r="B5215" s="59">
        <v>45139</v>
      </c>
      <c r="C5215" s="58">
        <v>2</v>
      </c>
      <c r="D5215" s="58" t="s">
        <v>197</v>
      </c>
      <c r="E5215" s="60">
        <f>46-26</f>
        <v>20</v>
      </c>
      <c r="F5215" s="58" t="s">
        <v>363</v>
      </c>
      <c r="G5215" s="58" t="s">
        <v>361</v>
      </c>
      <c r="H5215" s="58" t="s">
        <v>928</v>
      </c>
      <c r="I5215" s="58" t="s">
        <v>869</v>
      </c>
      <c r="J5215" s="59">
        <v>45156</v>
      </c>
      <c r="L5215" s="58" t="s">
        <v>628</v>
      </c>
    </row>
    <row r="5216" spans="1:12" s="58" customFormat="1" x14ac:dyDescent="0.75">
      <c r="A5216" s="58" t="s">
        <v>87</v>
      </c>
      <c r="B5216" s="59">
        <v>45139</v>
      </c>
      <c r="C5216" s="58">
        <v>2</v>
      </c>
      <c r="D5216" s="58" t="s">
        <v>207</v>
      </c>
      <c r="E5216" s="60">
        <f>26-23</f>
        <v>3</v>
      </c>
      <c r="F5216" s="58" t="s">
        <v>363</v>
      </c>
      <c r="G5216" s="58" t="s">
        <v>361</v>
      </c>
      <c r="H5216" s="58" t="s">
        <v>928</v>
      </c>
      <c r="I5216" s="58" t="s">
        <v>869</v>
      </c>
      <c r="J5216" s="59">
        <v>45156</v>
      </c>
      <c r="L5216" s="58" t="s">
        <v>628</v>
      </c>
    </row>
    <row r="5217" spans="1:12" s="58" customFormat="1" x14ac:dyDescent="0.75">
      <c r="A5217" s="58" t="s">
        <v>87</v>
      </c>
      <c r="B5217" s="59">
        <v>45139</v>
      </c>
      <c r="C5217" s="58">
        <v>2</v>
      </c>
      <c r="D5217" s="58" t="s">
        <v>207</v>
      </c>
      <c r="E5217" s="60">
        <f>42-35</f>
        <v>7</v>
      </c>
      <c r="F5217" s="58" t="s">
        <v>363</v>
      </c>
      <c r="G5217" s="58" t="s">
        <v>869</v>
      </c>
      <c r="H5217" s="58" t="s">
        <v>928</v>
      </c>
      <c r="I5217" s="58" t="s">
        <v>869</v>
      </c>
      <c r="J5217" s="59">
        <v>45156</v>
      </c>
      <c r="K5217" s="58" t="s">
        <v>996</v>
      </c>
      <c r="L5217" s="58" t="s">
        <v>628</v>
      </c>
    </row>
    <row r="5218" spans="1:12" x14ac:dyDescent="0.75">
      <c r="A5218" t="s">
        <v>91</v>
      </c>
      <c r="B5218" s="3">
        <v>45160</v>
      </c>
      <c r="C5218">
        <v>1</v>
      </c>
      <c r="D5218" t="s">
        <v>197</v>
      </c>
      <c r="E5218" s="22">
        <f>56-36</f>
        <v>20</v>
      </c>
      <c r="F5218" t="s">
        <v>363</v>
      </c>
      <c r="G5218" t="s">
        <v>361</v>
      </c>
      <c r="H5218" t="s">
        <v>928</v>
      </c>
      <c r="I5218" t="s">
        <v>869</v>
      </c>
      <c r="J5218" s="3">
        <v>45204</v>
      </c>
      <c r="K5218" t="s">
        <v>994</v>
      </c>
      <c r="L5218" t="s">
        <v>628</v>
      </c>
    </row>
    <row r="5219" spans="1:12" x14ac:dyDescent="0.75">
      <c r="A5219" t="s">
        <v>91</v>
      </c>
      <c r="B5219" s="3">
        <v>45160</v>
      </c>
      <c r="C5219">
        <v>1</v>
      </c>
      <c r="D5219" t="s">
        <v>197</v>
      </c>
      <c r="E5219" s="22">
        <f>60-21</f>
        <v>39</v>
      </c>
      <c r="F5219" t="s">
        <v>363</v>
      </c>
      <c r="G5219" t="s">
        <v>627</v>
      </c>
      <c r="H5219" t="s">
        <v>928</v>
      </c>
      <c r="I5219" t="s">
        <v>869</v>
      </c>
      <c r="J5219" s="3">
        <v>45205</v>
      </c>
      <c r="L5219" t="s">
        <v>374</v>
      </c>
    </row>
    <row r="5220" spans="1:12" s="58" customFormat="1" x14ac:dyDescent="0.75">
      <c r="A5220" s="58" t="s">
        <v>96</v>
      </c>
      <c r="B5220" s="59">
        <v>45160</v>
      </c>
      <c r="C5220" s="58">
        <v>1</v>
      </c>
      <c r="D5220" s="58" t="s">
        <v>194</v>
      </c>
      <c r="E5220" s="60">
        <f>21-14</f>
        <v>7</v>
      </c>
      <c r="F5220" s="58" t="s">
        <v>363</v>
      </c>
      <c r="G5220" s="58" t="s">
        <v>627</v>
      </c>
      <c r="H5220" s="58" t="s">
        <v>928</v>
      </c>
      <c r="I5220" s="58" t="s">
        <v>869</v>
      </c>
      <c r="J5220" s="59">
        <v>45205</v>
      </c>
      <c r="L5220" s="58" t="s">
        <v>628</v>
      </c>
    </row>
    <row r="5221" spans="1:12" s="58" customFormat="1" x14ac:dyDescent="0.75">
      <c r="A5221" s="58" t="s">
        <v>96</v>
      </c>
      <c r="B5221" s="59">
        <v>45160</v>
      </c>
      <c r="C5221" s="58">
        <v>1</v>
      </c>
      <c r="D5221" s="58" t="s">
        <v>194</v>
      </c>
      <c r="E5221" s="60">
        <f>36-30</f>
        <v>6</v>
      </c>
      <c r="F5221" s="58" t="s">
        <v>363</v>
      </c>
      <c r="G5221" s="58" t="s">
        <v>361</v>
      </c>
      <c r="H5221" s="58" t="s">
        <v>928</v>
      </c>
      <c r="I5221" s="58" t="s">
        <v>869</v>
      </c>
      <c r="J5221" s="59">
        <v>45205</v>
      </c>
      <c r="L5221" s="58" t="s">
        <v>628</v>
      </c>
    </row>
    <row r="5222" spans="1:12" s="58" customFormat="1" x14ac:dyDescent="0.75">
      <c r="A5222" s="58" t="s">
        <v>96</v>
      </c>
      <c r="B5222" s="59">
        <v>45160</v>
      </c>
      <c r="C5222" s="58">
        <v>1</v>
      </c>
      <c r="D5222" s="58" t="s">
        <v>194</v>
      </c>
      <c r="E5222" s="60">
        <f>30-16</f>
        <v>14</v>
      </c>
      <c r="F5222" s="58" t="s">
        <v>363</v>
      </c>
      <c r="G5222" s="58" t="s">
        <v>361</v>
      </c>
      <c r="H5222" s="58" t="s">
        <v>928</v>
      </c>
      <c r="I5222" s="58" t="s">
        <v>869</v>
      </c>
      <c r="J5222" s="59">
        <v>45205</v>
      </c>
      <c r="L5222" s="58" t="s">
        <v>628</v>
      </c>
    </row>
    <row r="5223" spans="1:12" s="58" customFormat="1" x14ac:dyDescent="0.75">
      <c r="A5223" s="58" t="s">
        <v>96</v>
      </c>
      <c r="B5223" s="59">
        <v>45160</v>
      </c>
      <c r="C5223" s="58">
        <v>1</v>
      </c>
      <c r="D5223" s="58" t="s">
        <v>194</v>
      </c>
      <c r="E5223" s="60">
        <f>16-14</f>
        <v>2</v>
      </c>
      <c r="F5223" s="58" t="s">
        <v>363</v>
      </c>
      <c r="G5223" s="58" t="s">
        <v>361</v>
      </c>
      <c r="H5223" s="58" t="s">
        <v>928</v>
      </c>
      <c r="I5223" s="58" t="s">
        <v>869</v>
      </c>
      <c r="J5223" s="59">
        <v>45205</v>
      </c>
      <c r="L5223" s="58" t="s">
        <v>628</v>
      </c>
    </row>
    <row r="5224" spans="1:12" s="58" customFormat="1" x14ac:dyDescent="0.75">
      <c r="A5224" s="58" t="s">
        <v>96</v>
      </c>
      <c r="B5224" s="59">
        <v>45160</v>
      </c>
      <c r="C5224" s="58">
        <v>1</v>
      </c>
      <c r="D5224" s="58" t="s">
        <v>164</v>
      </c>
      <c r="E5224" s="60">
        <f>14-9</f>
        <v>5</v>
      </c>
      <c r="F5224" s="58" t="s">
        <v>363</v>
      </c>
      <c r="G5224" s="58" t="s">
        <v>361</v>
      </c>
      <c r="H5224" s="58" t="s">
        <v>928</v>
      </c>
      <c r="I5224" s="58" t="s">
        <v>869</v>
      </c>
      <c r="J5224" s="59">
        <v>45205</v>
      </c>
      <c r="L5224" s="58" t="s">
        <v>628</v>
      </c>
    </row>
    <row r="5225" spans="1:12" s="58" customFormat="1" x14ac:dyDescent="0.75">
      <c r="A5225" s="58" t="s">
        <v>96</v>
      </c>
      <c r="B5225" s="59">
        <v>45160</v>
      </c>
      <c r="C5225" s="58">
        <v>1</v>
      </c>
      <c r="D5225" s="58" t="s">
        <v>194</v>
      </c>
      <c r="E5225" s="60">
        <f>14-5</f>
        <v>9</v>
      </c>
      <c r="F5225" s="58" t="s">
        <v>363</v>
      </c>
      <c r="G5225" s="58" t="s">
        <v>627</v>
      </c>
      <c r="H5225" s="58" t="s">
        <v>928</v>
      </c>
      <c r="I5225" s="58" t="s">
        <v>869</v>
      </c>
      <c r="J5225" s="59">
        <v>45205</v>
      </c>
      <c r="L5225" s="58" t="s">
        <v>374</v>
      </c>
    </row>
    <row r="5226" spans="1:12" x14ac:dyDescent="0.75">
      <c r="A5226" t="s">
        <v>39</v>
      </c>
      <c r="B5226" s="3">
        <v>45161</v>
      </c>
      <c r="C5226">
        <v>1</v>
      </c>
      <c r="D5226" t="s">
        <v>201</v>
      </c>
      <c r="E5226" s="57">
        <f>10-4</f>
        <v>6</v>
      </c>
      <c r="F5226">
        <v>901</v>
      </c>
      <c r="G5226" t="s">
        <v>627</v>
      </c>
      <c r="H5226" t="s">
        <v>390</v>
      </c>
      <c r="I5226" t="s">
        <v>869</v>
      </c>
      <c r="J5226" s="3">
        <v>45209</v>
      </c>
      <c r="L5226" t="s">
        <v>628</v>
      </c>
    </row>
    <row r="5227" spans="1:12" x14ac:dyDescent="0.75">
      <c r="A5227" t="s">
        <v>39</v>
      </c>
      <c r="B5227" s="3">
        <v>45161</v>
      </c>
      <c r="C5227">
        <v>1</v>
      </c>
      <c r="D5227" t="s">
        <v>153</v>
      </c>
      <c r="E5227" s="57">
        <f>4+54-40</f>
        <v>18</v>
      </c>
      <c r="F5227" t="s">
        <v>363</v>
      </c>
      <c r="G5227" t="s">
        <v>627</v>
      </c>
      <c r="H5227" t="s">
        <v>928</v>
      </c>
      <c r="I5227" t="s">
        <v>869</v>
      </c>
      <c r="J5227" s="3">
        <v>45209</v>
      </c>
      <c r="L5227" t="s">
        <v>628</v>
      </c>
    </row>
    <row r="5228" spans="1:12" x14ac:dyDescent="0.75">
      <c r="A5228" t="s">
        <v>39</v>
      </c>
      <c r="B5228" s="3">
        <v>45161</v>
      </c>
      <c r="C5228">
        <v>1</v>
      </c>
      <c r="D5228" t="s">
        <v>207</v>
      </c>
      <c r="E5228" s="57">
        <f>5+51-44</f>
        <v>12</v>
      </c>
      <c r="F5228" t="s">
        <v>363</v>
      </c>
      <c r="G5228" t="s">
        <v>361</v>
      </c>
      <c r="H5228" t="s">
        <v>928</v>
      </c>
      <c r="I5228" t="s">
        <v>869</v>
      </c>
      <c r="J5228" s="3">
        <v>45209</v>
      </c>
      <c r="L5228" t="s">
        <v>628</v>
      </c>
    </row>
    <row r="5229" spans="1:12" x14ac:dyDescent="0.75">
      <c r="A5229" t="s">
        <v>39</v>
      </c>
      <c r="B5229" s="3">
        <v>45161</v>
      </c>
      <c r="C5229">
        <v>1</v>
      </c>
      <c r="D5229" t="s">
        <v>197</v>
      </c>
      <c r="E5229" s="57">
        <f>44-36</f>
        <v>8</v>
      </c>
      <c r="F5229" t="s">
        <v>363</v>
      </c>
      <c r="G5229" t="s">
        <v>361</v>
      </c>
      <c r="H5229" t="s">
        <v>928</v>
      </c>
      <c r="I5229" t="s">
        <v>869</v>
      </c>
      <c r="J5229" s="3">
        <v>45209</v>
      </c>
      <c r="L5229" t="s">
        <v>628</v>
      </c>
    </row>
    <row r="5230" spans="1:12" x14ac:dyDescent="0.75">
      <c r="A5230" t="s">
        <v>39</v>
      </c>
      <c r="B5230" s="3">
        <v>45161</v>
      </c>
      <c r="C5230">
        <v>1</v>
      </c>
      <c r="D5230" t="s">
        <v>201</v>
      </c>
      <c r="E5230" s="22">
        <f>36-30</f>
        <v>6</v>
      </c>
      <c r="F5230" t="s">
        <v>363</v>
      </c>
      <c r="G5230" t="s">
        <v>361</v>
      </c>
      <c r="H5230" t="s">
        <v>928</v>
      </c>
      <c r="I5230" t="s">
        <v>869</v>
      </c>
      <c r="J5230" s="3">
        <v>45209</v>
      </c>
      <c r="K5230" t="s">
        <v>997</v>
      </c>
      <c r="L5230" t="s">
        <v>628</v>
      </c>
    </row>
    <row r="5231" spans="1:12" x14ac:dyDescent="0.75">
      <c r="A5231" t="s">
        <v>39</v>
      </c>
      <c r="B5231" s="3">
        <v>45161</v>
      </c>
      <c r="C5231">
        <v>1</v>
      </c>
      <c r="D5231" t="s">
        <v>172</v>
      </c>
      <c r="E5231" s="22">
        <f>30-26</f>
        <v>4</v>
      </c>
      <c r="F5231" t="s">
        <v>363</v>
      </c>
      <c r="G5231" t="s">
        <v>361</v>
      </c>
      <c r="H5231" t="s">
        <v>928</v>
      </c>
      <c r="I5231" t="s">
        <v>869</v>
      </c>
      <c r="J5231" s="3">
        <v>45209</v>
      </c>
      <c r="L5231" t="s">
        <v>628</v>
      </c>
    </row>
    <row r="5232" spans="1:12" x14ac:dyDescent="0.75">
      <c r="A5232" t="s">
        <v>39</v>
      </c>
      <c r="B5232" s="3">
        <v>45161</v>
      </c>
      <c r="C5232">
        <v>1</v>
      </c>
      <c r="D5232" t="s">
        <v>172</v>
      </c>
      <c r="E5232" s="22">
        <f>26-25</f>
        <v>1</v>
      </c>
      <c r="F5232">
        <v>913</v>
      </c>
      <c r="G5232" t="s">
        <v>361</v>
      </c>
      <c r="H5232" t="s">
        <v>390</v>
      </c>
      <c r="I5232" t="s">
        <v>869</v>
      </c>
      <c r="J5232" s="3">
        <v>45209</v>
      </c>
      <c r="K5232" t="s">
        <v>998</v>
      </c>
      <c r="L5232" t="s">
        <v>628</v>
      </c>
    </row>
    <row r="5233" spans="1:12" s="58" customFormat="1" x14ac:dyDescent="0.75">
      <c r="A5233" s="58" t="s">
        <v>64</v>
      </c>
      <c r="B5233" s="59">
        <v>45161</v>
      </c>
      <c r="C5233" s="58">
        <v>1</v>
      </c>
      <c r="D5233" s="58" t="s">
        <v>168</v>
      </c>
      <c r="E5233" s="60">
        <f>25+51-46</f>
        <v>30</v>
      </c>
      <c r="F5233" s="58" t="s">
        <v>363</v>
      </c>
      <c r="G5233" s="58" t="s">
        <v>361</v>
      </c>
      <c r="H5233" s="58" t="s">
        <v>928</v>
      </c>
      <c r="I5233" s="58" t="s">
        <v>869</v>
      </c>
      <c r="J5233" s="59">
        <v>45209</v>
      </c>
      <c r="L5233" s="58" t="s">
        <v>628</v>
      </c>
    </row>
    <row r="5234" spans="1:12" s="58" customFormat="1" x14ac:dyDescent="0.75">
      <c r="A5234" s="58" t="s">
        <v>64</v>
      </c>
      <c r="B5234" s="59">
        <v>45161</v>
      </c>
      <c r="C5234" s="58">
        <v>1</v>
      </c>
      <c r="D5234" s="58" t="s">
        <v>201</v>
      </c>
      <c r="E5234" s="60">
        <f>40-38</f>
        <v>2</v>
      </c>
      <c r="F5234" s="58" t="s">
        <v>363</v>
      </c>
      <c r="G5234" s="58" t="s">
        <v>627</v>
      </c>
      <c r="H5234" s="58" t="s">
        <v>928</v>
      </c>
      <c r="I5234" s="58" t="s">
        <v>869</v>
      </c>
      <c r="J5234" s="59">
        <v>45215</v>
      </c>
      <c r="L5234" s="58" t="s">
        <v>628</v>
      </c>
    </row>
    <row r="5235" spans="1:12" x14ac:dyDescent="0.75">
      <c r="A5235" t="s">
        <v>23</v>
      </c>
      <c r="B5235" s="3">
        <v>45162</v>
      </c>
      <c r="C5235">
        <v>1</v>
      </c>
      <c r="D5235" t="s">
        <v>191</v>
      </c>
      <c r="E5235" s="22">
        <f>56-1-44</f>
        <v>11</v>
      </c>
      <c r="F5235" t="s">
        <v>363</v>
      </c>
      <c r="G5235" t="s">
        <v>627</v>
      </c>
      <c r="H5235" t="s">
        <v>928</v>
      </c>
      <c r="I5235" t="s">
        <v>628</v>
      </c>
      <c r="J5235" s="3">
        <v>45215</v>
      </c>
      <c r="L5235" t="s">
        <v>627</v>
      </c>
    </row>
    <row r="5236" spans="1:12" x14ac:dyDescent="0.75">
      <c r="A5236" t="s">
        <v>23</v>
      </c>
      <c r="B5236" s="3">
        <v>45162</v>
      </c>
      <c r="C5236">
        <v>1</v>
      </c>
      <c r="D5236" t="s">
        <v>197</v>
      </c>
      <c r="E5236" s="22">
        <f>44-38</f>
        <v>6</v>
      </c>
      <c r="F5236" t="s">
        <v>363</v>
      </c>
      <c r="G5236" t="s">
        <v>627</v>
      </c>
      <c r="H5236" t="s">
        <v>928</v>
      </c>
      <c r="I5236" t="s">
        <v>628</v>
      </c>
      <c r="J5236" s="3">
        <v>45215</v>
      </c>
      <c r="L5236" t="s">
        <v>627</v>
      </c>
    </row>
    <row r="5237" spans="1:12" x14ac:dyDescent="0.75">
      <c r="A5237" t="s">
        <v>23</v>
      </c>
      <c r="B5237" s="3">
        <v>45162</v>
      </c>
      <c r="C5237">
        <v>1</v>
      </c>
      <c r="D5237" t="s">
        <v>194</v>
      </c>
      <c r="E5237" s="57">
        <f>39-32</f>
        <v>7</v>
      </c>
      <c r="F5237" t="s">
        <v>363</v>
      </c>
      <c r="G5237" t="s">
        <v>627</v>
      </c>
      <c r="H5237" t="s">
        <v>928</v>
      </c>
      <c r="I5237" t="s">
        <v>628</v>
      </c>
      <c r="J5237" s="3">
        <v>45215</v>
      </c>
      <c r="L5237" t="s">
        <v>627</v>
      </c>
    </row>
    <row r="5238" spans="1:12" x14ac:dyDescent="0.75">
      <c r="A5238" t="s">
        <v>23</v>
      </c>
      <c r="B5238" s="3">
        <v>45162</v>
      </c>
      <c r="C5238">
        <v>1</v>
      </c>
      <c r="D5238" t="s">
        <v>153</v>
      </c>
      <c r="E5238" s="22">
        <f>32-24</f>
        <v>8</v>
      </c>
      <c r="F5238" t="s">
        <v>363</v>
      </c>
      <c r="G5238" t="s">
        <v>627</v>
      </c>
      <c r="H5238" t="s">
        <v>928</v>
      </c>
      <c r="I5238" t="s">
        <v>628</v>
      </c>
      <c r="J5238" s="3">
        <v>45215</v>
      </c>
      <c r="L5238" t="s">
        <v>627</v>
      </c>
    </row>
    <row r="5239" spans="1:12" x14ac:dyDescent="0.75">
      <c r="A5239" t="s">
        <v>23</v>
      </c>
      <c r="B5239" s="3">
        <v>45162</v>
      </c>
      <c r="C5239">
        <v>1</v>
      </c>
      <c r="D5239" t="s">
        <v>153</v>
      </c>
      <c r="E5239" s="22">
        <f>24-8</f>
        <v>16</v>
      </c>
      <c r="F5239" t="s">
        <v>363</v>
      </c>
      <c r="G5239" t="s">
        <v>627</v>
      </c>
      <c r="H5239" t="s">
        <v>928</v>
      </c>
      <c r="I5239" t="s">
        <v>628</v>
      </c>
      <c r="J5239" s="3">
        <v>45215</v>
      </c>
      <c r="L5239" t="s">
        <v>627</v>
      </c>
    </row>
    <row r="5240" spans="1:12" x14ac:dyDescent="0.75">
      <c r="A5240" t="s">
        <v>23</v>
      </c>
      <c r="B5240" s="3">
        <v>45162</v>
      </c>
      <c r="C5240">
        <v>1</v>
      </c>
      <c r="D5240" t="s">
        <v>153</v>
      </c>
      <c r="E5240" s="22">
        <f>8-0</f>
        <v>8</v>
      </c>
      <c r="F5240" t="s">
        <v>363</v>
      </c>
      <c r="G5240" t="s">
        <v>627</v>
      </c>
      <c r="H5240" t="s">
        <v>928</v>
      </c>
      <c r="I5240" t="s">
        <v>628</v>
      </c>
      <c r="J5240" s="3">
        <v>45215</v>
      </c>
      <c r="L5240" t="s">
        <v>627</v>
      </c>
    </row>
    <row r="5241" spans="1:12" x14ac:dyDescent="0.75">
      <c r="A5241" t="s">
        <v>23</v>
      </c>
      <c r="B5241" s="3">
        <v>45162</v>
      </c>
      <c r="C5241">
        <v>1</v>
      </c>
      <c r="D5241" t="s">
        <v>187</v>
      </c>
      <c r="E5241" s="57">
        <f>52-2-37</f>
        <v>13</v>
      </c>
      <c r="F5241" t="s">
        <v>363</v>
      </c>
      <c r="G5241" t="s">
        <v>627</v>
      </c>
      <c r="H5241" t="s">
        <v>928</v>
      </c>
      <c r="I5241" t="s">
        <v>628</v>
      </c>
      <c r="J5241" s="3">
        <v>45215</v>
      </c>
      <c r="L5241" t="s">
        <v>627</v>
      </c>
    </row>
    <row r="5242" spans="1:12" x14ac:dyDescent="0.75">
      <c r="A5242" t="s">
        <v>23</v>
      </c>
      <c r="B5242" s="3">
        <v>45162</v>
      </c>
      <c r="C5242">
        <v>1</v>
      </c>
      <c r="D5242" s="10" t="s">
        <v>194</v>
      </c>
      <c r="E5242" s="57">
        <f>39-1-28</f>
        <v>10</v>
      </c>
      <c r="F5242">
        <v>944</v>
      </c>
      <c r="G5242" t="s">
        <v>361</v>
      </c>
      <c r="H5242" s="10" t="s">
        <v>390</v>
      </c>
      <c r="I5242" t="s">
        <v>628</v>
      </c>
      <c r="J5242" s="3">
        <v>45215</v>
      </c>
      <c r="L5242" t="s">
        <v>627</v>
      </c>
    </row>
    <row r="5243" spans="1:12" x14ac:dyDescent="0.75">
      <c r="A5243" t="s">
        <v>23</v>
      </c>
      <c r="B5243" s="3">
        <v>45162</v>
      </c>
      <c r="C5243">
        <v>1</v>
      </c>
      <c r="D5243" t="s">
        <v>197</v>
      </c>
      <c r="E5243" s="22">
        <f>28-26</f>
        <v>2</v>
      </c>
      <c r="F5243" t="s">
        <v>363</v>
      </c>
      <c r="G5243" t="s">
        <v>361</v>
      </c>
      <c r="H5243" t="s">
        <v>928</v>
      </c>
      <c r="I5243" t="s">
        <v>628</v>
      </c>
      <c r="J5243" s="3">
        <v>45215</v>
      </c>
      <c r="L5243" t="s">
        <v>627</v>
      </c>
    </row>
    <row r="5244" spans="1:12" x14ac:dyDescent="0.75">
      <c r="A5244" t="s">
        <v>23</v>
      </c>
      <c r="B5244" s="3">
        <v>45162</v>
      </c>
      <c r="C5244">
        <v>1</v>
      </c>
      <c r="D5244" s="10" t="s">
        <v>194</v>
      </c>
      <c r="E5244" s="57">
        <f>26-1+60-2-56</f>
        <v>27</v>
      </c>
      <c r="F5244" t="s">
        <v>363</v>
      </c>
      <c r="G5244" t="s">
        <v>361</v>
      </c>
      <c r="H5244" t="s">
        <v>928</v>
      </c>
      <c r="I5244" t="s">
        <v>628</v>
      </c>
      <c r="J5244" s="3">
        <v>45215</v>
      </c>
      <c r="L5244" t="s">
        <v>627</v>
      </c>
    </row>
    <row r="5245" spans="1:12" s="58" customFormat="1" x14ac:dyDescent="0.75">
      <c r="A5245" s="58" t="s">
        <v>23</v>
      </c>
      <c r="B5245" s="59">
        <v>45162</v>
      </c>
      <c r="C5245" s="58">
        <v>2</v>
      </c>
      <c r="D5245" s="58" t="s">
        <v>194</v>
      </c>
      <c r="E5245" s="60">
        <f>38-0+47-1-37</f>
        <v>47</v>
      </c>
      <c r="F5245" s="58" t="s">
        <v>363</v>
      </c>
      <c r="G5245" s="58" t="s">
        <v>627</v>
      </c>
      <c r="H5245" s="58" t="s">
        <v>928</v>
      </c>
      <c r="I5245" s="58" t="s">
        <v>628</v>
      </c>
      <c r="J5245" s="59">
        <v>45215</v>
      </c>
      <c r="L5245" s="58" t="s">
        <v>627</v>
      </c>
    </row>
    <row r="5246" spans="1:12" s="58" customFormat="1" x14ac:dyDescent="0.75">
      <c r="A5246" s="58" t="s">
        <v>23</v>
      </c>
      <c r="B5246" s="59">
        <v>45162</v>
      </c>
      <c r="C5246" s="58">
        <v>2</v>
      </c>
      <c r="D5246" s="58" t="s">
        <v>194</v>
      </c>
      <c r="E5246" s="60">
        <f>37-24</f>
        <v>13</v>
      </c>
      <c r="F5246" s="58" t="s">
        <v>363</v>
      </c>
      <c r="G5246" s="58" t="s">
        <v>627</v>
      </c>
      <c r="H5246" s="58" t="s">
        <v>928</v>
      </c>
      <c r="I5246" s="58" t="s">
        <v>628</v>
      </c>
      <c r="J5246" s="59">
        <v>45215</v>
      </c>
      <c r="L5246" s="58" t="s">
        <v>627</v>
      </c>
    </row>
    <row r="5247" spans="1:12" s="58" customFormat="1" x14ac:dyDescent="0.75">
      <c r="A5247" s="58" t="s">
        <v>23</v>
      </c>
      <c r="B5247" s="59">
        <v>45162</v>
      </c>
      <c r="C5247" s="58">
        <v>2</v>
      </c>
      <c r="D5247" s="58" t="s">
        <v>197</v>
      </c>
      <c r="E5247" s="60">
        <f>8-4</f>
        <v>4</v>
      </c>
      <c r="F5247" s="58" t="s">
        <v>363</v>
      </c>
      <c r="G5247" s="58" t="s">
        <v>627</v>
      </c>
      <c r="H5247" s="58" t="s">
        <v>928</v>
      </c>
      <c r="I5247" s="58" t="s">
        <v>628</v>
      </c>
      <c r="J5247" s="59">
        <v>45215</v>
      </c>
      <c r="L5247" s="58" t="s">
        <v>627</v>
      </c>
    </row>
    <row r="5248" spans="1:12" s="58" customFormat="1" x14ac:dyDescent="0.75">
      <c r="A5248" s="58" t="s">
        <v>23</v>
      </c>
      <c r="B5248" s="59">
        <v>45162</v>
      </c>
      <c r="C5248" s="58">
        <v>2</v>
      </c>
      <c r="D5248" s="58" t="s">
        <v>207</v>
      </c>
      <c r="E5248" s="60">
        <f>2-0</f>
        <v>2</v>
      </c>
      <c r="F5248" s="58" t="s">
        <v>363</v>
      </c>
      <c r="G5248" s="58" t="s">
        <v>627</v>
      </c>
      <c r="H5248" s="58" t="s">
        <v>928</v>
      </c>
      <c r="I5248" s="58" t="s">
        <v>628</v>
      </c>
      <c r="J5248" s="59">
        <v>45215</v>
      </c>
      <c r="L5248" s="58" t="s">
        <v>627</v>
      </c>
    </row>
    <row r="5249" spans="1:12" s="58" customFormat="1" x14ac:dyDescent="0.75">
      <c r="A5249" s="58" t="s">
        <v>23</v>
      </c>
      <c r="B5249" s="59">
        <v>45162</v>
      </c>
      <c r="C5249" s="58">
        <v>2</v>
      </c>
      <c r="D5249" s="58" t="s">
        <v>197</v>
      </c>
      <c r="E5249" s="60">
        <f>56-54</f>
        <v>2</v>
      </c>
      <c r="F5249" s="58" t="s">
        <v>363</v>
      </c>
      <c r="G5249" s="58" t="s">
        <v>361</v>
      </c>
      <c r="H5249" s="58" t="s">
        <v>928</v>
      </c>
      <c r="I5249" s="58" t="s">
        <v>628</v>
      </c>
      <c r="J5249" s="59">
        <v>45215</v>
      </c>
      <c r="L5249" s="58" t="s">
        <v>627</v>
      </c>
    </row>
    <row r="5250" spans="1:12" s="58" customFormat="1" x14ac:dyDescent="0.75">
      <c r="A5250" s="58" t="s">
        <v>23</v>
      </c>
      <c r="B5250" s="59">
        <v>45162</v>
      </c>
      <c r="C5250" s="58">
        <v>2</v>
      </c>
      <c r="D5250" s="58" t="s">
        <v>197</v>
      </c>
      <c r="E5250" s="60">
        <f>54-29</f>
        <v>25</v>
      </c>
      <c r="F5250" s="58" t="s">
        <v>363</v>
      </c>
      <c r="G5250" s="58" t="s">
        <v>361</v>
      </c>
      <c r="H5250" s="58" t="s">
        <v>928</v>
      </c>
      <c r="I5250" s="58" t="s">
        <v>628</v>
      </c>
      <c r="J5250" s="59">
        <v>45215</v>
      </c>
      <c r="L5250" s="58" t="s">
        <v>627</v>
      </c>
    </row>
    <row r="5251" spans="1:12" s="58" customFormat="1" x14ac:dyDescent="0.75">
      <c r="A5251" s="58" t="s">
        <v>23</v>
      </c>
      <c r="B5251" s="59">
        <v>45162</v>
      </c>
      <c r="C5251" s="58">
        <v>2</v>
      </c>
      <c r="D5251" s="58" t="s">
        <v>194</v>
      </c>
      <c r="E5251" s="60">
        <f>29-1</f>
        <v>28</v>
      </c>
      <c r="F5251" s="58" t="s">
        <v>363</v>
      </c>
      <c r="G5251" s="58" t="s">
        <v>361</v>
      </c>
      <c r="H5251" s="58" t="s">
        <v>928</v>
      </c>
      <c r="I5251" s="58" t="s">
        <v>628</v>
      </c>
      <c r="J5251" s="59">
        <v>45215</v>
      </c>
      <c r="L5251" s="58" t="s">
        <v>627</v>
      </c>
    </row>
    <row r="5252" spans="1:12" s="58" customFormat="1" x14ac:dyDescent="0.75">
      <c r="A5252" s="58" t="s">
        <v>23</v>
      </c>
      <c r="B5252" s="59">
        <v>45162</v>
      </c>
      <c r="C5252" s="58">
        <v>2</v>
      </c>
      <c r="D5252" s="58" t="s">
        <v>197</v>
      </c>
      <c r="E5252" s="60">
        <f>1-0+23-18</f>
        <v>6</v>
      </c>
      <c r="F5252" s="58" t="s">
        <v>363</v>
      </c>
      <c r="G5252" s="58" t="s">
        <v>361</v>
      </c>
      <c r="H5252" s="58" t="s">
        <v>928</v>
      </c>
      <c r="I5252" s="58" t="s">
        <v>628</v>
      </c>
      <c r="J5252" s="59">
        <v>45215</v>
      </c>
      <c r="L5252" s="58" t="s">
        <v>627</v>
      </c>
    </row>
    <row r="5253" spans="1:12" s="58" customFormat="1" x14ac:dyDescent="0.75">
      <c r="A5253" s="58" t="s">
        <v>23</v>
      </c>
      <c r="B5253" s="59">
        <v>45162</v>
      </c>
      <c r="C5253" s="58">
        <v>2</v>
      </c>
      <c r="D5253" s="58" t="s">
        <v>194</v>
      </c>
      <c r="E5253" s="60">
        <f>18-8</f>
        <v>10</v>
      </c>
      <c r="F5253" s="58" t="s">
        <v>363</v>
      </c>
      <c r="G5253" s="58" t="s">
        <v>361</v>
      </c>
      <c r="H5253" s="58" t="s">
        <v>928</v>
      </c>
      <c r="I5253" s="58" t="s">
        <v>628</v>
      </c>
      <c r="J5253" s="59">
        <v>45215</v>
      </c>
      <c r="L5253" s="58" t="s">
        <v>627</v>
      </c>
    </row>
    <row r="5254" spans="1:12" s="58" customFormat="1" x14ac:dyDescent="0.75">
      <c r="A5254" s="58" t="s">
        <v>23</v>
      </c>
      <c r="B5254" s="59">
        <v>45162</v>
      </c>
      <c r="C5254" s="58">
        <v>2</v>
      </c>
      <c r="D5254" s="58" t="s">
        <v>153</v>
      </c>
      <c r="E5254" s="60">
        <f>4-2</f>
        <v>2</v>
      </c>
      <c r="F5254" s="58" t="s">
        <v>363</v>
      </c>
      <c r="G5254" s="58" t="s">
        <v>361</v>
      </c>
      <c r="H5254" s="58" t="s">
        <v>928</v>
      </c>
      <c r="I5254" s="58" t="s">
        <v>628</v>
      </c>
      <c r="J5254" s="59">
        <v>45215</v>
      </c>
      <c r="L5254" s="58" t="s">
        <v>627</v>
      </c>
    </row>
    <row r="5255" spans="1:12" x14ac:dyDescent="0.75">
      <c r="A5255" t="s">
        <v>69</v>
      </c>
      <c r="B5255" s="3">
        <v>45167</v>
      </c>
      <c r="C5255">
        <v>1</v>
      </c>
      <c r="D5255" t="s">
        <v>191</v>
      </c>
      <c r="E5255" s="57">
        <f>56-2-20</f>
        <v>34</v>
      </c>
      <c r="F5255" t="s">
        <v>363</v>
      </c>
      <c r="G5255" t="s">
        <v>361</v>
      </c>
      <c r="H5255" t="s">
        <v>928</v>
      </c>
      <c r="I5255" t="s">
        <v>869</v>
      </c>
      <c r="J5255" s="3">
        <v>45211</v>
      </c>
      <c r="L5255" t="s">
        <v>628</v>
      </c>
    </row>
    <row r="5256" spans="1:12" x14ac:dyDescent="0.75">
      <c r="A5256" t="s">
        <v>69</v>
      </c>
      <c r="B5256" s="3">
        <v>45167</v>
      </c>
      <c r="C5256">
        <v>1</v>
      </c>
      <c r="D5256" t="s">
        <v>191</v>
      </c>
      <c r="E5256" s="57">
        <f>20-0</f>
        <v>20</v>
      </c>
      <c r="F5256" t="s">
        <v>363</v>
      </c>
      <c r="G5256" t="s">
        <v>361</v>
      </c>
      <c r="H5256" t="s">
        <v>928</v>
      </c>
      <c r="I5256" t="s">
        <v>869</v>
      </c>
      <c r="J5256" s="3">
        <v>45211</v>
      </c>
      <c r="L5256" t="s">
        <v>628</v>
      </c>
    </row>
    <row r="5257" spans="1:12" x14ac:dyDescent="0.75">
      <c r="A5257" t="s">
        <v>69</v>
      </c>
      <c r="B5257" s="3">
        <v>45167</v>
      </c>
      <c r="C5257">
        <v>1</v>
      </c>
      <c r="D5257" t="s">
        <v>197</v>
      </c>
      <c r="E5257" s="22">
        <f>42-32</f>
        <v>10</v>
      </c>
      <c r="F5257" t="s">
        <v>363</v>
      </c>
      <c r="G5257" t="s">
        <v>361</v>
      </c>
      <c r="H5257" t="s">
        <v>928</v>
      </c>
      <c r="I5257" t="s">
        <v>869</v>
      </c>
      <c r="J5257" s="3">
        <v>45211</v>
      </c>
      <c r="L5257" t="s">
        <v>628</v>
      </c>
    </row>
    <row r="5258" spans="1:12" x14ac:dyDescent="0.75">
      <c r="A5258" t="s">
        <v>69</v>
      </c>
      <c r="B5258" s="3">
        <v>45167</v>
      </c>
      <c r="C5258">
        <v>1</v>
      </c>
      <c r="D5258" t="s">
        <v>197</v>
      </c>
      <c r="E5258" s="22">
        <f>32-14</f>
        <v>18</v>
      </c>
      <c r="F5258">
        <v>905</v>
      </c>
      <c r="G5258" t="s">
        <v>361</v>
      </c>
      <c r="H5258" t="s">
        <v>390</v>
      </c>
      <c r="I5258" t="s">
        <v>869</v>
      </c>
      <c r="J5258" s="3">
        <v>45211</v>
      </c>
      <c r="L5258" t="s">
        <v>628</v>
      </c>
    </row>
    <row r="5259" spans="1:12" x14ac:dyDescent="0.75">
      <c r="A5259" t="s">
        <v>69</v>
      </c>
      <c r="B5259" s="3">
        <v>45167</v>
      </c>
      <c r="C5259">
        <v>1</v>
      </c>
      <c r="D5259" t="s">
        <v>191</v>
      </c>
      <c r="E5259" s="22">
        <f>46-29</f>
        <v>17</v>
      </c>
      <c r="F5259" t="s">
        <v>363</v>
      </c>
      <c r="G5259" t="s">
        <v>869</v>
      </c>
      <c r="H5259" t="s">
        <v>928</v>
      </c>
      <c r="I5259" t="s">
        <v>869</v>
      </c>
      <c r="J5259" s="3">
        <v>45211</v>
      </c>
      <c r="L5259" t="s">
        <v>628</v>
      </c>
    </row>
    <row r="5260" spans="1:12" x14ac:dyDescent="0.75">
      <c r="A5260" t="s">
        <v>69</v>
      </c>
      <c r="B5260" s="3">
        <v>45167</v>
      </c>
      <c r="C5260">
        <v>1</v>
      </c>
      <c r="D5260" t="s">
        <v>191</v>
      </c>
      <c r="E5260" s="22">
        <f>29-20</f>
        <v>9</v>
      </c>
      <c r="F5260" t="s">
        <v>363</v>
      </c>
      <c r="G5260" t="s">
        <v>869</v>
      </c>
      <c r="H5260" t="s">
        <v>928</v>
      </c>
      <c r="I5260" t="s">
        <v>869</v>
      </c>
      <c r="J5260" s="3">
        <v>45211</v>
      </c>
      <c r="L5260" t="s">
        <v>628</v>
      </c>
    </row>
    <row r="5261" spans="1:12" x14ac:dyDescent="0.75">
      <c r="A5261" t="s">
        <v>69</v>
      </c>
      <c r="B5261" s="3">
        <v>45167</v>
      </c>
      <c r="C5261">
        <v>1</v>
      </c>
      <c r="D5261" t="s">
        <v>191</v>
      </c>
      <c r="E5261" s="22">
        <f>20-14</f>
        <v>6</v>
      </c>
      <c r="F5261" t="s">
        <v>363</v>
      </c>
      <c r="G5261" t="s">
        <v>869</v>
      </c>
      <c r="H5261" t="s">
        <v>928</v>
      </c>
      <c r="I5261" t="s">
        <v>869</v>
      </c>
      <c r="J5261" s="3">
        <v>45211</v>
      </c>
      <c r="L5261" t="s">
        <v>628</v>
      </c>
    </row>
    <row r="5262" spans="1:12" x14ac:dyDescent="0.75">
      <c r="A5262" t="s">
        <v>69</v>
      </c>
      <c r="B5262" s="3">
        <v>45167</v>
      </c>
      <c r="C5262">
        <v>1</v>
      </c>
      <c r="D5262" t="s">
        <v>191</v>
      </c>
      <c r="E5262" s="22">
        <v>14</v>
      </c>
      <c r="F5262" t="s">
        <v>363</v>
      </c>
      <c r="G5262" t="s">
        <v>869</v>
      </c>
      <c r="H5262" t="s">
        <v>928</v>
      </c>
      <c r="I5262" t="s">
        <v>869</v>
      </c>
      <c r="J5262" s="3">
        <v>45211</v>
      </c>
      <c r="L5262" t="s">
        <v>628</v>
      </c>
    </row>
    <row r="5263" spans="1:12" x14ac:dyDescent="0.75">
      <c r="A5263" t="s">
        <v>69</v>
      </c>
      <c r="B5263" s="3">
        <v>45167</v>
      </c>
      <c r="C5263">
        <v>1</v>
      </c>
      <c r="D5263" t="s">
        <v>191</v>
      </c>
      <c r="E5263" s="22">
        <f>54-47</f>
        <v>7</v>
      </c>
      <c r="F5263" t="s">
        <v>363</v>
      </c>
      <c r="G5263" t="s">
        <v>869</v>
      </c>
      <c r="H5263" t="s">
        <v>928</v>
      </c>
      <c r="I5263" t="s">
        <v>869</v>
      </c>
      <c r="J5263" s="3">
        <v>45211</v>
      </c>
      <c r="L5263" t="s">
        <v>628</v>
      </c>
    </row>
    <row r="5264" spans="1:12" x14ac:dyDescent="0.75">
      <c r="A5264" t="s">
        <v>69</v>
      </c>
      <c r="B5264" s="3">
        <v>45167</v>
      </c>
      <c r="C5264">
        <v>1</v>
      </c>
      <c r="D5264" t="s">
        <v>197</v>
      </c>
      <c r="E5264" s="22">
        <f>47+54-51</f>
        <v>50</v>
      </c>
      <c r="F5264" t="s">
        <v>363</v>
      </c>
      <c r="G5264" t="s">
        <v>869</v>
      </c>
      <c r="H5264" t="s">
        <v>928</v>
      </c>
      <c r="I5264" t="s">
        <v>869</v>
      </c>
      <c r="J5264" s="3">
        <v>45211</v>
      </c>
      <c r="L5264" t="s">
        <v>628</v>
      </c>
    </row>
    <row r="5265" spans="1:12" s="58" customFormat="1" x14ac:dyDescent="0.75">
      <c r="A5265" s="58" t="s">
        <v>69</v>
      </c>
      <c r="B5265" s="59">
        <v>45167</v>
      </c>
      <c r="C5265" s="58">
        <v>2</v>
      </c>
      <c r="D5265" s="58" t="s">
        <v>207</v>
      </c>
      <c r="E5265" s="60">
        <f>14-8</f>
        <v>6</v>
      </c>
      <c r="F5265" s="58" t="s">
        <v>363</v>
      </c>
      <c r="G5265" s="58" t="s">
        <v>361</v>
      </c>
      <c r="H5265" s="58" t="s">
        <v>928</v>
      </c>
      <c r="I5265" s="58" t="s">
        <v>869</v>
      </c>
      <c r="J5265" s="59">
        <v>45212</v>
      </c>
      <c r="L5265" s="58" t="s">
        <v>628</v>
      </c>
    </row>
    <row r="5266" spans="1:12" s="58" customFormat="1" x14ac:dyDescent="0.75">
      <c r="A5266" s="58" t="s">
        <v>69</v>
      </c>
      <c r="B5266" s="59">
        <v>45167</v>
      </c>
      <c r="C5266" s="58">
        <v>2</v>
      </c>
      <c r="D5266" s="58" t="s">
        <v>164</v>
      </c>
      <c r="E5266" s="60">
        <f>8+48-46</f>
        <v>10</v>
      </c>
      <c r="F5266" s="58" t="s">
        <v>363</v>
      </c>
      <c r="G5266" s="58" t="s">
        <v>361</v>
      </c>
      <c r="H5266" s="58" t="s">
        <v>928</v>
      </c>
      <c r="I5266" s="58" t="s">
        <v>869</v>
      </c>
      <c r="J5266" s="59">
        <v>45212</v>
      </c>
      <c r="L5266" s="58" t="s">
        <v>628</v>
      </c>
    </row>
    <row r="5267" spans="1:12" s="58" customFormat="1" x14ac:dyDescent="0.75">
      <c r="A5267" s="58" t="s">
        <v>69</v>
      </c>
      <c r="B5267" s="59">
        <v>45167</v>
      </c>
      <c r="C5267" s="58">
        <v>2</v>
      </c>
      <c r="D5267" s="58" t="s">
        <v>207</v>
      </c>
      <c r="E5267" s="60">
        <f>46-38</f>
        <v>8</v>
      </c>
      <c r="F5267" s="58" t="s">
        <v>363</v>
      </c>
      <c r="G5267" s="58" t="s">
        <v>361</v>
      </c>
      <c r="H5267" s="58" t="s">
        <v>928</v>
      </c>
      <c r="I5267" s="58" t="s">
        <v>869</v>
      </c>
      <c r="J5267" s="59">
        <v>45212</v>
      </c>
      <c r="L5267" s="58" t="s">
        <v>628</v>
      </c>
    </row>
    <row r="5268" spans="1:12" s="58" customFormat="1" x14ac:dyDescent="0.75">
      <c r="A5268" s="58" t="s">
        <v>69</v>
      </c>
      <c r="B5268" s="59">
        <v>45167</v>
      </c>
      <c r="C5268" s="58">
        <v>2</v>
      </c>
      <c r="D5268" s="58" t="s">
        <v>197</v>
      </c>
      <c r="E5268" s="60">
        <f>52-45</f>
        <v>7</v>
      </c>
      <c r="F5268" s="58" t="s">
        <v>363</v>
      </c>
      <c r="G5268" s="58" t="s">
        <v>869</v>
      </c>
      <c r="H5268" s="58" t="s">
        <v>928</v>
      </c>
      <c r="I5268" s="58" t="s">
        <v>869</v>
      </c>
      <c r="J5268" s="59">
        <v>45212</v>
      </c>
      <c r="L5268" s="58" t="s">
        <v>628</v>
      </c>
    </row>
    <row r="5269" spans="1:12" x14ac:dyDescent="0.75">
      <c r="A5269" t="s">
        <v>116</v>
      </c>
      <c r="B5269" s="3">
        <v>45168</v>
      </c>
      <c r="C5269">
        <v>1</v>
      </c>
      <c r="D5269" t="s">
        <v>197</v>
      </c>
      <c r="E5269" s="22">
        <f>50-1-44</f>
        <v>5</v>
      </c>
      <c r="F5269" t="s">
        <v>363</v>
      </c>
      <c r="G5269" t="s">
        <v>627</v>
      </c>
      <c r="H5269" t="s">
        <v>928</v>
      </c>
      <c r="I5269" t="s">
        <v>628</v>
      </c>
      <c r="J5269" s="3">
        <v>45216</v>
      </c>
      <c r="L5269" t="s">
        <v>627</v>
      </c>
    </row>
    <row r="5270" spans="1:12" x14ac:dyDescent="0.75">
      <c r="A5270" t="s">
        <v>116</v>
      </c>
      <c r="B5270" s="3">
        <v>45168</v>
      </c>
      <c r="C5270">
        <v>1</v>
      </c>
      <c r="D5270" t="s">
        <v>197</v>
      </c>
      <c r="E5270" s="57">
        <f>48-1-40</f>
        <v>7</v>
      </c>
      <c r="F5270" t="s">
        <v>363</v>
      </c>
      <c r="G5270" t="s">
        <v>627</v>
      </c>
      <c r="H5270" t="s">
        <v>928</v>
      </c>
      <c r="I5270" t="s">
        <v>628</v>
      </c>
      <c r="J5270" s="3">
        <v>45216</v>
      </c>
      <c r="L5270" t="s">
        <v>627</v>
      </c>
    </row>
    <row r="5271" spans="1:12" x14ac:dyDescent="0.75">
      <c r="A5271" t="s">
        <v>116</v>
      </c>
      <c r="B5271" s="3">
        <v>45168</v>
      </c>
      <c r="C5271">
        <v>1</v>
      </c>
      <c r="D5271" t="s">
        <v>191</v>
      </c>
      <c r="E5271" s="22">
        <f>40-30</f>
        <v>10</v>
      </c>
      <c r="F5271" t="s">
        <v>363</v>
      </c>
      <c r="G5271" t="s">
        <v>627</v>
      </c>
      <c r="H5271" t="s">
        <v>928</v>
      </c>
      <c r="I5271" t="s">
        <v>628</v>
      </c>
      <c r="J5271" s="3">
        <v>45216</v>
      </c>
      <c r="L5271" t="s">
        <v>627</v>
      </c>
    </row>
    <row r="5272" spans="1:12" x14ac:dyDescent="0.75">
      <c r="A5272" t="s">
        <v>116</v>
      </c>
      <c r="B5272" s="3">
        <v>45168</v>
      </c>
      <c r="C5272">
        <v>1</v>
      </c>
      <c r="D5272" t="s">
        <v>164</v>
      </c>
      <c r="E5272" s="22">
        <f>30-0+46-31</f>
        <v>45</v>
      </c>
      <c r="F5272" t="s">
        <v>363</v>
      </c>
      <c r="G5272" t="s">
        <v>627</v>
      </c>
      <c r="H5272" t="s">
        <v>928</v>
      </c>
      <c r="I5272" t="s">
        <v>628</v>
      </c>
      <c r="J5272" s="3">
        <v>45216</v>
      </c>
      <c r="L5272" t="s">
        <v>627</v>
      </c>
    </row>
    <row r="5273" spans="1:12" x14ac:dyDescent="0.75">
      <c r="A5273" t="s">
        <v>116</v>
      </c>
      <c r="B5273" s="3">
        <v>45168</v>
      </c>
      <c r="C5273">
        <v>1</v>
      </c>
      <c r="D5273" t="s">
        <v>191</v>
      </c>
      <c r="E5273" s="22">
        <f>49-34</f>
        <v>15</v>
      </c>
      <c r="F5273" t="s">
        <v>363</v>
      </c>
      <c r="G5273" t="s">
        <v>627</v>
      </c>
      <c r="H5273" t="s">
        <v>928</v>
      </c>
      <c r="I5273" t="s">
        <v>628</v>
      </c>
      <c r="J5273" s="3">
        <v>45216</v>
      </c>
      <c r="L5273" t="s">
        <v>627</v>
      </c>
    </row>
    <row r="5274" spans="1:12" x14ac:dyDescent="0.75">
      <c r="A5274" t="s">
        <v>116</v>
      </c>
      <c r="B5274" s="3">
        <v>45168</v>
      </c>
      <c r="C5274">
        <v>1</v>
      </c>
      <c r="D5274" t="s">
        <v>191</v>
      </c>
      <c r="E5274" s="22">
        <f>34-20</f>
        <v>14</v>
      </c>
      <c r="F5274" t="s">
        <v>363</v>
      </c>
      <c r="G5274" t="s">
        <v>627</v>
      </c>
      <c r="H5274" t="s">
        <v>928</v>
      </c>
      <c r="I5274" t="s">
        <v>628</v>
      </c>
      <c r="J5274" s="3">
        <v>45216</v>
      </c>
      <c r="L5274" t="s">
        <v>627</v>
      </c>
    </row>
    <row r="5275" spans="1:12" x14ac:dyDescent="0.75">
      <c r="A5275" t="s">
        <v>116</v>
      </c>
      <c r="B5275" s="3">
        <v>45168</v>
      </c>
      <c r="C5275">
        <v>1</v>
      </c>
      <c r="D5275" t="s">
        <v>194</v>
      </c>
      <c r="E5275" s="22">
        <f>20-8</f>
        <v>12</v>
      </c>
      <c r="F5275" t="s">
        <v>363</v>
      </c>
      <c r="G5275" t="s">
        <v>627</v>
      </c>
      <c r="H5275" t="s">
        <v>928</v>
      </c>
      <c r="I5275" t="s">
        <v>628</v>
      </c>
      <c r="J5275" s="3">
        <v>45216</v>
      </c>
      <c r="L5275" t="s">
        <v>627</v>
      </c>
    </row>
    <row r="5276" spans="1:12" x14ac:dyDescent="0.75">
      <c r="A5276" t="s">
        <v>116</v>
      </c>
      <c r="B5276" s="3">
        <v>45168</v>
      </c>
      <c r="C5276">
        <v>1</v>
      </c>
      <c r="D5276" t="s">
        <v>191</v>
      </c>
      <c r="E5276" s="22">
        <f>8-4</f>
        <v>4</v>
      </c>
      <c r="F5276" t="s">
        <v>363</v>
      </c>
      <c r="G5276" t="s">
        <v>627</v>
      </c>
      <c r="H5276" t="s">
        <v>928</v>
      </c>
      <c r="I5276" t="s">
        <v>628</v>
      </c>
      <c r="J5276" s="3">
        <v>45216</v>
      </c>
      <c r="L5276" t="s">
        <v>627</v>
      </c>
    </row>
    <row r="5277" spans="1:12" x14ac:dyDescent="0.75">
      <c r="A5277" t="s">
        <v>116</v>
      </c>
      <c r="B5277" s="3">
        <v>45168</v>
      </c>
      <c r="C5277">
        <v>1</v>
      </c>
      <c r="D5277" t="s">
        <v>197</v>
      </c>
      <c r="E5277" s="22">
        <f>4-0</f>
        <v>4</v>
      </c>
      <c r="F5277" t="s">
        <v>363</v>
      </c>
      <c r="G5277" t="s">
        <v>627</v>
      </c>
      <c r="H5277" t="s">
        <v>928</v>
      </c>
      <c r="I5277" t="s">
        <v>628</v>
      </c>
      <c r="J5277" s="3">
        <v>45216</v>
      </c>
      <c r="L5277" t="s">
        <v>627</v>
      </c>
    </row>
    <row r="5278" spans="1:12" x14ac:dyDescent="0.75">
      <c r="A5278" t="s">
        <v>116</v>
      </c>
      <c r="B5278" s="3">
        <v>45168</v>
      </c>
      <c r="C5278">
        <v>1</v>
      </c>
      <c r="D5278" t="s">
        <v>197</v>
      </c>
      <c r="E5278" s="22">
        <f>53-1-8</f>
        <v>44</v>
      </c>
      <c r="F5278" t="s">
        <v>363</v>
      </c>
      <c r="G5278" t="s">
        <v>869</v>
      </c>
      <c r="H5278" t="s">
        <v>928</v>
      </c>
      <c r="I5278" t="s">
        <v>628</v>
      </c>
      <c r="J5278" s="3">
        <v>45216</v>
      </c>
      <c r="L5278" t="s">
        <v>627</v>
      </c>
    </row>
    <row r="5279" spans="1:12" x14ac:dyDescent="0.75">
      <c r="A5279" t="s">
        <v>116</v>
      </c>
      <c r="B5279" s="3">
        <v>45168</v>
      </c>
      <c r="C5279">
        <v>1</v>
      </c>
      <c r="D5279" t="s">
        <v>197</v>
      </c>
      <c r="E5279" s="57">
        <f>8-0</f>
        <v>8</v>
      </c>
      <c r="F5279" t="s">
        <v>363</v>
      </c>
      <c r="G5279" t="s">
        <v>869</v>
      </c>
      <c r="H5279" t="s">
        <v>928</v>
      </c>
      <c r="I5279" t="s">
        <v>628</v>
      </c>
      <c r="J5279" s="3">
        <v>45216</v>
      </c>
      <c r="L5279" t="s">
        <v>627</v>
      </c>
    </row>
    <row r="5280" spans="1:12" x14ac:dyDescent="0.75">
      <c r="A5280" t="s">
        <v>116</v>
      </c>
      <c r="B5280" s="3">
        <v>45168</v>
      </c>
      <c r="C5280">
        <v>1</v>
      </c>
      <c r="D5280" s="10" t="s">
        <v>194</v>
      </c>
      <c r="E5280" s="57">
        <f>40-0+52-48</f>
        <v>44</v>
      </c>
      <c r="F5280" t="s">
        <v>363</v>
      </c>
      <c r="G5280" t="s">
        <v>869</v>
      </c>
      <c r="H5280" t="s">
        <v>928</v>
      </c>
      <c r="I5280" t="s">
        <v>628</v>
      </c>
      <c r="J5280" s="3">
        <v>45216</v>
      </c>
      <c r="L5280" t="s">
        <v>627</v>
      </c>
    </row>
    <row r="5281" spans="1:12" x14ac:dyDescent="0.75">
      <c r="A5281" t="s">
        <v>116</v>
      </c>
      <c r="B5281" s="3">
        <v>45168</v>
      </c>
      <c r="C5281">
        <v>1</v>
      </c>
      <c r="D5281" s="10" t="s">
        <v>194</v>
      </c>
      <c r="E5281" s="57">
        <f>48-39</f>
        <v>9</v>
      </c>
      <c r="F5281" t="s">
        <v>363</v>
      </c>
      <c r="G5281" t="s">
        <v>869</v>
      </c>
      <c r="H5281" t="s">
        <v>928</v>
      </c>
      <c r="I5281" t="s">
        <v>628</v>
      </c>
      <c r="J5281" s="3">
        <v>45216</v>
      </c>
      <c r="L5281" t="s">
        <v>627</v>
      </c>
    </row>
    <row r="5282" spans="1:12" x14ac:dyDescent="0.75">
      <c r="A5282" t="s">
        <v>116</v>
      </c>
      <c r="B5282" s="3">
        <v>45168</v>
      </c>
      <c r="C5282">
        <v>1</v>
      </c>
      <c r="D5282" t="s">
        <v>197</v>
      </c>
      <c r="E5282" s="57">
        <f>39-32</f>
        <v>7</v>
      </c>
      <c r="F5282" t="s">
        <v>363</v>
      </c>
      <c r="G5282" t="s">
        <v>869</v>
      </c>
      <c r="H5282" t="s">
        <v>928</v>
      </c>
      <c r="I5282" t="s">
        <v>628</v>
      </c>
      <c r="J5282" s="3">
        <v>45216</v>
      </c>
      <c r="L5282" t="s">
        <v>627</v>
      </c>
    </row>
    <row r="5283" spans="1:12" x14ac:dyDescent="0.75">
      <c r="A5283" t="s">
        <v>116</v>
      </c>
      <c r="B5283" s="3">
        <v>45168</v>
      </c>
      <c r="C5283">
        <v>1</v>
      </c>
      <c r="D5283" t="s">
        <v>164</v>
      </c>
      <c r="E5283" s="57">
        <f>32-23</f>
        <v>9</v>
      </c>
      <c r="F5283" t="s">
        <v>363</v>
      </c>
      <c r="G5283" t="s">
        <v>869</v>
      </c>
      <c r="H5283" t="s">
        <v>928</v>
      </c>
      <c r="I5283" t="s">
        <v>628</v>
      </c>
      <c r="J5283" s="3">
        <v>45216</v>
      </c>
      <c r="L5283" t="s">
        <v>627</v>
      </c>
    </row>
    <row r="5284" spans="1:12" s="58" customFormat="1" x14ac:dyDescent="0.75">
      <c r="A5284" s="58" t="s">
        <v>116</v>
      </c>
      <c r="B5284" s="59">
        <v>45168</v>
      </c>
      <c r="C5284" s="58">
        <v>2</v>
      </c>
      <c r="D5284" s="58" t="s">
        <v>176</v>
      </c>
      <c r="E5284" s="60">
        <f>28-0</f>
        <v>28</v>
      </c>
      <c r="F5284" s="58" t="s">
        <v>363</v>
      </c>
      <c r="G5284" s="58" t="s">
        <v>627</v>
      </c>
      <c r="H5284" s="58" t="s">
        <v>928</v>
      </c>
      <c r="I5284" s="58" t="s">
        <v>628</v>
      </c>
      <c r="J5284" s="59">
        <v>45217</v>
      </c>
      <c r="L5284" s="58" t="s">
        <v>628</v>
      </c>
    </row>
    <row r="5285" spans="1:12" s="58" customFormat="1" x14ac:dyDescent="0.75">
      <c r="A5285" s="58" t="s">
        <v>116</v>
      </c>
      <c r="B5285" s="59">
        <v>45168</v>
      </c>
      <c r="C5285" s="58">
        <v>2</v>
      </c>
      <c r="D5285" s="58" t="s">
        <v>176</v>
      </c>
      <c r="E5285" s="60">
        <f>51-2-45</f>
        <v>4</v>
      </c>
      <c r="F5285" s="58" t="s">
        <v>363</v>
      </c>
      <c r="G5285" s="58" t="s">
        <v>627</v>
      </c>
      <c r="H5285" s="58" t="s">
        <v>928</v>
      </c>
      <c r="I5285" s="58" t="s">
        <v>628</v>
      </c>
      <c r="J5285" s="59">
        <v>45217</v>
      </c>
      <c r="L5285" s="58" t="s">
        <v>628</v>
      </c>
    </row>
    <row r="5286" spans="1:12" s="58" customFormat="1" x14ac:dyDescent="0.75">
      <c r="A5286" s="58" t="s">
        <v>116</v>
      </c>
      <c r="B5286" s="59">
        <v>45168</v>
      </c>
      <c r="C5286" s="58">
        <v>2</v>
      </c>
      <c r="D5286" s="58" t="s">
        <v>197</v>
      </c>
      <c r="E5286" s="60">
        <f>45-34</f>
        <v>11</v>
      </c>
      <c r="F5286" s="58" t="s">
        <v>363</v>
      </c>
      <c r="G5286" s="58" t="s">
        <v>627</v>
      </c>
      <c r="H5286" s="58" t="s">
        <v>928</v>
      </c>
      <c r="I5286" s="58" t="s">
        <v>628</v>
      </c>
      <c r="J5286" s="59">
        <v>45217</v>
      </c>
      <c r="L5286" s="58" t="s">
        <v>628</v>
      </c>
    </row>
    <row r="5287" spans="1:12" s="58" customFormat="1" x14ac:dyDescent="0.75">
      <c r="A5287" s="58" t="s">
        <v>116</v>
      </c>
      <c r="B5287" s="59">
        <v>45168</v>
      </c>
      <c r="C5287" s="58">
        <v>2</v>
      </c>
      <c r="D5287" s="58" t="s">
        <v>191</v>
      </c>
      <c r="E5287" s="60">
        <f>34-13</f>
        <v>21</v>
      </c>
      <c r="F5287" s="58" t="s">
        <v>363</v>
      </c>
      <c r="G5287" s="58" t="s">
        <v>627</v>
      </c>
      <c r="H5287" s="58" t="s">
        <v>928</v>
      </c>
      <c r="I5287" s="58" t="s">
        <v>628</v>
      </c>
      <c r="J5287" s="59">
        <v>45217</v>
      </c>
      <c r="L5287" s="58" t="s">
        <v>628</v>
      </c>
    </row>
    <row r="5288" spans="1:12" s="58" customFormat="1" x14ac:dyDescent="0.75">
      <c r="A5288" s="58" t="s">
        <v>116</v>
      </c>
      <c r="B5288" s="59">
        <v>45168</v>
      </c>
      <c r="C5288" s="58">
        <v>2</v>
      </c>
      <c r="D5288" s="58" t="s">
        <v>197</v>
      </c>
      <c r="E5288" s="60">
        <f>13-6</f>
        <v>7</v>
      </c>
      <c r="F5288" s="58" t="s">
        <v>363</v>
      </c>
      <c r="G5288" s="58" t="s">
        <v>627</v>
      </c>
      <c r="H5288" s="58" t="s">
        <v>928</v>
      </c>
      <c r="I5288" s="58" t="s">
        <v>628</v>
      </c>
      <c r="J5288" s="59">
        <v>45217</v>
      </c>
      <c r="L5288" s="58" t="s">
        <v>628</v>
      </c>
    </row>
    <row r="5289" spans="1:12" s="58" customFormat="1" x14ac:dyDescent="0.75">
      <c r="A5289" s="58" t="s">
        <v>116</v>
      </c>
      <c r="B5289" s="59">
        <v>45168</v>
      </c>
      <c r="C5289" s="58">
        <v>2</v>
      </c>
      <c r="D5289" s="58" t="s">
        <v>201</v>
      </c>
      <c r="E5289" s="60">
        <f>6-1</f>
        <v>5</v>
      </c>
      <c r="F5289" s="58" t="s">
        <v>363</v>
      </c>
      <c r="G5289" s="58" t="s">
        <v>627</v>
      </c>
      <c r="H5289" s="58" t="s">
        <v>928</v>
      </c>
      <c r="I5289" s="58" t="s">
        <v>628</v>
      </c>
      <c r="J5289" s="59">
        <v>45217</v>
      </c>
      <c r="L5289" s="58" t="s">
        <v>628</v>
      </c>
    </row>
    <row r="5290" spans="1:12" s="58" customFormat="1" x14ac:dyDescent="0.75">
      <c r="A5290" s="58" t="s">
        <v>116</v>
      </c>
      <c r="B5290" s="59">
        <v>45168</v>
      </c>
      <c r="C5290" s="58">
        <v>2</v>
      </c>
      <c r="D5290" s="58" t="s">
        <v>176</v>
      </c>
      <c r="E5290" s="60">
        <f>1+57-3-45</f>
        <v>10</v>
      </c>
      <c r="F5290" s="58" t="s">
        <v>363</v>
      </c>
      <c r="G5290" s="58" t="s">
        <v>627</v>
      </c>
      <c r="H5290" s="58" t="s">
        <v>928</v>
      </c>
      <c r="I5290" s="58" t="s">
        <v>628</v>
      </c>
      <c r="J5290" s="59">
        <v>45217</v>
      </c>
      <c r="L5290" s="58" t="s">
        <v>628</v>
      </c>
    </row>
    <row r="5291" spans="1:12" s="58" customFormat="1" x14ac:dyDescent="0.75">
      <c r="A5291" s="58" t="s">
        <v>116</v>
      </c>
      <c r="B5291" s="59">
        <v>45168</v>
      </c>
      <c r="C5291" s="58">
        <v>2</v>
      </c>
      <c r="D5291" s="58" t="s">
        <v>207</v>
      </c>
      <c r="E5291" s="60">
        <f>47-1-37</f>
        <v>9</v>
      </c>
      <c r="F5291" s="58" t="s">
        <v>363</v>
      </c>
      <c r="G5291" s="58" t="s">
        <v>869</v>
      </c>
      <c r="H5291" s="58" t="s">
        <v>928</v>
      </c>
      <c r="I5291" s="58" t="s">
        <v>628</v>
      </c>
      <c r="J5291" s="59">
        <v>45217</v>
      </c>
      <c r="L5291" s="58" t="s">
        <v>628</v>
      </c>
    </row>
    <row r="5292" spans="1:12" s="58" customFormat="1" x14ac:dyDescent="0.75">
      <c r="A5292" s="58" t="s">
        <v>116</v>
      </c>
      <c r="B5292" s="59">
        <v>45168</v>
      </c>
      <c r="C5292" s="58">
        <v>2</v>
      </c>
      <c r="D5292" s="58" t="s">
        <v>176</v>
      </c>
      <c r="E5292" s="60">
        <f>37-24</f>
        <v>13</v>
      </c>
      <c r="F5292" s="58">
        <v>910</v>
      </c>
      <c r="G5292" s="58" t="s">
        <v>869</v>
      </c>
      <c r="H5292" s="58" t="s">
        <v>390</v>
      </c>
      <c r="I5292" s="58" t="s">
        <v>628</v>
      </c>
      <c r="J5292" s="59">
        <v>45217</v>
      </c>
      <c r="L5292" s="58" t="s">
        <v>628</v>
      </c>
    </row>
    <row r="5293" spans="1:12" s="58" customFormat="1" x14ac:dyDescent="0.75">
      <c r="A5293" s="58" t="s">
        <v>116</v>
      </c>
      <c r="B5293" s="59">
        <v>45168</v>
      </c>
      <c r="C5293" s="58">
        <v>2</v>
      </c>
      <c r="D5293" s="58" t="s">
        <v>201</v>
      </c>
      <c r="E5293" s="60">
        <f>24+44-42</f>
        <v>26</v>
      </c>
      <c r="F5293" s="58" t="s">
        <v>363</v>
      </c>
      <c r="G5293" s="58" t="s">
        <v>869</v>
      </c>
      <c r="H5293" s="58" t="s">
        <v>928</v>
      </c>
      <c r="I5293" s="58" t="s">
        <v>628</v>
      </c>
      <c r="J5293" s="59">
        <v>45217</v>
      </c>
      <c r="L5293" s="58" t="s">
        <v>628</v>
      </c>
    </row>
    <row r="5294" spans="1:12" s="58" customFormat="1" x14ac:dyDescent="0.75">
      <c r="A5294" s="58" t="s">
        <v>116</v>
      </c>
      <c r="B5294" s="59">
        <v>45168</v>
      </c>
      <c r="C5294" s="58">
        <v>2</v>
      </c>
      <c r="D5294" s="58" t="s">
        <v>197</v>
      </c>
      <c r="E5294" s="60">
        <f>42-38</f>
        <v>4</v>
      </c>
      <c r="F5294" s="58" t="s">
        <v>363</v>
      </c>
      <c r="G5294" s="58" t="s">
        <v>869</v>
      </c>
      <c r="H5294" s="58" t="s">
        <v>928</v>
      </c>
      <c r="I5294" s="58" t="s">
        <v>628</v>
      </c>
      <c r="J5294" s="59">
        <v>45217</v>
      </c>
      <c r="L5294" s="58" t="s">
        <v>628</v>
      </c>
    </row>
    <row r="5295" spans="1:12" s="58" customFormat="1" x14ac:dyDescent="0.75">
      <c r="A5295" s="58" t="s">
        <v>116</v>
      </c>
      <c r="B5295" s="59">
        <v>45168</v>
      </c>
      <c r="C5295" s="58">
        <v>2</v>
      </c>
      <c r="D5295" s="58" t="s">
        <v>197</v>
      </c>
      <c r="E5295" s="60">
        <f>38-30</f>
        <v>8</v>
      </c>
      <c r="F5295" s="58" t="s">
        <v>363</v>
      </c>
      <c r="G5295" s="58" t="s">
        <v>869</v>
      </c>
      <c r="H5295" s="58" t="s">
        <v>928</v>
      </c>
      <c r="I5295" s="58" t="s">
        <v>628</v>
      </c>
      <c r="J5295" s="59">
        <v>45217</v>
      </c>
      <c r="L5295" s="58" t="s">
        <v>628</v>
      </c>
    </row>
    <row r="5296" spans="1:12" s="58" customFormat="1" x14ac:dyDescent="0.75">
      <c r="A5296" s="58" t="s">
        <v>116</v>
      </c>
      <c r="B5296" s="59">
        <v>45168</v>
      </c>
      <c r="C5296" s="58">
        <v>2</v>
      </c>
      <c r="D5296" s="58" t="s">
        <v>176</v>
      </c>
      <c r="E5296" s="60">
        <f>30-12</f>
        <v>18</v>
      </c>
      <c r="F5296" s="58" t="s">
        <v>363</v>
      </c>
      <c r="G5296" s="58" t="s">
        <v>869</v>
      </c>
      <c r="H5296" s="58" t="s">
        <v>928</v>
      </c>
      <c r="I5296" s="58" t="s">
        <v>628</v>
      </c>
      <c r="J5296" s="59">
        <v>45217</v>
      </c>
      <c r="L5296" s="58" t="s">
        <v>628</v>
      </c>
    </row>
    <row r="5297" spans="1:12" s="58" customFormat="1" x14ac:dyDescent="0.75">
      <c r="A5297" s="58" t="s">
        <v>116</v>
      </c>
      <c r="B5297" s="59">
        <v>45168</v>
      </c>
      <c r="C5297" s="58">
        <v>2</v>
      </c>
      <c r="D5297" s="58" t="s">
        <v>164</v>
      </c>
      <c r="E5297" s="60">
        <f>46-17</f>
        <v>29</v>
      </c>
      <c r="F5297" s="58" t="s">
        <v>363</v>
      </c>
      <c r="G5297" s="58" t="s">
        <v>869</v>
      </c>
      <c r="H5297" s="58" t="s">
        <v>928</v>
      </c>
      <c r="I5297" s="58" t="s">
        <v>628</v>
      </c>
      <c r="J5297" s="59">
        <v>45217</v>
      </c>
      <c r="L5297" s="58" t="s">
        <v>628</v>
      </c>
    </row>
    <row r="5298" spans="1:12" s="58" customFormat="1" x14ac:dyDescent="0.75">
      <c r="A5298" s="58" t="s">
        <v>116</v>
      </c>
      <c r="B5298" s="59">
        <v>45168</v>
      </c>
      <c r="C5298" s="58">
        <v>2</v>
      </c>
      <c r="D5298" s="58" t="s">
        <v>197</v>
      </c>
      <c r="E5298" s="60">
        <f>12-2</f>
        <v>10</v>
      </c>
      <c r="F5298" s="58" t="s">
        <v>363</v>
      </c>
      <c r="G5298" s="58" t="s">
        <v>869</v>
      </c>
      <c r="H5298" s="58" t="s">
        <v>928</v>
      </c>
      <c r="I5298" s="58" t="s">
        <v>628</v>
      </c>
      <c r="J5298" s="59">
        <v>45217</v>
      </c>
      <c r="L5298" s="58" t="s">
        <v>628</v>
      </c>
    </row>
    <row r="5299" spans="1:12" s="58" customFormat="1" x14ac:dyDescent="0.75">
      <c r="A5299" s="58" t="s">
        <v>116</v>
      </c>
      <c r="B5299" s="59">
        <v>45168</v>
      </c>
      <c r="C5299" s="58">
        <v>2</v>
      </c>
      <c r="D5299" s="58" t="s">
        <v>194</v>
      </c>
      <c r="E5299" s="60">
        <f>2-0</f>
        <v>2</v>
      </c>
      <c r="F5299" s="58" t="s">
        <v>363</v>
      </c>
      <c r="G5299" s="58" t="s">
        <v>869</v>
      </c>
      <c r="H5299" s="58" t="s">
        <v>928</v>
      </c>
      <c r="I5299" s="58" t="s">
        <v>628</v>
      </c>
      <c r="J5299" s="59">
        <v>45217</v>
      </c>
      <c r="L5299" s="58" t="s">
        <v>628</v>
      </c>
    </row>
    <row r="5300" spans="1:12" s="58" customFormat="1" x14ac:dyDescent="0.75">
      <c r="A5300" s="58" t="s">
        <v>116</v>
      </c>
      <c r="B5300" s="59">
        <v>45168</v>
      </c>
      <c r="C5300" s="58">
        <v>2</v>
      </c>
      <c r="D5300" s="58" t="s">
        <v>197</v>
      </c>
      <c r="E5300" s="60">
        <f>7-3</f>
        <v>4</v>
      </c>
      <c r="F5300" s="58" t="s">
        <v>363</v>
      </c>
      <c r="G5300" s="58" t="s">
        <v>869</v>
      </c>
      <c r="H5300" s="58" t="s">
        <v>928</v>
      </c>
      <c r="I5300" s="58" t="s">
        <v>628</v>
      </c>
      <c r="J5300" s="59">
        <v>45217</v>
      </c>
      <c r="L5300" s="58" t="s">
        <v>628</v>
      </c>
    </row>
    <row r="5301" spans="1:12" x14ac:dyDescent="0.75">
      <c r="A5301" t="s">
        <v>116</v>
      </c>
      <c r="B5301" s="3">
        <v>45169</v>
      </c>
      <c r="C5301">
        <v>1</v>
      </c>
      <c r="D5301" t="s">
        <v>201</v>
      </c>
      <c r="E5301" s="22">
        <f>56-2-46</f>
        <v>8</v>
      </c>
      <c r="F5301">
        <v>982</v>
      </c>
      <c r="G5301" t="s">
        <v>627</v>
      </c>
      <c r="H5301" s="10" t="s">
        <v>390</v>
      </c>
      <c r="I5301" t="s">
        <v>628</v>
      </c>
      <c r="J5301" s="3">
        <v>45217</v>
      </c>
      <c r="L5301" t="s">
        <v>627</v>
      </c>
    </row>
    <row r="5302" spans="1:12" x14ac:dyDescent="0.75">
      <c r="A5302" t="s">
        <v>116</v>
      </c>
      <c r="B5302" s="3">
        <v>45169</v>
      </c>
      <c r="C5302">
        <v>1</v>
      </c>
      <c r="D5302" t="s">
        <v>197</v>
      </c>
      <c r="E5302" s="22">
        <f>46-34</f>
        <v>12</v>
      </c>
      <c r="F5302" t="s">
        <v>363</v>
      </c>
      <c r="G5302" t="s">
        <v>627</v>
      </c>
      <c r="H5302" t="s">
        <v>928</v>
      </c>
      <c r="I5302" t="s">
        <v>628</v>
      </c>
      <c r="J5302" s="3">
        <v>45217</v>
      </c>
      <c r="L5302" t="s">
        <v>627</v>
      </c>
    </row>
    <row r="5303" spans="1:12" x14ac:dyDescent="0.75">
      <c r="A5303" t="s">
        <v>116</v>
      </c>
      <c r="B5303" s="3">
        <v>45169</v>
      </c>
      <c r="C5303">
        <v>1</v>
      </c>
      <c r="D5303" t="s">
        <v>201</v>
      </c>
      <c r="E5303" s="57">
        <f>55-2-40</f>
        <v>13</v>
      </c>
      <c r="F5303" t="s">
        <v>363</v>
      </c>
      <c r="G5303" t="s">
        <v>361</v>
      </c>
      <c r="H5303" t="s">
        <v>928</v>
      </c>
      <c r="I5303" t="s">
        <v>628</v>
      </c>
      <c r="J5303" s="3">
        <v>45217</v>
      </c>
      <c r="L5303" t="s">
        <v>627</v>
      </c>
    </row>
    <row r="5304" spans="1:12" x14ac:dyDescent="0.75">
      <c r="A5304" t="s">
        <v>116</v>
      </c>
      <c r="B5304" s="3">
        <v>45169</v>
      </c>
      <c r="C5304">
        <v>1</v>
      </c>
      <c r="D5304" t="s">
        <v>176</v>
      </c>
      <c r="E5304" s="22">
        <f>40-30</f>
        <v>10</v>
      </c>
      <c r="F5304" t="s">
        <v>363</v>
      </c>
      <c r="G5304" t="s">
        <v>361</v>
      </c>
      <c r="H5304" t="s">
        <v>928</v>
      </c>
      <c r="I5304" t="s">
        <v>628</v>
      </c>
      <c r="J5304" s="3">
        <v>45217</v>
      </c>
      <c r="L5304" t="s">
        <v>627</v>
      </c>
    </row>
    <row r="5305" spans="1:12" s="58" customFormat="1" x14ac:dyDescent="0.75">
      <c r="A5305" s="58" t="s">
        <v>116</v>
      </c>
      <c r="B5305" s="59">
        <v>45169</v>
      </c>
      <c r="C5305" s="58">
        <v>2</v>
      </c>
      <c r="D5305" s="58" t="s">
        <v>176</v>
      </c>
      <c r="E5305" s="60">
        <f>34-24</f>
        <v>10</v>
      </c>
      <c r="F5305" s="58" t="s">
        <v>363</v>
      </c>
      <c r="G5305" s="58" t="s">
        <v>627</v>
      </c>
      <c r="H5305" s="58" t="s">
        <v>928</v>
      </c>
      <c r="I5305" s="58" t="s">
        <v>628</v>
      </c>
      <c r="J5305" s="59">
        <v>45217</v>
      </c>
      <c r="L5305" s="58" t="s">
        <v>628</v>
      </c>
    </row>
    <row r="5306" spans="1:12" s="58" customFormat="1" x14ac:dyDescent="0.75">
      <c r="A5306" s="58" t="s">
        <v>116</v>
      </c>
      <c r="B5306" s="59">
        <v>45169</v>
      </c>
      <c r="C5306" s="58">
        <v>2</v>
      </c>
      <c r="D5306" s="58" t="s">
        <v>207</v>
      </c>
      <c r="E5306" s="60">
        <f>24-18</f>
        <v>6</v>
      </c>
      <c r="F5306" s="58" t="s">
        <v>363</v>
      </c>
      <c r="G5306" s="58" t="s">
        <v>627</v>
      </c>
      <c r="H5306" s="58" t="s">
        <v>928</v>
      </c>
      <c r="I5306" s="58" t="s">
        <v>628</v>
      </c>
      <c r="J5306" s="59">
        <v>45217</v>
      </c>
      <c r="L5306" s="58" t="s">
        <v>628</v>
      </c>
    </row>
    <row r="5307" spans="1:12" s="58" customFormat="1" x14ac:dyDescent="0.75">
      <c r="A5307" s="58" t="s">
        <v>116</v>
      </c>
      <c r="B5307" s="59">
        <v>45169</v>
      </c>
      <c r="C5307" s="58">
        <v>2</v>
      </c>
      <c r="D5307" s="58" t="s">
        <v>157</v>
      </c>
      <c r="E5307" s="60">
        <f>10-9</f>
        <v>1</v>
      </c>
      <c r="F5307" s="58">
        <v>999</v>
      </c>
      <c r="G5307" s="58" t="s">
        <v>627</v>
      </c>
      <c r="H5307" s="58" t="s">
        <v>390</v>
      </c>
      <c r="I5307" s="58" t="s">
        <v>628</v>
      </c>
      <c r="J5307" s="59">
        <v>45217</v>
      </c>
      <c r="L5307" s="58" t="s">
        <v>628</v>
      </c>
    </row>
    <row r="5308" spans="1:12" s="58" customFormat="1" x14ac:dyDescent="0.75">
      <c r="A5308" s="58" t="s">
        <v>116</v>
      </c>
      <c r="B5308" s="59">
        <v>45169</v>
      </c>
      <c r="C5308" s="58">
        <v>2</v>
      </c>
      <c r="D5308" s="58" t="s">
        <v>197</v>
      </c>
      <c r="E5308" s="60">
        <f>9+36-35</f>
        <v>10</v>
      </c>
      <c r="F5308" s="58" t="s">
        <v>363</v>
      </c>
      <c r="G5308" s="58" t="s">
        <v>627</v>
      </c>
      <c r="H5308" s="58" t="s">
        <v>928</v>
      </c>
      <c r="I5308" s="58" t="s">
        <v>628</v>
      </c>
      <c r="J5308" s="59">
        <v>45217</v>
      </c>
      <c r="L5308" s="58" t="s">
        <v>628</v>
      </c>
    </row>
    <row r="5309" spans="1:12" s="58" customFormat="1" x14ac:dyDescent="0.75">
      <c r="A5309" s="58" t="s">
        <v>116</v>
      </c>
      <c r="B5309" s="59">
        <v>45169</v>
      </c>
      <c r="C5309" s="58">
        <v>2</v>
      </c>
      <c r="D5309" s="58" t="s">
        <v>197</v>
      </c>
      <c r="E5309" s="60">
        <f>30-23</f>
        <v>7</v>
      </c>
      <c r="F5309" s="58" t="s">
        <v>363</v>
      </c>
      <c r="G5309" s="58" t="s">
        <v>361</v>
      </c>
      <c r="H5309" s="58" t="s">
        <v>928</v>
      </c>
      <c r="I5309" s="58" t="s">
        <v>628</v>
      </c>
      <c r="J5309" s="59">
        <v>45217</v>
      </c>
      <c r="L5309" s="58" t="s">
        <v>627</v>
      </c>
    </row>
    <row r="5310" spans="1:12" s="58" customFormat="1" x14ac:dyDescent="0.75">
      <c r="A5310" s="58" t="s">
        <v>116</v>
      </c>
      <c r="B5310" s="59">
        <v>45169</v>
      </c>
      <c r="C5310" s="58">
        <v>2</v>
      </c>
      <c r="D5310" s="58" t="s">
        <v>164</v>
      </c>
      <c r="E5310" s="60">
        <f>22-6</f>
        <v>16</v>
      </c>
      <c r="F5310" s="58" t="s">
        <v>363</v>
      </c>
      <c r="G5310" s="58" t="s">
        <v>361</v>
      </c>
      <c r="H5310" s="58" t="s">
        <v>928</v>
      </c>
      <c r="I5310" s="58" t="s">
        <v>628</v>
      </c>
      <c r="J5310" s="59">
        <v>45217</v>
      </c>
      <c r="L5310" s="58" t="s">
        <v>627</v>
      </c>
    </row>
    <row r="5311" spans="1:12" s="58" customFormat="1" x14ac:dyDescent="0.75">
      <c r="A5311" s="58" t="s">
        <v>116</v>
      </c>
      <c r="B5311" s="59">
        <v>45169</v>
      </c>
      <c r="C5311" s="58">
        <v>2</v>
      </c>
      <c r="D5311" s="58" t="s">
        <v>197</v>
      </c>
      <c r="E5311" s="60">
        <f>6+54-2-46</f>
        <v>12</v>
      </c>
      <c r="F5311" s="58" t="s">
        <v>363</v>
      </c>
      <c r="G5311" s="58" t="s">
        <v>361</v>
      </c>
      <c r="H5311" s="58" t="s">
        <v>928</v>
      </c>
      <c r="I5311" s="58" t="s">
        <v>628</v>
      </c>
      <c r="J5311" s="59">
        <v>45217</v>
      </c>
      <c r="L5311" s="58" t="s">
        <v>627</v>
      </c>
    </row>
    <row r="5312" spans="1:12" x14ac:dyDescent="0.75">
      <c r="A5312" t="s">
        <v>116</v>
      </c>
      <c r="B5312" s="3">
        <v>45169</v>
      </c>
      <c r="C5312">
        <v>3</v>
      </c>
      <c r="D5312" t="s">
        <v>207</v>
      </c>
      <c r="E5312" s="22">
        <f>47-44</f>
        <v>3</v>
      </c>
      <c r="F5312">
        <v>920</v>
      </c>
      <c r="G5312" t="s">
        <v>627</v>
      </c>
      <c r="H5312" t="s">
        <v>390</v>
      </c>
      <c r="I5312" t="s">
        <v>628</v>
      </c>
      <c r="J5312" s="3">
        <v>45217</v>
      </c>
      <c r="L5312" t="s">
        <v>627</v>
      </c>
    </row>
    <row r="5313" spans="1:12" s="58" customFormat="1" x14ac:dyDescent="0.75">
      <c r="A5313" s="58" t="s">
        <v>116</v>
      </c>
      <c r="B5313" s="59">
        <v>45174</v>
      </c>
      <c r="C5313" s="58">
        <v>1</v>
      </c>
      <c r="D5313" s="58" t="s">
        <v>194</v>
      </c>
      <c r="E5313" s="60">
        <f>44-26</f>
        <v>18</v>
      </c>
      <c r="F5313" s="58" t="s">
        <v>363</v>
      </c>
      <c r="G5313" s="58" t="s">
        <v>733</v>
      </c>
      <c r="H5313" s="58" t="s">
        <v>928</v>
      </c>
      <c r="I5313" s="58" t="s">
        <v>628</v>
      </c>
      <c r="J5313" s="59">
        <v>45217</v>
      </c>
      <c r="L5313" s="58" t="s">
        <v>627</v>
      </c>
    </row>
    <row r="5314" spans="1:12" s="58" customFormat="1" x14ac:dyDescent="0.75">
      <c r="A5314" s="58" t="s">
        <v>116</v>
      </c>
      <c r="B5314" s="59">
        <v>45174</v>
      </c>
      <c r="C5314" s="58">
        <v>1</v>
      </c>
      <c r="D5314" s="58" t="s">
        <v>187</v>
      </c>
      <c r="E5314" s="60">
        <f>26-10</f>
        <v>16</v>
      </c>
      <c r="F5314" s="58" t="s">
        <v>363</v>
      </c>
      <c r="G5314" s="58" t="s">
        <v>733</v>
      </c>
      <c r="H5314" s="58" t="s">
        <v>928</v>
      </c>
      <c r="I5314" s="58" t="s">
        <v>628</v>
      </c>
      <c r="J5314" s="59">
        <v>45217</v>
      </c>
      <c r="L5314" s="58" t="s">
        <v>627</v>
      </c>
    </row>
    <row r="5315" spans="1:12" s="58" customFormat="1" x14ac:dyDescent="0.75">
      <c r="A5315" s="58" t="s">
        <v>116</v>
      </c>
      <c r="B5315" s="59">
        <v>45174</v>
      </c>
      <c r="C5315" s="58">
        <v>1</v>
      </c>
      <c r="D5315" s="58" t="s">
        <v>194</v>
      </c>
      <c r="E5315" s="60">
        <f>10+49-34</f>
        <v>25</v>
      </c>
      <c r="F5315" s="58" t="s">
        <v>363</v>
      </c>
      <c r="G5315" s="58" t="s">
        <v>733</v>
      </c>
      <c r="H5315" s="58" t="s">
        <v>928</v>
      </c>
      <c r="I5315" s="58" t="s">
        <v>628</v>
      </c>
      <c r="J5315" s="59">
        <v>45217</v>
      </c>
      <c r="L5315" s="58" t="s">
        <v>627</v>
      </c>
    </row>
    <row r="5316" spans="1:12" s="58" customFormat="1" x14ac:dyDescent="0.75">
      <c r="A5316" s="58" t="s">
        <v>116</v>
      </c>
      <c r="B5316" s="59">
        <v>45174</v>
      </c>
      <c r="C5316" s="58">
        <v>1</v>
      </c>
      <c r="D5316" s="58" t="s">
        <v>197</v>
      </c>
      <c r="E5316" s="60">
        <f>47-44</f>
        <v>3</v>
      </c>
      <c r="F5316" s="58" t="s">
        <v>363</v>
      </c>
      <c r="G5316" s="58" t="s">
        <v>627</v>
      </c>
      <c r="H5316" s="58" t="s">
        <v>928</v>
      </c>
      <c r="I5316" s="58" t="s">
        <v>628</v>
      </c>
      <c r="J5316" s="59">
        <v>45217</v>
      </c>
      <c r="L5316" s="58" t="s">
        <v>627</v>
      </c>
    </row>
    <row r="5317" spans="1:12" s="58" customFormat="1" x14ac:dyDescent="0.75">
      <c r="A5317" s="58" t="s">
        <v>116</v>
      </c>
      <c r="B5317" s="59">
        <v>45174</v>
      </c>
      <c r="C5317" s="58">
        <v>1</v>
      </c>
      <c r="D5317" s="58" t="s">
        <v>191</v>
      </c>
      <c r="E5317" s="60">
        <f>45-39</f>
        <v>6</v>
      </c>
      <c r="F5317" s="58" t="s">
        <v>363</v>
      </c>
      <c r="G5317" s="58" t="s">
        <v>627</v>
      </c>
      <c r="H5317" s="58" t="s">
        <v>928</v>
      </c>
      <c r="I5317" s="58" t="s">
        <v>628</v>
      </c>
      <c r="J5317" s="59">
        <v>45217</v>
      </c>
      <c r="L5317" s="58" t="s">
        <v>627</v>
      </c>
    </row>
    <row r="5318" spans="1:12" s="58" customFormat="1" x14ac:dyDescent="0.75">
      <c r="A5318" s="58" t="s">
        <v>116</v>
      </c>
      <c r="B5318" s="59">
        <v>45174</v>
      </c>
      <c r="C5318" s="58">
        <v>1</v>
      </c>
      <c r="D5318" s="58" t="s">
        <v>191</v>
      </c>
      <c r="E5318" s="60">
        <f>46-0</f>
        <v>46</v>
      </c>
      <c r="F5318" s="58" t="s">
        <v>363</v>
      </c>
      <c r="G5318" s="58" t="s">
        <v>627</v>
      </c>
      <c r="H5318" s="58" t="s">
        <v>928</v>
      </c>
      <c r="I5318" s="58" t="s">
        <v>628</v>
      </c>
      <c r="J5318" s="59">
        <v>45217</v>
      </c>
      <c r="L5318" s="58" t="s">
        <v>627</v>
      </c>
    </row>
    <row r="5319" spans="1:12" s="58" customFormat="1" x14ac:dyDescent="0.75">
      <c r="A5319" s="58" t="s">
        <v>116</v>
      </c>
      <c r="B5319" s="59">
        <v>45174</v>
      </c>
      <c r="C5319" s="58">
        <v>1</v>
      </c>
      <c r="D5319" s="58" t="s">
        <v>191</v>
      </c>
      <c r="E5319" s="60">
        <f>48-18</f>
        <v>30</v>
      </c>
      <c r="F5319" s="58" t="s">
        <v>363</v>
      </c>
      <c r="G5319" s="58" t="s">
        <v>627</v>
      </c>
      <c r="H5319" s="58" t="s">
        <v>928</v>
      </c>
      <c r="I5319" s="58" t="s">
        <v>628</v>
      </c>
      <c r="J5319" s="59">
        <v>45217</v>
      </c>
      <c r="L5319" s="58" t="s">
        <v>627</v>
      </c>
    </row>
    <row r="5320" spans="1:12" s="58" customFormat="1" x14ac:dyDescent="0.75">
      <c r="A5320" s="58" t="s">
        <v>116</v>
      </c>
      <c r="B5320" s="59">
        <v>45174</v>
      </c>
      <c r="C5320" s="58">
        <v>1</v>
      </c>
      <c r="D5320" s="58" t="s">
        <v>197</v>
      </c>
      <c r="E5320" s="60">
        <f>50-32</f>
        <v>18</v>
      </c>
      <c r="F5320" s="58" t="s">
        <v>363</v>
      </c>
      <c r="G5320" s="58" t="s">
        <v>361</v>
      </c>
      <c r="H5320" s="58" t="s">
        <v>928</v>
      </c>
      <c r="I5320" s="58" t="s">
        <v>628</v>
      </c>
      <c r="J5320" s="59">
        <v>45217</v>
      </c>
      <c r="L5320" s="58" t="s">
        <v>627</v>
      </c>
    </row>
    <row r="5321" spans="1:12" s="58" customFormat="1" x14ac:dyDescent="0.75">
      <c r="A5321" s="58" t="s">
        <v>116</v>
      </c>
      <c r="B5321" s="59">
        <v>45174</v>
      </c>
      <c r="C5321" s="58">
        <v>1</v>
      </c>
      <c r="D5321" s="58" t="s">
        <v>197</v>
      </c>
      <c r="E5321" s="60">
        <f>32-16</f>
        <v>16</v>
      </c>
      <c r="F5321" s="58" t="s">
        <v>363</v>
      </c>
      <c r="G5321" s="58" t="s">
        <v>361</v>
      </c>
      <c r="H5321" s="58" t="s">
        <v>928</v>
      </c>
      <c r="I5321" s="58" t="s">
        <v>628</v>
      </c>
      <c r="J5321" s="59">
        <v>45217</v>
      </c>
      <c r="L5321" s="58" t="s">
        <v>627</v>
      </c>
    </row>
    <row r="5322" spans="1:12" x14ac:dyDescent="0.75">
      <c r="A5322" s="10" t="s">
        <v>87</v>
      </c>
      <c r="B5322" s="154">
        <v>45175</v>
      </c>
      <c r="C5322" s="10">
        <v>1</v>
      </c>
      <c r="D5322" s="10" t="s">
        <v>164</v>
      </c>
      <c r="E5322" s="57">
        <f>35-28</f>
        <v>7</v>
      </c>
      <c r="F5322" s="10"/>
      <c r="G5322" s="10" t="s">
        <v>361</v>
      </c>
      <c r="H5322" s="10" t="s">
        <v>928</v>
      </c>
      <c r="I5322" s="10" t="s">
        <v>628</v>
      </c>
      <c r="J5322" s="154">
        <v>45217</v>
      </c>
      <c r="K5322" s="10"/>
      <c r="L5322" s="10" t="s">
        <v>628</v>
      </c>
    </row>
    <row r="5323" spans="1:12" x14ac:dyDescent="0.75">
      <c r="A5323" s="10" t="s">
        <v>87</v>
      </c>
      <c r="B5323" s="154">
        <v>45175</v>
      </c>
      <c r="C5323" s="10">
        <v>1</v>
      </c>
      <c r="D5323" s="10" t="s">
        <v>197</v>
      </c>
      <c r="E5323" s="57">
        <f>17-7</f>
        <v>10</v>
      </c>
      <c r="F5323" s="10"/>
      <c r="G5323" s="10" t="s">
        <v>361</v>
      </c>
      <c r="H5323" s="10" t="s">
        <v>928</v>
      </c>
      <c r="I5323" s="10" t="s">
        <v>628</v>
      </c>
      <c r="J5323" s="154">
        <v>45217</v>
      </c>
      <c r="K5323" s="10"/>
      <c r="L5323" s="10" t="s">
        <v>628</v>
      </c>
    </row>
    <row r="5324" spans="1:12" x14ac:dyDescent="0.75">
      <c r="A5324" s="10" t="s">
        <v>87</v>
      </c>
      <c r="B5324" s="154">
        <v>45175</v>
      </c>
      <c r="C5324" s="10">
        <v>1</v>
      </c>
      <c r="D5324" s="10" t="s">
        <v>194</v>
      </c>
      <c r="E5324" s="57">
        <f>7+50-1-38</f>
        <v>18</v>
      </c>
      <c r="F5324" s="10"/>
      <c r="G5324" s="10" t="s">
        <v>361</v>
      </c>
      <c r="H5324" s="10" t="s">
        <v>928</v>
      </c>
      <c r="I5324" s="10" t="s">
        <v>628</v>
      </c>
      <c r="J5324" s="154">
        <v>45217</v>
      </c>
      <c r="K5324" s="10"/>
      <c r="L5324" s="10" t="s">
        <v>628</v>
      </c>
    </row>
    <row r="5325" spans="1:12" x14ac:dyDescent="0.75">
      <c r="A5325" s="10" t="s">
        <v>87</v>
      </c>
      <c r="B5325" s="154">
        <v>45175</v>
      </c>
      <c r="C5325" s="10">
        <v>1</v>
      </c>
      <c r="D5325" s="10" t="s">
        <v>197</v>
      </c>
      <c r="E5325" s="57">
        <f>38-33</f>
        <v>5</v>
      </c>
      <c r="F5325" s="10"/>
      <c r="G5325" s="10" t="s">
        <v>361</v>
      </c>
      <c r="H5325" s="10" t="s">
        <v>928</v>
      </c>
      <c r="I5325" s="10" t="s">
        <v>628</v>
      </c>
      <c r="J5325" s="154">
        <v>45217</v>
      </c>
      <c r="K5325" s="10"/>
      <c r="L5325" s="10" t="s">
        <v>628</v>
      </c>
    </row>
    <row r="5326" spans="1:12" s="58" customFormat="1" x14ac:dyDescent="0.75">
      <c r="A5326" s="58" t="s">
        <v>116</v>
      </c>
      <c r="B5326" s="59">
        <v>45175</v>
      </c>
      <c r="C5326" s="58">
        <v>1</v>
      </c>
      <c r="D5326" s="58" t="s">
        <v>191</v>
      </c>
      <c r="E5326" s="60">
        <f>18-0+40-16</f>
        <v>42</v>
      </c>
      <c r="F5326" s="58" t="s">
        <v>363</v>
      </c>
      <c r="G5326" s="58" t="s">
        <v>627</v>
      </c>
      <c r="H5326" s="58" t="s">
        <v>928</v>
      </c>
      <c r="I5326" s="58" t="s">
        <v>628</v>
      </c>
      <c r="J5326" s="59">
        <v>45217</v>
      </c>
      <c r="K5326" s="58" t="s">
        <v>999</v>
      </c>
      <c r="L5326" s="58" t="s">
        <v>627</v>
      </c>
    </row>
    <row r="5327" spans="1:12" s="58" customFormat="1" x14ac:dyDescent="0.75">
      <c r="A5327" s="58" t="s">
        <v>116</v>
      </c>
      <c r="B5327" s="59">
        <v>45175</v>
      </c>
      <c r="C5327" s="58">
        <v>1</v>
      </c>
      <c r="D5327" s="58" t="s">
        <v>197</v>
      </c>
      <c r="E5327" s="60">
        <f>37-34</f>
        <v>3</v>
      </c>
      <c r="F5327" s="58" t="s">
        <v>363</v>
      </c>
      <c r="G5327" s="58" t="s">
        <v>628</v>
      </c>
      <c r="H5327" s="58" t="s">
        <v>928</v>
      </c>
      <c r="I5327" s="58" t="s">
        <v>628</v>
      </c>
      <c r="J5327" s="59">
        <v>45217</v>
      </c>
      <c r="L5327" s="58" t="s">
        <v>627</v>
      </c>
    </row>
    <row r="5328" spans="1:12" x14ac:dyDescent="0.75">
      <c r="A5328" s="10" t="s">
        <v>87</v>
      </c>
      <c r="B5328" s="154">
        <v>45175</v>
      </c>
      <c r="C5328" s="10">
        <v>2</v>
      </c>
      <c r="D5328" s="10" t="s">
        <v>194</v>
      </c>
      <c r="E5328" s="57">
        <f>29-15</f>
        <v>14</v>
      </c>
      <c r="F5328" s="10"/>
      <c r="G5328" s="10" t="s">
        <v>361</v>
      </c>
      <c r="H5328" s="10" t="s">
        <v>928</v>
      </c>
      <c r="I5328" s="10" t="s">
        <v>628</v>
      </c>
      <c r="J5328" s="154">
        <v>45217</v>
      </c>
      <c r="K5328" s="10"/>
      <c r="L5328" s="10" t="s">
        <v>628</v>
      </c>
    </row>
    <row r="5329" spans="1:12" x14ac:dyDescent="0.75">
      <c r="A5329" s="10" t="s">
        <v>87</v>
      </c>
      <c r="B5329" s="154">
        <v>45175</v>
      </c>
      <c r="C5329" s="10">
        <v>2</v>
      </c>
      <c r="D5329" s="10" t="s">
        <v>197</v>
      </c>
      <c r="E5329" s="57">
        <f>15-5</f>
        <v>10</v>
      </c>
      <c r="F5329" s="10"/>
      <c r="G5329" s="10" t="s">
        <v>361</v>
      </c>
      <c r="H5329" s="10" t="s">
        <v>928</v>
      </c>
      <c r="I5329" s="10" t="s">
        <v>628</v>
      </c>
      <c r="J5329" s="154">
        <v>45217</v>
      </c>
      <c r="K5329" s="10"/>
      <c r="L5329" s="10" t="s">
        <v>628</v>
      </c>
    </row>
    <row r="5330" spans="1:12" x14ac:dyDescent="0.75">
      <c r="A5330" s="10" t="s">
        <v>87</v>
      </c>
      <c r="B5330" s="154">
        <v>45175</v>
      </c>
      <c r="C5330" s="10">
        <v>2</v>
      </c>
      <c r="D5330" s="10" t="s">
        <v>197</v>
      </c>
      <c r="E5330" s="57">
        <f>5-2</f>
        <v>3</v>
      </c>
      <c r="F5330" s="10"/>
      <c r="G5330" s="10" t="s">
        <v>361</v>
      </c>
      <c r="H5330" s="10" t="s">
        <v>928</v>
      </c>
      <c r="I5330" s="10" t="s">
        <v>628</v>
      </c>
      <c r="J5330" s="154">
        <v>45217</v>
      </c>
      <c r="K5330" s="10"/>
      <c r="L5330" s="10" t="s">
        <v>628</v>
      </c>
    </row>
    <row r="5331" spans="1:12" x14ac:dyDescent="0.75">
      <c r="A5331" s="10" t="s">
        <v>87</v>
      </c>
      <c r="B5331" s="154">
        <v>45175</v>
      </c>
      <c r="C5331" s="10">
        <v>2</v>
      </c>
      <c r="D5331" s="10" t="s">
        <v>197</v>
      </c>
      <c r="E5331" s="57">
        <f>2+52-46</f>
        <v>8</v>
      </c>
      <c r="F5331" s="10"/>
      <c r="G5331" s="10" t="s">
        <v>361</v>
      </c>
      <c r="H5331" s="10" t="s">
        <v>928</v>
      </c>
      <c r="I5331" s="10" t="s">
        <v>628</v>
      </c>
      <c r="J5331" s="154">
        <v>45217</v>
      </c>
      <c r="K5331" s="10"/>
      <c r="L5331" s="10" t="s">
        <v>628</v>
      </c>
    </row>
    <row r="5332" spans="1:12" x14ac:dyDescent="0.75">
      <c r="A5332" s="10" t="s">
        <v>87</v>
      </c>
      <c r="B5332" s="154">
        <v>45175</v>
      </c>
      <c r="C5332" s="10">
        <v>2</v>
      </c>
      <c r="D5332" s="10" t="s">
        <v>194</v>
      </c>
      <c r="E5332" s="57">
        <f>46-8</f>
        <v>38</v>
      </c>
      <c r="F5332" s="10"/>
      <c r="G5332" s="10" t="s">
        <v>361</v>
      </c>
      <c r="H5332" s="10" t="s">
        <v>928</v>
      </c>
      <c r="I5332" s="10" t="s">
        <v>628</v>
      </c>
      <c r="J5332" s="154">
        <v>45217</v>
      </c>
      <c r="K5332" s="10"/>
      <c r="L5332" s="10" t="s">
        <v>628</v>
      </c>
    </row>
    <row r="5333" spans="1:12" x14ac:dyDescent="0.75">
      <c r="A5333" s="10" t="s">
        <v>87</v>
      </c>
      <c r="B5333" s="154">
        <v>45175</v>
      </c>
      <c r="C5333" s="10">
        <v>2</v>
      </c>
      <c r="D5333" s="10" t="s">
        <v>197</v>
      </c>
      <c r="E5333" s="57">
        <f>8+48-37</f>
        <v>19</v>
      </c>
      <c r="F5333" s="10"/>
      <c r="G5333" s="10" t="s">
        <v>361</v>
      </c>
      <c r="H5333" s="10" t="s">
        <v>928</v>
      </c>
      <c r="I5333" s="10" t="s">
        <v>628</v>
      </c>
      <c r="J5333" s="154">
        <v>45217</v>
      </c>
      <c r="K5333" s="10"/>
      <c r="L5333" s="10" t="s">
        <v>628</v>
      </c>
    </row>
    <row r="5334" spans="1:12" x14ac:dyDescent="0.75">
      <c r="A5334" s="10" t="s">
        <v>87</v>
      </c>
      <c r="B5334" s="154">
        <v>45175</v>
      </c>
      <c r="C5334" s="10">
        <v>2</v>
      </c>
      <c r="D5334" s="10" t="s">
        <v>197</v>
      </c>
      <c r="E5334" s="57">
        <f>37-21</f>
        <v>16</v>
      </c>
      <c r="F5334" s="10"/>
      <c r="G5334" s="10" t="s">
        <v>361</v>
      </c>
      <c r="H5334" s="10" t="s">
        <v>928</v>
      </c>
      <c r="I5334" s="10" t="s">
        <v>628</v>
      </c>
      <c r="J5334" s="154">
        <v>45217</v>
      </c>
      <c r="K5334" s="10"/>
      <c r="L5334" s="10" t="s">
        <v>628</v>
      </c>
    </row>
    <row r="5335" spans="1:12" s="58" customFormat="1" x14ac:dyDescent="0.75">
      <c r="A5335" s="58" t="s">
        <v>127</v>
      </c>
      <c r="B5335" s="59">
        <v>45181</v>
      </c>
      <c r="C5335" s="58">
        <v>1</v>
      </c>
      <c r="D5335" s="58" t="s">
        <v>191</v>
      </c>
      <c r="E5335" s="60">
        <f>49-37</f>
        <v>12</v>
      </c>
      <c r="F5335" s="58" t="s">
        <v>363</v>
      </c>
      <c r="G5335" s="58" t="s">
        <v>361</v>
      </c>
      <c r="H5335" s="58" t="s">
        <v>928</v>
      </c>
      <c r="I5335" s="58" t="s">
        <v>869</v>
      </c>
      <c r="J5335" s="59">
        <v>45212</v>
      </c>
      <c r="L5335" s="58" t="s">
        <v>628</v>
      </c>
    </row>
    <row r="5336" spans="1:12" s="58" customFormat="1" x14ac:dyDescent="0.75">
      <c r="A5336" s="58" t="s">
        <v>127</v>
      </c>
      <c r="B5336" s="59">
        <v>45181</v>
      </c>
      <c r="C5336" s="58">
        <v>1</v>
      </c>
      <c r="D5336" s="58" t="s">
        <v>197</v>
      </c>
      <c r="E5336" s="60">
        <f>38-16</f>
        <v>22</v>
      </c>
      <c r="F5336" s="58" t="s">
        <v>363</v>
      </c>
      <c r="G5336" s="58" t="s">
        <v>361</v>
      </c>
      <c r="H5336" s="58" t="s">
        <v>928</v>
      </c>
      <c r="I5336" s="58" t="s">
        <v>869</v>
      </c>
      <c r="J5336" s="59">
        <v>45212</v>
      </c>
      <c r="L5336" s="58" t="s">
        <v>628</v>
      </c>
    </row>
    <row r="5337" spans="1:12" s="58" customFormat="1" x14ac:dyDescent="0.75">
      <c r="A5337" s="58" t="s">
        <v>127</v>
      </c>
      <c r="B5337" s="59">
        <v>45181</v>
      </c>
      <c r="C5337" s="58">
        <v>1</v>
      </c>
      <c r="D5337" s="58" t="s">
        <v>197</v>
      </c>
      <c r="E5337" s="60">
        <f>16-3</f>
        <v>13</v>
      </c>
      <c r="F5337" s="58" t="s">
        <v>363</v>
      </c>
      <c r="G5337" s="58" t="s">
        <v>361</v>
      </c>
      <c r="H5337" s="58" t="s">
        <v>928</v>
      </c>
      <c r="I5337" s="58" t="s">
        <v>869</v>
      </c>
      <c r="J5337" s="59">
        <v>45212</v>
      </c>
      <c r="L5337" s="58" t="s">
        <v>628</v>
      </c>
    </row>
    <row r="5338" spans="1:12" s="58" customFormat="1" x14ac:dyDescent="0.75">
      <c r="A5338" s="58" t="s">
        <v>127</v>
      </c>
      <c r="B5338" s="59">
        <v>45181</v>
      </c>
      <c r="C5338" s="58">
        <v>1</v>
      </c>
      <c r="D5338" s="58" t="s">
        <v>191</v>
      </c>
      <c r="E5338" s="60">
        <f>3+53-45</f>
        <v>11</v>
      </c>
      <c r="F5338" s="58" t="s">
        <v>363</v>
      </c>
      <c r="G5338" s="58" t="s">
        <v>361</v>
      </c>
      <c r="H5338" s="58" t="s">
        <v>928</v>
      </c>
      <c r="I5338" s="58" t="s">
        <v>869</v>
      </c>
      <c r="J5338" s="59">
        <v>45212</v>
      </c>
      <c r="L5338" s="58" t="s">
        <v>628</v>
      </c>
    </row>
    <row r="5339" spans="1:12" s="58" customFormat="1" x14ac:dyDescent="0.75">
      <c r="A5339" s="58" t="s">
        <v>127</v>
      </c>
      <c r="B5339" s="59">
        <v>45181</v>
      </c>
      <c r="C5339" s="58">
        <v>1</v>
      </c>
      <c r="D5339" s="58" t="s">
        <v>194</v>
      </c>
      <c r="E5339" s="60">
        <f>45-36</f>
        <v>9</v>
      </c>
      <c r="F5339" s="58" t="s">
        <v>363</v>
      </c>
      <c r="G5339" s="58" t="s">
        <v>361</v>
      </c>
      <c r="H5339" s="58" t="s">
        <v>928</v>
      </c>
      <c r="I5339" s="58" t="s">
        <v>869</v>
      </c>
      <c r="J5339" s="59">
        <v>45212</v>
      </c>
      <c r="L5339" s="58" t="s">
        <v>628</v>
      </c>
    </row>
    <row r="5340" spans="1:12" s="58" customFormat="1" x14ac:dyDescent="0.75">
      <c r="A5340" s="58" t="s">
        <v>127</v>
      </c>
      <c r="B5340" s="59">
        <v>45181</v>
      </c>
      <c r="C5340" s="58">
        <v>1</v>
      </c>
      <c r="D5340" s="58" t="s">
        <v>194</v>
      </c>
      <c r="E5340" s="60">
        <f>36-30</f>
        <v>6</v>
      </c>
      <c r="F5340" s="58" t="s">
        <v>363</v>
      </c>
      <c r="G5340" s="58" t="s">
        <v>361</v>
      </c>
      <c r="H5340" s="58" t="s">
        <v>928</v>
      </c>
      <c r="I5340" s="58" t="s">
        <v>869</v>
      </c>
      <c r="J5340" s="59">
        <v>45212</v>
      </c>
      <c r="L5340" s="58" t="s">
        <v>628</v>
      </c>
    </row>
    <row r="5341" spans="1:12" s="58" customFormat="1" x14ac:dyDescent="0.75">
      <c r="A5341" s="58" t="s">
        <v>127</v>
      </c>
      <c r="B5341" s="59">
        <v>45181</v>
      </c>
      <c r="C5341" s="58">
        <v>1</v>
      </c>
      <c r="D5341" s="58" t="s">
        <v>194</v>
      </c>
      <c r="E5341" s="60">
        <f>30-20</f>
        <v>10</v>
      </c>
      <c r="F5341" s="58" t="s">
        <v>363</v>
      </c>
      <c r="G5341" s="58" t="s">
        <v>361</v>
      </c>
      <c r="H5341" s="58" t="s">
        <v>928</v>
      </c>
      <c r="I5341" s="58" t="s">
        <v>869</v>
      </c>
      <c r="J5341" s="59">
        <v>45212</v>
      </c>
      <c r="L5341" s="58" t="s">
        <v>628</v>
      </c>
    </row>
    <row r="5342" spans="1:12" s="58" customFormat="1" x14ac:dyDescent="0.75">
      <c r="A5342" s="58" t="s">
        <v>127</v>
      </c>
      <c r="B5342" s="59">
        <v>45181</v>
      </c>
      <c r="C5342" s="58">
        <v>1</v>
      </c>
      <c r="D5342" s="58" t="s">
        <v>191</v>
      </c>
      <c r="E5342" s="60">
        <f>20-12</f>
        <v>8</v>
      </c>
      <c r="F5342" s="58" t="s">
        <v>363</v>
      </c>
      <c r="G5342" s="58" t="s">
        <v>361</v>
      </c>
      <c r="H5342" s="58" t="s">
        <v>928</v>
      </c>
      <c r="I5342" s="58" t="s">
        <v>869</v>
      </c>
      <c r="J5342" s="59">
        <v>45212</v>
      </c>
      <c r="L5342" s="58" t="s">
        <v>628</v>
      </c>
    </row>
    <row r="5343" spans="1:12" s="58" customFormat="1" x14ac:dyDescent="0.75">
      <c r="A5343" s="58" t="s">
        <v>127</v>
      </c>
      <c r="B5343" s="59">
        <v>45181</v>
      </c>
      <c r="C5343" s="58">
        <v>1</v>
      </c>
      <c r="D5343" s="58" t="s">
        <v>194</v>
      </c>
      <c r="E5343" s="60">
        <f>12-2</f>
        <v>10</v>
      </c>
      <c r="F5343" s="58" t="s">
        <v>363</v>
      </c>
      <c r="G5343" s="58" t="s">
        <v>361</v>
      </c>
      <c r="H5343" s="58" t="s">
        <v>928</v>
      </c>
      <c r="I5343" s="58" t="s">
        <v>869</v>
      </c>
      <c r="J5343" s="59">
        <v>45212</v>
      </c>
      <c r="L5343" s="58" t="s">
        <v>628</v>
      </c>
    </row>
    <row r="5344" spans="1:12" s="58" customFormat="1" x14ac:dyDescent="0.75">
      <c r="A5344" s="58" t="s">
        <v>127</v>
      </c>
      <c r="B5344" s="59">
        <v>45181</v>
      </c>
      <c r="C5344" s="58">
        <v>1</v>
      </c>
      <c r="D5344" s="58" t="s">
        <v>207</v>
      </c>
      <c r="E5344" s="60">
        <f>52-44</f>
        <v>8</v>
      </c>
      <c r="F5344" s="58" t="s">
        <v>363</v>
      </c>
      <c r="G5344" s="58" t="s">
        <v>869</v>
      </c>
      <c r="H5344" s="58" t="s">
        <v>928</v>
      </c>
      <c r="I5344" s="58" t="s">
        <v>869</v>
      </c>
      <c r="J5344" s="59">
        <v>45212</v>
      </c>
      <c r="L5344" s="58" t="s">
        <v>628</v>
      </c>
    </row>
    <row r="5345" spans="1:12" s="58" customFormat="1" x14ac:dyDescent="0.75">
      <c r="A5345" s="58" t="s">
        <v>127</v>
      </c>
      <c r="B5345" s="59">
        <v>45181</v>
      </c>
      <c r="C5345" s="58">
        <v>1</v>
      </c>
      <c r="D5345" s="58" t="s">
        <v>207</v>
      </c>
      <c r="E5345" s="60">
        <f>44-33</f>
        <v>11</v>
      </c>
      <c r="F5345" s="58" t="s">
        <v>363</v>
      </c>
      <c r="G5345" s="58" t="s">
        <v>869</v>
      </c>
      <c r="H5345" s="58" t="s">
        <v>928</v>
      </c>
      <c r="I5345" s="58" t="s">
        <v>869</v>
      </c>
      <c r="J5345" s="59">
        <v>45212</v>
      </c>
      <c r="L5345" s="58" t="s">
        <v>628</v>
      </c>
    </row>
    <row r="5346" spans="1:12" s="58" customFormat="1" x14ac:dyDescent="0.75">
      <c r="A5346" s="58" t="s">
        <v>127</v>
      </c>
      <c r="B5346" s="59">
        <v>45181</v>
      </c>
      <c r="C5346" s="58">
        <v>1</v>
      </c>
      <c r="D5346" s="58" t="s">
        <v>197</v>
      </c>
      <c r="E5346" s="60">
        <f>33+56-10</f>
        <v>79</v>
      </c>
      <c r="F5346" s="58" t="s">
        <v>363</v>
      </c>
      <c r="G5346" s="58" t="s">
        <v>869</v>
      </c>
      <c r="H5346" s="58" t="s">
        <v>928</v>
      </c>
      <c r="I5346" s="58" t="s">
        <v>869</v>
      </c>
      <c r="J5346" s="59">
        <v>45212</v>
      </c>
      <c r="L5346" s="58" t="s">
        <v>628</v>
      </c>
    </row>
    <row r="5347" spans="1:12" s="58" customFormat="1" x14ac:dyDescent="0.75">
      <c r="A5347" s="58" t="s">
        <v>127</v>
      </c>
      <c r="B5347" s="59">
        <v>45181</v>
      </c>
      <c r="C5347" s="58">
        <v>1</v>
      </c>
      <c r="D5347" s="58" t="s">
        <v>191</v>
      </c>
      <c r="E5347" s="60">
        <f>10-0</f>
        <v>10</v>
      </c>
      <c r="F5347" s="58" t="s">
        <v>363</v>
      </c>
      <c r="G5347" s="58" t="s">
        <v>869</v>
      </c>
      <c r="H5347" s="58" t="s">
        <v>928</v>
      </c>
      <c r="I5347" s="58" t="s">
        <v>869</v>
      </c>
      <c r="J5347" s="59">
        <v>45212</v>
      </c>
      <c r="L5347" s="58" t="s">
        <v>628</v>
      </c>
    </row>
    <row r="5348" spans="1:12" s="58" customFormat="1" x14ac:dyDescent="0.75">
      <c r="A5348" s="58" t="s">
        <v>127</v>
      </c>
      <c r="B5348" s="59">
        <v>45181</v>
      </c>
      <c r="C5348" s="58">
        <v>1</v>
      </c>
      <c r="D5348" s="58" t="s">
        <v>197</v>
      </c>
      <c r="E5348" s="60">
        <f>55-50</f>
        <v>5</v>
      </c>
      <c r="F5348" s="58" t="s">
        <v>363</v>
      </c>
      <c r="G5348" s="58" t="s">
        <v>869</v>
      </c>
      <c r="H5348" s="58" t="s">
        <v>928</v>
      </c>
      <c r="I5348" s="58" t="s">
        <v>869</v>
      </c>
      <c r="J5348" s="59">
        <v>45212</v>
      </c>
      <c r="L5348" s="58" t="s">
        <v>628</v>
      </c>
    </row>
    <row r="5349" spans="1:12" s="58" customFormat="1" x14ac:dyDescent="0.75">
      <c r="A5349" s="58" t="s">
        <v>127</v>
      </c>
      <c r="B5349" s="59">
        <v>45181</v>
      </c>
      <c r="C5349" s="58">
        <v>1</v>
      </c>
      <c r="D5349" s="58" t="s">
        <v>191</v>
      </c>
      <c r="E5349" s="60">
        <f>50-44</f>
        <v>6</v>
      </c>
      <c r="F5349" s="58" t="s">
        <v>363</v>
      </c>
      <c r="G5349" s="58" t="s">
        <v>869</v>
      </c>
      <c r="H5349" s="58" t="s">
        <v>928</v>
      </c>
      <c r="I5349" s="58" t="s">
        <v>869</v>
      </c>
      <c r="J5349" s="59">
        <v>45212</v>
      </c>
      <c r="L5349" s="58" t="s">
        <v>628</v>
      </c>
    </row>
    <row r="5350" spans="1:12" s="58" customFormat="1" x14ac:dyDescent="0.75">
      <c r="A5350" s="58" t="s">
        <v>127</v>
      </c>
      <c r="B5350" s="59">
        <v>45181</v>
      </c>
      <c r="C5350" s="58">
        <v>1</v>
      </c>
      <c r="D5350" s="58" t="s">
        <v>191</v>
      </c>
      <c r="E5350" s="60">
        <f>44-36</f>
        <v>8</v>
      </c>
      <c r="F5350" s="58" t="s">
        <v>363</v>
      </c>
      <c r="G5350" s="58" t="s">
        <v>869</v>
      </c>
      <c r="H5350" s="58" t="s">
        <v>928</v>
      </c>
      <c r="I5350" s="58" t="s">
        <v>869</v>
      </c>
      <c r="J5350" s="59">
        <v>45212</v>
      </c>
      <c r="L5350" s="58" t="s">
        <v>628</v>
      </c>
    </row>
    <row r="5351" spans="1:12" s="58" customFormat="1" x14ac:dyDescent="0.75">
      <c r="A5351" s="58" t="s">
        <v>127</v>
      </c>
      <c r="B5351" s="59">
        <v>45181</v>
      </c>
      <c r="C5351" s="58">
        <v>1</v>
      </c>
      <c r="D5351" s="58" t="s">
        <v>191</v>
      </c>
      <c r="E5351" s="60">
        <f>36-32</f>
        <v>4</v>
      </c>
      <c r="F5351" s="58" t="s">
        <v>363</v>
      </c>
      <c r="G5351" s="58" t="s">
        <v>869</v>
      </c>
      <c r="H5351" s="58" t="s">
        <v>928</v>
      </c>
      <c r="I5351" s="58" t="s">
        <v>869</v>
      </c>
      <c r="J5351" s="59">
        <v>45212</v>
      </c>
      <c r="L5351" s="58" t="s">
        <v>628</v>
      </c>
    </row>
    <row r="5352" spans="1:12" s="58" customFormat="1" x14ac:dyDescent="0.75">
      <c r="A5352" s="58" t="s">
        <v>127</v>
      </c>
      <c r="B5352" s="59">
        <v>45181</v>
      </c>
      <c r="C5352" s="58">
        <v>1</v>
      </c>
      <c r="D5352" s="58" t="s">
        <v>197</v>
      </c>
      <c r="E5352" s="60">
        <f>32-20</f>
        <v>12</v>
      </c>
      <c r="F5352" s="58" t="s">
        <v>363</v>
      </c>
      <c r="G5352" s="58" t="s">
        <v>869</v>
      </c>
      <c r="H5352" s="58" t="s">
        <v>928</v>
      </c>
      <c r="I5352" s="58" t="s">
        <v>869</v>
      </c>
      <c r="J5352" s="59">
        <v>45212</v>
      </c>
      <c r="L5352" s="58" t="s">
        <v>628</v>
      </c>
    </row>
    <row r="5353" spans="1:12" s="58" customFormat="1" x14ac:dyDescent="0.75">
      <c r="A5353" s="58" t="s">
        <v>127</v>
      </c>
      <c r="B5353" s="59">
        <v>45181</v>
      </c>
      <c r="C5353" s="58">
        <v>1</v>
      </c>
      <c r="D5353" s="58" t="s">
        <v>194</v>
      </c>
      <c r="E5353" s="60">
        <f>20-14</f>
        <v>6</v>
      </c>
      <c r="F5353" s="58" t="s">
        <v>363</v>
      </c>
      <c r="G5353" s="58" t="s">
        <v>869</v>
      </c>
      <c r="H5353" s="58" t="s">
        <v>928</v>
      </c>
      <c r="I5353" s="58" t="s">
        <v>869</v>
      </c>
      <c r="J5353" s="59">
        <v>45212</v>
      </c>
      <c r="L5353" s="58" t="s">
        <v>628</v>
      </c>
    </row>
    <row r="5354" spans="1:12" s="58" customFormat="1" x14ac:dyDescent="0.75">
      <c r="A5354" s="58" t="s">
        <v>127</v>
      </c>
      <c r="B5354" s="59">
        <v>45181</v>
      </c>
      <c r="C5354" s="58">
        <v>1</v>
      </c>
      <c r="D5354" s="58" t="s">
        <v>194</v>
      </c>
      <c r="E5354" s="60">
        <f>14+52-48</f>
        <v>18</v>
      </c>
      <c r="F5354" s="58" t="s">
        <v>363</v>
      </c>
      <c r="G5354" s="58" t="s">
        <v>869</v>
      </c>
      <c r="H5354" s="58" t="s">
        <v>928</v>
      </c>
      <c r="I5354" s="58" t="s">
        <v>869</v>
      </c>
      <c r="J5354" s="59">
        <v>45212</v>
      </c>
      <c r="L5354" s="58" t="s">
        <v>628</v>
      </c>
    </row>
    <row r="5355" spans="1:12" s="58" customFormat="1" x14ac:dyDescent="0.75">
      <c r="A5355" s="58" t="s">
        <v>127</v>
      </c>
      <c r="B5355" s="59">
        <v>45181</v>
      </c>
      <c r="C5355" s="58">
        <v>1</v>
      </c>
      <c r="D5355" s="58" t="s">
        <v>201</v>
      </c>
      <c r="E5355" s="60">
        <f>48-36</f>
        <v>12</v>
      </c>
      <c r="F5355" s="58" t="s">
        <v>363</v>
      </c>
      <c r="G5355" s="58" t="s">
        <v>869</v>
      </c>
      <c r="H5355" s="58" t="s">
        <v>928</v>
      </c>
      <c r="I5355" s="58" t="s">
        <v>869</v>
      </c>
      <c r="J5355" s="59">
        <v>45212</v>
      </c>
      <c r="L5355" s="58" t="s">
        <v>628</v>
      </c>
    </row>
    <row r="5356" spans="1:12" s="58" customFormat="1" x14ac:dyDescent="0.75">
      <c r="A5356" s="58" t="s">
        <v>127</v>
      </c>
      <c r="B5356" s="59">
        <v>45181</v>
      </c>
      <c r="C5356" s="58">
        <v>1</v>
      </c>
      <c r="D5356" s="58" t="s">
        <v>194</v>
      </c>
      <c r="E5356" s="60">
        <f>36-30</f>
        <v>6</v>
      </c>
      <c r="F5356" s="58" t="s">
        <v>363</v>
      </c>
      <c r="G5356" s="58" t="s">
        <v>869</v>
      </c>
      <c r="H5356" s="58" t="s">
        <v>928</v>
      </c>
      <c r="I5356" s="58" t="s">
        <v>869</v>
      </c>
      <c r="J5356" s="59">
        <v>45212</v>
      </c>
      <c r="L5356" s="58" t="s">
        <v>628</v>
      </c>
    </row>
    <row r="5357" spans="1:12" s="58" customFormat="1" x14ac:dyDescent="0.75">
      <c r="A5357" s="58" t="s">
        <v>127</v>
      </c>
      <c r="B5357" s="59">
        <v>45181</v>
      </c>
      <c r="C5357" s="58">
        <v>1</v>
      </c>
      <c r="D5357" s="58" t="s">
        <v>164</v>
      </c>
      <c r="E5357" s="60">
        <f>30-18</f>
        <v>12</v>
      </c>
      <c r="F5357" s="58" t="s">
        <v>363</v>
      </c>
      <c r="G5357" s="58" t="s">
        <v>869</v>
      </c>
      <c r="H5357" s="58" t="s">
        <v>928</v>
      </c>
      <c r="I5357" s="58" t="s">
        <v>869</v>
      </c>
      <c r="J5357" s="59">
        <v>45212</v>
      </c>
      <c r="L5357" s="58" t="s">
        <v>628</v>
      </c>
    </row>
    <row r="5358" spans="1:12" s="58" customFormat="1" x14ac:dyDescent="0.75">
      <c r="A5358" s="58" t="s">
        <v>127</v>
      </c>
      <c r="B5358" s="59">
        <v>45181</v>
      </c>
      <c r="C5358" s="58">
        <v>1</v>
      </c>
      <c r="D5358" s="58" t="s">
        <v>191</v>
      </c>
      <c r="E5358" s="60">
        <f>46-43</f>
        <v>3</v>
      </c>
      <c r="F5358" s="58" t="s">
        <v>363</v>
      </c>
      <c r="G5358" s="58" t="s">
        <v>627</v>
      </c>
      <c r="H5358" s="58" t="s">
        <v>928</v>
      </c>
      <c r="I5358" s="58" t="s">
        <v>869</v>
      </c>
      <c r="J5358" s="59">
        <v>45212</v>
      </c>
      <c r="L5358" s="58" t="s">
        <v>628</v>
      </c>
    </row>
    <row r="5359" spans="1:12" s="58" customFormat="1" x14ac:dyDescent="0.75">
      <c r="A5359" s="58" t="s">
        <v>127</v>
      </c>
      <c r="B5359" s="59">
        <v>45181</v>
      </c>
      <c r="C5359" s="58">
        <v>1</v>
      </c>
      <c r="D5359" s="58" t="s">
        <v>197</v>
      </c>
      <c r="E5359" s="60">
        <f>43-41</f>
        <v>2</v>
      </c>
      <c r="F5359" s="58" t="s">
        <v>363</v>
      </c>
      <c r="G5359" s="58" t="s">
        <v>627</v>
      </c>
      <c r="H5359" s="58" t="s">
        <v>928</v>
      </c>
      <c r="I5359" s="58" t="s">
        <v>869</v>
      </c>
      <c r="J5359" s="59">
        <v>45212</v>
      </c>
      <c r="L5359" s="58" t="s">
        <v>628</v>
      </c>
    </row>
    <row r="5360" spans="1:12" x14ac:dyDescent="0.75">
      <c r="A5360" t="s">
        <v>124</v>
      </c>
      <c r="B5360" s="3">
        <v>45181</v>
      </c>
      <c r="C5360">
        <v>1</v>
      </c>
      <c r="D5360" t="s">
        <v>168</v>
      </c>
      <c r="E5360" s="22">
        <f>2+50-46</f>
        <v>6</v>
      </c>
      <c r="F5360" t="s">
        <v>363</v>
      </c>
      <c r="G5360" t="s">
        <v>361</v>
      </c>
      <c r="H5360" t="s">
        <v>928</v>
      </c>
      <c r="I5360" t="s">
        <v>869</v>
      </c>
      <c r="J5360" s="3">
        <v>45212</v>
      </c>
      <c r="L5360" t="s">
        <v>628</v>
      </c>
    </row>
    <row r="5361" spans="1:12" x14ac:dyDescent="0.75">
      <c r="A5361" t="s">
        <v>124</v>
      </c>
      <c r="B5361" s="3">
        <v>45181</v>
      </c>
      <c r="C5361">
        <v>1</v>
      </c>
      <c r="D5361" t="s">
        <v>194</v>
      </c>
      <c r="E5361" s="57">
        <f>46-26</f>
        <v>20</v>
      </c>
      <c r="F5361" t="s">
        <v>363</v>
      </c>
      <c r="G5361" t="s">
        <v>361</v>
      </c>
      <c r="H5361" t="s">
        <v>928</v>
      </c>
      <c r="I5361" t="s">
        <v>869</v>
      </c>
      <c r="J5361" s="3">
        <v>45212</v>
      </c>
      <c r="L5361" t="s">
        <v>628</v>
      </c>
    </row>
    <row r="5362" spans="1:12" x14ac:dyDescent="0.75">
      <c r="A5362" t="s">
        <v>124</v>
      </c>
      <c r="B5362" s="3">
        <v>45181</v>
      </c>
      <c r="C5362">
        <v>1</v>
      </c>
      <c r="D5362" t="s">
        <v>215</v>
      </c>
      <c r="E5362" s="22">
        <f>20-16</f>
        <v>4</v>
      </c>
      <c r="F5362" t="s">
        <v>363</v>
      </c>
      <c r="G5362" t="s">
        <v>869</v>
      </c>
      <c r="H5362" t="s">
        <v>928</v>
      </c>
      <c r="I5362" t="s">
        <v>869</v>
      </c>
      <c r="J5362" s="3">
        <v>45212</v>
      </c>
      <c r="L5362" t="s">
        <v>628</v>
      </c>
    </row>
    <row r="5363" spans="1:12" x14ac:dyDescent="0.75">
      <c r="A5363" t="s">
        <v>124</v>
      </c>
      <c r="B5363" s="3">
        <v>45181</v>
      </c>
      <c r="C5363">
        <v>1</v>
      </c>
      <c r="D5363" t="s">
        <v>227</v>
      </c>
      <c r="E5363" s="22">
        <f>16-15</f>
        <v>1</v>
      </c>
      <c r="F5363" t="s">
        <v>363</v>
      </c>
      <c r="G5363" t="s">
        <v>869</v>
      </c>
      <c r="H5363" t="s">
        <v>928</v>
      </c>
      <c r="I5363" t="s">
        <v>869</v>
      </c>
      <c r="J5363" s="3">
        <v>45212</v>
      </c>
      <c r="L5363" t="s">
        <v>628</v>
      </c>
    </row>
    <row r="5364" spans="1:12" x14ac:dyDescent="0.75">
      <c r="A5364" t="s">
        <v>124</v>
      </c>
      <c r="B5364" s="3">
        <v>45181</v>
      </c>
      <c r="C5364">
        <v>1</v>
      </c>
      <c r="D5364" t="s">
        <v>194</v>
      </c>
      <c r="E5364" s="22">
        <f>15+26-21</f>
        <v>20</v>
      </c>
      <c r="F5364" t="s">
        <v>363</v>
      </c>
      <c r="G5364" t="s">
        <v>869</v>
      </c>
      <c r="H5364" t="s">
        <v>928</v>
      </c>
      <c r="I5364" t="s">
        <v>869</v>
      </c>
      <c r="J5364" s="3">
        <v>45212</v>
      </c>
      <c r="L5364" t="s">
        <v>628</v>
      </c>
    </row>
    <row r="5365" spans="1:12" x14ac:dyDescent="0.75">
      <c r="A5365" t="s">
        <v>124</v>
      </c>
      <c r="B5365" s="3">
        <v>45181</v>
      </c>
      <c r="C5365">
        <v>1</v>
      </c>
      <c r="D5365" t="s">
        <v>207</v>
      </c>
      <c r="E5365" s="22">
        <f>21-5</f>
        <v>16</v>
      </c>
      <c r="F5365" t="s">
        <v>363</v>
      </c>
      <c r="G5365" t="s">
        <v>869</v>
      </c>
      <c r="H5365" t="s">
        <v>928</v>
      </c>
      <c r="I5365" t="s">
        <v>869</v>
      </c>
      <c r="J5365" s="3">
        <v>45212</v>
      </c>
      <c r="L5365" t="s">
        <v>628</v>
      </c>
    </row>
    <row r="5366" spans="1:12" x14ac:dyDescent="0.75">
      <c r="A5366" t="s">
        <v>124</v>
      </c>
      <c r="B5366" s="3">
        <v>45181</v>
      </c>
      <c r="C5366">
        <v>1</v>
      </c>
      <c r="D5366" t="s">
        <v>207</v>
      </c>
      <c r="E5366" s="22">
        <f>5-3</f>
        <v>2</v>
      </c>
      <c r="F5366" t="s">
        <v>363</v>
      </c>
      <c r="G5366" t="s">
        <v>869</v>
      </c>
      <c r="H5366" t="s">
        <v>928</v>
      </c>
      <c r="I5366" t="s">
        <v>869</v>
      </c>
      <c r="J5366" s="3">
        <v>45212</v>
      </c>
      <c r="L5366" t="s">
        <v>628</v>
      </c>
    </row>
    <row r="5367" spans="1:12" x14ac:dyDescent="0.75">
      <c r="A5367" t="s">
        <v>124</v>
      </c>
      <c r="B5367" s="3">
        <v>45181</v>
      </c>
      <c r="C5367">
        <v>1</v>
      </c>
      <c r="D5367" s="10" t="s">
        <v>191</v>
      </c>
      <c r="E5367" s="22">
        <v>3</v>
      </c>
      <c r="F5367" t="s">
        <v>363</v>
      </c>
      <c r="G5367" t="s">
        <v>869</v>
      </c>
      <c r="H5367" t="s">
        <v>928</v>
      </c>
      <c r="I5367" t="s">
        <v>869</v>
      </c>
      <c r="J5367" s="3">
        <v>45212</v>
      </c>
      <c r="L5367" t="s">
        <v>628</v>
      </c>
    </row>
    <row r="5368" spans="1:12" s="58" customFormat="1" x14ac:dyDescent="0.75">
      <c r="A5368" s="58" t="s">
        <v>127</v>
      </c>
      <c r="B5368" s="59">
        <v>45183</v>
      </c>
      <c r="C5368" s="58">
        <v>1</v>
      </c>
      <c r="D5368" s="58" t="s">
        <v>191</v>
      </c>
      <c r="E5368" s="60">
        <f>53-38</f>
        <v>15</v>
      </c>
      <c r="F5368" s="58" t="s">
        <v>363</v>
      </c>
      <c r="G5368" s="58" t="s">
        <v>361</v>
      </c>
      <c r="H5368" s="58" t="s">
        <v>928</v>
      </c>
      <c r="I5368" s="58" t="s">
        <v>869</v>
      </c>
      <c r="J5368" s="59">
        <v>45212</v>
      </c>
      <c r="L5368" s="58" t="s">
        <v>628</v>
      </c>
    </row>
    <row r="5369" spans="1:12" s="58" customFormat="1" x14ac:dyDescent="0.75">
      <c r="A5369" s="58" t="s">
        <v>127</v>
      </c>
      <c r="B5369" s="59">
        <v>45183</v>
      </c>
      <c r="C5369" s="58">
        <v>1</v>
      </c>
      <c r="D5369" s="58" t="s">
        <v>191</v>
      </c>
      <c r="E5369" s="60">
        <f>40-33</f>
        <v>7</v>
      </c>
      <c r="F5369" s="58" t="s">
        <v>363</v>
      </c>
      <c r="G5369" s="58" t="s">
        <v>361</v>
      </c>
      <c r="H5369" s="58" t="s">
        <v>928</v>
      </c>
      <c r="I5369" s="58" t="s">
        <v>869</v>
      </c>
      <c r="J5369" s="59">
        <v>45212</v>
      </c>
      <c r="L5369" s="58" t="s">
        <v>628</v>
      </c>
    </row>
    <row r="5370" spans="1:12" s="58" customFormat="1" x14ac:dyDescent="0.75">
      <c r="A5370" s="58" t="s">
        <v>127</v>
      </c>
      <c r="B5370" s="59">
        <v>45183</v>
      </c>
      <c r="C5370" s="58">
        <v>1</v>
      </c>
      <c r="D5370" s="58" t="s">
        <v>207</v>
      </c>
      <c r="E5370" s="60">
        <f>33-29</f>
        <v>4</v>
      </c>
      <c r="F5370" s="58" t="s">
        <v>363</v>
      </c>
      <c r="G5370" s="58" t="s">
        <v>361</v>
      </c>
      <c r="H5370" s="58" t="s">
        <v>928</v>
      </c>
      <c r="I5370" s="58" t="s">
        <v>869</v>
      </c>
      <c r="J5370" s="59">
        <v>45212</v>
      </c>
      <c r="L5370" s="58" t="s">
        <v>628</v>
      </c>
    </row>
    <row r="5371" spans="1:12" s="58" customFormat="1" x14ac:dyDescent="0.75">
      <c r="A5371" s="58" t="s">
        <v>127</v>
      </c>
      <c r="B5371" s="59">
        <v>45183</v>
      </c>
      <c r="C5371" s="58">
        <v>1</v>
      </c>
      <c r="D5371" s="58" t="s">
        <v>176</v>
      </c>
      <c r="E5371" s="60">
        <f>29-23</f>
        <v>6</v>
      </c>
      <c r="F5371" s="58" t="s">
        <v>363</v>
      </c>
      <c r="G5371" s="58" t="s">
        <v>361</v>
      </c>
      <c r="H5371" s="58" t="s">
        <v>928</v>
      </c>
      <c r="I5371" s="58" t="s">
        <v>869</v>
      </c>
      <c r="J5371" s="59">
        <v>45212</v>
      </c>
      <c r="L5371" s="58" t="s">
        <v>628</v>
      </c>
    </row>
    <row r="5372" spans="1:12" s="58" customFormat="1" x14ac:dyDescent="0.75">
      <c r="A5372" s="58" t="s">
        <v>127</v>
      </c>
      <c r="B5372" s="59">
        <v>45183</v>
      </c>
      <c r="C5372" s="58">
        <v>1</v>
      </c>
      <c r="D5372" s="58" t="s">
        <v>176</v>
      </c>
      <c r="E5372" s="60">
        <f>23-14</f>
        <v>9</v>
      </c>
      <c r="F5372" s="58" t="s">
        <v>363</v>
      </c>
      <c r="G5372" s="58" t="s">
        <v>361</v>
      </c>
      <c r="H5372" s="58" t="s">
        <v>928</v>
      </c>
      <c r="I5372" s="58" t="s">
        <v>869</v>
      </c>
      <c r="J5372" s="59">
        <v>45212</v>
      </c>
      <c r="L5372" s="58" t="s">
        <v>628</v>
      </c>
    </row>
    <row r="5373" spans="1:12" s="58" customFormat="1" x14ac:dyDescent="0.75">
      <c r="A5373" s="58" t="s">
        <v>127</v>
      </c>
      <c r="B5373" s="59">
        <v>45183</v>
      </c>
      <c r="C5373" s="58">
        <v>1</v>
      </c>
      <c r="D5373" s="58" t="s">
        <v>191</v>
      </c>
      <c r="E5373" s="60">
        <f>50-47</f>
        <v>3</v>
      </c>
      <c r="F5373" s="58" t="s">
        <v>363</v>
      </c>
      <c r="G5373" s="58" t="s">
        <v>869</v>
      </c>
      <c r="H5373" s="58" t="s">
        <v>928</v>
      </c>
      <c r="I5373" s="58" t="s">
        <v>869</v>
      </c>
      <c r="J5373" s="59">
        <v>45212</v>
      </c>
      <c r="L5373" s="58" t="s">
        <v>628</v>
      </c>
    </row>
    <row r="5374" spans="1:12" s="58" customFormat="1" x14ac:dyDescent="0.75">
      <c r="A5374" s="58" t="s">
        <v>127</v>
      </c>
      <c r="B5374" s="59">
        <v>45183</v>
      </c>
      <c r="C5374" s="58">
        <v>1</v>
      </c>
      <c r="D5374" s="58" t="s">
        <v>191</v>
      </c>
      <c r="E5374" s="60">
        <f>47+50-32</f>
        <v>65</v>
      </c>
      <c r="F5374" s="58" t="s">
        <v>363</v>
      </c>
      <c r="G5374" s="58" t="s">
        <v>869</v>
      </c>
      <c r="H5374" s="58" t="s">
        <v>928</v>
      </c>
      <c r="I5374" s="58" t="s">
        <v>869</v>
      </c>
      <c r="J5374" s="59">
        <v>45212</v>
      </c>
      <c r="L5374" s="58" t="s">
        <v>628</v>
      </c>
    </row>
    <row r="5375" spans="1:12" s="58" customFormat="1" x14ac:dyDescent="0.75">
      <c r="A5375" s="58" t="s">
        <v>127</v>
      </c>
      <c r="B5375" s="59">
        <v>45183</v>
      </c>
      <c r="C5375" s="58">
        <v>1</v>
      </c>
      <c r="D5375" s="58" t="s">
        <v>191</v>
      </c>
      <c r="E5375" s="60">
        <f>32-17</f>
        <v>15</v>
      </c>
      <c r="F5375" s="58" t="s">
        <v>363</v>
      </c>
      <c r="G5375" s="58" t="s">
        <v>869</v>
      </c>
      <c r="H5375" s="58" t="s">
        <v>928</v>
      </c>
      <c r="I5375" s="58" t="s">
        <v>869</v>
      </c>
      <c r="J5375" s="59">
        <v>45212</v>
      </c>
      <c r="L5375" s="58" t="s">
        <v>628</v>
      </c>
    </row>
    <row r="5376" spans="1:12" s="58" customFormat="1" x14ac:dyDescent="0.75">
      <c r="A5376" s="58" t="s">
        <v>127</v>
      </c>
      <c r="B5376" s="59">
        <v>45183</v>
      </c>
      <c r="C5376" s="58">
        <v>1</v>
      </c>
      <c r="D5376" s="58" t="s">
        <v>191</v>
      </c>
      <c r="E5376" s="60">
        <f>17+51-42</f>
        <v>26</v>
      </c>
      <c r="F5376" s="58" t="s">
        <v>363</v>
      </c>
      <c r="G5376" s="58" t="s">
        <v>869</v>
      </c>
      <c r="H5376" s="58" t="s">
        <v>928</v>
      </c>
      <c r="I5376" s="58" t="s">
        <v>869</v>
      </c>
      <c r="J5376" s="59">
        <v>45212</v>
      </c>
      <c r="L5376" s="58" t="s">
        <v>628</v>
      </c>
    </row>
    <row r="5377" spans="1:12" s="58" customFormat="1" x14ac:dyDescent="0.75">
      <c r="A5377" s="58" t="s">
        <v>127</v>
      </c>
      <c r="B5377" s="59">
        <v>45183</v>
      </c>
      <c r="C5377" s="58">
        <v>1</v>
      </c>
      <c r="D5377" s="58" t="s">
        <v>191</v>
      </c>
      <c r="E5377" s="60">
        <f>42-11</f>
        <v>31</v>
      </c>
      <c r="F5377" s="58" t="s">
        <v>363</v>
      </c>
      <c r="G5377" s="58" t="s">
        <v>869</v>
      </c>
      <c r="H5377" s="58" t="s">
        <v>928</v>
      </c>
      <c r="I5377" s="58" t="s">
        <v>869</v>
      </c>
      <c r="J5377" s="59">
        <v>45212</v>
      </c>
      <c r="L5377" s="58" t="s">
        <v>628</v>
      </c>
    </row>
    <row r="5378" spans="1:12" s="58" customFormat="1" x14ac:dyDescent="0.75">
      <c r="A5378" s="58" t="s">
        <v>127</v>
      </c>
      <c r="B5378" s="59">
        <v>45183</v>
      </c>
      <c r="C5378" s="58">
        <v>1</v>
      </c>
      <c r="D5378" s="58" t="s">
        <v>191</v>
      </c>
      <c r="E5378" s="60">
        <f>11-4</f>
        <v>7</v>
      </c>
      <c r="F5378" s="58" t="s">
        <v>363</v>
      </c>
      <c r="G5378" s="58" t="s">
        <v>869</v>
      </c>
      <c r="H5378" s="58" t="s">
        <v>928</v>
      </c>
      <c r="I5378" s="58" t="s">
        <v>869</v>
      </c>
      <c r="J5378" s="59">
        <v>45212</v>
      </c>
      <c r="L5378" s="58" t="s">
        <v>628</v>
      </c>
    </row>
    <row r="5379" spans="1:12" s="58" customFormat="1" x14ac:dyDescent="0.75">
      <c r="A5379" s="58" t="s">
        <v>127</v>
      </c>
      <c r="B5379" s="59">
        <v>45183</v>
      </c>
      <c r="C5379" s="58">
        <v>1</v>
      </c>
      <c r="D5379" s="58" t="s">
        <v>215</v>
      </c>
      <c r="E5379" s="60">
        <v>4</v>
      </c>
      <c r="F5379" s="58" t="s">
        <v>363</v>
      </c>
      <c r="G5379" s="58" t="s">
        <v>869</v>
      </c>
      <c r="H5379" s="58" t="s">
        <v>928</v>
      </c>
      <c r="I5379" s="58" t="s">
        <v>869</v>
      </c>
      <c r="J5379" s="59">
        <v>45212</v>
      </c>
      <c r="L5379" s="58" t="s">
        <v>628</v>
      </c>
    </row>
    <row r="5380" spans="1:12" s="58" customFormat="1" x14ac:dyDescent="0.75">
      <c r="A5380" s="58" t="s">
        <v>127</v>
      </c>
      <c r="B5380" s="59">
        <v>45183</v>
      </c>
      <c r="C5380" s="58">
        <v>1</v>
      </c>
      <c r="D5380" s="58" t="s">
        <v>197</v>
      </c>
      <c r="E5380" s="60">
        <f>53-38</f>
        <v>15</v>
      </c>
      <c r="F5380" s="58" t="s">
        <v>363</v>
      </c>
      <c r="G5380" s="58" t="s">
        <v>869</v>
      </c>
      <c r="H5380" s="58" t="s">
        <v>928</v>
      </c>
      <c r="I5380" s="58" t="s">
        <v>869</v>
      </c>
      <c r="J5380" s="59">
        <v>45212</v>
      </c>
      <c r="L5380" s="58" t="s">
        <v>628</v>
      </c>
    </row>
    <row r="5381" spans="1:12" s="58" customFormat="1" x14ac:dyDescent="0.75">
      <c r="A5381" s="58" t="s">
        <v>127</v>
      </c>
      <c r="B5381" s="59">
        <v>45183</v>
      </c>
      <c r="C5381" s="58">
        <v>1</v>
      </c>
      <c r="D5381" s="58" t="s">
        <v>191</v>
      </c>
      <c r="E5381" s="60">
        <f>38-34</f>
        <v>4</v>
      </c>
      <c r="F5381" s="58" t="s">
        <v>363</v>
      </c>
      <c r="G5381" s="58" t="s">
        <v>869</v>
      </c>
      <c r="H5381" s="58" t="s">
        <v>928</v>
      </c>
      <c r="I5381" s="58" t="s">
        <v>869</v>
      </c>
      <c r="J5381" s="59">
        <v>45212</v>
      </c>
      <c r="L5381" s="58" t="s">
        <v>628</v>
      </c>
    </row>
    <row r="5382" spans="1:12" s="58" customFormat="1" x14ac:dyDescent="0.75">
      <c r="A5382" s="58" t="s">
        <v>127</v>
      </c>
      <c r="B5382" s="59">
        <v>45183</v>
      </c>
      <c r="C5382" s="58">
        <v>1</v>
      </c>
      <c r="D5382" s="58" t="s">
        <v>191</v>
      </c>
      <c r="E5382" s="60">
        <f>33-27</f>
        <v>6</v>
      </c>
      <c r="F5382" s="58" t="s">
        <v>363</v>
      </c>
      <c r="G5382" s="58" t="s">
        <v>869</v>
      </c>
      <c r="H5382" s="58" t="s">
        <v>928</v>
      </c>
      <c r="I5382" s="58" t="s">
        <v>869</v>
      </c>
      <c r="J5382" s="59">
        <v>45212</v>
      </c>
      <c r="L5382" s="58" t="s">
        <v>628</v>
      </c>
    </row>
    <row r="5383" spans="1:12" s="58" customFormat="1" x14ac:dyDescent="0.75">
      <c r="A5383" s="58" t="s">
        <v>127</v>
      </c>
      <c r="B5383" s="59">
        <v>45183</v>
      </c>
      <c r="C5383" s="58">
        <v>1</v>
      </c>
      <c r="D5383" s="58" t="s">
        <v>191</v>
      </c>
      <c r="E5383" s="60">
        <f>27-22</f>
        <v>5</v>
      </c>
      <c r="F5383" s="58" t="s">
        <v>363</v>
      </c>
      <c r="G5383" s="58" t="s">
        <v>869</v>
      </c>
      <c r="H5383" s="58" t="s">
        <v>928</v>
      </c>
      <c r="I5383" s="58" t="s">
        <v>869</v>
      </c>
      <c r="J5383" s="59">
        <v>45212</v>
      </c>
      <c r="L5383" s="58" t="s">
        <v>628</v>
      </c>
    </row>
    <row r="5384" spans="1:12" s="58" customFormat="1" x14ac:dyDescent="0.75">
      <c r="A5384" s="58" t="s">
        <v>127</v>
      </c>
      <c r="B5384" s="59">
        <v>45183</v>
      </c>
      <c r="C5384" s="58">
        <v>1</v>
      </c>
      <c r="D5384" s="58" t="s">
        <v>197</v>
      </c>
      <c r="E5384" s="60">
        <f>22-10</f>
        <v>12</v>
      </c>
      <c r="F5384" s="58" t="s">
        <v>363</v>
      </c>
      <c r="G5384" s="58" t="s">
        <v>869</v>
      </c>
      <c r="H5384" s="58" t="s">
        <v>928</v>
      </c>
      <c r="I5384" s="58" t="s">
        <v>869</v>
      </c>
      <c r="J5384" s="59">
        <v>45212</v>
      </c>
      <c r="L5384" s="58" t="s">
        <v>628</v>
      </c>
    </row>
    <row r="5385" spans="1:12" s="58" customFormat="1" x14ac:dyDescent="0.75">
      <c r="A5385" s="58" t="s">
        <v>127</v>
      </c>
      <c r="B5385" s="59">
        <v>45183</v>
      </c>
      <c r="C5385" s="58">
        <v>1</v>
      </c>
      <c r="D5385" s="58" t="s">
        <v>197</v>
      </c>
      <c r="E5385" s="60">
        <f>10-0</f>
        <v>10</v>
      </c>
      <c r="F5385" s="58" t="s">
        <v>363</v>
      </c>
      <c r="G5385" s="58" t="s">
        <v>869</v>
      </c>
      <c r="H5385" s="58" t="s">
        <v>928</v>
      </c>
      <c r="I5385" s="58" t="s">
        <v>869</v>
      </c>
      <c r="J5385" s="59">
        <v>45212</v>
      </c>
      <c r="L5385" s="58" t="s">
        <v>628</v>
      </c>
    </row>
    <row r="5386" spans="1:12" x14ac:dyDescent="0.75">
      <c r="A5386" t="s">
        <v>124</v>
      </c>
      <c r="B5386" s="3">
        <v>45183</v>
      </c>
      <c r="C5386">
        <v>1</v>
      </c>
      <c r="D5386" t="s">
        <v>197</v>
      </c>
      <c r="E5386" s="22">
        <f>12+53+49-26+61+55-13</f>
        <v>191</v>
      </c>
      <c r="F5386" t="s">
        <v>363</v>
      </c>
      <c r="G5386" t="s">
        <v>1000</v>
      </c>
      <c r="H5386" t="s">
        <v>928</v>
      </c>
      <c r="I5386" t="s">
        <v>869</v>
      </c>
      <c r="J5386" s="3">
        <v>45215</v>
      </c>
      <c r="K5386" t="s">
        <v>1001</v>
      </c>
      <c r="L5386" t="s">
        <v>628</v>
      </c>
    </row>
    <row r="5387" spans="1:12" x14ac:dyDescent="0.75">
      <c r="A5387" t="s">
        <v>124</v>
      </c>
      <c r="B5387" s="3">
        <v>45183</v>
      </c>
      <c r="C5387">
        <v>1</v>
      </c>
      <c r="D5387" s="10" t="s">
        <v>191</v>
      </c>
      <c r="E5387" s="22">
        <f>26-19</f>
        <v>7</v>
      </c>
      <c r="F5387" t="s">
        <v>363</v>
      </c>
      <c r="G5387" t="s">
        <v>361</v>
      </c>
      <c r="H5387" t="s">
        <v>928</v>
      </c>
      <c r="I5387" t="s">
        <v>869</v>
      </c>
      <c r="J5387" s="3">
        <v>45215</v>
      </c>
      <c r="L5387" t="s">
        <v>628</v>
      </c>
    </row>
    <row r="5388" spans="1:12" x14ac:dyDescent="0.75">
      <c r="A5388" t="s">
        <v>124</v>
      </c>
      <c r="B5388" s="3">
        <v>45183</v>
      </c>
      <c r="C5388">
        <v>1</v>
      </c>
      <c r="D5388" t="s">
        <v>207</v>
      </c>
      <c r="E5388" s="22">
        <f>19-8</f>
        <v>11</v>
      </c>
      <c r="F5388" t="s">
        <v>363</v>
      </c>
      <c r="G5388" t="s">
        <v>361</v>
      </c>
      <c r="H5388" t="s">
        <v>928</v>
      </c>
      <c r="I5388" t="s">
        <v>869</v>
      </c>
      <c r="J5388" s="3">
        <v>45215</v>
      </c>
      <c r="L5388" t="s">
        <v>628</v>
      </c>
    </row>
    <row r="5389" spans="1:12" x14ac:dyDescent="0.75">
      <c r="A5389" t="s">
        <v>124</v>
      </c>
      <c r="B5389" s="3">
        <v>45183</v>
      </c>
      <c r="C5389">
        <v>1</v>
      </c>
      <c r="D5389" t="s">
        <v>191</v>
      </c>
      <c r="E5389" s="22">
        <f>8+50-48</f>
        <v>10</v>
      </c>
      <c r="F5389" t="s">
        <v>363</v>
      </c>
      <c r="G5389" t="s">
        <v>361</v>
      </c>
      <c r="H5389" t="s">
        <v>928</v>
      </c>
      <c r="I5389" t="s">
        <v>869</v>
      </c>
      <c r="J5389" s="3">
        <v>45215</v>
      </c>
      <c r="L5389" t="s">
        <v>628</v>
      </c>
    </row>
    <row r="5390" spans="1:12" x14ac:dyDescent="0.75">
      <c r="A5390" t="s">
        <v>124</v>
      </c>
      <c r="B5390" s="3">
        <v>45183</v>
      </c>
      <c r="C5390">
        <v>1</v>
      </c>
      <c r="D5390" s="10" t="s">
        <v>194</v>
      </c>
      <c r="E5390" s="22">
        <f>48-24</f>
        <v>24</v>
      </c>
      <c r="F5390" t="s">
        <v>363</v>
      </c>
      <c r="G5390" t="s">
        <v>361</v>
      </c>
      <c r="H5390" t="s">
        <v>928</v>
      </c>
      <c r="I5390" t="s">
        <v>869</v>
      </c>
      <c r="J5390" s="3">
        <v>45215</v>
      </c>
      <c r="L5390" t="s">
        <v>628</v>
      </c>
    </row>
    <row r="5391" spans="1:12" x14ac:dyDescent="0.75">
      <c r="A5391" t="s">
        <v>124</v>
      </c>
      <c r="B5391" s="3">
        <v>45183</v>
      </c>
      <c r="C5391">
        <v>1</v>
      </c>
      <c r="D5391" t="s">
        <v>201</v>
      </c>
      <c r="E5391" s="22">
        <f>24-20</f>
        <v>4</v>
      </c>
      <c r="F5391" t="s">
        <v>363</v>
      </c>
      <c r="G5391" t="s">
        <v>361</v>
      </c>
      <c r="H5391" t="s">
        <v>928</v>
      </c>
      <c r="I5391" t="s">
        <v>869</v>
      </c>
      <c r="J5391" s="3">
        <v>45215</v>
      </c>
      <c r="L5391" t="s">
        <v>628</v>
      </c>
    </row>
    <row r="5392" spans="1:12" x14ac:dyDescent="0.75">
      <c r="A5392" t="s">
        <v>124</v>
      </c>
      <c r="B5392" s="3">
        <v>45183</v>
      </c>
      <c r="C5392">
        <v>1</v>
      </c>
      <c r="D5392" t="s">
        <v>197</v>
      </c>
      <c r="E5392" s="22">
        <f>20-11</f>
        <v>9</v>
      </c>
      <c r="F5392" t="s">
        <v>363</v>
      </c>
      <c r="G5392" t="s">
        <v>361</v>
      </c>
      <c r="H5392" t="s">
        <v>928</v>
      </c>
      <c r="I5392" t="s">
        <v>869</v>
      </c>
      <c r="J5392" s="3">
        <v>45215</v>
      </c>
      <c r="L5392" t="s">
        <v>628</v>
      </c>
    </row>
    <row r="5393" spans="1:12" x14ac:dyDescent="0.75">
      <c r="A5393" t="s">
        <v>124</v>
      </c>
      <c r="B5393" s="3">
        <v>45183</v>
      </c>
      <c r="C5393">
        <v>1</v>
      </c>
      <c r="D5393" t="s">
        <v>191</v>
      </c>
      <c r="E5393" s="22">
        <f>11-5</f>
        <v>6</v>
      </c>
      <c r="F5393" t="s">
        <v>363</v>
      </c>
      <c r="G5393" t="s">
        <v>361</v>
      </c>
      <c r="H5393" t="s">
        <v>928</v>
      </c>
      <c r="I5393" t="s">
        <v>869</v>
      </c>
      <c r="J5393" s="3">
        <v>45215</v>
      </c>
      <c r="L5393" t="s">
        <v>628</v>
      </c>
    </row>
    <row r="5394" spans="1:12" x14ac:dyDescent="0.75">
      <c r="A5394" t="s">
        <v>124</v>
      </c>
      <c r="B5394" s="3">
        <v>45183</v>
      </c>
      <c r="C5394">
        <v>1</v>
      </c>
      <c r="D5394" s="10" t="s">
        <v>197</v>
      </c>
      <c r="E5394" s="22">
        <f>13-6</f>
        <v>7</v>
      </c>
      <c r="F5394" t="s">
        <v>363</v>
      </c>
      <c r="G5394" t="s">
        <v>869</v>
      </c>
      <c r="H5394" t="s">
        <v>928</v>
      </c>
      <c r="I5394" t="s">
        <v>869</v>
      </c>
      <c r="J5394" s="3">
        <v>45215</v>
      </c>
      <c r="L5394" t="s">
        <v>628</v>
      </c>
    </row>
    <row r="5395" spans="1:12" x14ac:dyDescent="0.75">
      <c r="A5395" t="s">
        <v>124</v>
      </c>
      <c r="B5395" s="3">
        <v>45183</v>
      </c>
      <c r="C5395">
        <v>1</v>
      </c>
      <c r="D5395" s="10" t="s">
        <v>191</v>
      </c>
      <c r="E5395" s="22">
        <f>50-37</f>
        <v>13</v>
      </c>
      <c r="F5395" t="s">
        <v>363</v>
      </c>
      <c r="G5395" t="s">
        <v>869</v>
      </c>
      <c r="H5395" t="s">
        <v>928</v>
      </c>
      <c r="I5395" t="s">
        <v>869</v>
      </c>
      <c r="J5395" s="3">
        <v>45215</v>
      </c>
      <c r="L5395" t="s">
        <v>628</v>
      </c>
    </row>
    <row r="5396" spans="1:12" x14ac:dyDescent="0.75">
      <c r="A5396" t="s">
        <v>124</v>
      </c>
      <c r="B5396" s="3">
        <v>45183</v>
      </c>
      <c r="C5396">
        <v>1</v>
      </c>
      <c r="D5396" s="10" t="s">
        <v>194</v>
      </c>
      <c r="E5396" s="22">
        <f>37-24</f>
        <v>13</v>
      </c>
      <c r="F5396" t="s">
        <v>363</v>
      </c>
      <c r="G5396" t="s">
        <v>869</v>
      </c>
      <c r="H5396" t="s">
        <v>928</v>
      </c>
      <c r="I5396" t="s">
        <v>869</v>
      </c>
      <c r="J5396" s="3">
        <v>45215</v>
      </c>
      <c r="L5396" t="s">
        <v>628</v>
      </c>
    </row>
    <row r="5397" spans="1:12" x14ac:dyDescent="0.75">
      <c r="A5397" t="s">
        <v>124</v>
      </c>
      <c r="B5397" s="3">
        <v>45183</v>
      </c>
      <c r="C5397">
        <v>1</v>
      </c>
      <c r="D5397" t="s">
        <v>176</v>
      </c>
      <c r="E5397" s="22">
        <f>24-12</f>
        <v>12</v>
      </c>
      <c r="F5397" t="s">
        <v>363</v>
      </c>
      <c r="G5397" t="s">
        <v>869</v>
      </c>
      <c r="H5397" t="s">
        <v>928</v>
      </c>
      <c r="I5397" t="s">
        <v>869</v>
      </c>
      <c r="J5397" s="3">
        <v>45215</v>
      </c>
      <c r="L5397" t="s">
        <v>628</v>
      </c>
    </row>
    <row r="5398" spans="1:12" x14ac:dyDescent="0.75">
      <c r="A5398" t="s">
        <v>124</v>
      </c>
      <c r="B5398" s="3">
        <v>45183</v>
      </c>
      <c r="C5398">
        <v>1</v>
      </c>
      <c r="D5398" t="s">
        <v>168</v>
      </c>
      <c r="E5398" s="22">
        <f>12-3</f>
        <v>9</v>
      </c>
      <c r="F5398" t="s">
        <v>363</v>
      </c>
      <c r="G5398" t="s">
        <v>869</v>
      </c>
      <c r="H5398" t="s">
        <v>928</v>
      </c>
      <c r="I5398" t="s">
        <v>869</v>
      </c>
      <c r="J5398" s="3">
        <v>45215</v>
      </c>
      <c r="L5398" t="s">
        <v>628</v>
      </c>
    </row>
    <row r="5399" spans="1:12" x14ac:dyDescent="0.75">
      <c r="A5399" t="s">
        <v>124</v>
      </c>
      <c r="B5399" s="3">
        <v>45183</v>
      </c>
      <c r="C5399">
        <v>1</v>
      </c>
      <c r="D5399" t="s">
        <v>215</v>
      </c>
      <c r="E5399" s="22">
        <f>40-33</f>
        <v>7</v>
      </c>
      <c r="F5399" t="s">
        <v>363</v>
      </c>
      <c r="G5399" t="s">
        <v>869</v>
      </c>
      <c r="H5399" t="s">
        <v>928</v>
      </c>
      <c r="I5399" t="s">
        <v>869</v>
      </c>
      <c r="J5399" s="3">
        <v>45215</v>
      </c>
      <c r="L5399" t="s">
        <v>628</v>
      </c>
    </row>
    <row r="5400" spans="1:12" x14ac:dyDescent="0.75">
      <c r="A5400" t="s">
        <v>124</v>
      </c>
      <c r="B5400" s="3">
        <v>45183</v>
      </c>
      <c r="C5400">
        <v>1</v>
      </c>
      <c r="D5400" t="s">
        <v>194</v>
      </c>
      <c r="E5400" s="22">
        <f>33-28</f>
        <v>5</v>
      </c>
      <c r="F5400" t="s">
        <v>363</v>
      </c>
      <c r="G5400" t="s">
        <v>869</v>
      </c>
      <c r="H5400" t="s">
        <v>928</v>
      </c>
      <c r="I5400" t="s">
        <v>869</v>
      </c>
      <c r="J5400" s="3">
        <v>45215</v>
      </c>
      <c r="L5400" t="s">
        <v>628</v>
      </c>
    </row>
    <row r="5401" spans="1:12" x14ac:dyDescent="0.75">
      <c r="A5401" t="s">
        <v>124</v>
      </c>
      <c r="B5401" s="3">
        <v>45183</v>
      </c>
      <c r="C5401">
        <v>1</v>
      </c>
      <c r="D5401" t="s">
        <v>197</v>
      </c>
      <c r="E5401" s="22">
        <f>28-18</f>
        <v>10</v>
      </c>
      <c r="F5401" t="s">
        <v>363</v>
      </c>
      <c r="G5401" t="s">
        <v>869</v>
      </c>
      <c r="H5401" t="s">
        <v>928</v>
      </c>
      <c r="I5401" t="s">
        <v>869</v>
      </c>
      <c r="J5401" s="3">
        <v>45215</v>
      </c>
      <c r="L5401" t="s">
        <v>628</v>
      </c>
    </row>
    <row r="5402" spans="1:12" x14ac:dyDescent="0.75">
      <c r="A5402" t="s">
        <v>124</v>
      </c>
      <c r="B5402" s="3">
        <v>45183</v>
      </c>
      <c r="C5402">
        <v>1</v>
      </c>
      <c r="D5402" t="s">
        <v>194</v>
      </c>
      <c r="E5402" s="22">
        <f>18+6-4</f>
        <v>20</v>
      </c>
      <c r="F5402" t="s">
        <v>363</v>
      </c>
      <c r="G5402" t="s">
        <v>869</v>
      </c>
      <c r="H5402" t="s">
        <v>928</v>
      </c>
      <c r="I5402" t="s">
        <v>869</v>
      </c>
      <c r="J5402" s="3">
        <v>45215</v>
      </c>
      <c r="L5402" t="s">
        <v>628</v>
      </c>
    </row>
    <row r="5403" spans="1:12" x14ac:dyDescent="0.75">
      <c r="A5403" t="s">
        <v>124</v>
      </c>
      <c r="B5403" s="3">
        <v>45183</v>
      </c>
      <c r="C5403">
        <v>1</v>
      </c>
      <c r="D5403" t="s">
        <v>194</v>
      </c>
      <c r="E5403" s="22">
        <f>53-3-49</f>
        <v>1</v>
      </c>
      <c r="F5403" t="s">
        <v>363</v>
      </c>
      <c r="G5403" t="s">
        <v>869</v>
      </c>
      <c r="H5403" t="s">
        <v>928</v>
      </c>
      <c r="I5403" t="s">
        <v>869</v>
      </c>
      <c r="J5403" s="3">
        <v>45215</v>
      </c>
      <c r="L5403" t="s">
        <v>628</v>
      </c>
    </row>
    <row r="5404" spans="1:12" s="58" customFormat="1" x14ac:dyDescent="0.75">
      <c r="A5404" s="58" t="s">
        <v>124</v>
      </c>
      <c r="B5404" s="59">
        <v>45183</v>
      </c>
      <c r="C5404" s="58">
        <v>2</v>
      </c>
      <c r="D5404" s="58" t="s">
        <v>194</v>
      </c>
      <c r="E5404" s="60">
        <f>6+42-37</f>
        <v>11</v>
      </c>
      <c r="F5404" s="58" t="s">
        <v>363</v>
      </c>
      <c r="G5404" s="58" t="s">
        <v>361</v>
      </c>
      <c r="H5404" s="58" t="s">
        <v>928</v>
      </c>
      <c r="I5404" s="58" t="s">
        <v>869</v>
      </c>
      <c r="J5404" s="59">
        <v>45215</v>
      </c>
      <c r="L5404" s="58" t="s">
        <v>628</v>
      </c>
    </row>
    <row r="5405" spans="1:12" s="58" customFormat="1" x14ac:dyDescent="0.75">
      <c r="A5405" s="58" t="s">
        <v>124</v>
      </c>
      <c r="B5405" s="59">
        <v>45183</v>
      </c>
      <c r="C5405" s="58">
        <v>2</v>
      </c>
      <c r="D5405" s="58" t="s">
        <v>194</v>
      </c>
      <c r="E5405" s="60">
        <f>50-47</f>
        <v>3</v>
      </c>
      <c r="F5405" s="58" t="s">
        <v>363</v>
      </c>
      <c r="G5405" s="58" t="s">
        <v>869</v>
      </c>
      <c r="H5405" s="58" t="s">
        <v>928</v>
      </c>
      <c r="I5405" s="58" t="s">
        <v>869</v>
      </c>
      <c r="J5405" s="59">
        <v>45215</v>
      </c>
      <c r="L5405" s="58" t="s">
        <v>628</v>
      </c>
    </row>
    <row r="5406" spans="1:12" s="58" customFormat="1" x14ac:dyDescent="0.75">
      <c r="A5406" s="58" t="s">
        <v>124</v>
      </c>
      <c r="B5406" s="59">
        <v>45183</v>
      </c>
      <c r="C5406" s="58">
        <v>2</v>
      </c>
      <c r="D5406" s="58" t="s">
        <v>197</v>
      </c>
      <c r="E5406" s="60">
        <f>47-42</f>
        <v>5</v>
      </c>
      <c r="F5406" s="58" t="s">
        <v>363</v>
      </c>
      <c r="G5406" s="58" t="s">
        <v>869</v>
      </c>
      <c r="H5406" s="58" t="s">
        <v>928</v>
      </c>
      <c r="I5406" s="58" t="s">
        <v>869</v>
      </c>
      <c r="J5406" s="59">
        <v>45215</v>
      </c>
      <c r="L5406" s="58" t="s">
        <v>628</v>
      </c>
    </row>
    <row r="5407" spans="1:12" s="58" customFormat="1" x14ac:dyDescent="0.75">
      <c r="A5407" s="58" t="s">
        <v>124</v>
      </c>
      <c r="B5407" s="59">
        <v>45183</v>
      </c>
      <c r="C5407" s="58">
        <v>2</v>
      </c>
      <c r="D5407" s="58" t="s">
        <v>194</v>
      </c>
      <c r="E5407" s="60">
        <f>4-1</f>
        <v>3</v>
      </c>
      <c r="F5407" s="58" t="s">
        <v>363</v>
      </c>
      <c r="G5407" s="58" t="s">
        <v>869</v>
      </c>
      <c r="H5407" s="58" t="s">
        <v>928</v>
      </c>
      <c r="I5407" s="58" t="s">
        <v>869</v>
      </c>
      <c r="J5407" s="59">
        <v>45215</v>
      </c>
      <c r="L5407" s="58" t="s">
        <v>628</v>
      </c>
    </row>
    <row r="5408" spans="1:12" s="58" customFormat="1" x14ac:dyDescent="0.75">
      <c r="A5408" s="58" t="s">
        <v>124</v>
      </c>
      <c r="B5408" s="59">
        <v>45183</v>
      </c>
      <c r="C5408" s="58">
        <v>2</v>
      </c>
      <c r="D5408" s="58" t="s">
        <v>205</v>
      </c>
      <c r="E5408" s="60">
        <v>1</v>
      </c>
      <c r="F5408" s="58" t="s">
        <v>363</v>
      </c>
      <c r="G5408" s="58" t="s">
        <v>869</v>
      </c>
      <c r="H5408" s="58" t="s">
        <v>928</v>
      </c>
      <c r="I5408" s="58" t="s">
        <v>869</v>
      </c>
      <c r="J5408" s="59">
        <v>45215</v>
      </c>
      <c r="L5408" s="58" t="s">
        <v>374</v>
      </c>
    </row>
    <row r="5409" spans="1:12" s="58" customFormat="1" x14ac:dyDescent="0.75">
      <c r="A5409" s="58" t="s">
        <v>124</v>
      </c>
      <c r="B5409" s="59">
        <v>45183</v>
      </c>
      <c r="C5409" s="58">
        <v>2</v>
      </c>
      <c r="D5409" s="58" t="s">
        <v>194</v>
      </c>
      <c r="E5409" s="60">
        <f>1+3-1</f>
        <v>3</v>
      </c>
      <c r="F5409" s="58" t="s">
        <v>363</v>
      </c>
      <c r="G5409" s="58" t="s">
        <v>869</v>
      </c>
      <c r="H5409" s="58" t="s">
        <v>928</v>
      </c>
      <c r="I5409" s="58" t="s">
        <v>869</v>
      </c>
      <c r="J5409" s="59">
        <v>45215</v>
      </c>
      <c r="L5409" s="58" t="s">
        <v>628</v>
      </c>
    </row>
    <row r="5410" spans="1:12" x14ac:dyDescent="0.75">
      <c r="A5410" s="10" t="s">
        <v>48</v>
      </c>
      <c r="B5410" s="3">
        <v>45188</v>
      </c>
      <c r="C5410">
        <v>1</v>
      </c>
      <c r="D5410" t="s">
        <v>197</v>
      </c>
      <c r="E5410" s="57">
        <f>57-49</f>
        <v>8</v>
      </c>
      <c r="F5410" t="s">
        <v>363</v>
      </c>
      <c r="G5410" t="s">
        <v>361</v>
      </c>
      <c r="H5410" t="s">
        <v>928</v>
      </c>
      <c r="I5410" t="s">
        <v>628</v>
      </c>
      <c r="J5410" s="3">
        <v>45204</v>
      </c>
      <c r="L5410" t="s">
        <v>627</v>
      </c>
    </row>
    <row r="5411" spans="1:12" x14ac:dyDescent="0.75">
      <c r="A5411" s="10" t="s">
        <v>48</v>
      </c>
      <c r="B5411" s="3">
        <v>45188</v>
      </c>
      <c r="C5411">
        <v>1</v>
      </c>
      <c r="D5411" t="s">
        <v>194</v>
      </c>
      <c r="E5411" s="57">
        <f>49-36</f>
        <v>13</v>
      </c>
      <c r="F5411" t="s">
        <v>363</v>
      </c>
      <c r="G5411" t="s">
        <v>361</v>
      </c>
      <c r="H5411" t="s">
        <v>928</v>
      </c>
      <c r="I5411" t="s">
        <v>628</v>
      </c>
      <c r="J5411" s="3">
        <v>45204</v>
      </c>
      <c r="L5411" t="s">
        <v>627</v>
      </c>
    </row>
    <row r="5412" spans="1:12" x14ac:dyDescent="0.75">
      <c r="A5412" s="10" t="s">
        <v>48</v>
      </c>
      <c r="B5412" s="3">
        <v>45188</v>
      </c>
      <c r="C5412">
        <v>1</v>
      </c>
      <c r="D5412" t="s">
        <v>207</v>
      </c>
      <c r="E5412" s="57">
        <f>36-32</f>
        <v>4</v>
      </c>
      <c r="F5412" t="s">
        <v>363</v>
      </c>
      <c r="G5412" t="s">
        <v>361</v>
      </c>
      <c r="H5412" t="s">
        <v>928</v>
      </c>
      <c r="I5412" t="s">
        <v>628</v>
      </c>
      <c r="J5412" s="3">
        <v>45204</v>
      </c>
      <c r="L5412" t="s">
        <v>627</v>
      </c>
    </row>
    <row r="5413" spans="1:12" x14ac:dyDescent="0.75">
      <c r="A5413" s="10" t="s">
        <v>48</v>
      </c>
      <c r="B5413" s="3">
        <v>45188</v>
      </c>
      <c r="C5413">
        <v>1</v>
      </c>
      <c r="D5413" t="s">
        <v>207</v>
      </c>
      <c r="E5413" s="22">
        <f>32-30</f>
        <v>2</v>
      </c>
      <c r="F5413" t="s">
        <v>363</v>
      </c>
      <c r="G5413" t="s">
        <v>361</v>
      </c>
      <c r="H5413" t="s">
        <v>928</v>
      </c>
      <c r="I5413" t="s">
        <v>628</v>
      </c>
      <c r="J5413" s="3">
        <v>45204</v>
      </c>
      <c r="L5413" t="s">
        <v>627</v>
      </c>
    </row>
    <row r="5414" spans="1:12" x14ac:dyDescent="0.75">
      <c r="A5414" s="10" t="s">
        <v>48</v>
      </c>
      <c r="B5414" s="3">
        <v>45188</v>
      </c>
      <c r="C5414">
        <v>1</v>
      </c>
      <c r="D5414" t="s">
        <v>194</v>
      </c>
      <c r="E5414" s="57">
        <f>30-25</f>
        <v>5</v>
      </c>
      <c r="F5414" t="s">
        <v>363</v>
      </c>
      <c r="G5414" t="s">
        <v>361</v>
      </c>
      <c r="H5414" t="s">
        <v>928</v>
      </c>
      <c r="I5414" t="s">
        <v>628</v>
      </c>
      <c r="J5414" s="3">
        <v>45204</v>
      </c>
      <c r="L5414" t="s">
        <v>627</v>
      </c>
    </row>
    <row r="5415" spans="1:12" x14ac:dyDescent="0.75">
      <c r="A5415" s="10" t="s">
        <v>48</v>
      </c>
      <c r="B5415" s="3">
        <v>45188</v>
      </c>
      <c r="C5415">
        <v>1</v>
      </c>
      <c r="D5415" t="s">
        <v>191</v>
      </c>
      <c r="E5415" s="57">
        <f>25-20</f>
        <v>5</v>
      </c>
      <c r="F5415" t="s">
        <v>363</v>
      </c>
      <c r="G5415" t="s">
        <v>361</v>
      </c>
      <c r="H5415" t="s">
        <v>928</v>
      </c>
      <c r="I5415" t="s">
        <v>628</v>
      </c>
      <c r="J5415" s="3">
        <v>45204</v>
      </c>
      <c r="L5415" t="s">
        <v>627</v>
      </c>
    </row>
    <row r="5416" spans="1:12" x14ac:dyDescent="0.75">
      <c r="A5416" s="10" t="s">
        <v>48</v>
      </c>
      <c r="B5416" s="3">
        <v>45188</v>
      </c>
      <c r="C5416">
        <v>1</v>
      </c>
      <c r="D5416" t="s">
        <v>207</v>
      </c>
      <c r="E5416" s="22">
        <f>20-7</f>
        <v>13</v>
      </c>
      <c r="F5416" t="s">
        <v>363</v>
      </c>
      <c r="G5416" t="s">
        <v>361</v>
      </c>
      <c r="H5416" t="s">
        <v>928</v>
      </c>
      <c r="I5416" t="s">
        <v>628</v>
      </c>
      <c r="J5416" s="3">
        <v>45204</v>
      </c>
      <c r="L5416" t="s">
        <v>627</v>
      </c>
    </row>
    <row r="5417" spans="1:12" x14ac:dyDescent="0.75">
      <c r="A5417" s="10" t="s">
        <v>48</v>
      </c>
      <c r="B5417" s="3">
        <v>45188</v>
      </c>
      <c r="C5417">
        <v>1</v>
      </c>
      <c r="D5417" t="s">
        <v>197</v>
      </c>
      <c r="E5417" s="57">
        <f>7-0+48-42</f>
        <v>13</v>
      </c>
      <c r="F5417" t="s">
        <v>363</v>
      </c>
      <c r="G5417" t="s">
        <v>361</v>
      </c>
      <c r="H5417" t="s">
        <v>928</v>
      </c>
      <c r="I5417" t="s">
        <v>628</v>
      </c>
      <c r="J5417" s="3">
        <v>45204</v>
      </c>
      <c r="L5417" t="s">
        <v>627</v>
      </c>
    </row>
    <row r="5418" spans="1:12" x14ac:dyDescent="0.75">
      <c r="A5418" s="10" t="s">
        <v>48</v>
      </c>
      <c r="B5418" s="3">
        <v>45188</v>
      </c>
      <c r="C5418">
        <v>1</v>
      </c>
      <c r="D5418" t="s">
        <v>191</v>
      </c>
      <c r="E5418" s="57">
        <f>52-33</f>
        <v>19</v>
      </c>
      <c r="F5418" t="s">
        <v>363</v>
      </c>
      <c r="G5418" t="s">
        <v>869</v>
      </c>
      <c r="H5418" t="s">
        <v>928</v>
      </c>
      <c r="I5418" t="s">
        <v>628</v>
      </c>
      <c r="J5418" s="3">
        <v>45204</v>
      </c>
      <c r="L5418" t="s">
        <v>627</v>
      </c>
    </row>
    <row r="5419" spans="1:12" x14ac:dyDescent="0.75">
      <c r="A5419" s="10" t="s">
        <v>48</v>
      </c>
      <c r="B5419" s="3">
        <v>45188</v>
      </c>
      <c r="C5419">
        <v>1</v>
      </c>
      <c r="D5419" t="s">
        <v>168</v>
      </c>
      <c r="E5419" s="57">
        <f>33-31</f>
        <v>2</v>
      </c>
      <c r="F5419" t="s">
        <v>363</v>
      </c>
      <c r="G5419" t="s">
        <v>869</v>
      </c>
      <c r="H5419" t="s">
        <v>928</v>
      </c>
      <c r="I5419" t="s">
        <v>628</v>
      </c>
      <c r="J5419" s="3">
        <v>45204</v>
      </c>
      <c r="L5419" t="s">
        <v>627</v>
      </c>
    </row>
    <row r="5420" spans="1:12" x14ac:dyDescent="0.75">
      <c r="A5420" s="10" t="s">
        <v>48</v>
      </c>
      <c r="B5420" s="3">
        <v>45188</v>
      </c>
      <c r="C5420">
        <v>1</v>
      </c>
      <c r="D5420" t="s">
        <v>207</v>
      </c>
      <c r="E5420" s="57">
        <f>31-1</f>
        <v>30</v>
      </c>
      <c r="F5420" t="s">
        <v>363</v>
      </c>
      <c r="G5420" t="s">
        <v>869</v>
      </c>
      <c r="H5420" t="s">
        <v>928</v>
      </c>
      <c r="I5420" t="s">
        <v>628</v>
      </c>
      <c r="J5420" s="3">
        <v>45204</v>
      </c>
      <c r="L5420" t="s">
        <v>627</v>
      </c>
    </row>
    <row r="5421" spans="1:12" x14ac:dyDescent="0.75">
      <c r="A5421" s="10" t="s">
        <v>48</v>
      </c>
      <c r="B5421" s="3">
        <v>45188</v>
      </c>
      <c r="C5421">
        <v>1</v>
      </c>
      <c r="D5421" t="s">
        <v>207</v>
      </c>
      <c r="E5421" s="57">
        <f>54-46</f>
        <v>8</v>
      </c>
      <c r="F5421" t="s">
        <v>363</v>
      </c>
      <c r="G5421" t="s">
        <v>869</v>
      </c>
      <c r="H5421" t="s">
        <v>928</v>
      </c>
      <c r="I5421" t="s">
        <v>628</v>
      </c>
      <c r="J5421" s="3">
        <v>45204</v>
      </c>
      <c r="L5421" t="s">
        <v>627</v>
      </c>
    </row>
    <row r="5422" spans="1:12" x14ac:dyDescent="0.75">
      <c r="A5422" s="10" t="s">
        <v>48</v>
      </c>
      <c r="B5422" s="3">
        <v>45188</v>
      </c>
      <c r="C5422">
        <v>1</v>
      </c>
      <c r="D5422" t="s">
        <v>197</v>
      </c>
      <c r="E5422" s="22">
        <f>50-34</f>
        <v>16</v>
      </c>
      <c r="F5422" t="s">
        <v>363</v>
      </c>
      <c r="G5422" t="s">
        <v>869</v>
      </c>
      <c r="H5422" t="s">
        <v>928</v>
      </c>
      <c r="I5422" t="s">
        <v>628</v>
      </c>
      <c r="J5422" s="3">
        <v>45204</v>
      </c>
      <c r="L5422" t="s">
        <v>627</v>
      </c>
    </row>
    <row r="5423" spans="1:12" x14ac:dyDescent="0.75">
      <c r="A5423" s="10" t="s">
        <v>48</v>
      </c>
      <c r="B5423" s="3">
        <v>45188</v>
      </c>
      <c r="C5423">
        <v>1</v>
      </c>
      <c r="D5423" t="s">
        <v>197</v>
      </c>
      <c r="E5423" s="22">
        <f>34-26</f>
        <v>8</v>
      </c>
      <c r="F5423" t="s">
        <v>363</v>
      </c>
      <c r="G5423" t="s">
        <v>869</v>
      </c>
      <c r="H5423" t="s">
        <v>928</v>
      </c>
      <c r="I5423" t="s">
        <v>628</v>
      </c>
      <c r="J5423" s="3">
        <v>45204</v>
      </c>
      <c r="L5423" t="s">
        <v>627</v>
      </c>
    </row>
    <row r="5424" spans="1:12" x14ac:dyDescent="0.75">
      <c r="A5424" s="10" t="s">
        <v>48</v>
      </c>
      <c r="B5424" s="3">
        <v>45188</v>
      </c>
      <c r="C5424">
        <v>1</v>
      </c>
      <c r="D5424" t="s">
        <v>207</v>
      </c>
      <c r="E5424" s="57">
        <f>55-50</f>
        <v>5</v>
      </c>
      <c r="F5424" t="s">
        <v>363</v>
      </c>
      <c r="G5424" t="s">
        <v>869</v>
      </c>
      <c r="H5424" t="s">
        <v>928</v>
      </c>
      <c r="I5424" t="s">
        <v>628</v>
      </c>
      <c r="J5424" s="3">
        <v>45204</v>
      </c>
      <c r="L5424" t="s">
        <v>627</v>
      </c>
    </row>
    <row r="5425" spans="1:12" x14ac:dyDescent="0.75">
      <c r="A5425" s="10" t="s">
        <v>48</v>
      </c>
      <c r="B5425" s="3">
        <v>45188</v>
      </c>
      <c r="C5425">
        <v>1</v>
      </c>
      <c r="D5425" t="s">
        <v>197</v>
      </c>
      <c r="E5425" s="22">
        <f>50-23</f>
        <v>27</v>
      </c>
      <c r="F5425" t="s">
        <v>363</v>
      </c>
      <c r="G5425" t="s">
        <v>869</v>
      </c>
      <c r="H5425" t="s">
        <v>928</v>
      </c>
      <c r="I5425" t="s">
        <v>628</v>
      </c>
      <c r="J5425" s="3">
        <v>45204</v>
      </c>
      <c r="L5425" t="s">
        <v>627</v>
      </c>
    </row>
    <row r="5426" spans="1:12" x14ac:dyDescent="0.75">
      <c r="A5426" s="10" t="s">
        <v>48</v>
      </c>
      <c r="B5426" s="3">
        <v>45188</v>
      </c>
      <c r="C5426">
        <v>1</v>
      </c>
      <c r="D5426" t="s">
        <v>197</v>
      </c>
      <c r="E5426" s="57">
        <f>21-0+47-20</f>
        <v>48</v>
      </c>
      <c r="F5426" t="s">
        <v>363</v>
      </c>
      <c r="G5426" t="s">
        <v>869</v>
      </c>
      <c r="H5426" t="s">
        <v>928</v>
      </c>
      <c r="I5426" t="s">
        <v>628</v>
      </c>
      <c r="J5426" s="3">
        <v>45204</v>
      </c>
      <c r="L5426" t="s">
        <v>627</v>
      </c>
    </row>
    <row r="5427" spans="1:12" x14ac:dyDescent="0.75">
      <c r="A5427" s="10" t="s">
        <v>48</v>
      </c>
      <c r="B5427" s="3">
        <v>45188</v>
      </c>
      <c r="C5427">
        <v>1</v>
      </c>
      <c r="D5427" t="s">
        <v>191</v>
      </c>
      <c r="E5427" s="22">
        <f>21-14</f>
        <v>7</v>
      </c>
      <c r="F5427" t="s">
        <v>363</v>
      </c>
      <c r="G5427" t="s">
        <v>869</v>
      </c>
      <c r="H5427" t="s">
        <v>928</v>
      </c>
      <c r="I5427" t="s">
        <v>628</v>
      </c>
      <c r="J5427" s="3">
        <v>45204</v>
      </c>
      <c r="L5427" t="s">
        <v>627</v>
      </c>
    </row>
    <row r="5428" spans="1:12" x14ac:dyDescent="0.75">
      <c r="A5428" s="10" t="s">
        <v>48</v>
      </c>
      <c r="B5428" s="3">
        <v>45188</v>
      </c>
      <c r="C5428">
        <v>1</v>
      </c>
      <c r="D5428" s="10" t="s">
        <v>215</v>
      </c>
      <c r="E5428" s="22">
        <f>14-13</f>
        <v>1</v>
      </c>
      <c r="F5428" t="s">
        <v>363</v>
      </c>
      <c r="G5428" t="s">
        <v>869</v>
      </c>
      <c r="H5428" t="s">
        <v>928</v>
      </c>
      <c r="I5428" t="s">
        <v>628</v>
      </c>
      <c r="J5428" s="3">
        <v>45204</v>
      </c>
      <c r="L5428" t="s">
        <v>627</v>
      </c>
    </row>
    <row r="5429" spans="1:12" x14ac:dyDescent="0.75">
      <c r="A5429" s="10" t="s">
        <v>48</v>
      </c>
      <c r="B5429" s="3">
        <v>45188</v>
      </c>
      <c r="C5429">
        <v>1</v>
      </c>
      <c r="D5429" t="s">
        <v>191</v>
      </c>
      <c r="E5429" s="22">
        <f>13-1</f>
        <v>12</v>
      </c>
      <c r="F5429" t="s">
        <v>363</v>
      </c>
      <c r="G5429" t="s">
        <v>869</v>
      </c>
      <c r="H5429" t="s">
        <v>928</v>
      </c>
      <c r="I5429" t="s">
        <v>628</v>
      </c>
      <c r="J5429" s="3">
        <v>45204</v>
      </c>
      <c r="L5429" t="s">
        <v>627</v>
      </c>
    </row>
    <row r="5430" spans="1:12" x14ac:dyDescent="0.75">
      <c r="A5430" s="10" t="s">
        <v>48</v>
      </c>
      <c r="B5430" s="3">
        <v>45188</v>
      </c>
      <c r="C5430">
        <v>1</v>
      </c>
      <c r="D5430" t="s">
        <v>207</v>
      </c>
      <c r="E5430" s="22">
        <f>27-8</f>
        <v>19</v>
      </c>
      <c r="F5430" t="s">
        <v>363</v>
      </c>
      <c r="G5430" t="s">
        <v>869</v>
      </c>
      <c r="H5430" t="s">
        <v>928</v>
      </c>
      <c r="I5430" t="s">
        <v>628</v>
      </c>
      <c r="J5430" s="3">
        <v>45204</v>
      </c>
      <c r="L5430" t="s">
        <v>627</v>
      </c>
    </row>
    <row r="5431" spans="1:12" x14ac:dyDescent="0.75">
      <c r="A5431" s="10" t="s">
        <v>48</v>
      </c>
      <c r="B5431" s="3">
        <v>45188</v>
      </c>
      <c r="C5431">
        <v>1</v>
      </c>
      <c r="D5431" t="s">
        <v>207</v>
      </c>
      <c r="E5431" s="22">
        <f>8-1</f>
        <v>7</v>
      </c>
      <c r="F5431" t="s">
        <v>363</v>
      </c>
      <c r="G5431" t="s">
        <v>869</v>
      </c>
      <c r="H5431" t="s">
        <v>928</v>
      </c>
      <c r="I5431" t="s">
        <v>628</v>
      </c>
      <c r="J5431" s="3">
        <v>45204</v>
      </c>
      <c r="L5431" t="s">
        <v>627</v>
      </c>
    </row>
    <row r="5432" spans="1:12" s="58" customFormat="1" x14ac:dyDescent="0.75">
      <c r="A5432" s="58" t="s">
        <v>44</v>
      </c>
      <c r="B5432" s="59">
        <v>45189</v>
      </c>
      <c r="C5432" s="58">
        <v>1</v>
      </c>
      <c r="D5432" s="58" t="s">
        <v>191</v>
      </c>
      <c r="E5432" s="60">
        <f>57-48</f>
        <v>9</v>
      </c>
      <c r="F5432" s="58" t="s">
        <v>363</v>
      </c>
      <c r="G5432" s="58" t="s">
        <v>627</v>
      </c>
      <c r="H5432" s="58" t="s">
        <v>928</v>
      </c>
      <c r="I5432" s="58" t="s">
        <v>628</v>
      </c>
      <c r="J5432" s="59">
        <v>45204</v>
      </c>
      <c r="L5432" s="58" t="s">
        <v>627</v>
      </c>
    </row>
    <row r="5433" spans="1:12" s="58" customFormat="1" x14ac:dyDescent="0.75">
      <c r="A5433" s="58" t="s">
        <v>44</v>
      </c>
      <c r="B5433" s="59">
        <v>45189</v>
      </c>
      <c r="C5433" s="58">
        <v>1</v>
      </c>
      <c r="D5433" s="58" t="s">
        <v>197</v>
      </c>
      <c r="E5433" s="60">
        <f>48-46</f>
        <v>2</v>
      </c>
      <c r="F5433" s="58" t="s">
        <v>363</v>
      </c>
      <c r="G5433" s="58" t="s">
        <v>627</v>
      </c>
      <c r="H5433" s="58" t="s">
        <v>928</v>
      </c>
      <c r="I5433" s="58" t="s">
        <v>628</v>
      </c>
      <c r="J5433" s="59">
        <v>45204</v>
      </c>
      <c r="L5433" s="58" t="s">
        <v>627</v>
      </c>
    </row>
    <row r="5434" spans="1:12" s="58" customFormat="1" x14ac:dyDescent="0.75">
      <c r="A5434" s="58" t="s">
        <v>44</v>
      </c>
      <c r="B5434" s="59">
        <v>45189</v>
      </c>
      <c r="C5434" s="58">
        <v>1</v>
      </c>
      <c r="D5434" s="58" t="s">
        <v>176</v>
      </c>
      <c r="E5434" s="60">
        <f>46-36</f>
        <v>10</v>
      </c>
      <c r="F5434" s="58" t="s">
        <v>363</v>
      </c>
      <c r="G5434" s="58" t="s">
        <v>627</v>
      </c>
      <c r="H5434" s="58" t="s">
        <v>928</v>
      </c>
      <c r="I5434" s="58" t="s">
        <v>628</v>
      </c>
      <c r="J5434" s="59">
        <v>45204</v>
      </c>
      <c r="L5434" s="58" t="s">
        <v>627</v>
      </c>
    </row>
    <row r="5435" spans="1:12" s="58" customFormat="1" x14ac:dyDescent="0.75">
      <c r="A5435" s="58" t="s">
        <v>44</v>
      </c>
      <c r="B5435" s="59">
        <v>45189</v>
      </c>
      <c r="C5435" s="58">
        <v>1</v>
      </c>
      <c r="D5435" s="58" t="s">
        <v>201</v>
      </c>
      <c r="E5435" s="60">
        <f>36-32</f>
        <v>4</v>
      </c>
      <c r="F5435" s="58" t="s">
        <v>363</v>
      </c>
      <c r="G5435" s="58" t="s">
        <v>627</v>
      </c>
      <c r="H5435" s="58" t="s">
        <v>928</v>
      </c>
      <c r="I5435" s="58" t="s">
        <v>628</v>
      </c>
      <c r="J5435" s="59">
        <v>45204</v>
      </c>
      <c r="L5435" s="58" t="s">
        <v>627</v>
      </c>
    </row>
    <row r="5436" spans="1:12" s="58" customFormat="1" x14ac:dyDescent="0.75">
      <c r="A5436" s="58" t="s">
        <v>44</v>
      </c>
      <c r="B5436" s="59">
        <v>45189</v>
      </c>
      <c r="C5436" s="58">
        <v>1</v>
      </c>
      <c r="D5436" s="58" t="s">
        <v>201</v>
      </c>
      <c r="E5436" s="60">
        <f>32-22</f>
        <v>10</v>
      </c>
      <c r="F5436" s="58" t="s">
        <v>363</v>
      </c>
      <c r="G5436" s="58" t="s">
        <v>627</v>
      </c>
      <c r="H5436" s="58" t="s">
        <v>928</v>
      </c>
      <c r="I5436" s="58" t="s">
        <v>628</v>
      </c>
      <c r="J5436" s="59">
        <v>45204</v>
      </c>
      <c r="L5436" s="58" t="s">
        <v>627</v>
      </c>
    </row>
    <row r="5437" spans="1:12" s="58" customFormat="1" x14ac:dyDescent="0.75">
      <c r="A5437" s="58" t="s">
        <v>44</v>
      </c>
      <c r="B5437" s="59">
        <v>45189</v>
      </c>
      <c r="C5437" s="58">
        <v>1</v>
      </c>
      <c r="D5437" s="58" t="s">
        <v>168</v>
      </c>
      <c r="E5437" s="60">
        <f>34-12</f>
        <v>22</v>
      </c>
      <c r="F5437" s="58" t="s">
        <v>363</v>
      </c>
      <c r="G5437" s="58" t="s">
        <v>361</v>
      </c>
      <c r="H5437" s="58" t="s">
        <v>928</v>
      </c>
      <c r="I5437" s="58" t="s">
        <v>628</v>
      </c>
      <c r="J5437" s="59">
        <v>45204</v>
      </c>
      <c r="L5437" s="58" t="s">
        <v>627</v>
      </c>
    </row>
    <row r="5438" spans="1:12" s="58" customFormat="1" x14ac:dyDescent="0.75">
      <c r="A5438" s="58" t="s">
        <v>44</v>
      </c>
      <c r="B5438" s="59">
        <v>45189</v>
      </c>
      <c r="C5438" s="58">
        <v>1</v>
      </c>
      <c r="D5438" s="58" t="s">
        <v>201</v>
      </c>
      <c r="E5438" s="60">
        <f>12-0+43-36</f>
        <v>19</v>
      </c>
      <c r="F5438" s="58" t="s">
        <v>363</v>
      </c>
      <c r="G5438" s="58" t="s">
        <v>361</v>
      </c>
      <c r="H5438" s="58" t="s">
        <v>928</v>
      </c>
      <c r="I5438" s="58" t="s">
        <v>628</v>
      </c>
      <c r="J5438" s="59">
        <v>45204</v>
      </c>
      <c r="L5438" s="58" t="s">
        <v>627</v>
      </c>
    </row>
    <row r="5439" spans="1:12" x14ac:dyDescent="0.75">
      <c r="A5439" t="s">
        <v>60</v>
      </c>
      <c r="B5439" s="3">
        <v>45189</v>
      </c>
      <c r="C5439">
        <v>2</v>
      </c>
      <c r="D5439" s="10" t="s">
        <v>194</v>
      </c>
      <c r="E5439" s="22">
        <f>22-10</f>
        <v>12</v>
      </c>
      <c r="F5439" t="s">
        <v>363</v>
      </c>
      <c r="G5439" t="s">
        <v>627</v>
      </c>
      <c r="H5439" t="s">
        <v>928</v>
      </c>
      <c r="I5439" t="s">
        <v>628</v>
      </c>
      <c r="J5439" s="3">
        <v>45204</v>
      </c>
      <c r="L5439" t="s">
        <v>627</v>
      </c>
    </row>
    <row r="5440" spans="1:12" x14ac:dyDescent="0.75">
      <c r="A5440" t="s">
        <v>60</v>
      </c>
      <c r="B5440" s="3">
        <v>45189</v>
      </c>
      <c r="C5440">
        <v>2</v>
      </c>
      <c r="D5440" t="s">
        <v>207</v>
      </c>
      <c r="E5440" s="22">
        <f>10-0</f>
        <v>10</v>
      </c>
      <c r="F5440" t="s">
        <v>363</v>
      </c>
      <c r="G5440" t="s">
        <v>627</v>
      </c>
      <c r="H5440" t="s">
        <v>928</v>
      </c>
      <c r="I5440" t="s">
        <v>628</v>
      </c>
      <c r="J5440" s="3">
        <v>45204</v>
      </c>
      <c r="L5440" t="s">
        <v>627</v>
      </c>
    </row>
    <row r="5441" spans="1:12" x14ac:dyDescent="0.75">
      <c r="A5441" t="s">
        <v>60</v>
      </c>
      <c r="B5441" s="3">
        <v>45189</v>
      </c>
      <c r="C5441">
        <v>2</v>
      </c>
      <c r="D5441" t="s">
        <v>191</v>
      </c>
      <c r="E5441" s="22">
        <f>50-32</f>
        <v>18</v>
      </c>
      <c r="F5441" t="s">
        <v>363</v>
      </c>
      <c r="G5441" t="s">
        <v>627</v>
      </c>
      <c r="H5441" t="s">
        <v>928</v>
      </c>
      <c r="I5441" t="s">
        <v>628</v>
      </c>
      <c r="J5441" s="3">
        <v>45204</v>
      </c>
      <c r="L5441" t="s">
        <v>627</v>
      </c>
    </row>
    <row r="5442" spans="1:12" x14ac:dyDescent="0.75">
      <c r="A5442" t="s">
        <v>60</v>
      </c>
      <c r="B5442" s="3">
        <v>45189</v>
      </c>
      <c r="C5442">
        <v>2</v>
      </c>
      <c r="D5442" t="s">
        <v>197</v>
      </c>
      <c r="E5442" s="22">
        <f>32-18</f>
        <v>14</v>
      </c>
      <c r="F5442" t="s">
        <v>363</v>
      </c>
      <c r="G5442" t="s">
        <v>627</v>
      </c>
      <c r="H5442" t="s">
        <v>928</v>
      </c>
      <c r="I5442" t="s">
        <v>628</v>
      </c>
      <c r="J5442" s="3">
        <v>45204</v>
      </c>
      <c r="L5442" t="s">
        <v>627</v>
      </c>
    </row>
    <row r="5443" spans="1:12" x14ac:dyDescent="0.75">
      <c r="A5443" t="s">
        <v>60</v>
      </c>
      <c r="B5443" s="3">
        <v>45189</v>
      </c>
      <c r="C5443">
        <v>2</v>
      </c>
      <c r="D5443" t="s">
        <v>153</v>
      </c>
      <c r="E5443" s="22">
        <f>18-11</f>
        <v>7</v>
      </c>
      <c r="F5443" t="s">
        <v>363</v>
      </c>
      <c r="G5443" t="s">
        <v>627</v>
      </c>
      <c r="H5443" t="s">
        <v>928</v>
      </c>
      <c r="I5443" t="s">
        <v>628</v>
      </c>
      <c r="J5443" s="3">
        <v>45204</v>
      </c>
      <c r="L5443" t="s">
        <v>627</v>
      </c>
    </row>
    <row r="5444" spans="1:12" x14ac:dyDescent="0.75">
      <c r="A5444" t="s">
        <v>60</v>
      </c>
      <c r="B5444" s="3">
        <v>45189</v>
      </c>
      <c r="C5444">
        <v>2</v>
      </c>
      <c r="D5444" t="s">
        <v>191</v>
      </c>
      <c r="E5444" s="22">
        <f>36-34</f>
        <v>2</v>
      </c>
      <c r="F5444" t="s">
        <v>363</v>
      </c>
      <c r="G5444" t="s">
        <v>361</v>
      </c>
      <c r="H5444" t="s">
        <v>928</v>
      </c>
      <c r="I5444" t="s">
        <v>628</v>
      </c>
      <c r="J5444" s="3">
        <v>45204</v>
      </c>
      <c r="L5444" t="s">
        <v>627</v>
      </c>
    </row>
    <row r="5445" spans="1:12" s="58" customFormat="1" x14ac:dyDescent="0.75">
      <c r="A5445" s="58" t="s">
        <v>39</v>
      </c>
      <c r="B5445" s="59">
        <v>45189</v>
      </c>
      <c r="C5445" s="58">
        <v>3</v>
      </c>
      <c r="D5445" s="58" t="s">
        <v>153</v>
      </c>
      <c r="E5445" s="60">
        <f>34-24</f>
        <v>10</v>
      </c>
      <c r="F5445" s="58" t="s">
        <v>363</v>
      </c>
      <c r="G5445" s="58" t="s">
        <v>361</v>
      </c>
      <c r="H5445" s="58" t="s">
        <v>928</v>
      </c>
      <c r="I5445" s="58" t="s">
        <v>628</v>
      </c>
      <c r="J5445" s="59">
        <v>45204</v>
      </c>
      <c r="L5445" s="58" t="s">
        <v>627</v>
      </c>
    </row>
    <row r="5446" spans="1:12" x14ac:dyDescent="0.75">
      <c r="A5446" t="s">
        <v>39</v>
      </c>
      <c r="B5446" s="3">
        <v>45190</v>
      </c>
      <c r="C5446">
        <v>1</v>
      </c>
      <c r="D5446" t="s">
        <v>168</v>
      </c>
      <c r="E5446" s="57">
        <f>58-51</f>
        <v>7</v>
      </c>
      <c r="F5446" t="s">
        <v>363</v>
      </c>
      <c r="G5446" t="s">
        <v>627</v>
      </c>
      <c r="H5446" t="s">
        <v>928</v>
      </c>
      <c r="I5446" t="s">
        <v>628</v>
      </c>
      <c r="J5446" s="3">
        <v>45217</v>
      </c>
      <c r="L5446" t="s">
        <v>627</v>
      </c>
    </row>
    <row r="5447" spans="1:12" x14ac:dyDescent="0.75">
      <c r="A5447" t="s">
        <v>39</v>
      </c>
      <c r="B5447" s="3">
        <v>45190</v>
      </c>
      <c r="C5447">
        <v>1</v>
      </c>
      <c r="D5447" t="s">
        <v>168</v>
      </c>
      <c r="E5447" s="22">
        <f>54-48</f>
        <v>6</v>
      </c>
      <c r="F5447" t="s">
        <v>363</v>
      </c>
      <c r="G5447" t="s">
        <v>361</v>
      </c>
      <c r="H5447" t="s">
        <v>928</v>
      </c>
      <c r="I5447" t="s">
        <v>628</v>
      </c>
      <c r="J5447" s="3">
        <v>45217</v>
      </c>
      <c r="L5447" t="s">
        <v>627</v>
      </c>
    </row>
    <row r="5448" spans="1:12" s="58" customFormat="1" x14ac:dyDescent="0.75">
      <c r="A5448" s="58" t="s">
        <v>722</v>
      </c>
      <c r="B5448" s="59">
        <v>45209</v>
      </c>
      <c r="C5448" s="58">
        <v>1</v>
      </c>
      <c r="D5448" s="58" t="s">
        <v>207</v>
      </c>
      <c r="E5448" s="60">
        <f>45-2-35</f>
        <v>8</v>
      </c>
      <c r="F5448" s="58" t="s">
        <v>363</v>
      </c>
      <c r="G5448" s="58" t="s">
        <v>361</v>
      </c>
      <c r="H5448" s="58" t="s">
        <v>928</v>
      </c>
      <c r="L5448" s="58" t="s">
        <v>628</v>
      </c>
    </row>
    <row r="5449" spans="1:12" x14ac:dyDescent="0.75">
      <c r="A5449" t="s">
        <v>23</v>
      </c>
      <c r="B5449" s="3">
        <v>45209</v>
      </c>
      <c r="C5449">
        <v>2</v>
      </c>
      <c r="D5449" t="s">
        <v>153</v>
      </c>
      <c r="E5449" s="22">
        <f>59-2-48</f>
        <v>9</v>
      </c>
      <c r="F5449" t="s">
        <v>363</v>
      </c>
      <c r="G5449" t="s">
        <v>627</v>
      </c>
      <c r="H5449" t="s">
        <v>928</v>
      </c>
      <c r="L5449" t="s">
        <v>628</v>
      </c>
    </row>
    <row r="5450" spans="1:12" x14ac:dyDescent="0.75">
      <c r="A5450" t="s">
        <v>23</v>
      </c>
      <c r="B5450" s="3">
        <v>45209</v>
      </c>
      <c r="C5450">
        <v>2</v>
      </c>
      <c r="D5450" t="s">
        <v>153</v>
      </c>
      <c r="E5450" s="22">
        <f>48-45</f>
        <v>3</v>
      </c>
      <c r="F5450" t="s">
        <v>363</v>
      </c>
      <c r="G5450" t="s">
        <v>627</v>
      </c>
      <c r="H5450" t="s">
        <v>928</v>
      </c>
      <c r="L5450" t="s">
        <v>628</v>
      </c>
    </row>
    <row r="5451" spans="1:12" s="58" customFormat="1" x14ac:dyDescent="0.75">
      <c r="A5451" s="58" t="s">
        <v>723</v>
      </c>
      <c r="B5451" s="59">
        <v>45210</v>
      </c>
      <c r="C5451" s="58">
        <v>1</v>
      </c>
      <c r="D5451" s="58" t="s">
        <v>153</v>
      </c>
      <c r="E5451" s="60">
        <f>40-32</f>
        <v>8</v>
      </c>
      <c r="F5451" s="58" t="s">
        <v>363</v>
      </c>
      <c r="G5451" s="58" t="s">
        <v>869</v>
      </c>
      <c r="H5451" s="58" t="s">
        <v>928</v>
      </c>
      <c r="L5451" s="58" t="s">
        <v>628</v>
      </c>
    </row>
    <row r="5452" spans="1:12" x14ac:dyDescent="0.75">
      <c r="A5452" t="s">
        <v>116</v>
      </c>
      <c r="B5452" s="3">
        <v>45210</v>
      </c>
      <c r="C5452">
        <v>1</v>
      </c>
      <c r="D5452" t="s">
        <v>168</v>
      </c>
      <c r="E5452" s="22">
        <f>52-18</f>
        <v>34</v>
      </c>
      <c r="G5452" t="s">
        <v>733</v>
      </c>
      <c r="H5452" t="s">
        <v>928</v>
      </c>
      <c r="L5452" t="s">
        <v>628</v>
      </c>
    </row>
    <row r="5453" spans="1:12" x14ac:dyDescent="0.75">
      <c r="A5453" t="s">
        <v>116</v>
      </c>
      <c r="B5453" s="3">
        <v>45210</v>
      </c>
      <c r="C5453">
        <v>1</v>
      </c>
      <c r="D5453" t="s">
        <v>168</v>
      </c>
      <c r="E5453" s="22">
        <f>18-9</f>
        <v>9</v>
      </c>
      <c r="G5453" t="s">
        <v>733</v>
      </c>
      <c r="H5453" t="s">
        <v>928</v>
      </c>
      <c r="L5453" t="s">
        <v>628</v>
      </c>
    </row>
    <row r="5454" spans="1:12" x14ac:dyDescent="0.75">
      <c r="A5454" t="s">
        <v>116</v>
      </c>
      <c r="B5454" s="3">
        <v>45210</v>
      </c>
      <c r="C5454">
        <v>1</v>
      </c>
      <c r="D5454" t="s">
        <v>168</v>
      </c>
      <c r="E5454" s="22">
        <f>24-10</f>
        <v>14</v>
      </c>
      <c r="G5454" t="s">
        <v>733</v>
      </c>
      <c r="H5454" t="s">
        <v>928</v>
      </c>
      <c r="L5454" t="s">
        <v>628</v>
      </c>
    </row>
    <row r="5455" spans="1:12" s="58" customFormat="1" x14ac:dyDescent="0.75">
      <c r="A5455" s="58" t="s">
        <v>96</v>
      </c>
      <c r="B5455" s="59">
        <v>45216</v>
      </c>
      <c r="C5455" s="58">
        <v>1</v>
      </c>
      <c r="D5455" s="58" t="s">
        <v>153</v>
      </c>
      <c r="E5455" s="60">
        <v>42</v>
      </c>
      <c r="F5455" s="58" t="s">
        <v>363</v>
      </c>
      <c r="G5455" s="58" t="s">
        <v>627</v>
      </c>
      <c r="H5455" s="58" t="s">
        <v>928</v>
      </c>
      <c r="L5455" s="58" t="s">
        <v>668</v>
      </c>
    </row>
  </sheetData>
  <sortState xmlns:xlrd2="http://schemas.microsoft.com/office/spreadsheetml/2017/richdata2" ref="A4461:P5455">
    <sortCondition ref="B4461:B5455"/>
    <sortCondition ref="C4461:C5455"/>
  </sortState>
  <dataValidations count="8">
    <dataValidation operator="greaterThan" allowBlank="1" showInputMessage="1" showErrorMessage="1" sqref="C1" xr:uid="{3E12CDA5-307A-49DD-B866-C2541CC46C69}"/>
    <dataValidation operator="greaterThanOrEqual" allowBlank="1" showInputMessage="1" showErrorMessage="1" sqref="E2:E1319 P1300 E1321:E1344 E1346:E1444 E1446:E1463 E1466:E1504 E1506:E1583 E1599:E1697 E1699:E1900 E1902:E1923 E1925:E1998 E2000:E2091 E2093:E2110 E2112:E2213 E2242:E2243 E2251:E2265 E2268:E2293 E2215:E2240 E2295:E2325 E2327:E2337 E2339:E2343 E2346:E2352 E2354:E2371 E2375:E2431 E2433:E2444 E2605:E2616 E2708:E2711 E2632 E2586 E2446:E2486 E2669:E2703 E2644:E2667 E2713:E2752 E2895:E2917 E2754:E2893 E2919:E3198 E3200:E3329 E3332:E3418 E3420:E3421 E3423:E3441 E3444:E3490 E3492:E3537 E3539 E3541:E3666 E3668:E3727 E3817:E3819 E3729:E3815 E3822:E3838 E3840:E3862 E3867:E3868 E3870:E3878 E3880:E3888 E3890:E3897 E3899:E3925 E3928:E4001 E4005:E4188 E4190:E4239 E4241:E4319 E4322 E4326:E4330 E4324 E4333:E4364 E4367:E4590 E4987:E5022 E4592:E4659 E4661:E4792 E4795:E4834 E4836:E4977 E4979:E4985 E5170:E5181 E5036:E5168 E5183:E5187 E5189:E5307 E5309:E1048576" xr:uid="{13FA8249-D9BD-4882-9787-19023C4C90F2}"/>
    <dataValidation type="whole" operator="greaterThan" allowBlank="1" showInputMessage="1" showErrorMessage="1" sqref="C2:C1583 C2612:C2617 C2632 C1606:C2486 C5309:C1048576 M5408 C5036:C5307 C2644:C5022" xr:uid="{CFF81821-A77B-4835-831F-7319E08D2356}">
      <formula1>0</formula1>
    </dataValidation>
    <dataValidation type="date" operator="greaterThan" allowBlank="1" showInputMessage="1" showErrorMessage="1" sqref="J2:J1583 J2486 J2540:J2585 J2618 J2627:J2632 J2604:J2611 J1599:J2404 J2411:J2428 J2431:J2435 J2445 J2453:J2465 J2468:J2470 J2472:J2484 J2636:J5022 J5036:J1048576" xr:uid="{9780005F-F3AF-4B93-88B2-A2D70F957AF5}">
      <formula1>44682</formula1>
    </dataValidation>
    <dataValidation type="list" allowBlank="1" showInputMessage="1" showErrorMessage="1" sqref="H2:H3152 H5108 H3154:H5022 H5065 H5074 H5118 H5141 H5151 H5161 H5153 H5155 H5157 H5159 H5163:H5164 H5457:H1048576 H5193 H5204 H5226 H5232 H5187" xr:uid="{E3EEA90E-1CD7-4D68-BC1D-5599255745C3}">
      <formula1>"Y, N"</formula1>
    </dataValidation>
    <dataValidation type="list" allowBlank="1" showInputMessage="1" showErrorMessage="1" sqref="G2:G5022 L5235:L5241 L5245:L5251 L5253:L5259 L5261:L5267 L5269:L5271 L5273:L5275 L5277:L5279 L5281:L5302 L5410 L5428 L5430 G5036:G1048576" xr:uid="{FD5D26B5-A350-41BE-AA84-EE4D5C8109AD}">
      <formula1>"Other, SVH &amp; KAB, SGJ &amp; KAB, MLBS, SG, SVH, ND, AB, Visitor, MLBS &amp; Visitor, SGJ &amp; Visitor, KAB &amp; Visitor, SVH &amp; Visitor, KB, SVH &amp; SGJ"</formula1>
    </dataValidation>
    <dataValidation type="date" operator="greaterThan" allowBlank="1" showInputMessage="1" showErrorMessage="1" sqref="B2:B5022 B5036:B1048576" xr:uid="{96ECB5BE-2487-4ACF-8071-359A17A5210C}">
      <formula1>44581</formula1>
    </dataValidation>
    <dataValidation type="list" allowBlank="1" showInputMessage="1" showErrorMessage="1" sqref="I2:I1048576" xr:uid="{C7E19574-9F47-4108-B768-1861E94C7DBA}">
      <formula1>"SVH, KAB, MLBS, SGJ, AB"</formula1>
    </dataValidation>
  </dataValidations>
  <pageMargins left="0.7" right="0.7" top="0.75" bottom="0.75" header="0.3" footer="0.3"/>
  <pageSetup scale="125" fitToHeight="0"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1DBBC864-E721-471F-8637-E2C4226714F2}">
          <x14:formula1>
            <xm:f>Metadata!$B$9:$B$43</xm:f>
          </x14:formula1>
          <xm:sqref>A2:A5022 K5408 A5036:A5451 A5453:A1048576</xm:sqref>
        </x14:dataValidation>
        <x14:dataValidation type="list" allowBlank="1" showInputMessage="1" showErrorMessage="1" xr:uid="{4E40F438-C115-43C0-AA43-92E3F0D6E830}">
          <x14:formula1>
            <xm:f>Metadata!$A$47:$A$75</xm:f>
          </x14:formula1>
          <xm:sqref>D2:D5307 D5309:D1048576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3758-41AE-486C-93F7-337FA9139930}">
  <dimension ref="A1:G124"/>
  <sheetViews>
    <sheetView workbookViewId="0">
      <pane ySplit="1" topLeftCell="A104" activePane="bottomLeft" state="frozen"/>
      <selection pane="bottomLeft" activeCell="G128" sqref="G128"/>
    </sheetView>
  </sheetViews>
  <sheetFormatPr defaultRowHeight="14.75" x14ac:dyDescent="0.75"/>
  <cols>
    <col min="1" max="1" width="11.40625" style="3" bestFit="1" customWidth="1"/>
    <col min="2" max="2" width="10" bestFit="1" customWidth="1"/>
    <col min="3" max="3" width="10" style="223" customWidth="1"/>
    <col min="4" max="4" width="14.54296875" bestFit="1" customWidth="1"/>
    <col min="5" max="5" width="26.54296875" customWidth="1"/>
    <col min="6" max="6" width="27.54296875" style="22" customWidth="1"/>
    <col min="7" max="7" width="86.26953125" customWidth="1"/>
  </cols>
  <sheetData>
    <row r="1" spans="1:7" s="11" customFormat="1" ht="63.65" customHeight="1" x14ac:dyDescent="0.75">
      <c r="A1" s="12" t="s">
        <v>1002</v>
      </c>
      <c r="B1" s="11" t="s">
        <v>1003</v>
      </c>
      <c r="C1" s="222" t="s">
        <v>297</v>
      </c>
      <c r="D1" s="11" t="s">
        <v>299</v>
      </c>
      <c r="E1" s="11" t="s">
        <v>301</v>
      </c>
      <c r="F1" s="41" t="s">
        <v>1004</v>
      </c>
      <c r="G1" s="11" t="s">
        <v>18</v>
      </c>
    </row>
    <row r="2" spans="1:7" x14ac:dyDescent="0.75">
      <c r="A2" s="3">
        <v>44713</v>
      </c>
      <c r="B2">
        <f>450+56.8</f>
        <v>506.8</v>
      </c>
      <c r="C2" s="303">
        <f>B2/1.475</f>
        <v>343.59322033898303</v>
      </c>
      <c r="D2">
        <v>0</v>
      </c>
      <c r="E2" t="s">
        <v>363</v>
      </c>
      <c r="F2" s="22">
        <v>0</v>
      </c>
    </row>
    <row r="3" spans="1:7" x14ac:dyDescent="0.75">
      <c r="A3" s="3">
        <v>44720</v>
      </c>
      <c r="B3">
        <f>400+50</f>
        <v>450</v>
      </c>
      <c r="C3" s="303">
        <f t="shared" ref="C3:C66" si="0">B3/1.475</f>
        <v>305.08474576271186</v>
      </c>
      <c r="D3">
        <v>0</v>
      </c>
      <c r="E3" t="s">
        <v>363</v>
      </c>
      <c r="F3" s="22">
        <v>40</v>
      </c>
    </row>
    <row r="4" spans="1:7" x14ac:dyDescent="0.75">
      <c r="A4" s="3">
        <v>44721</v>
      </c>
      <c r="B4">
        <f>800+100</f>
        <v>900</v>
      </c>
      <c r="C4" s="303">
        <f t="shared" si="0"/>
        <v>610.16949152542372</v>
      </c>
      <c r="D4">
        <v>0</v>
      </c>
      <c r="E4" t="s">
        <v>363</v>
      </c>
      <c r="F4" s="22">
        <v>0</v>
      </c>
    </row>
    <row r="5" spans="1:7" x14ac:dyDescent="0.75">
      <c r="A5" s="3">
        <v>44725</v>
      </c>
      <c r="B5">
        <f>800+100</f>
        <v>900</v>
      </c>
      <c r="C5" s="303">
        <f t="shared" si="0"/>
        <v>610.16949152542372</v>
      </c>
      <c r="D5">
        <v>0</v>
      </c>
      <c r="E5" t="s">
        <v>363</v>
      </c>
      <c r="F5" s="22">
        <v>0</v>
      </c>
    </row>
    <row r="6" spans="1:7" x14ac:dyDescent="0.75">
      <c r="A6" s="3">
        <v>44722</v>
      </c>
      <c r="B6">
        <v>0</v>
      </c>
      <c r="C6" s="303">
        <f t="shared" si="0"/>
        <v>0</v>
      </c>
      <c r="D6">
        <v>170</v>
      </c>
      <c r="E6" t="s">
        <v>1005</v>
      </c>
      <c r="F6" s="22">
        <v>0</v>
      </c>
      <c r="G6" t="s">
        <v>1006</v>
      </c>
    </row>
    <row r="7" spans="1:7" x14ac:dyDescent="0.75">
      <c r="A7" s="3">
        <v>44740</v>
      </c>
      <c r="B7">
        <f>400+50</f>
        <v>450</v>
      </c>
      <c r="C7" s="303">
        <f t="shared" si="0"/>
        <v>305.08474576271186</v>
      </c>
      <c r="D7">
        <v>0</v>
      </c>
      <c r="E7" t="s">
        <v>363</v>
      </c>
      <c r="F7" s="22">
        <v>0</v>
      </c>
    </row>
    <row r="8" spans="1:7" x14ac:dyDescent="0.75">
      <c r="A8" s="3">
        <v>44742</v>
      </c>
      <c r="B8">
        <f>400+50</f>
        <v>450</v>
      </c>
      <c r="C8" s="303">
        <f t="shared" si="0"/>
        <v>305.08474576271186</v>
      </c>
      <c r="D8">
        <v>0</v>
      </c>
      <c r="E8" t="s">
        <v>363</v>
      </c>
      <c r="F8" s="22">
        <v>0</v>
      </c>
      <c r="G8" t="s">
        <v>1007</v>
      </c>
    </row>
    <row r="9" spans="1:7" x14ac:dyDescent="0.75">
      <c r="A9" s="3">
        <v>44748</v>
      </c>
      <c r="B9">
        <f>1200+150</f>
        <v>1350</v>
      </c>
      <c r="C9" s="303">
        <f t="shared" si="0"/>
        <v>915.25423728813553</v>
      </c>
      <c r="D9">
        <v>0</v>
      </c>
      <c r="E9" t="s">
        <v>363</v>
      </c>
      <c r="F9" s="22">
        <v>40</v>
      </c>
      <c r="G9" t="s">
        <v>1008</v>
      </c>
    </row>
    <row r="10" spans="1:7" x14ac:dyDescent="0.75">
      <c r="A10" s="3">
        <v>44750</v>
      </c>
      <c r="B10">
        <f>400+50</f>
        <v>450</v>
      </c>
      <c r="C10" s="303">
        <f t="shared" si="0"/>
        <v>305.08474576271186</v>
      </c>
      <c r="D10">
        <v>0</v>
      </c>
      <c r="E10" t="s">
        <v>363</v>
      </c>
      <c r="F10" s="22">
        <v>0</v>
      </c>
      <c r="G10" t="s">
        <v>1009</v>
      </c>
    </row>
    <row r="11" spans="1:7" x14ac:dyDescent="0.75">
      <c r="A11" s="3">
        <v>44754</v>
      </c>
      <c r="B11">
        <f>50+400</f>
        <v>450</v>
      </c>
      <c r="C11" s="303">
        <f t="shared" si="0"/>
        <v>305.08474576271186</v>
      </c>
      <c r="D11">
        <v>0</v>
      </c>
      <c r="E11" t="s">
        <v>363</v>
      </c>
      <c r="F11" s="57">
        <v>0</v>
      </c>
      <c r="G11" t="s">
        <v>1010</v>
      </c>
    </row>
    <row r="12" spans="1:7" x14ac:dyDescent="0.75">
      <c r="A12" s="3">
        <v>44757</v>
      </c>
      <c r="B12">
        <f>400+50</f>
        <v>450</v>
      </c>
      <c r="C12" s="303">
        <f t="shared" si="0"/>
        <v>305.08474576271186</v>
      </c>
      <c r="D12">
        <v>0</v>
      </c>
      <c r="E12" t="s">
        <v>363</v>
      </c>
      <c r="F12" s="22">
        <v>0</v>
      </c>
      <c r="G12" t="s">
        <v>1011</v>
      </c>
    </row>
    <row r="13" spans="1:7" x14ac:dyDescent="0.75">
      <c r="A13" s="3">
        <v>44761</v>
      </c>
      <c r="B13">
        <v>0</v>
      </c>
      <c r="C13" s="303">
        <f t="shared" si="0"/>
        <v>0</v>
      </c>
      <c r="D13">
        <v>0</v>
      </c>
      <c r="E13" t="s">
        <v>363</v>
      </c>
      <c r="F13" s="22">
        <f>175/2</f>
        <v>87.5</v>
      </c>
    </row>
    <row r="14" spans="1:7" x14ac:dyDescent="0.75">
      <c r="A14" s="3">
        <v>44762</v>
      </c>
      <c r="B14">
        <f>400+50</f>
        <v>450</v>
      </c>
      <c r="C14" s="303">
        <f t="shared" si="0"/>
        <v>305.08474576271186</v>
      </c>
      <c r="D14">
        <v>0</v>
      </c>
      <c r="E14" t="s">
        <v>363</v>
      </c>
      <c r="F14" s="22">
        <v>0</v>
      </c>
      <c r="G14" t="s">
        <v>1012</v>
      </c>
    </row>
    <row r="15" spans="1:7" x14ac:dyDescent="0.75">
      <c r="A15" s="3">
        <v>44768</v>
      </c>
      <c r="B15">
        <v>900</v>
      </c>
      <c r="C15" s="303">
        <f t="shared" si="0"/>
        <v>610.16949152542372</v>
      </c>
      <c r="D15">
        <v>0</v>
      </c>
      <c r="E15" t="s">
        <v>363</v>
      </c>
      <c r="F15" s="22">
        <v>0</v>
      </c>
      <c r="G15" t="s">
        <v>1013</v>
      </c>
    </row>
    <row r="16" spans="1:7" x14ac:dyDescent="0.75">
      <c r="A16" s="3">
        <v>44769</v>
      </c>
      <c r="B16">
        <v>900</v>
      </c>
      <c r="C16" s="303">
        <f t="shared" si="0"/>
        <v>610.16949152542372</v>
      </c>
      <c r="D16">
        <v>0</v>
      </c>
      <c r="E16" t="s">
        <v>363</v>
      </c>
      <c r="F16" s="22">
        <v>0</v>
      </c>
      <c r="G16" t="s">
        <v>1014</v>
      </c>
    </row>
    <row r="17" spans="1:7" x14ac:dyDescent="0.75">
      <c r="A17" s="3">
        <v>44770</v>
      </c>
      <c r="B17">
        <v>450</v>
      </c>
      <c r="C17" s="303">
        <f t="shared" si="0"/>
        <v>305.08474576271186</v>
      </c>
      <c r="D17">
        <v>0</v>
      </c>
      <c r="E17" t="s">
        <v>363</v>
      </c>
      <c r="F17" s="22">
        <v>111</v>
      </c>
    </row>
    <row r="18" spans="1:7" x14ac:dyDescent="0.75">
      <c r="A18" s="3">
        <v>44777</v>
      </c>
      <c r="B18">
        <v>450</v>
      </c>
      <c r="C18" s="303">
        <f t="shared" si="0"/>
        <v>305.08474576271186</v>
      </c>
      <c r="D18">
        <v>0</v>
      </c>
      <c r="E18" t="s">
        <v>363</v>
      </c>
      <c r="F18" s="22">
        <v>60</v>
      </c>
    </row>
    <row r="19" spans="1:7" x14ac:dyDescent="0.75">
      <c r="A19" s="3">
        <v>44782</v>
      </c>
      <c r="B19">
        <v>450</v>
      </c>
      <c r="C19" s="303">
        <f t="shared" si="0"/>
        <v>305.08474576271186</v>
      </c>
      <c r="D19">
        <v>0</v>
      </c>
      <c r="E19" t="s">
        <v>363</v>
      </c>
      <c r="F19" s="22">
        <v>0</v>
      </c>
      <c r="G19" t="s">
        <v>1015</v>
      </c>
    </row>
    <row r="20" spans="1:7" x14ac:dyDescent="0.75">
      <c r="A20" s="3">
        <v>44782</v>
      </c>
      <c r="B20">
        <v>900</v>
      </c>
      <c r="C20" s="303">
        <f t="shared" si="0"/>
        <v>610.16949152542372</v>
      </c>
      <c r="D20">
        <v>1</v>
      </c>
      <c r="E20" t="s">
        <v>363</v>
      </c>
      <c r="F20" s="22">
        <v>260</v>
      </c>
      <c r="G20" t="s">
        <v>1016</v>
      </c>
    </row>
    <row r="21" spans="1:7" x14ac:dyDescent="0.75">
      <c r="A21" s="3">
        <v>44789</v>
      </c>
      <c r="B21">
        <v>900</v>
      </c>
      <c r="C21" s="303">
        <f t="shared" si="0"/>
        <v>610.16949152542372</v>
      </c>
      <c r="D21">
        <v>0</v>
      </c>
      <c r="E21" t="s">
        <v>363</v>
      </c>
      <c r="F21" s="22">
        <v>0</v>
      </c>
      <c r="G21" t="s">
        <v>1017</v>
      </c>
    </row>
    <row r="22" spans="1:7" x14ac:dyDescent="0.75">
      <c r="A22" s="3">
        <v>44790</v>
      </c>
      <c r="B22">
        <v>675</v>
      </c>
      <c r="C22" s="303">
        <f t="shared" si="0"/>
        <v>457.62711864406776</v>
      </c>
      <c r="D22">
        <v>0</v>
      </c>
      <c r="E22" t="s">
        <v>363</v>
      </c>
      <c r="F22" s="22">
        <f>11+67+50+50+27+31</f>
        <v>236</v>
      </c>
    </row>
    <row r="23" spans="1:7" x14ac:dyDescent="0.75">
      <c r="A23" s="3">
        <v>44816</v>
      </c>
      <c r="B23">
        <v>900</v>
      </c>
      <c r="C23" s="303">
        <f t="shared" si="0"/>
        <v>610.16949152542372</v>
      </c>
      <c r="D23">
        <v>0</v>
      </c>
      <c r="E23" t="s">
        <v>363</v>
      </c>
      <c r="F23" s="22">
        <f>38+37+2+3+6</f>
        <v>86</v>
      </c>
    </row>
    <row r="24" spans="1:7" x14ac:dyDescent="0.75">
      <c r="A24" s="3">
        <v>44825</v>
      </c>
      <c r="B24">
        <v>450</v>
      </c>
      <c r="C24" s="303">
        <f t="shared" si="0"/>
        <v>305.08474576271186</v>
      </c>
      <c r="D24">
        <v>0</v>
      </c>
      <c r="E24" t="s">
        <v>363</v>
      </c>
      <c r="F24" s="22">
        <v>0</v>
      </c>
    </row>
    <row r="25" spans="1:7" x14ac:dyDescent="0.75">
      <c r="A25" s="3">
        <v>44826</v>
      </c>
      <c r="B25">
        <v>450</v>
      </c>
      <c r="C25" s="303">
        <f t="shared" si="0"/>
        <v>305.08474576271186</v>
      </c>
      <c r="D25">
        <v>0</v>
      </c>
      <c r="E25" t="s">
        <v>363</v>
      </c>
      <c r="F25" s="22">
        <v>0</v>
      </c>
    </row>
    <row r="26" spans="1:7" x14ac:dyDescent="0.75">
      <c r="A26" s="3">
        <v>44831</v>
      </c>
      <c r="B26">
        <v>675</v>
      </c>
      <c r="C26" s="303">
        <f t="shared" si="0"/>
        <v>457.62711864406776</v>
      </c>
      <c r="D26">
        <v>0</v>
      </c>
      <c r="E26" t="s">
        <v>363</v>
      </c>
      <c r="F26" s="22">
        <f>6+26+13</f>
        <v>45</v>
      </c>
    </row>
    <row r="27" spans="1:7" x14ac:dyDescent="0.75">
      <c r="A27" s="3">
        <v>44838</v>
      </c>
      <c r="B27">
        <v>900</v>
      </c>
      <c r="C27" s="303">
        <f t="shared" si="0"/>
        <v>610.16949152542372</v>
      </c>
      <c r="D27">
        <v>0</v>
      </c>
      <c r="E27" t="s">
        <v>363</v>
      </c>
      <c r="F27" s="22">
        <v>0</v>
      </c>
    </row>
    <row r="28" spans="1:7" x14ac:dyDescent="0.75">
      <c r="A28" s="3">
        <v>44839</v>
      </c>
      <c r="B28">
        <v>900</v>
      </c>
      <c r="C28" s="303">
        <f t="shared" si="0"/>
        <v>610.16949152542372</v>
      </c>
      <c r="D28">
        <v>0</v>
      </c>
      <c r="E28" t="s">
        <v>363</v>
      </c>
      <c r="F28" s="22">
        <f>120+27+26+13+150</f>
        <v>336</v>
      </c>
    </row>
    <row r="29" spans="1:7" x14ac:dyDescent="0.75">
      <c r="A29" s="3">
        <v>44853</v>
      </c>
      <c r="B29">
        <v>675</v>
      </c>
      <c r="C29" s="303">
        <f t="shared" si="0"/>
        <v>457.62711864406776</v>
      </c>
      <c r="D29">
        <v>0</v>
      </c>
      <c r="E29" t="s">
        <v>363</v>
      </c>
      <c r="F29" s="22">
        <v>0</v>
      </c>
      <c r="G29" t="s">
        <v>1018</v>
      </c>
    </row>
    <row r="30" spans="1:7" x14ac:dyDescent="0.75">
      <c r="A30" s="3">
        <v>44853</v>
      </c>
      <c r="B30">
        <v>450</v>
      </c>
      <c r="C30" s="303">
        <f t="shared" si="0"/>
        <v>305.08474576271186</v>
      </c>
      <c r="D30">
        <v>0</v>
      </c>
      <c r="E30" t="s">
        <v>363</v>
      </c>
      <c r="F30" s="22">
        <v>0</v>
      </c>
    </row>
    <row r="31" spans="1:7" x14ac:dyDescent="0.75">
      <c r="A31" s="3">
        <v>44854</v>
      </c>
      <c r="B31">
        <v>0</v>
      </c>
      <c r="C31" s="303">
        <f t="shared" si="0"/>
        <v>0</v>
      </c>
      <c r="D31">
        <v>0</v>
      </c>
      <c r="E31" t="s">
        <v>363</v>
      </c>
      <c r="F31" s="22">
        <f>54+50+40+50+11+32+33+48</f>
        <v>318</v>
      </c>
      <c r="G31" s="4" t="s">
        <v>1019</v>
      </c>
    </row>
    <row r="32" spans="1:7" x14ac:dyDescent="0.75">
      <c r="A32" s="3">
        <v>44858</v>
      </c>
      <c r="B32">
        <v>675</v>
      </c>
      <c r="C32" s="303">
        <f t="shared" si="0"/>
        <v>457.62711864406776</v>
      </c>
      <c r="D32">
        <v>0</v>
      </c>
      <c r="E32" t="s">
        <v>363</v>
      </c>
      <c r="F32" s="22">
        <v>0</v>
      </c>
      <c r="G32" s="4" t="s">
        <v>1020</v>
      </c>
    </row>
    <row r="33" spans="1:7" x14ac:dyDescent="0.75">
      <c r="A33" s="3">
        <v>44859</v>
      </c>
      <c r="B33">
        <v>0</v>
      </c>
      <c r="C33" s="303">
        <f t="shared" si="0"/>
        <v>0</v>
      </c>
      <c r="D33">
        <v>0</v>
      </c>
      <c r="E33" t="s">
        <v>363</v>
      </c>
      <c r="F33" s="22">
        <v>374</v>
      </c>
      <c r="G33" s="4" t="s">
        <v>1021</v>
      </c>
    </row>
    <row r="34" spans="1:7" x14ac:dyDescent="0.75">
      <c r="A34" s="3">
        <v>44867</v>
      </c>
      <c r="B34">
        <v>675</v>
      </c>
      <c r="C34" s="303">
        <f t="shared" si="0"/>
        <v>457.62711864406776</v>
      </c>
      <c r="D34">
        <v>0</v>
      </c>
      <c r="E34" t="s">
        <v>363</v>
      </c>
      <c r="F34" s="22">
        <v>0</v>
      </c>
    </row>
    <row r="35" spans="1:7" x14ac:dyDescent="0.75">
      <c r="A35" s="3">
        <v>44868</v>
      </c>
      <c r="B35">
        <v>225</v>
      </c>
      <c r="C35" s="303">
        <f t="shared" si="0"/>
        <v>152.54237288135593</v>
      </c>
      <c r="D35">
        <v>0</v>
      </c>
      <c r="E35" t="s">
        <v>363</v>
      </c>
      <c r="F35" s="22">
        <v>74</v>
      </c>
    </row>
    <row r="36" spans="1:7" x14ac:dyDescent="0.75">
      <c r="A36" s="3">
        <v>44873</v>
      </c>
      <c r="B36">
        <v>900</v>
      </c>
      <c r="C36" s="303">
        <f t="shared" si="0"/>
        <v>610.16949152542372</v>
      </c>
      <c r="D36">
        <v>0</v>
      </c>
      <c r="E36" t="s">
        <v>363</v>
      </c>
      <c r="F36" s="22">
        <v>0</v>
      </c>
      <c r="G36" t="s">
        <v>1022</v>
      </c>
    </row>
    <row r="37" spans="1:7" x14ac:dyDescent="0.75">
      <c r="A37" s="3">
        <v>44875</v>
      </c>
      <c r="B37">
        <v>675</v>
      </c>
      <c r="C37" s="303">
        <f t="shared" si="0"/>
        <v>457.62711864406776</v>
      </c>
      <c r="D37">
        <v>0</v>
      </c>
      <c r="E37" t="s">
        <v>363</v>
      </c>
      <c r="F37" s="22">
        <v>200</v>
      </c>
      <c r="G37" t="s">
        <v>1023</v>
      </c>
    </row>
    <row r="38" spans="1:7" x14ac:dyDescent="0.75">
      <c r="A38" s="3">
        <v>44879</v>
      </c>
      <c r="B38">
        <v>900</v>
      </c>
      <c r="C38" s="303">
        <f t="shared" si="0"/>
        <v>610.16949152542372</v>
      </c>
      <c r="D38">
        <v>0</v>
      </c>
      <c r="E38" t="s">
        <v>363</v>
      </c>
      <c r="F38" s="22">
        <v>0</v>
      </c>
      <c r="G38" t="s">
        <v>1024</v>
      </c>
    </row>
    <row r="39" spans="1:7" x14ac:dyDescent="0.75">
      <c r="A39" s="3">
        <v>44881</v>
      </c>
      <c r="B39">
        <v>450</v>
      </c>
      <c r="C39" s="303">
        <f t="shared" si="0"/>
        <v>305.08474576271186</v>
      </c>
      <c r="D39">
        <v>0</v>
      </c>
      <c r="E39" t="s">
        <v>363</v>
      </c>
      <c r="F39" s="22">
        <f>25+52+45+34+33+254</f>
        <v>443</v>
      </c>
      <c r="G39" t="s">
        <v>1025</v>
      </c>
    </row>
    <row r="40" spans="1:7" x14ac:dyDescent="0.75">
      <c r="A40" s="3">
        <v>45258</v>
      </c>
      <c r="B40">
        <v>900</v>
      </c>
      <c r="C40" s="303">
        <f t="shared" si="0"/>
        <v>610.16949152542372</v>
      </c>
      <c r="D40">
        <v>0</v>
      </c>
      <c r="E40" t="s">
        <v>363</v>
      </c>
      <c r="F40" s="22">
        <v>0</v>
      </c>
      <c r="G40" t="s">
        <v>1022</v>
      </c>
    </row>
    <row r="41" spans="1:7" x14ac:dyDescent="0.75">
      <c r="A41" s="3">
        <v>45261</v>
      </c>
      <c r="B41">
        <v>675</v>
      </c>
      <c r="C41" s="303">
        <f t="shared" si="0"/>
        <v>457.62711864406776</v>
      </c>
      <c r="D41">
        <v>0</v>
      </c>
      <c r="E41" t="s">
        <v>363</v>
      </c>
      <c r="F41" s="22">
        <v>0</v>
      </c>
      <c r="G41" t="s">
        <v>1022</v>
      </c>
    </row>
    <row r="42" spans="1:7" x14ac:dyDescent="0.75">
      <c r="A42" s="3">
        <v>45266</v>
      </c>
      <c r="B42">
        <v>900</v>
      </c>
      <c r="C42" s="303">
        <f t="shared" si="0"/>
        <v>610.16949152542372</v>
      </c>
      <c r="D42">
        <v>0</v>
      </c>
      <c r="E42" t="s">
        <v>363</v>
      </c>
      <c r="F42" s="22">
        <v>0</v>
      </c>
    </row>
    <row r="43" spans="1:7" x14ac:dyDescent="0.75">
      <c r="A43" s="3">
        <v>45268</v>
      </c>
      <c r="B43">
        <v>450</v>
      </c>
      <c r="C43" s="303">
        <f t="shared" si="0"/>
        <v>305.08474576271186</v>
      </c>
      <c r="D43">
        <v>0</v>
      </c>
      <c r="E43" t="s">
        <v>363</v>
      </c>
      <c r="F43" s="22">
        <v>0</v>
      </c>
      <c r="G43" t="s">
        <v>1026</v>
      </c>
    </row>
    <row r="44" spans="1:7" x14ac:dyDescent="0.75">
      <c r="A44" s="3">
        <v>44936</v>
      </c>
      <c r="B44">
        <v>450</v>
      </c>
      <c r="C44" s="303">
        <f t="shared" si="0"/>
        <v>305.08474576271186</v>
      </c>
      <c r="D44">
        <v>0</v>
      </c>
      <c r="E44" t="s">
        <v>363</v>
      </c>
      <c r="F44" s="22">
        <v>0</v>
      </c>
    </row>
    <row r="45" spans="1:7" x14ac:dyDescent="0.75">
      <c r="A45" s="3">
        <v>44937</v>
      </c>
      <c r="B45">
        <v>450</v>
      </c>
      <c r="C45" s="303">
        <f t="shared" si="0"/>
        <v>305.08474576271186</v>
      </c>
      <c r="D45">
        <v>0</v>
      </c>
      <c r="E45" t="s">
        <v>363</v>
      </c>
      <c r="F45" s="22">
        <v>0</v>
      </c>
    </row>
    <row r="46" spans="1:7" x14ac:dyDescent="0.75">
      <c r="A46" s="3">
        <v>44943</v>
      </c>
      <c r="B46">
        <v>900</v>
      </c>
      <c r="C46" s="303">
        <f t="shared" si="0"/>
        <v>610.16949152542372</v>
      </c>
      <c r="D46">
        <v>0</v>
      </c>
      <c r="E46" t="s">
        <v>363</v>
      </c>
      <c r="F46" s="22">
        <v>7</v>
      </c>
    </row>
    <row r="47" spans="1:7" x14ac:dyDescent="0.75">
      <c r="A47" s="3">
        <v>44944</v>
      </c>
      <c r="B47">
        <v>450</v>
      </c>
      <c r="C47" s="303">
        <f t="shared" si="0"/>
        <v>305.08474576271186</v>
      </c>
      <c r="D47">
        <v>0</v>
      </c>
      <c r="E47" t="s">
        <v>363</v>
      </c>
      <c r="F47" s="22">
        <v>0</v>
      </c>
    </row>
    <row r="48" spans="1:7" x14ac:dyDescent="0.75">
      <c r="A48" s="3">
        <v>44945</v>
      </c>
      <c r="B48">
        <v>900</v>
      </c>
      <c r="C48" s="303">
        <f t="shared" si="0"/>
        <v>610.16949152542372</v>
      </c>
      <c r="D48">
        <v>0</v>
      </c>
      <c r="E48" t="s">
        <v>363</v>
      </c>
      <c r="F48" s="22">
        <v>0</v>
      </c>
    </row>
    <row r="49" spans="1:7" x14ac:dyDescent="0.75">
      <c r="A49" s="3">
        <v>44946</v>
      </c>
      <c r="B49">
        <v>0</v>
      </c>
      <c r="C49" s="303">
        <f t="shared" si="0"/>
        <v>0</v>
      </c>
      <c r="D49">
        <v>0</v>
      </c>
      <c r="E49" t="s">
        <v>363</v>
      </c>
      <c r="F49" s="22">
        <v>60</v>
      </c>
    </row>
    <row r="50" spans="1:7" x14ac:dyDescent="0.75">
      <c r="A50" s="3">
        <v>44949</v>
      </c>
      <c r="B50">
        <v>900</v>
      </c>
      <c r="C50" s="303">
        <f t="shared" si="0"/>
        <v>610.16949152542372</v>
      </c>
      <c r="D50">
        <v>0</v>
      </c>
      <c r="E50" t="s">
        <v>363</v>
      </c>
      <c r="F50" s="22">
        <v>0</v>
      </c>
      <c r="G50" t="s">
        <v>1027</v>
      </c>
    </row>
    <row r="51" spans="1:7" x14ac:dyDescent="0.75">
      <c r="A51" s="3">
        <v>44950</v>
      </c>
      <c r="B51">
        <v>900</v>
      </c>
      <c r="C51" s="303">
        <f t="shared" si="0"/>
        <v>610.16949152542372</v>
      </c>
      <c r="D51">
        <v>0</v>
      </c>
      <c r="E51" t="s">
        <v>363</v>
      </c>
      <c r="F51" s="22">
        <v>0</v>
      </c>
      <c r="G51" t="s">
        <v>1028</v>
      </c>
    </row>
    <row r="52" spans="1:7" s="62" customFormat="1" x14ac:dyDescent="0.75">
      <c r="A52" s="115">
        <v>44956</v>
      </c>
      <c r="B52" s="62">
        <v>900</v>
      </c>
      <c r="C52" s="303">
        <f t="shared" si="0"/>
        <v>610.16949152542372</v>
      </c>
      <c r="D52" s="62">
        <v>0</v>
      </c>
      <c r="E52" s="62" t="s">
        <v>363</v>
      </c>
      <c r="F52" s="150">
        <f>900/1.475</f>
        <v>610.16949152542372</v>
      </c>
      <c r="G52" s="62" t="s">
        <v>1029</v>
      </c>
    </row>
    <row r="53" spans="1:7" x14ac:dyDescent="0.75">
      <c r="A53" s="3">
        <v>44970</v>
      </c>
      <c r="B53">
        <v>498</v>
      </c>
      <c r="C53" s="303">
        <f t="shared" si="0"/>
        <v>337.62711864406776</v>
      </c>
      <c r="D53">
        <v>90</v>
      </c>
      <c r="E53" t="s">
        <v>1030</v>
      </c>
      <c r="F53" s="22">
        <v>0</v>
      </c>
      <c r="G53" t="s">
        <v>1031</v>
      </c>
    </row>
    <row r="54" spans="1:7" x14ac:dyDescent="0.75">
      <c r="A54" s="3">
        <v>44971</v>
      </c>
      <c r="B54">
        <v>450</v>
      </c>
      <c r="C54" s="303">
        <f t="shared" si="0"/>
        <v>305.08474576271186</v>
      </c>
      <c r="D54">
        <v>0</v>
      </c>
      <c r="E54" t="s">
        <v>363</v>
      </c>
      <c r="F54" s="22">
        <f>1+1+1+1+25+47+58+26+10+48+15+57+47+56+50</f>
        <v>443</v>
      </c>
      <c r="G54" t="s">
        <v>1032</v>
      </c>
    </row>
    <row r="55" spans="1:7" x14ac:dyDescent="0.75">
      <c r="A55" s="3">
        <v>44973</v>
      </c>
      <c r="B55">
        <v>225</v>
      </c>
      <c r="C55" s="303">
        <f t="shared" si="0"/>
        <v>152.54237288135593</v>
      </c>
      <c r="D55">
        <v>0</v>
      </c>
      <c r="E55" t="s">
        <v>363</v>
      </c>
      <c r="F55" s="22">
        <v>225</v>
      </c>
      <c r="G55" t="s">
        <v>1033</v>
      </c>
    </row>
    <row r="56" spans="1:7" x14ac:dyDescent="0.75">
      <c r="A56" s="3">
        <v>44978</v>
      </c>
      <c r="B56">
        <v>450</v>
      </c>
      <c r="C56" s="303">
        <f t="shared" si="0"/>
        <v>305.08474576271186</v>
      </c>
      <c r="D56">
        <v>0</v>
      </c>
      <c r="E56" t="s">
        <v>363</v>
      </c>
      <c r="F56" s="22">
        <v>0</v>
      </c>
      <c r="G56" t="s">
        <v>1034</v>
      </c>
    </row>
    <row r="57" spans="1:7" x14ac:dyDescent="0.75">
      <c r="A57" s="3">
        <v>44979</v>
      </c>
      <c r="B57">
        <v>900</v>
      </c>
      <c r="C57" s="303">
        <f t="shared" si="0"/>
        <v>610.16949152542372</v>
      </c>
      <c r="D57">
        <v>0</v>
      </c>
      <c r="E57" t="s">
        <v>363</v>
      </c>
      <c r="F57" s="22">
        <f>16+46+47+44+40+30+20+2</f>
        <v>245</v>
      </c>
    </row>
    <row r="58" spans="1:7" x14ac:dyDescent="0.75">
      <c r="A58" s="3">
        <v>44985</v>
      </c>
      <c r="B58">
        <v>900</v>
      </c>
      <c r="C58" s="303">
        <f t="shared" si="0"/>
        <v>610.16949152542372</v>
      </c>
      <c r="D58">
        <v>0</v>
      </c>
      <c r="E58" t="s">
        <v>363</v>
      </c>
      <c r="F58" s="22">
        <v>0</v>
      </c>
    </row>
    <row r="59" spans="1:7" x14ac:dyDescent="0.75">
      <c r="A59" s="3">
        <v>44987</v>
      </c>
      <c r="B59">
        <v>675</v>
      </c>
      <c r="C59" s="303">
        <f t="shared" si="0"/>
        <v>457.62711864406776</v>
      </c>
      <c r="D59">
        <v>255</v>
      </c>
      <c r="E59" t="s">
        <v>1035</v>
      </c>
      <c r="F59" s="22">
        <v>0</v>
      </c>
      <c r="G59" t="s">
        <v>1036</v>
      </c>
    </row>
    <row r="60" spans="1:7" x14ac:dyDescent="0.75">
      <c r="A60" s="3">
        <v>44991</v>
      </c>
      <c r="B60" s="10">
        <v>450</v>
      </c>
      <c r="C60" s="303">
        <f t="shared" si="0"/>
        <v>305.08474576271186</v>
      </c>
      <c r="D60" s="10">
        <v>0</v>
      </c>
      <c r="E60" t="s">
        <v>363</v>
      </c>
      <c r="F60" s="57">
        <v>0</v>
      </c>
    </row>
    <row r="61" spans="1:7" x14ac:dyDescent="0.75">
      <c r="A61" s="3">
        <v>44992</v>
      </c>
      <c r="B61" s="10">
        <v>450</v>
      </c>
      <c r="C61" s="303">
        <f t="shared" si="0"/>
        <v>305.08474576271186</v>
      </c>
      <c r="D61" s="10">
        <v>0</v>
      </c>
      <c r="E61" t="s">
        <v>363</v>
      </c>
      <c r="F61" s="57">
        <v>0</v>
      </c>
    </row>
    <row r="62" spans="1:7" x14ac:dyDescent="0.75">
      <c r="A62" s="3">
        <v>44995</v>
      </c>
      <c r="B62" s="10">
        <v>0</v>
      </c>
      <c r="C62" s="303">
        <f t="shared" si="0"/>
        <v>0</v>
      </c>
      <c r="D62" s="10">
        <v>0</v>
      </c>
      <c r="E62" t="s">
        <v>363</v>
      </c>
      <c r="F62" s="196">
        <f>7*45</f>
        <v>315</v>
      </c>
    </row>
    <row r="63" spans="1:7" x14ac:dyDescent="0.75">
      <c r="A63" s="3">
        <v>44998</v>
      </c>
      <c r="B63" s="10">
        <v>450</v>
      </c>
      <c r="C63" s="303">
        <f t="shared" si="0"/>
        <v>305.08474576271186</v>
      </c>
      <c r="D63" s="10">
        <v>0</v>
      </c>
      <c r="E63" t="s">
        <v>363</v>
      </c>
      <c r="F63" s="57">
        <v>0</v>
      </c>
    </row>
    <row r="64" spans="1:7" x14ac:dyDescent="0.75">
      <c r="A64" s="3">
        <v>44999</v>
      </c>
      <c r="B64" s="10">
        <v>450</v>
      </c>
      <c r="C64" s="303">
        <f t="shared" si="0"/>
        <v>305.08474576271186</v>
      </c>
      <c r="D64" s="10">
        <v>0</v>
      </c>
      <c r="E64" t="s">
        <v>363</v>
      </c>
      <c r="F64" s="196">
        <f>450-SUM(InterventionData!P307:P309)</f>
        <v>230</v>
      </c>
    </row>
    <row r="65" spans="1:7" x14ac:dyDescent="0.75">
      <c r="A65" s="3">
        <v>45005</v>
      </c>
      <c r="B65" s="10">
        <v>450</v>
      </c>
      <c r="C65" s="303">
        <f t="shared" si="0"/>
        <v>305.08474576271186</v>
      </c>
      <c r="D65" s="10">
        <v>50</v>
      </c>
      <c r="E65" s="10" t="s">
        <v>1030</v>
      </c>
      <c r="F65" s="57">
        <v>0</v>
      </c>
    </row>
    <row r="66" spans="1:7" x14ac:dyDescent="0.75">
      <c r="A66" s="3">
        <v>45006</v>
      </c>
      <c r="B66">
        <v>900</v>
      </c>
      <c r="C66" s="303">
        <f t="shared" si="0"/>
        <v>610.16949152542372</v>
      </c>
      <c r="D66">
        <v>0</v>
      </c>
      <c r="E66" t="s">
        <v>363</v>
      </c>
      <c r="F66" s="22">
        <v>0</v>
      </c>
      <c r="G66" t="s">
        <v>1037</v>
      </c>
    </row>
    <row r="67" spans="1:7" x14ac:dyDescent="0.75">
      <c r="A67" s="3">
        <v>45008</v>
      </c>
      <c r="B67">
        <v>900</v>
      </c>
      <c r="C67" s="303">
        <f t="shared" ref="C67:C77" si="1">B67/1.475</f>
        <v>610.16949152542372</v>
      </c>
      <c r="D67">
        <v>0</v>
      </c>
      <c r="E67" t="s">
        <v>363</v>
      </c>
      <c r="F67" s="22">
        <f>150+41+6+40+38+44+35+50+44</f>
        <v>448</v>
      </c>
    </row>
    <row r="68" spans="1:7" x14ac:dyDescent="0.75">
      <c r="A68" s="3">
        <v>45021</v>
      </c>
      <c r="B68">
        <v>450</v>
      </c>
      <c r="C68" s="303">
        <f t="shared" si="1"/>
        <v>305.08474576271186</v>
      </c>
      <c r="D68">
        <v>0</v>
      </c>
      <c r="E68" t="s">
        <v>363</v>
      </c>
      <c r="F68" s="57">
        <v>0</v>
      </c>
      <c r="G68" t="s">
        <v>1038</v>
      </c>
    </row>
    <row r="69" spans="1:7" x14ac:dyDescent="0.75">
      <c r="A69" s="3">
        <v>45022</v>
      </c>
      <c r="B69">
        <v>1000</v>
      </c>
      <c r="C69" s="303">
        <f t="shared" si="1"/>
        <v>677.96610169491521</v>
      </c>
      <c r="D69">
        <f>45*3+90</f>
        <v>225</v>
      </c>
      <c r="E69" t="s">
        <v>1039</v>
      </c>
      <c r="F69" s="57">
        <f>48+42+46+44+49+36+48+37+44+51+21+3+36+150</f>
        <v>655</v>
      </c>
      <c r="G69" t="s">
        <v>1040</v>
      </c>
    </row>
    <row r="70" spans="1:7" s="4" customFormat="1" x14ac:dyDescent="0.75">
      <c r="A70" s="16">
        <v>45026</v>
      </c>
      <c r="B70" s="4">
        <v>900</v>
      </c>
      <c r="C70" s="303">
        <f t="shared" si="1"/>
        <v>610.16949152542372</v>
      </c>
      <c r="D70" s="4">
        <v>90</v>
      </c>
      <c r="E70" s="4" t="s">
        <v>1030</v>
      </c>
      <c r="F70" s="151">
        <v>0</v>
      </c>
      <c r="G70" s="4" t="s">
        <v>1041</v>
      </c>
    </row>
    <row r="71" spans="1:7" x14ac:dyDescent="0.75">
      <c r="A71" s="3">
        <v>45027</v>
      </c>
      <c r="B71">
        <v>562</v>
      </c>
      <c r="C71" s="303">
        <f t="shared" si="1"/>
        <v>381.01694915254234</v>
      </c>
      <c r="D71">
        <v>0</v>
      </c>
      <c r="E71" t="s">
        <v>363</v>
      </c>
      <c r="F71" s="57">
        <v>0</v>
      </c>
      <c r="G71" t="s">
        <v>1042</v>
      </c>
    </row>
    <row r="72" spans="1:7" x14ac:dyDescent="0.75">
      <c r="A72" s="3">
        <v>45029</v>
      </c>
      <c r="B72">
        <v>0</v>
      </c>
      <c r="C72" s="303">
        <v>0</v>
      </c>
      <c r="D72">
        <v>0</v>
      </c>
      <c r="E72" t="s">
        <v>363</v>
      </c>
      <c r="F72" s="57">
        <f>40+10+33+44+44+43+6+33+35+42+34</f>
        <v>364</v>
      </c>
    </row>
    <row r="73" spans="1:7" x14ac:dyDescent="0.75">
      <c r="A73" s="3">
        <v>45033</v>
      </c>
      <c r="B73">
        <v>450</v>
      </c>
      <c r="C73" s="303">
        <f t="shared" si="1"/>
        <v>305.08474576271186</v>
      </c>
      <c r="D73">
        <v>0</v>
      </c>
      <c r="E73" t="s">
        <v>363</v>
      </c>
      <c r="F73" s="57">
        <v>0</v>
      </c>
      <c r="G73" t="s">
        <v>1043</v>
      </c>
    </row>
    <row r="74" spans="1:7" x14ac:dyDescent="0.75">
      <c r="A74" s="3">
        <v>45034</v>
      </c>
      <c r="C74" s="303">
        <f t="shared" si="1"/>
        <v>0</v>
      </c>
      <c r="D74">
        <v>0</v>
      </c>
      <c r="E74" t="s">
        <v>363</v>
      </c>
      <c r="F74" s="152">
        <v>0</v>
      </c>
    </row>
    <row r="75" spans="1:7" x14ac:dyDescent="0.75">
      <c r="A75" s="3">
        <v>45036</v>
      </c>
      <c r="B75">
        <v>0</v>
      </c>
      <c r="C75" s="303">
        <f t="shared" si="1"/>
        <v>0</v>
      </c>
      <c r="D75">
        <v>0</v>
      </c>
      <c r="E75" t="s">
        <v>363</v>
      </c>
      <c r="F75" s="197">
        <v>490</v>
      </c>
    </row>
    <row r="76" spans="1:7" x14ac:dyDescent="0.75">
      <c r="A76" s="3">
        <v>45040</v>
      </c>
      <c r="B76">
        <v>1350</v>
      </c>
      <c r="C76" s="303">
        <f t="shared" si="1"/>
        <v>915.25423728813553</v>
      </c>
      <c r="D76">
        <v>0</v>
      </c>
      <c r="E76" t="s">
        <v>363</v>
      </c>
      <c r="F76" s="57">
        <v>0</v>
      </c>
    </row>
    <row r="77" spans="1:7" x14ac:dyDescent="0.75">
      <c r="A77" s="3">
        <v>45042</v>
      </c>
      <c r="B77">
        <v>0</v>
      </c>
      <c r="C77" s="303">
        <f t="shared" si="1"/>
        <v>0</v>
      </c>
      <c r="D77">
        <v>0</v>
      </c>
      <c r="E77" t="s">
        <v>363</v>
      </c>
      <c r="F77" s="152">
        <f>260+57+40+45</f>
        <v>402</v>
      </c>
    </row>
    <row r="78" spans="1:7" x14ac:dyDescent="0.75">
      <c r="A78" s="3">
        <v>45055</v>
      </c>
      <c r="B78">
        <v>850</v>
      </c>
      <c r="C78" s="303">
        <f>B78/1.475</f>
        <v>576.27118644067798</v>
      </c>
      <c r="D78">
        <v>0</v>
      </c>
      <c r="E78" t="s">
        <v>363</v>
      </c>
      <c r="F78" s="22">
        <v>0</v>
      </c>
    </row>
    <row r="79" spans="1:7" x14ac:dyDescent="0.75">
      <c r="A79" s="3">
        <v>45055</v>
      </c>
      <c r="B79">
        <v>1350</v>
      </c>
      <c r="C79" s="303">
        <f>B79/1.475</f>
        <v>915.25423728813553</v>
      </c>
      <c r="D79">
        <v>0</v>
      </c>
      <c r="E79" t="s">
        <v>363</v>
      </c>
      <c r="F79" s="22">
        <v>0</v>
      </c>
      <c r="G79" t="s">
        <v>1044</v>
      </c>
    </row>
    <row r="80" spans="1:7" x14ac:dyDescent="0.75">
      <c r="A80" s="3">
        <v>45056</v>
      </c>
      <c r="B80">
        <v>0</v>
      </c>
      <c r="C80" s="303">
        <v>0</v>
      </c>
      <c r="D80">
        <v>40</v>
      </c>
      <c r="E80" t="s">
        <v>1045</v>
      </c>
      <c r="F80" s="22">
        <v>36</v>
      </c>
      <c r="G80" t="s">
        <v>1046</v>
      </c>
    </row>
    <row r="81" spans="1:7" x14ac:dyDescent="0.75">
      <c r="A81" s="3">
        <v>45062</v>
      </c>
      <c r="B81">
        <v>900</v>
      </c>
      <c r="C81" s="303">
        <f>B81/1.475</f>
        <v>610.16949152542372</v>
      </c>
      <c r="D81">
        <v>100</v>
      </c>
      <c r="E81" t="s">
        <v>1047</v>
      </c>
      <c r="F81" s="22">
        <v>0</v>
      </c>
    </row>
    <row r="82" spans="1:7" x14ac:dyDescent="0.75">
      <c r="A82" s="3">
        <v>45064</v>
      </c>
      <c r="B82">
        <v>225</v>
      </c>
      <c r="C82" s="303">
        <f t="shared" ref="C82:C91" si="2">B82/1.475</f>
        <v>152.54237288135593</v>
      </c>
      <c r="D82">
        <v>0</v>
      </c>
      <c r="E82" t="s">
        <v>363</v>
      </c>
      <c r="F82" s="22">
        <v>0</v>
      </c>
    </row>
    <row r="83" spans="1:7" x14ac:dyDescent="0.75">
      <c r="A83" s="3">
        <v>45068</v>
      </c>
      <c r="B83">
        <v>450</v>
      </c>
      <c r="C83" s="303">
        <f t="shared" si="2"/>
        <v>305.08474576271186</v>
      </c>
      <c r="D83">
        <v>0</v>
      </c>
      <c r="E83" t="s">
        <v>363</v>
      </c>
      <c r="F83" s="22">
        <v>0</v>
      </c>
      <c r="G83" t="s">
        <v>1048</v>
      </c>
    </row>
    <row r="84" spans="1:7" x14ac:dyDescent="0.75">
      <c r="A84" s="3">
        <v>45069</v>
      </c>
      <c r="B84">
        <v>0</v>
      </c>
      <c r="C84" s="303">
        <f t="shared" si="2"/>
        <v>0</v>
      </c>
      <c r="D84">
        <v>0</v>
      </c>
      <c r="E84" t="s">
        <v>363</v>
      </c>
      <c r="F84" s="22">
        <v>68</v>
      </c>
      <c r="G84" t="s">
        <v>1049</v>
      </c>
    </row>
    <row r="85" spans="1:7" x14ac:dyDescent="0.75">
      <c r="A85" s="3">
        <v>45069</v>
      </c>
      <c r="B85">
        <v>0</v>
      </c>
      <c r="C85" s="303">
        <f t="shared" si="2"/>
        <v>0</v>
      </c>
      <c r="D85">
        <v>0</v>
      </c>
      <c r="E85" t="s">
        <v>363</v>
      </c>
      <c r="F85" s="22">
        <v>20</v>
      </c>
      <c r="G85" t="s">
        <v>1050</v>
      </c>
    </row>
    <row r="86" spans="1:7" x14ac:dyDescent="0.75">
      <c r="A86" s="3">
        <v>45070</v>
      </c>
      <c r="B86">
        <v>225</v>
      </c>
      <c r="C86" s="303">
        <f t="shared" si="2"/>
        <v>152.54237288135593</v>
      </c>
      <c r="D86">
        <v>0</v>
      </c>
      <c r="E86" t="s">
        <v>363</v>
      </c>
      <c r="F86" s="22">
        <v>13</v>
      </c>
    </row>
    <row r="87" spans="1:7" x14ac:dyDescent="0.75">
      <c r="A87" s="3">
        <v>45090</v>
      </c>
      <c r="B87">
        <v>1800</v>
      </c>
      <c r="C87" s="303">
        <f t="shared" si="2"/>
        <v>1220.3389830508474</v>
      </c>
      <c r="D87">
        <v>0</v>
      </c>
      <c r="E87" t="s">
        <v>363</v>
      </c>
      <c r="F87" s="22">
        <v>0</v>
      </c>
      <c r="G87" t="s">
        <v>1051</v>
      </c>
    </row>
    <row r="88" spans="1:7" x14ac:dyDescent="0.75">
      <c r="A88" s="3">
        <v>45092</v>
      </c>
      <c r="B88">
        <v>900</v>
      </c>
      <c r="C88" s="303">
        <f t="shared" si="2"/>
        <v>610.16949152542372</v>
      </c>
      <c r="D88">
        <v>0</v>
      </c>
      <c r="E88" t="s">
        <v>363</v>
      </c>
      <c r="F88" s="22">
        <v>0</v>
      </c>
    </row>
    <row r="89" spans="1:7" x14ac:dyDescent="0.75">
      <c r="A89" s="3">
        <v>45097</v>
      </c>
      <c r="B89">
        <v>0</v>
      </c>
      <c r="C89" s="303">
        <f t="shared" si="2"/>
        <v>0</v>
      </c>
      <c r="D89">
        <v>0</v>
      </c>
      <c r="E89" t="s">
        <v>363</v>
      </c>
      <c r="F89" s="22">
        <v>226</v>
      </c>
      <c r="G89" t="s">
        <v>1052</v>
      </c>
    </row>
    <row r="90" spans="1:7" x14ac:dyDescent="0.75">
      <c r="A90" s="3">
        <v>45104</v>
      </c>
      <c r="B90">
        <v>271.25</v>
      </c>
      <c r="C90" s="303">
        <f t="shared" si="2"/>
        <v>183.89830508474574</v>
      </c>
      <c r="D90">
        <v>0</v>
      </c>
      <c r="E90" t="s">
        <v>363</v>
      </c>
      <c r="F90" s="22">
        <v>0</v>
      </c>
      <c r="G90" t="s">
        <v>1053</v>
      </c>
    </row>
    <row r="91" spans="1:7" x14ac:dyDescent="0.75">
      <c r="A91" s="3">
        <v>45104</v>
      </c>
      <c r="B91">
        <v>900</v>
      </c>
      <c r="C91" s="303">
        <f t="shared" si="2"/>
        <v>610.16949152542372</v>
      </c>
      <c r="D91">
        <v>0</v>
      </c>
      <c r="E91" t="s">
        <v>363</v>
      </c>
      <c r="F91" s="22">
        <v>0</v>
      </c>
      <c r="G91" t="s">
        <v>1054</v>
      </c>
    </row>
    <row r="92" spans="1:7" x14ac:dyDescent="0.75">
      <c r="A92" s="3">
        <v>45111</v>
      </c>
      <c r="B92">
        <v>450</v>
      </c>
      <c r="C92" s="304">
        <f>B92/1.227273</f>
        <v>366.6665851852033</v>
      </c>
      <c r="D92">
        <v>0</v>
      </c>
      <c r="E92" t="s">
        <v>363</v>
      </c>
      <c r="F92" s="22">
        <v>0</v>
      </c>
    </row>
    <row r="93" spans="1:7" x14ac:dyDescent="0.75">
      <c r="A93" s="3">
        <v>45111</v>
      </c>
      <c r="B93">
        <v>0</v>
      </c>
      <c r="C93" s="303">
        <f t="shared" ref="C93:C99" si="3">B93/1.227273</f>
        <v>0</v>
      </c>
      <c r="D93">
        <v>0</v>
      </c>
      <c r="E93" t="s">
        <v>363</v>
      </c>
      <c r="F93" s="196">
        <v>981</v>
      </c>
      <c r="G93" t="s">
        <v>1055</v>
      </c>
    </row>
    <row r="94" spans="1:7" x14ac:dyDescent="0.75">
      <c r="A94" s="3">
        <v>45117</v>
      </c>
      <c r="B94">
        <v>900</v>
      </c>
      <c r="C94" s="303">
        <f t="shared" si="3"/>
        <v>733.33317037040661</v>
      </c>
      <c r="D94">
        <v>0</v>
      </c>
      <c r="E94" t="s">
        <v>363</v>
      </c>
      <c r="F94" s="22">
        <v>0</v>
      </c>
      <c r="G94" t="s">
        <v>1056</v>
      </c>
    </row>
    <row r="95" spans="1:7" x14ac:dyDescent="0.75">
      <c r="A95" s="3">
        <v>45128</v>
      </c>
      <c r="B95">
        <v>56.25</v>
      </c>
      <c r="C95" s="303">
        <f t="shared" si="3"/>
        <v>45.833323148150413</v>
      </c>
      <c r="D95">
        <v>0</v>
      </c>
      <c r="E95" t="s">
        <v>363</v>
      </c>
      <c r="F95" s="22">
        <v>0</v>
      </c>
    </row>
    <row r="96" spans="1:7" x14ac:dyDescent="0.75">
      <c r="A96" s="3">
        <v>45131</v>
      </c>
      <c r="B96">
        <v>1350</v>
      </c>
      <c r="C96" s="303">
        <f t="shared" si="3"/>
        <v>1099.9997555556099</v>
      </c>
      <c r="D96">
        <v>0</v>
      </c>
      <c r="E96" t="s">
        <v>363</v>
      </c>
      <c r="F96" s="22">
        <v>0</v>
      </c>
      <c r="G96" t="s">
        <v>1057</v>
      </c>
    </row>
    <row r="97" spans="1:7" x14ac:dyDescent="0.75">
      <c r="A97" s="3">
        <v>45134</v>
      </c>
      <c r="B97">
        <v>0</v>
      </c>
      <c r="C97" s="303">
        <f t="shared" si="3"/>
        <v>0</v>
      </c>
      <c r="D97">
        <v>0</v>
      </c>
      <c r="E97" t="s">
        <v>363</v>
      </c>
      <c r="F97" s="22">
        <v>356</v>
      </c>
      <c r="G97" t="s">
        <v>1058</v>
      </c>
    </row>
    <row r="98" spans="1:7" x14ac:dyDescent="0.75">
      <c r="A98" s="3">
        <v>45139</v>
      </c>
      <c r="B98">
        <v>450</v>
      </c>
      <c r="C98" s="303">
        <f t="shared" si="3"/>
        <v>366.6665851852033</v>
      </c>
      <c r="D98">
        <v>0</v>
      </c>
      <c r="E98" t="s">
        <v>363</v>
      </c>
      <c r="F98" s="22">
        <v>0</v>
      </c>
    </row>
    <row r="99" spans="1:7" x14ac:dyDescent="0.75">
      <c r="A99" s="3">
        <v>45141</v>
      </c>
      <c r="B99">
        <v>0</v>
      </c>
      <c r="C99" s="303">
        <f t="shared" si="3"/>
        <v>0</v>
      </c>
      <c r="D99">
        <v>0</v>
      </c>
      <c r="E99" t="s">
        <v>363</v>
      </c>
      <c r="F99" s="22">
        <v>157</v>
      </c>
      <c r="G99" t="s">
        <v>1059</v>
      </c>
    </row>
    <row r="100" spans="1:7" x14ac:dyDescent="0.75">
      <c r="A100" s="3">
        <v>45153</v>
      </c>
      <c r="B100">
        <v>28.125</v>
      </c>
      <c r="C100" s="303">
        <f t="shared" ref="C100:C110" si="4">B100/1.227273</f>
        <v>22.916661574075206</v>
      </c>
      <c r="D100">
        <v>0</v>
      </c>
      <c r="E100" t="s">
        <v>363</v>
      </c>
      <c r="F100" s="22">
        <v>0</v>
      </c>
      <c r="G100" t="s">
        <v>1060</v>
      </c>
    </row>
    <row r="101" spans="1:7" x14ac:dyDescent="0.75">
      <c r="A101" s="3">
        <v>45159</v>
      </c>
      <c r="B101">
        <v>450</v>
      </c>
      <c r="C101" s="303">
        <f t="shared" si="4"/>
        <v>366.6665851852033</v>
      </c>
      <c r="D101">
        <v>0</v>
      </c>
      <c r="E101" t="s">
        <v>363</v>
      </c>
      <c r="F101" s="22">
        <v>0</v>
      </c>
      <c r="G101" s="4" t="s">
        <v>1061</v>
      </c>
    </row>
    <row r="102" spans="1:7" x14ac:dyDescent="0.75">
      <c r="A102" s="3">
        <v>45162</v>
      </c>
      <c r="B102">
        <v>112</v>
      </c>
      <c r="C102" s="303">
        <f t="shared" si="4"/>
        <v>91.259238979428375</v>
      </c>
      <c r="D102">
        <v>112</v>
      </c>
      <c r="E102" t="s">
        <v>1062</v>
      </c>
      <c r="F102" s="22">
        <v>0</v>
      </c>
      <c r="G102" t="s">
        <v>1063</v>
      </c>
    </row>
    <row r="103" spans="1:7" x14ac:dyDescent="0.75">
      <c r="A103" s="3">
        <v>45162</v>
      </c>
      <c r="B103">
        <v>100</v>
      </c>
      <c r="C103" s="303">
        <f t="shared" si="4"/>
        <v>81.481463374489621</v>
      </c>
      <c r="D103">
        <v>100</v>
      </c>
      <c r="E103" t="s">
        <v>1062</v>
      </c>
      <c r="F103" s="22">
        <v>0</v>
      </c>
      <c r="G103" t="s">
        <v>1064</v>
      </c>
    </row>
    <row r="104" spans="1:7" x14ac:dyDescent="0.75">
      <c r="A104" s="3">
        <v>45166</v>
      </c>
      <c r="B104">
        <v>675</v>
      </c>
      <c r="C104" s="303">
        <f t="shared" si="4"/>
        <v>549.99987777780495</v>
      </c>
      <c r="D104">
        <v>0</v>
      </c>
      <c r="E104" t="s">
        <v>363</v>
      </c>
      <c r="F104" s="22">
        <v>0</v>
      </c>
      <c r="G104" t="s">
        <v>1065</v>
      </c>
    </row>
    <row r="105" spans="1:7" x14ac:dyDescent="0.75">
      <c r="A105" s="3">
        <v>45168</v>
      </c>
      <c r="B105">
        <v>900</v>
      </c>
      <c r="C105" s="303">
        <f t="shared" si="4"/>
        <v>733.33317037040661</v>
      </c>
      <c r="D105">
        <v>0</v>
      </c>
      <c r="E105" t="s">
        <v>363</v>
      </c>
      <c r="F105" s="22">
        <v>0</v>
      </c>
    </row>
    <row r="106" spans="1:7" x14ac:dyDescent="0.75">
      <c r="A106" s="3">
        <v>45169</v>
      </c>
      <c r="B106">
        <v>0</v>
      </c>
      <c r="C106" s="303">
        <f t="shared" si="4"/>
        <v>0</v>
      </c>
      <c r="D106">
        <v>0</v>
      </c>
      <c r="E106" t="s">
        <v>363</v>
      </c>
      <c r="F106" s="22">
        <f>(302/1.227273)+36+55+48+44+46+48+54</f>
        <v>577.07401939095871</v>
      </c>
      <c r="G106" t="s">
        <v>1066</v>
      </c>
    </row>
    <row r="107" spans="1:7" x14ac:dyDescent="0.75">
      <c r="A107" s="3">
        <v>45174</v>
      </c>
      <c r="B107">
        <v>450</v>
      </c>
      <c r="C107" s="303">
        <f t="shared" si="4"/>
        <v>366.6665851852033</v>
      </c>
      <c r="D107">
        <v>0</v>
      </c>
      <c r="E107" t="s">
        <v>363</v>
      </c>
      <c r="F107" s="22">
        <v>0</v>
      </c>
    </row>
    <row r="108" spans="1:7" x14ac:dyDescent="0.75">
      <c r="A108" s="3">
        <v>45176</v>
      </c>
      <c r="B108">
        <v>0</v>
      </c>
      <c r="C108" s="303">
        <f t="shared" si="4"/>
        <v>0</v>
      </c>
      <c r="D108">
        <v>0</v>
      </c>
      <c r="E108" t="s">
        <v>363</v>
      </c>
      <c r="F108" s="22">
        <f>46+16+20</f>
        <v>82</v>
      </c>
      <c r="G108" t="s">
        <v>1067</v>
      </c>
    </row>
    <row r="109" spans="1:7" x14ac:dyDescent="0.75">
      <c r="A109" s="3">
        <v>45181</v>
      </c>
      <c r="B109">
        <v>450</v>
      </c>
      <c r="C109" s="303">
        <f t="shared" si="4"/>
        <v>366.6665851852033</v>
      </c>
      <c r="D109">
        <v>0</v>
      </c>
      <c r="E109" t="s">
        <v>363</v>
      </c>
      <c r="F109" s="22">
        <v>0</v>
      </c>
      <c r="G109" t="s">
        <v>1068</v>
      </c>
    </row>
    <row r="110" spans="1:7" x14ac:dyDescent="0.75">
      <c r="A110" s="3">
        <v>45183</v>
      </c>
      <c r="B110">
        <v>675</v>
      </c>
      <c r="C110" s="303">
        <f t="shared" si="4"/>
        <v>549.99987777780495</v>
      </c>
      <c r="D110">
        <v>0</v>
      </c>
      <c r="E110" t="s">
        <v>363</v>
      </c>
      <c r="F110" s="22">
        <v>38</v>
      </c>
      <c r="G110" t="s">
        <v>1069</v>
      </c>
    </row>
    <row r="111" spans="1:7" x14ac:dyDescent="0.75">
      <c r="A111" s="3">
        <v>45189</v>
      </c>
      <c r="B111">
        <v>450</v>
      </c>
      <c r="C111" s="303">
        <f t="shared" ref="C111:C116" si="5">B111/1.227273</f>
        <v>366.6665851852033</v>
      </c>
      <c r="D111">
        <v>0</v>
      </c>
      <c r="E111" t="s">
        <v>363</v>
      </c>
      <c r="F111" s="22">
        <v>0</v>
      </c>
      <c r="G111" t="s">
        <v>1070</v>
      </c>
    </row>
    <row r="112" spans="1:7" x14ac:dyDescent="0.75">
      <c r="A112" s="3">
        <v>45189</v>
      </c>
      <c r="B112">
        <v>450</v>
      </c>
      <c r="C112" s="303">
        <f t="shared" si="5"/>
        <v>366.6665851852033</v>
      </c>
      <c r="D112">
        <v>0</v>
      </c>
      <c r="E112" t="s">
        <v>363</v>
      </c>
      <c r="F112" s="22">
        <v>0</v>
      </c>
      <c r="G112" t="s">
        <v>1071</v>
      </c>
    </row>
    <row r="113" spans="1:7" x14ac:dyDescent="0.75">
      <c r="A113" s="3">
        <v>45190</v>
      </c>
      <c r="B113">
        <v>0</v>
      </c>
      <c r="C113" s="303">
        <f t="shared" si="5"/>
        <v>0</v>
      </c>
      <c r="D113">
        <v>0</v>
      </c>
      <c r="E113" t="s">
        <v>363</v>
      </c>
      <c r="F113" s="22">
        <f>45+54+57+55+25+50+58+54+48</f>
        <v>446</v>
      </c>
      <c r="G113" t="s">
        <v>1072</v>
      </c>
    </row>
    <row r="114" spans="1:7" x14ac:dyDescent="0.75">
      <c r="A114" s="3">
        <v>45202</v>
      </c>
      <c r="B114">
        <v>900</v>
      </c>
      <c r="C114" s="303">
        <f t="shared" si="5"/>
        <v>733.33317037040661</v>
      </c>
      <c r="D114">
        <v>0</v>
      </c>
      <c r="E114" t="s">
        <v>363</v>
      </c>
      <c r="F114" s="196"/>
      <c r="G114" t="s">
        <v>1073</v>
      </c>
    </row>
    <row r="115" spans="1:7" x14ac:dyDescent="0.75">
      <c r="A115" s="3">
        <v>45204</v>
      </c>
      <c r="B115">
        <v>100</v>
      </c>
      <c r="C115" s="303">
        <f t="shared" si="5"/>
        <v>81.481463374489621</v>
      </c>
      <c r="D115">
        <v>100</v>
      </c>
      <c r="E115" t="s">
        <v>1062</v>
      </c>
      <c r="F115" s="22">
        <v>0</v>
      </c>
      <c r="G115" t="s">
        <v>1064</v>
      </c>
    </row>
    <row r="116" spans="1:7" x14ac:dyDescent="0.75">
      <c r="A116" s="3">
        <v>45204</v>
      </c>
      <c r="B116">
        <v>112</v>
      </c>
      <c r="C116" s="303">
        <f t="shared" si="5"/>
        <v>91.259238979428375</v>
      </c>
      <c r="D116">
        <v>112</v>
      </c>
      <c r="E116" t="s">
        <v>1062</v>
      </c>
      <c r="F116" s="22">
        <v>0</v>
      </c>
      <c r="G116" t="s">
        <v>1063</v>
      </c>
    </row>
    <row r="117" spans="1:7" x14ac:dyDescent="0.75">
      <c r="A117" s="3">
        <v>45209</v>
      </c>
      <c r="B117">
        <v>450</v>
      </c>
      <c r="C117" s="223">
        <v>459</v>
      </c>
      <c r="D117">
        <v>0</v>
      </c>
      <c r="E117" t="s">
        <v>363</v>
      </c>
      <c r="F117" s="22">
        <v>0</v>
      </c>
      <c r="G117" t="s">
        <v>1074</v>
      </c>
    </row>
    <row r="118" spans="1:7" x14ac:dyDescent="0.75">
      <c r="A118" s="3">
        <v>45211</v>
      </c>
      <c r="B118">
        <v>0</v>
      </c>
      <c r="C118" s="223">
        <v>0</v>
      </c>
      <c r="D118">
        <v>0</v>
      </c>
      <c r="E118" t="s">
        <v>363</v>
      </c>
      <c r="F118" s="318" t="s">
        <v>1075</v>
      </c>
      <c r="G118" s="319" t="s">
        <v>1076</v>
      </c>
    </row>
    <row r="119" spans="1:7" x14ac:dyDescent="0.75">
      <c r="A119" s="3">
        <v>45216</v>
      </c>
      <c r="B119" s="144" t="s">
        <v>1077</v>
      </c>
      <c r="C119" s="196"/>
      <c r="D119" s="144"/>
      <c r="E119" s="144" t="s">
        <v>363</v>
      </c>
      <c r="F119" s="196"/>
    </row>
    <row r="120" spans="1:7" x14ac:dyDescent="0.75">
      <c r="A120" s="3">
        <v>45230</v>
      </c>
      <c r="B120">
        <v>112</v>
      </c>
      <c r="D120">
        <v>0</v>
      </c>
      <c r="E120" t="s">
        <v>363</v>
      </c>
      <c r="F120" s="22">
        <v>112</v>
      </c>
    </row>
    <row r="121" spans="1:7" x14ac:dyDescent="0.75">
      <c r="A121" s="3">
        <v>45237</v>
      </c>
      <c r="B121">
        <v>112</v>
      </c>
      <c r="D121">
        <v>0</v>
      </c>
      <c r="E121" t="s">
        <v>363</v>
      </c>
      <c r="F121" s="22">
        <f>44+46+24</f>
        <v>114</v>
      </c>
    </row>
    <row r="122" spans="1:7" x14ac:dyDescent="0.75">
      <c r="A122" s="3">
        <v>45238</v>
      </c>
      <c r="B122">
        <v>225</v>
      </c>
      <c r="D122">
        <v>0</v>
      </c>
      <c r="E122" t="s">
        <v>363</v>
      </c>
      <c r="F122" s="22">
        <f>50+57+18+35+45</f>
        <v>205</v>
      </c>
      <c r="G122" t="s">
        <v>1078</v>
      </c>
    </row>
    <row r="123" spans="1:7" x14ac:dyDescent="0.75">
      <c r="A123" s="3">
        <v>45244</v>
      </c>
      <c r="B123">
        <v>225</v>
      </c>
      <c r="D123">
        <v>0</v>
      </c>
      <c r="E123" t="s">
        <v>363</v>
      </c>
      <c r="F123" s="318"/>
    </row>
    <row r="124" spans="1:7" x14ac:dyDescent="0.75">
      <c r="A124" s="3">
        <v>45245</v>
      </c>
      <c r="B124">
        <v>112</v>
      </c>
      <c r="D124">
        <v>0</v>
      </c>
      <c r="E124" t="s">
        <v>363</v>
      </c>
      <c r="F124" s="318"/>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BDBC2-D062-402B-8CC8-4ABD77BA996F}">
  <sheetPr filterMode="1">
    <pageSetUpPr fitToPage="1"/>
  </sheetPr>
  <dimension ref="A1:O99"/>
  <sheetViews>
    <sheetView workbookViewId="0">
      <pane ySplit="1" topLeftCell="A2" activePane="bottomLeft" state="frozen"/>
      <selection pane="bottomLeft" activeCell="K104" sqref="K104"/>
    </sheetView>
  </sheetViews>
  <sheetFormatPr defaultRowHeight="14.75" x14ac:dyDescent="0.75"/>
  <cols>
    <col min="1" max="1" width="19.54296875" customWidth="1"/>
    <col min="3" max="3" width="16.86328125" customWidth="1"/>
    <col min="5" max="6" width="10.40625" bestFit="1" customWidth="1"/>
    <col min="7" max="7" width="13.40625" style="3" customWidth="1"/>
    <col min="8" max="8" width="13.40625" style="153" customWidth="1"/>
    <col min="9" max="9" width="23.54296875" customWidth="1"/>
    <col min="10" max="10" width="15.7265625" bestFit="1" customWidth="1"/>
    <col min="11" max="11" width="11.86328125" customWidth="1"/>
    <col min="12" max="12" width="120.26953125" style="31" bestFit="1" customWidth="1"/>
    <col min="14" max="14" width="26.40625" customWidth="1"/>
  </cols>
  <sheetData>
    <row r="1" spans="1:14" s="2" customFormat="1" x14ac:dyDescent="0.75">
      <c r="A1" s="2" t="s">
        <v>54</v>
      </c>
      <c r="B1" s="2" t="s">
        <v>230</v>
      </c>
      <c r="C1" s="2" t="s">
        <v>232</v>
      </c>
      <c r="D1" s="2" t="s">
        <v>166</v>
      </c>
      <c r="E1" s="2" t="s">
        <v>235</v>
      </c>
      <c r="F1" s="2" t="s">
        <v>237</v>
      </c>
      <c r="G1" s="18" t="s">
        <v>239</v>
      </c>
      <c r="H1" s="2" t="s">
        <v>241</v>
      </c>
      <c r="I1" s="2" t="s">
        <v>243</v>
      </c>
      <c r="J1" s="2" t="s">
        <v>1079</v>
      </c>
      <c r="K1" s="2" t="s">
        <v>245</v>
      </c>
      <c r="L1" s="30" t="s">
        <v>18</v>
      </c>
      <c r="M1" s="2" t="s">
        <v>1080</v>
      </c>
      <c r="N1" s="2" t="s">
        <v>1081</v>
      </c>
    </row>
    <row r="2" spans="1:14" x14ac:dyDescent="0.75">
      <c r="A2" t="s">
        <v>39</v>
      </c>
      <c r="B2">
        <v>901</v>
      </c>
      <c r="C2" t="s">
        <v>1082</v>
      </c>
      <c r="D2" t="s">
        <v>201</v>
      </c>
      <c r="E2">
        <v>18.358049999999999</v>
      </c>
      <c r="F2">
        <v>-64.751800000000003</v>
      </c>
      <c r="G2" s="3">
        <v>44715</v>
      </c>
      <c r="H2" s="153">
        <v>0.47222222222222227</v>
      </c>
      <c r="I2" t="s">
        <v>1083</v>
      </c>
      <c r="J2" t="s">
        <v>1084</v>
      </c>
      <c r="K2" t="s">
        <v>361</v>
      </c>
      <c r="L2" s="31" t="s">
        <v>1085</v>
      </c>
    </row>
    <row r="3" spans="1:14" s="15" customFormat="1" x14ac:dyDescent="0.75">
      <c r="A3" t="s">
        <v>23</v>
      </c>
      <c r="B3">
        <v>902</v>
      </c>
      <c r="C3" t="s">
        <v>1082</v>
      </c>
      <c r="D3" t="s">
        <v>164</v>
      </c>
      <c r="E3">
        <v>18.357966999999999</v>
      </c>
      <c r="F3">
        <v>-64.776866999999996</v>
      </c>
      <c r="G3" s="3">
        <v>44713</v>
      </c>
      <c r="H3" s="153"/>
      <c r="I3" t="s">
        <v>1086</v>
      </c>
      <c r="J3" t="s">
        <v>1084</v>
      </c>
      <c r="K3"/>
      <c r="L3" s="31" t="s">
        <v>1087</v>
      </c>
      <c r="M3" t="s">
        <v>1088</v>
      </c>
    </row>
    <row r="4" spans="1:14" x14ac:dyDescent="0.75">
      <c r="A4" t="s">
        <v>69</v>
      </c>
      <c r="B4">
        <v>903</v>
      </c>
      <c r="C4" t="s">
        <v>1082</v>
      </c>
      <c r="D4" t="s">
        <v>160</v>
      </c>
      <c r="E4">
        <v>18.341767000000001</v>
      </c>
      <c r="F4">
        <v>-64.689166999999998</v>
      </c>
      <c r="G4" s="3">
        <v>44707</v>
      </c>
      <c r="H4" s="153">
        <v>0.54861111111111105</v>
      </c>
      <c r="I4" t="s">
        <v>1089</v>
      </c>
      <c r="J4" t="s">
        <v>1084</v>
      </c>
      <c r="M4" t="s">
        <v>1090</v>
      </c>
    </row>
    <row r="5" spans="1:14" x14ac:dyDescent="0.75">
      <c r="A5" t="s">
        <v>23</v>
      </c>
      <c r="B5">
        <v>904</v>
      </c>
      <c r="C5" t="s">
        <v>1082</v>
      </c>
      <c r="D5" t="s">
        <v>160</v>
      </c>
      <c r="E5">
        <v>18.362017000000002</v>
      </c>
      <c r="F5">
        <v>-64.772132999999997</v>
      </c>
      <c r="G5" s="3">
        <v>44715</v>
      </c>
      <c r="H5" s="153">
        <v>0.44027777777777777</v>
      </c>
      <c r="I5" t="s">
        <v>1091</v>
      </c>
      <c r="J5" t="s">
        <v>1084</v>
      </c>
      <c r="L5" s="31" t="s">
        <v>1092</v>
      </c>
      <c r="M5" t="s">
        <v>1093</v>
      </c>
    </row>
    <row r="6" spans="1:14" x14ac:dyDescent="0.75">
      <c r="A6" t="s">
        <v>69</v>
      </c>
      <c r="B6">
        <v>905</v>
      </c>
      <c r="C6" t="s">
        <v>1082</v>
      </c>
      <c r="D6" t="s">
        <v>197</v>
      </c>
      <c r="E6">
        <v>18.341799999999999</v>
      </c>
      <c r="F6">
        <v>-64.68965</v>
      </c>
      <c r="G6" s="3">
        <v>44707</v>
      </c>
      <c r="H6" s="153">
        <v>0.56180555555555556</v>
      </c>
      <c r="I6" t="s">
        <v>1094</v>
      </c>
      <c r="J6" t="s">
        <v>1084</v>
      </c>
      <c r="K6" t="s">
        <v>1095</v>
      </c>
      <c r="L6" s="31" t="s">
        <v>1096</v>
      </c>
      <c r="M6" t="s">
        <v>1090</v>
      </c>
    </row>
    <row r="7" spans="1:14" x14ac:dyDescent="0.75">
      <c r="A7" t="s">
        <v>69</v>
      </c>
      <c r="B7">
        <v>906</v>
      </c>
      <c r="C7" t="s">
        <v>1082</v>
      </c>
      <c r="D7" t="s">
        <v>207</v>
      </c>
      <c r="E7">
        <v>18.34186</v>
      </c>
      <c r="F7">
        <v>-64.689279999999997</v>
      </c>
      <c r="G7" s="3">
        <v>44707</v>
      </c>
      <c r="H7" s="153">
        <v>0.47430555555555554</v>
      </c>
      <c r="J7" t="s">
        <v>1084</v>
      </c>
      <c r="K7" t="s">
        <v>1095</v>
      </c>
      <c r="L7" s="31" t="s">
        <v>1097</v>
      </c>
      <c r="M7" t="s">
        <v>1090</v>
      </c>
    </row>
    <row r="8" spans="1:14" x14ac:dyDescent="0.75">
      <c r="A8" t="s">
        <v>69</v>
      </c>
      <c r="B8">
        <v>907</v>
      </c>
      <c r="C8" t="s">
        <v>1082</v>
      </c>
      <c r="D8" t="s">
        <v>201</v>
      </c>
      <c r="E8">
        <v>18.341909999999999</v>
      </c>
      <c r="F8">
        <v>-64.688999999999993</v>
      </c>
      <c r="G8" s="3">
        <v>44707</v>
      </c>
      <c r="H8" s="153">
        <v>0.52916666666666667</v>
      </c>
      <c r="J8" t="s">
        <v>1084</v>
      </c>
      <c r="K8" t="s">
        <v>668</v>
      </c>
      <c r="L8" s="31" t="s">
        <v>1098</v>
      </c>
      <c r="M8" t="s">
        <v>1090</v>
      </c>
    </row>
    <row r="9" spans="1:14" x14ac:dyDescent="0.75">
      <c r="A9" t="s">
        <v>69</v>
      </c>
      <c r="B9">
        <v>908</v>
      </c>
      <c r="C9" t="s">
        <v>1082</v>
      </c>
      <c r="D9" t="s">
        <v>207</v>
      </c>
      <c r="E9">
        <v>18.341816999999999</v>
      </c>
      <c r="F9">
        <v>-64.689233000000002</v>
      </c>
      <c r="G9" s="3">
        <v>44707</v>
      </c>
      <c r="I9" t="s">
        <v>1099</v>
      </c>
      <c r="J9" t="s">
        <v>1084</v>
      </c>
      <c r="K9" t="s">
        <v>668</v>
      </c>
      <c r="L9" s="31" t="s">
        <v>1100</v>
      </c>
      <c r="M9" t="s">
        <v>1090</v>
      </c>
    </row>
    <row r="10" spans="1:14" x14ac:dyDescent="0.75">
      <c r="A10" t="s">
        <v>69</v>
      </c>
      <c r="B10">
        <v>909</v>
      </c>
      <c r="C10" t="s">
        <v>1101</v>
      </c>
      <c r="D10" t="s">
        <v>197</v>
      </c>
      <c r="E10">
        <v>18.340682999999999</v>
      </c>
      <c r="F10">
        <v>-64.686499999999995</v>
      </c>
      <c r="G10" s="3">
        <v>44722</v>
      </c>
      <c r="H10" s="153">
        <v>0.55555555555555558</v>
      </c>
      <c r="I10" t="s">
        <v>1102</v>
      </c>
      <c r="J10" t="s">
        <v>1084</v>
      </c>
      <c r="M10" t="s">
        <v>1103</v>
      </c>
    </row>
    <row r="11" spans="1:14" x14ac:dyDescent="0.75">
      <c r="A11" t="s">
        <v>116</v>
      </c>
      <c r="B11">
        <v>910</v>
      </c>
      <c r="C11" t="s">
        <v>1082</v>
      </c>
      <c r="D11" t="s">
        <v>176</v>
      </c>
      <c r="E11">
        <v>18.350066999999999</v>
      </c>
      <c r="F11">
        <v>-64.699316999999994</v>
      </c>
      <c r="G11" s="3">
        <v>45021</v>
      </c>
      <c r="H11" s="153">
        <v>0.50347222222222221</v>
      </c>
      <c r="I11" t="s">
        <v>1104</v>
      </c>
      <c r="J11" t="s">
        <v>1084</v>
      </c>
      <c r="L11" s="31" t="s">
        <v>1105</v>
      </c>
      <c r="M11" t="s">
        <v>117</v>
      </c>
    </row>
    <row r="12" spans="1:14" x14ac:dyDescent="0.75">
      <c r="A12" s="9" t="s">
        <v>116</v>
      </c>
      <c r="B12" s="9">
        <v>911</v>
      </c>
      <c r="C12" s="9" t="s">
        <v>1082</v>
      </c>
      <c r="D12" s="9" t="s">
        <v>164</v>
      </c>
      <c r="E12" s="9">
        <v>18.351182999999999</v>
      </c>
      <c r="F12" s="9">
        <v>-64.697699999999998</v>
      </c>
      <c r="G12" s="219">
        <v>45006</v>
      </c>
      <c r="H12" s="220">
        <v>0.49861111111111112</v>
      </c>
      <c r="I12" s="9" t="s">
        <v>1106</v>
      </c>
      <c r="J12" s="9" t="s">
        <v>1084</v>
      </c>
      <c r="K12" s="9"/>
      <c r="L12" s="221" t="s">
        <v>1107</v>
      </c>
      <c r="M12" t="s">
        <v>117</v>
      </c>
    </row>
    <row r="13" spans="1:14" x14ac:dyDescent="0.75">
      <c r="A13" t="s">
        <v>116</v>
      </c>
      <c r="B13">
        <v>912</v>
      </c>
      <c r="C13" t="s">
        <v>1082</v>
      </c>
      <c r="D13" t="s">
        <v>207</v>
      </c>
      <c r="E13">
        <v>18.351400000000002</v>
      </c>
      <c r="F13">
        <v>-64.698149999999998</v>
      </c>
      <c r="G13" s="3">
        <v>45006</v>
      </c>
      <c r="H13" s="153">
        <v>0.48541666666666666</v>
      </c>
      <c r="I13" t="s">
        <v>1108</v>
      </c>
      <c r="J13" t="s">
        <v>1084</v>
      </c>
      <c r="L13" s="31" t="s">
        <v>1109</v>
      </c>
      <c r="M13" t="s">
        <v>117</v>
      </c>
    </row>
    <row r="14" spans="1:14" x14ac:dyDescent="0.75">
      <c r="A14" t="s">
        <v>116</v>
      </c>
      <c r="B14">
        <v>914</v>
      </c>
      <c r="C14" t="s">
        <v>1082</v>
      </c>
      <c r="D14" t="s">
        <v>201</v>
      </c>
      <c r="E14">
        <v>18.350066999999999</v>
      </c>
      <c r="F14">
        <v>-64.699033</v>
      </c>
      <c r="G14" s="3">
        <v>45008</v>
      </c>
      <c r="H14" s="153">
        <v>0.45208333333333334</v>
      </c>
      <c r="I14" t="s">
        <v>1110</v>
      </c>
      <c r="J14" t="s">
        <v>1084</v>
      </c>
      <c r="L14" s="31" t="s">
        <v>1111</v>
      </c>
      <c r="M14" t="s">
        <v>117</v>
      </c>
    </row>
    <row r="15" spans="1:14" x14ac:dyDescent="0.75">
      <c r="A15" t="s">
        <v>116</v>
      </c>
      <c r="B15">
        <v>916</v>
      </c>
      <c r="C15" t="s">
        <v>1082</v>
      </c>
      <c r="D15" t="s">
        <v>187</v>
      </c>
      <c r="E15">
        <v>18.349083</v>
      </c>
      <c r="F15">
        <v>-64.699033</v>
      </c>
      <c r="G15" s="3">
        <v>45008</v>
      </c>
      <c r="H15" s="153">
        <v>0.57777777777777783</v>
      </c>
      <c r="I15" t="s">
        <v>1112</v>
      </c>
      <c r="J15" t="s">
        <v>1084</v>
      </c>
      <c r="L15" s="31" t="s">
        <v>1113</v>
      </c>
      <c r="M15" t="s">
        <v>117</v>
      </c>
    </row>
    <row r="16" spans="1:14" x14ac:dyDescent="0.75">
      <c r="A16" t="s">
        <v>116</v>
      </c>
      <c r="B16">
        <v>917</v>
      </c>
      <c r="C16" t="s">
        <v>1082</v>
      </c>
      <c r="D16" t="s">
        <v>164</v>
      </c>
      <c r="E16">
        <v>18.349966999999999</v>
      </c>
      <c r="F16">
        <v>-64.698882999999995</v>
      </c>
      <c r="G16" s="3">
        <v>45008</v>
      </c>
      <c r="H16" s="153">
        <v>0.47638888888888892</v>
      </c>
      <c r="I16" t="s">
        <v>1114</v>
      </c>
      <c r="J16" t="s">
        <v>1084</v>
      </c>
      <c r="L16" s="31" t="s">
        <v>1115</v>
      </c>
      <c r="M16" t="s">
        <v>117</v>
      </c>
    </row>
    <row r="17" spans="1:13" x14ac:dyDescent="0.75">
      <c r="A17" t="s">
        <v>116</v>
      </c>
      <c r="B17">
        <v>918</v>
      </c>
      <c r="C17" t="s">
        <v>1082</v>
      </c>
      <c r="D17" t="s">
        <v>164</v>
      </c>
      <c r="E17">
        <v>18.34995</v>
      </c>
      <c r="F17">
        <v>-64.698849999999993</v>
      </c>
      <c r="G17" s="3">
        <v>45008</v>
      </c>
      <c r="H17" s="153">
        <v>0.47500000000000003</v>
      </c>
      <c r="I17" t="s">
        <v>1116</v>
      </c>
      <c r="J17" t="s">
        <v>1084</v>
      </c>
      <c r="L17" s="31" t="s">
        <v>1117</v>
      </c>
      <c r="M17" t="s">
        <v>117</v>
      </c>
    </row>
    <row r="18" spans="1:13" x14ac:dyDescent="0.75">
      <c r="A18" t="s">
        <v>116</v>
      </c>
      <c r="B18">
        <v>920</v>
      </c>
      <c r="C18" t="s">
        <v>1082</v>
      </c>
      <c r="D18" t="s">
        <v>207</v>
      </c>
      <c r="E18">
        <v>18.351483000000002</v>
      </c>
      <c r="F18">
        <v>-64.698217</v>
      </c>
      <c r="G18" s="3">
        <v>45006</v>
      </c>
      <c r="H18" s="153">
        <v>0.48055555555555557</v>
      </c>
      <c r="I18" t="s">
        <v>1118</v>
      </c>
      <c r="J18" t="s">
        <v>1084</v>
      </c>
      <c r="L18" s="31" t="s">
        <v>1119</v>
      </c>
      <c r="M18" t="s">
        <v>117</v>
      </c>
    </row>
    <row r="19" spans="1:13" x14ac:dyDescent="0.75">
      <c r="A19" t="s">
        <v>116</v>
      </c>
      <c r="B19">
        <v>921</v>
      </c>
      <c r="C19" t="s">
        <v>1082</v>
      </c>
      <c r="D19" t="s">
        <v>201</v>
      </c>
      <c r="E19">
        <v>18.350317</v>
      </c>
      <c r="F19">
        <v>-64.698466999999994</v>
      </c>
      <c r="G19" s="3">
        <v>45007</v>
      </c>
      <c r="H19" s="153">
        <v>0.48680555555555555</v>
      </c>
      <c r="I19" t="s">
        <v>1120</v>
      </c>
      <c r="J19" t="s">
        <v>1084</v>
      </c>
      <c r="M19" t="s">
        <v>117</v>
      </c>
    </row>
    <row r="20" spans="1:13" x14ac:dyDescent="0.75">
      <c r="A20" t="s">
        <v>116</v>
      </c>
      <c r="B20">
        <v>922</v>
      </c>
      <c r="C20" t="s">
        <v>1082</v>
      </c>
      <c r="D20" t="s">
        <v>164</v>
      </c>
      <c r="E20">
        <v>18.350332999999999</v>
      </c>
      <c r="F20">
        <v>-64.698350000000005</v>
      </c>
      <c r="G20" s="3">
        <v>45007</v>
      </c>
      <c r="H20" s="153">
        <v>0.46597222222222223</v>
      </c>
      <c r="I20" t="s">
        <v>1121</v>
      </c>
      <c r="J20" t="s">
        <v>1084</v>
      </c>
      <c r="M20" t="s">
        <v>117</v>
      </c>
    </row>
    <row r="21" spans="1:13" x14ac:dyDescent="0.75">
      <c r="A21" t="s">
        <v>116</v>
      </c>
      <c r="B21">
        <v>923</v>
      </c>
      <c r="C21" t="s">
        <v>1082</v>
      </c>
      <c r="D21" t="s">
        <v>201</v>
      </c>
      <c r="E21">
        <v>18.350332999999999</v>
      </c>
      <c r="F21">
        <v>-64.698432999999994</v>
      </c>
      <c r="G21" s="3">
        <v>45007</v>
      </c>
      <c r="H21" s="153">
        <v>0.45416666666666666</v>
      </c>
      <c r="I21" t="s">
        <v>1122</v>
      </c>
      <c r="J21" t="s">
        <v>1084</v>
      </c>
      <c r="M21" t="s">
        <v>117</v>
      </c>
    </row>
    <row r="22" spans="1:13" x14ac:dyDescent="0.75">
      <c r="A22" t="s">
        <v>116</v>
      </c>
      <c r="B22">
        <v>925</v>
      </c>
      <c r="C22" t="s">
        <v>1082</v>
      </c>
      <c r="D22" t="s">
        <v>201</v>
      </c>
      <c r="E22">
        <v>18.35005</v>
      </c>
      <c r="F22">
        <v>-64.699517</v>
      </c>
      <c r="G22" s="3">
        <v>45021</v>
      </c>
      <c r="H22" s="153">
        <v>0.49513888888888885</v>
      </c>
      <c r="I22" t="s">
        <v>1123</v>
      </c>
      <c r="J22" t="s">
        <v>1084</v>
      </c>
      <c r="L22" s="31" t="s">
        <v>1124</v>
      </c>
      <c r="M22" t="s">
        <v>117</v>
      </c>
    </row>
    <row r="23" spans="1:13" x14ac:dyDescent="0.75">
      <c r="A23" t="s">
        <v>96</v>
      </c>
      <c r="B23">
        <v>926</v>
      </c>
      <c r="C23" t="s">
        <v>1101</v>
      </c>
      <c r="D23" t="s">
        <v>153</v>
      </c>
      <c r="E23">
        <v>18.309149999999999</v>
      </c>
      <c r="F23">
        <v>-64.723150000000004</v>
      </c>
      <c r="G23" s="3">
        <v>44859</v>
      </c>
      <c r="I23" t="s">
        <v>1125</v>
      </c>
      <c r="J23" t="s">
        <v>1084</v>
      </c>
      <c r="K23" t="s">
        <v>360</v>
      </c>
      <c r="M23" t="s">
        <v>1126</v>
      </c>
    </row>
    <row r="24" spans="1:13" x14ac:dyDescent="0.75">
      <c r="A24" t="s">
        <v>116</v>
      </c>
      <c r="B24">
        <v>928</v>
      </c>
      <c r="C24" t="s">
        <v>1082</v>
      </c>
      <c r="D24" t="s">
        <v>176</v>
      </c>
      <c r="E24">
        <v>18.351133000000001</v>
      </c>
      <c r="F24">
        <v>-64.697599999999994</v>
      </c>
      <c r="G24" s="3">
        <v>45006</v>
      </c>
      <c r="H24" s="153">
        <v>0.54305555555555551</v>
      </c>
      <c r="I24" t="s">
        <v>1127</v>
      </c>
      <c r="J24" t="s">
        <v>1084</v>
      </c>
      <c r="M24" t="s">
        <v>117</v>
      </c>
    </row>
    <row r="25" spans="1:13" x14ac:dyDescent="0.75">
      <c r="A25" t="s">
        <v>116</v>
      </c>
      <c r="B25">
        <v>929</v>
      </c>
      <c r="C25" t="s">
        <v>1082</v>
      </c>
      <c r="D25" t="s">
        <v>201</v>
      </c>
      <c r="E25">
        <v>18.350117000000001</v>
      </c>
      <c r="F25">
        <v>-64.699316999999994</v>
      </c>
      <c r="G25" s="3">
        <v>45021</v>
      </c>
      <c r="H25" s="153">
        <v>0.45277777777777778</v>
      </c>
      <c r="I25" t="s">
        <v>1128</v>
      </c>
      <c r="J25" t="s">
        <v>1084</v>
      </c>
      <c r="L25" s="31" t="s">
        <v>1129</v>
      </c>
      <c r="M25" t="s">
        <v>117</v>
      </c>
    </row>
    <row r="26" spans="1:13" x14ac:dyDescent="0.75">
      <c r="A26" t="s">
        <v>96</v>
      </c>
      <c r="B26">
        <v>937</v>
      </c>
      <c r="C26" t="s">
        <v>1101</v>
      </c>
      <c r="D26" t="s">
        <v>197</v>
      </c>
      <c r="E26">
        <v>18.309232999999999</v>
      </c>
      <c r="F26">
        <v>-64.723100000000002</v>
      </c>
      <c r="G26" s="3">
        <v>44859</v>
      </c>
      <c r="I26" t="s">
        <v>1130</v>
      </c>
      <c r="J26" t="s">
        <v>1084</v>
      </c>
      <c r="K26" t="s">
        <v>360</v>
      </c>
      <c r="L26" s="31" t="s">
        <v>1131</v>
      </c>
      <c r="M26" t="s">
        <v>1132</v>
      </c>
    </row>
    <row r="27" spans="1:13" x14ac:dyDescent="0.75">
      <c r="A27" t="s">
        <v>116</v>
      </c>
      <c r="B27">
        <v>938</v>
      </c>
      <c r="C27" t="s">
        <v>1082</v>
      </c>
      <c r="D27" t="s">
        <v>201</v>
      </c>
      <c r="E27">
        <v>18.349917000000001</v>
      </c>
      <c r="F27">
        <v>-64.698867000000007</v>
      </c>
      <c r="G27" s="3">
        <v>45008</v>
      </c>
      <c r="H27" s="153">
        <v>0.4826388888888889</v>
      </c>
      <c r="I27" t="s">
        <v>1133</v>
      </c>
      <c r="J27" t="s">
        <v>1084</v>
      </c>
      <c r="L27" s="31" t="s">
        <v>1134</v>
      </c>
      <c r="M27" t="s">
        <v>117</v>
      </c>
    </row>
    <row r="28" spans="1:13" x14ac:dyDescent="0.75">
      <c r="A28" t="s">
        <v>116</v>
      </c>
      <c r="B28">
        <v>940</v>
      </c>
      <c r="C28" t="s">
        <v>1082</v>
      </c>
      <c r="D28" t="s">
        <v>164</v>
      </c>
      <c r="E28">
        <v>18.351116999999999</v>
      </c>
      <c r="F28">
        <v>-64.697599999999994</v>
      </c>
      <c r="G28" s="3">
        <v>45006</v>
      </c>
      <c r="H28" s="153">
        <v>0.48958333333333331</v>
      </c>
      <c r="I28" t="s">
        <v>1135</v>
      </c>
      <c r="J28" t="s">
        <v>1084</v>
      </c>
      <c r="L28" s="31" t="s">
        <v>1136</v>
      </c>
      <c r="M28" t="s">
        <v>117</v>
      </c>
    </row>
    <row r="29" spans="1:13" x14ac:dyDescent="0.75">
      <c r="A29" t="s">
        <v>116</v>
      </c>
      <c r="B29">
        <v>941</v>
      </c>
      <c r="C29" t="s">
        <v>1082</v>
      </c>
      <c r="D29" t="s">
        <v>164</v>
      </c>
      <c r="E29">
        <v>18.350183000000001</v>
      </c>
      <c r="F29">
        <v>-64.698817000000005</v>
      </c>
      <c r="G29" s="3">
        <v>45007</v>
      </c>
      <c r="H29" s="153">
        <v>0.54861111111111105</v>
      </c>
      <c r="I29" t="s">
        <v>1137</v>
      </c>
      <c r="J29" t="s">
        <v>1084</v>
      </c>
      <c r="L29" s="31" t="s">
        <v>1138</v>
      </c>
      <c r="M29" t="s">
        <v>117</v>
      </c>
    </row>
    <row r="30" spans="1:13" x14ac:dyDescent="0.75">
      <c r="A30" t="s">
        <v>39</v>
      </c>
      <c r="B30">
        <v>942</v>
      </c>
      <c r="C30" t="s">
        <v>1082</v>
      </c>
      <c r="D30" t="s">
        <v>168</v>
      </c>
      <c r="E30">
        <v>18.35765</v>
      </c>
      <c r="F30">
        <v>-64.751883000000007</v>
      </c>
      <c r="G30" s="3">
        <v>44715</v>
      </c>
      <c r="H30" s="153">
        <v>0.48194444444444445</v>
      </c>
      <c r="I30" t="s">
        <v>1139</v>
      </c>
      <c r="J30" t="s">
        <v>1084</v>
      </c>
    </row>
    <row r="31" spans="1:13" s="161" customFormat="1" x14ac:dyDescent="0.75">
      <c r="A31" s="161" t="s">
        <v>39</v>
      </c>
      <c r="B31" s="161">
        <v>943</v>
      </c>
      <c r="C31" s="161" t="s">
        <v>1082</v>
      </c>
      <c r="D31" s="161" t="s">
        <v>201</v>
      </c>
      <c r="E31" s="10"/>
      <c r="F31" s="10"/>
      <c r="G31" s="72">
        <v>44715</v>
      </c>
      <c r="H31" s="162"/>
      <c r="J31" s="161" t="s">
        <v>1084</v>
      </c>
      <c r="L31" s="163" t="s">
        <v>1140</v>
      </c>
    </row>
    <row r="32" spans="1:13" x14ac:dyDescent="0.75">
      <c r="A32" t="s">
        <v>23</v>
      </c>
      <c r="B32">
        <v>944</v>
      </c>
      <c r="C32" t="s">
        <v>1082</v>
      </c>
      <c r="D32" t="s">
        <v>194</v>
      </c>
      <c r="E32">
        <v>18.358283</v>
      </c>
      <c r="F32">
        <v>-64.777600000000007</v>
      </c>
      <c r="G32" s="3">
        <v>44742</v>
      </c>
      <c r="H32" s="153">
        <v>0.5083333333333333</v>
      </c>
      <c r="I32" t="s">
        <v>1141</v>
      </c>
      <c r="J32" t="s">
        <v>1084</v>
      </c>
      <c r="M32" t="s">
        <v>1088</v>
      </c>
    </row>
    <row r="33" spans="1:13" x14ac:dyDescent="0.75">
      <c r="A33" t="s">
        <v>23</v>
      </c>
      <c r="B33">
        <v>945</v>
      </c>
      <c r="C33" t="s">
        <v>1082</v>
      </c>
      <c r="D33" t="s">
        <v>160</v>
      </c>
      <c r="E33">
        <v>18.363600000000002</v>
      </c>
      <c r="F33">
        <v>-64.772666999999998</v>
      </c>
      <c r="G33" s="3">
        <v>44936</v>
      </c>
      <c r="H33" s="153">
        <v>0.56805555555555554</v>
      </c>
      <c r="I33" t="s">
        <v>1142</v>
      </c>
      <c r="J33" t="s">
        <v>1084</v>
      </c>
      <c r="K33" t="s">
        <v>360</v>
      </c>
      <c r="L33" s="31" t="s">
        <v>1143</v>
      </c>
      <c r="M33" t="s">
        <v>1093</v>
      </c>
    </row>
    <row r="34" spans="1:13" x14ac:dyDescent="0.75">
      <c r="A34" t="s">
        <v>69</v>
      </c>
      <c r="B34">
        <v>946</v>
      </c>
      <c r="C34" t="s">
        <v>1101</v>
      </c>
      <c r="D34" t="s">
        <v>194</v>
      </c>
      <c r="E34">
        <v>18.340582999999999</v>
      </c>
      <c r="F34">
        <v>-64.689267000000001</v>
      </c>
      <c r="G34" s="3">
        <v>44769</v>
      </c>
      <c r="H34" s="153">
        <v>0.4694444444444445</v>
      </c>
      <c r="I34" t="s">
        <v>1144</v>
      </c>
      <c r="J34" t="s">
        <v>1084</v>
      </c>
      <c r="L34" s="31" t="s">
        <v>1145</v>
      </c>
      <c r="M34" t="s">
        <v>1103</v>
      </c>
    </row>
    <row r="35" spans="1:13" x14ac:dyDescent="0.75">
      <c r="A35" t="s">
        <v>69</v>
      </c>
      <c r="B35">
        <v>947</v>
      </c>
      <c r="C35" t="s">
        <v>1101</v>
      </c>
      <c r="D35" t="s">
        <v>194</v>
      </c>
      <c r="E35">
        <v>18.340633</v>
      </c>
      <c r="F35">
        <v>-64.689317000000003</v>
      </c>
      <c r="G35" s="3">
        <v>44768</v>
      </c>
      <c r="H35" s="153">
        <v>0.59652777777777777</v>
      </c>
      <c r="I35" t="s">
        <v>1146</v>
      </c>
      <c r="J35" t="s">
        <v>1084</v>
      </c>
      <c r="L35" s="31" t="s">
        <v>1147</v>
      </c>
      <c r="M35" t="s">
        <v>1103</v>
      </c>
    </row>
    <row r="36" spans="1:13" s="9" customFormat="1" x14ac:dyDescent="0.75">
      <c r="A36" s="9" t="s">
        <v>39</v>
      </c>
      <c r="B36" s="9">
        <v>948</v>
      </c>
      <c r="C36" s="9" t="s">
        <v>1082</v>
      </c>
      <c r="D36" s="9" t="s">
        <v>160</v>
      </c>
      <c r="E36" s="9">
        <v>18.358066999999998</v>
      </c>
      <c r="F36" s="9">
        <v>-64.757900000000006</v>
      </c>
      <c r="G36" s="219">
        <v>44743</v>
      </c>
      <c r="H36" s="220">
        <v>0.53333333333333333</v>
      </c>
      <c r="I36" s="9" t="s">
        <v>1148</v>
      </c>
      <c r="J36" s="9" t="s">
        <v>1084</v>
      </c>
      <c r="K36" s="9" t="s">
        <v>367</v>
      </c>
      <c r="L36" s="221" t="s">
        <v>1149</v>
      </c>
    </row>
    <row r="37" spans="1:13" s="161" customFormat="1" x14ac:dyDescent="0.75">
      <c r="A37" s="161" t="s">
        <v>116</v>
      </c>
      <c r="B37" s="161">
        <v>949</v>
      </c>
      <c r="C37" s="161" t="s">
        <v>1082</v>
      </c>
      <c r="D37" s="161" t="s">
        <v>207</v>
      </c>
      <c r="E37" s="10"/>
      <c r="F37" s="10"/>
      <c r="G37" s="72">
        <v>45006</v>
      </c>
      <c r="H37" s="162">
        <v>0.47569444444444442</v>
      </c>
      <c r="I37" s="161" t="s">
        <v>1142</v>
      </c>
      <c r="J37" s="161" t="s">
        <v>1084</v>
      </c>
      <c r="L37" s="163" t="s">
        <v>1150</v>
      </c>
      <c r="M37" s="161" t="s">
        <v>117</v>
      </c>
    </row>
    <row r="38" spans="1:13" x14ac:dyDescent="0.75">
      <c r="A38" t="s">
        <v>39</v>
      </c>
      <c r="B38">
        <v>950</v>
      </c>
      <c r="C38" t="s">
        <v>1082</v>
      </c>
      <c r="D38" t="s">
        <v>194</v>
      </c>
      <c r="E38">
        <v>18.359832999999998</v>
      </c>
      <c r="F38">
        <v>-64.756332999999998</v>
      </c>
      <c r="G38" s="3">
        <v>44715</v>
      </c>
      <c r="H38" s="153">
        <v>0.57430555555555551</v>
      </c>
      <c r="I38" t="s">
        <v>1151</v>
      </c>
      <c r="J38" t="s">
        <v>1084</v>
      </c>
      <c r="L38" s="31" t="s">
        <v>1152</v>
      </c>
    </row>
    <row r="39" spans="1:13" x14ac:dyDescent="0.75">
      <c r="A39" t="s">
        <v>69</v>
      </c>
      <c r="B39">
        <v>952</v>
      </c>
      <c r="C39" t="s">
        <v>1101</v>
      </c>
      <c r="D39" t="s">
        <v>191</v>
      </c>
      <c r="E39">
        <v>18.342483000000001</v>
      </c>
      <c r="F39">
        <v>-64.688450000000003</v>
      </c>
      <c r="G39" s="3">
        <v>44659</v>
      </c>
      <c r="H39" s="153">
        <v>0.5708333333333333</v>
      </c>
      <c r="I39" t="s">
        <v>1153</v>
      </c>
      <c r="J39" t="s">
        <v>1084</v>
      </c>
      <c r="K39" t="s">
        <v>374</v>
      </c>
      <c r="L39" s="31" t="s">
        <v>1154</v>
      </c>
      <c r="M39" t="s">
        <v>1090</v>
      </c>
    </row>
    <row r="40" spans="1:13" x14ac:dyDescent="0.75">
      <c r="A40" t="s">
        <v>69</v>
      </c>
      <c r="B40">
        <v>953</v>
      </c>
      <c r="C40" t="s">
        <v>1101</v>
      </c>
      <c r="D40" t="s">
        <v>197</v>
      </c>
      <c r="E40">
        <v>18.340717000000001</v>
      </c>
      <c r="F40">
        <v>-64.689333000000005</v>
      </c>
      <c r="G40" s="3">
        <v>44748</v>
      </c>
      <c r="I40" t="s">
        <v>1155</v>
      </c>
      <c r="J40" t="s">
        <v>1084</v>
      </c>
      <c r="K40" t="s">
        <v>367</v>
      </c>
      <c r="L40" s="31" t="s">
        <v>1156</v>
      </c>
      <c r="M40" t="s">
        <v>1103</v>
      </c>
    </row>
    <row r="41" spans="1:13" x14ac:dyDescent="0.75">
      <c r="A41" t="s">
        <v>69</v>
      </c>
      <c r="B41">
        <v>954</v>
      </c>
      <c r="C41" t="s">
        <v>1101</v>
      </c>
      <c r="D41" t="s">
        <v>197</v>
      </c>
      <c r="E41">
        <v>18.340633</v>
      </c>
      <c r="F41">
        <v>-64.689250000000001</v>
      </c>
      <c r="G41" s="3">
        <v>44748</v>
      </c>
      <c r="H41" s="153">
        <v>0.55972222222222223</v>
      </c>
      <c r="I41" t="s">
        <v>1157</v>
      </c>
      <c r="J41" t="s">
        <v>1084</v>
      </c>
      <c r="K41" t="s">
        <v>367</v>
      </c>
      <c r="L41" s="31" t="s">
        <v>1158</v>
      </c>
      <c r="M41" t="s">
        <v>1103</v>
      </c>
    </row>
    <row r="42" spans="1:13" x14ac:dyDescent="0.75">
      <c r="A42" t="s">
        <v>69</v>
      </c>
      <c r="B42">
        <v>955</v>
      </c>
      <c r="C42" t="s">
        <v>1101</v>
      </c>
      <c r="D42" t="s">
        <v>164</v>
      </c>
      <c r="E42">
        <v>18.340800000000002</v>
      </c>
      <c r="F42">
        <v>-64.688982999999993</v>
      </c>
      <c r="G42" s="3">
        <v>44748</v>
      </c>
      <c r="H42" s="153">
        <v>0.5708333333333333</v>
      </c>
      <c r="I42" t="s">
        <v>1159</v>
      </c>
      <c r="J42" t="s">
        <v>1084</v>
      </c>
      <c r="K42" t="s">
        <v>367</v>
      </c>
      <c r="L42" s="31" t="s">
        <v>1160</v>
      </c>
      <c r="M42" t="s">
        <v>1103</v>
      </c>
    </row>
    <row r="43" spans="1:13" x14ac:dyDescent="0.75">
      <c r="A43" t="s">
        <v>39</v>
      </c>
      <c r="B43">
        <v>956</v>
      </c>
      <c r="C43" t="s">
        <v>1101</v>
      </c>
      <c r="D43" t="s">
        <v>194</v>
      </c>
      <c r="E43">
        <v>18.3599</v>
      </c>
      <c r="F43">
        <v>-64.756033000000002</v>
      </c>
      <c r="G43" s="3">
        <v>44762</v>
      </c>
      <c r="I43" t="s">
        <v>1161</v>
      </c>
      <c r="J43" t="s">
        <v>1084</v>
      </c>
      <c r="K43" t="s">
        <v>374</v>
      </c>
      <c r="L43" s="31" t="s">
        <v>1162</v>
      </c>
      <c r="M43" t="s">
        <v>1163</v>
      </c>
    </row>
    <row r="44" spans="1:13" x14ac:dyDescent="0.75">
      <c r="A44" s="4" t="s">
        <v>39</v>
      </c>
      <c r="B44" s="4">
        <v>957</v>
      </c>
      <c r="C44" t="s">
        <v>1101</v>
      </c>
      <c r="D44" s="4" t="s">
        <v>168</v>
      </c>
      <c r="E44" s="4">
        <v>18.357817000000001</v>
      </c>
      <c r="F44" s="4">
        <v>-64.751917000000006</v>
      </c>
      <c r="G44" s="3">
        <v>44762</v>
      </c>
      <c r="H44" s="21">
        <v>0.57986111111111105</v>
      </c>
      <c r="I44" t="s">
        <v>1164</v>
      </c>
      <c r="J44" t="s">
        <v>1084</v>
      </c>
      <c r="K44" s="4" t="s">
        <v>374</v>
      </c>
      <c r="L44" s="155" t="s">
        <v>1165</v>
      </c>
      <c r="M44" t="s">
        <v>1166</v>
      </c>
    </row>
    <row r="45" spans="1:13" x14ac:dyDescent="0.75">
      <c r="A45" t="s">
        <v>69</v>
      </c>
      <c r="B45">
        <v>958</v>
      </c>
      <c r="C45" t="s">
        <v>1101</v>
      </c>
      <c r="D45" t="s">
        <v>191</v>
      </c>
      <c r="E45">
        <v>18.340582999999999</v>
      </c>
      <c r="F45">
        <v>64.689317000000003</v>
      </c>
      <c r="G45" s="3">
        <v>44768</v>
      </c>
      <c r="I45" t="s">
        <v>1167</v>
      </c>
      <c r="J45" t="s">
        <v>1084</v>
      </c>
      <c r="M45" t="s">
        <v>1103</v>
      </c>
    </row>
    <row r="46" spans="1:13" x14ac:dyDescent="0.75">
      <c r="A46" t="s">
        <v>69</v>
      </c>
      <c r="B46">
        <v>959</v>
      </c>
      <c r="C46" t="s">
        <v>1082</v>
      </c>
      <c r="D46" t="s">
        <v>194</v>
      </c>
      <c r="E46">
        <v>18.340633</v>
      </c>
      <c r="F46">
        <v>-64.689317000000003</v>
      </c>
      <c r="G46" s="3">
        <v>44769</v>
      </c>
      <c r="H46" s="153">
        <v>0.4375</v>
      </c>
      <c r="I46" t="s">
        <v>1168</v>
      </c>
      <c r="J46" t="s">
        <v>1084</v>
      </c>
      <c r="L46" s="31" t="s">
        <v>1169</v>
      </c>
      <c r="M46" t="s">
        <v>1103</v>
      </c>
    </row>
    <row r="47" spans="1:13" x14ac:dyDescent="0.75">
      <c r="A47" t="s">
        <v>69</v>
      </c>
      <c r="B47">
        <v>960</v>
      </c>
      <c r="C47" t="s">
        <v>1101</v>
      </c>
      <c r="D47" t="s">
        <v>194</v>
      </c>
      <c r="E47">
        <v>18.340717000000001</v>
      </c>
      <c r="F47">
        <v>-64.689149999999998</v>
      </c>
      <c r="G47" s="3">
        <v>44769</v>
      </c>
      <c r="H47" s="153">
        <v>0.4548611111111111</v>
      </c>
      <c r="I47" t="s">
        <v>1170</v>
      </c>
      <c r="J47" t="s">
        <v>1084</v>
      </c>
      <c r="L47" s="31" t="s">
        <v>1171</v>
      </c>
      <c r="M47" t="s">
        <v>1103</v>
      </c>
    </row>
    <row r="48" spans="1:13" x14ac:dyDescent="0.75">
      <c r="A48" t="s">
        <v>69</v>
      </c>
      <c r="B48">
        <v>962</v>
      </c>
      <c r="C48" t="s">
        <v>1101</v>
      </c>
      <c r="D48" t="s">
        <v>197</v>
      </c>
      <c r="E48">
        <v>18.340767</v>
      </c>
      <c r="F48">
        <v>-64.688967000000005</v>
      </c>
      <c r="G48" s="3">
        <v>44831</v>
      </c>
      <c r="H48" s="153">
        <v>0.51388888888888895</v>
      </c>
      <c r="I48" t="s">
        <v>1172</v>
      </c>
      <c r="J48" t="s">
        <v>1084</v>
      </c>
      <c r="K48" t="s">
        <v>374</v>
      </c>
      <c r="L48" s="31" t="s">
        <v>1173</v>
      </c>
      <c r="M48" t="s">
        <v>1103</v>
      </c>
    </row>
    <row r="49" spans="1:13" x14ac:dyDescent="0.75">
      <c r="A49" t="s">
        <v>69</v>
      </c>
      <c r="B49">
        <v>963</v>
      </c>
      <c r="C49" t="s">
        <v>1101</v>
      </c>
      <c r="D49" t="s">
        <v>191</v>
      </c>
      <c r="E49">
        <v>18.340767</v>
      </c>
      <c r="F49">
        <v>-64.688917000000004</v>
      </c>
      <c r="G49" s="3">
        <v>44831</v>
      </c>
      <c r="H49" s="153">
        <v>0.51874999999999993</v>
      </c>
      <c r="I49" t="s">
        <v>1174</v>
      </c>
      <c r="J49" t="s">
        <v>1084</v>
      </c>
      <c r="K49" t="s">
        <v>374</v>
      </c>
      <c r="L49" s="31" t="s">
        <v>1175</v>
      </c>
      <c r="M49" t="s">
        <v>1103</v>
      </c>
    </row>
    <row r="50" spans="1:13" x14ac:dyDescent="0.75">
      <c r="A50" t="s">
        <v>116</v>
      </c>
      <c r="B50">
        <v>966</v>
      </c>
      <c r="C50" t="s">
        <v>1082</v>
      </c>
      <c r="D50" t="s">
        <v>164</v>
      </c>
      <c r="E50">
        <v>18.349250000000001</v>
      </c>
      <c r="F50">
        <v>-64.698817000000005</v>
      </c>
      <c r="G50" s="3">
        <v>45008</v>
      </c>
      <c r="H50" s="153">
        <v>0.54166666666666663</v>
      </c>
      <c r="I50" t="s">
        <v>1176</v>
      </c>
      <c r="J50" t="s">
        <v>1084</v>
      </c>
      <c r="L50" s="31" t="s">
        <v>1177</v>
      </c>
      <c r="M50" t="s">
        <v>117</v>
      </c>
    </row>
    <row r="51" spans="1:13" x14ac:dyDescent="0.75">
      <c r="A51" t="s">
        <v>116</v>
      </c>
      <c r="B51">
        <v>967</v>
      </c>
      <c r="C51" t="s">
        <v>1082</v>
      </c>
      <c r="D51" t="s">
        <v>164</v>
      </c>
      <c r="E51">
        <v>18.349416999999999</v>
      </c>
      <c r="F51">
        <v>-64.698932999999997</v>
      </c>
      <c r="G51" s="3">
        <v>45008</v>
      </c>
      <c r="H51" s="153">
        <v>0.53125</v>
      </c>
      <c r="I51" t="s">
        <v>1178</v>
      </c>
      <c r="J51" t="s">
        <v>1084</v>
      </c>
      <c r="M51" t="s">
        <v>117</v>
      </c>
    </row>
    <row r="52" spans="1:13" x14ac:dyDescent="0.75">
      <c r="A52" t="s">
        <v>69</v>
      </c>
      <c r="B52">
        <v>969</v>
      </c>
      <c r="C52" t="s">
        <v>1082</v>
      </c>
      <c r="D52" t="s">
        <v>197</v>
      </c>
      <c r="E52">
        <v>18.342300000000002</v>
      </c>
      <c r="F52">
        <v>-64.688469999999995</v>
      </c>
      <c r="G52" s="3">
        <v>44722</v>
      </c>
      <c r="H52" s="153">
        <v>0.42638888888888887</v>
      </c>
      <c r="J52" t="s">
        <v>1084</v>
      </c>
      <c r="L52" s="31" t="s">
        <v>1179</v>
      </c>
      <c r="M52" t="s">
        <v>1090</v>
      </c>
    </row>
    <row r="53" spans="1:13" x14ac:dyDescent="0.75">
      <c r="A53" t="s">
        <v>23</v>
      </c>
      <c r="B53">
        <v>970</v>
      </c>
      <c r="C53" t="s">
        <v>1082</v>
      </c>
      <c r="D53" t="s">
        <v>197</v>
      </c>
      <c r="E53" s="10"/>
      <c r="F53" s="10"/>
      <c r="G53" s="3">
        <v>44742</v>
      </c>
      <c r="H53" s="153" t="s">
        <v>1180</v>
      </c>
      <c r="J53" t="s">
        <v>1084</v>
      </c>
      <c r="L53" s="31" t="s">
        <v>1181</v>
      </c>
      <c r="M53" t="s">
        <v>1088</v>
      </c>
    </row>
    <row r="54" spans="1:13" x14ac:dyDescent="0.75">
      <c r="A54" t="s">
        <v>23</v>
      </c>
      <c r="B54">
        <v>971</v>
      </c>
      <c r="C54" t="s">
        <v>1082</v>
      </c>
      <c r="D54" t="s">
        <v>197</v>
      </c>
      <c r="E54" s="10">
        <v>18.357849999999999</v>
      </c>
      <c r="F54" s="10">
        <v>-64.778350000000003</v>
      </c>
      <c r="G54" s="3">
        <v>44742</v>
      </c>
      <c r="H54" s="153" t="s">
        <v>1180</v>
      </c>
      <c r="I54" t="s">
        <v>1182</v>
      </c>
      <c r="J54" t="s">
        <v>1084</v>
      </c>
      <c r="M54" t="s">
        <v>1088</v>
      </c>
    </row>
    <row r="55" spans="1:13" x14ac:dyDescent="0.75">
      <c r="A55" t="s">
        <v>23</v>
      </c>
      <c r="B55">
        <v>972</v>
      </c>
      <c r="C55" t="s">
        <v>1082</v>
      </c>
      <c r="D55" t="s">
        <v>197</v>
      </c>
      <c r="E55" s="10">
        <v>18.357849999999999</v>
      </c>
      <c r="F55" s="10">
        <v>-64.778616999999997</v>
      </c>
      <c r="G55" s="3">
        <v>44742</v>
      </c>
      <c r="H55" s="153" t="s">
        <v>1180</v>
      </c>
      <c r="I55" t="s">
        <v>1183</v>
      </c>
      <c r="J55" t="s">
        <v>1084</v>
      </c>
      <c r="M55" t="s">
        <v>1088</v>
      </c>
    </row>
    <row r="56" spans="1:13" s="4" customFormat="1" x14ac:dyDescent="0.75">
      <c r="A56" t="s">
        <v>39</v>
      </c>
      <c r="B56">
        <v>973</v>
      </c>
      <c r="C56" t="s">
        <v>1082</v>
      </c>
      <c r="D56" t="s">
        <v>197</v>
      </c>
      <c r="E56">
        <v>18.359332999999999</v>
      </c>
      <c r="F56">
        <v>-64.757017000000005</v>
      </c>
      <c r="G56" s="3">
        <v>44742</v>
      </c>
      <c r="H56" s="153">
        <v>0.47986111111111113</v>
      </c>
      <c r="I56" t="s">
        <v>1184</v>
      </c>
      <c r="J56" t="s">
        <v>1084</v>
      </c>
      <c r="K56" t="s">
        <v>374</v>
      </c>
      <c r="L56" s="31" t="s">
        <v>1185</v>
      </c>
      <c r="M56"/>
    </row>
    <row r="57" spans="1:13" x14ac:dyDescent="0.75">
      <c r="A57" t="s">
        <v>39</v>
      </c>
      <c r="B57">
        <v>974</v>
      </c>
      <c r="C57" t="s">
        <v>1082</v>
      </c>
      <c r="D57" t="s">
        <v>201</v>
      </c>
      <c r="E57">
        <v>18.35895</v>
      </c>
      <c r="F57">
        <v>-64.756917000000001</v>
      </c>
      <c r="G57" s="3">
        <v>44742</v>
      </c>
      <c r="H57" s="153">
        <v>0.4861111111111111</v>
      </c>
      <c r="I57" t="s">
        <v>1186</v>
      </c>
      <c r="J57" t="s">
        <v>1084</v>
      </c>
      <c r="K57" t="s">
        <v>374</v>
      </c>
      <c r="L57" s="31" t="s">
        <v>1187</v>
      </c>
    </row>
    <row r="58" spans="1:13" x14ac:dyDescent="0.75">
      <c r="A58" t="s">
        <v>116</v>
      </c>
      <c r="B58">
        <v>975</v>
      </c>
      <c r="C58" t="s">
        <v>1082</v>
      </c>
      <c r="D58" t="s">
        <v>164</v>
      </c>
      <c r="E58">
        <v>18.349299999999999</v>
      </c>
      <c r="F58">
        <v>-64.698982999999998</v>
      </c>
      <c r="G58" s="3">
        <v>45008</v>
      </c>
      <c r="H58" s="153">
        <v>0.53541666666666665</v>
      </c>
      <c r="I58" t="s">
        <v>1188</v>
      </c>
      <c r="J58" t="s">
        <v>1084</v>
      </c>
      <c r="M58" t="s">
        <v>117</v>
      </c>
    </row>
    <row r="59" spans="1:13" x14ac:dyDescent="0.75">
      <c r="A59" t="s">
        <v>116</v>
      </c>
      <c r="B59">
        <v>976</v>
      </c>
      <c r="C59" t="s">
        <v>1082</v>
      </c>
      <c r="D59" t="s">
        <v>164</v>
      </c>
      <c r="E59">
        <v>18.350017000000001</v>
      </c>
      <c r="F59">
        <v>-64.698882999999995</v>
      </c>
      <c r="G59" s="3">
        <v>45008</v>
      </c>
      <c r="H59" s="153">
        <v>0.46111111111111108</v>
      </c>
      <c r="I59" t="s">
        <v>1189</v>
      </c>
      <c r="J59" t="s">
        <v>1084</v>
      </c>
      <c r="L59" s="31" t="s">
        <v>1190</v>
      </c>
      <c r="M59" t="s">
        <v>117</v>
      </c>
    </row>
    <row r="60" spans="1:13" x14ac:dyDescent="0.75">
      <c r="A60" t="s">
        <v>116</v>
      </c>
      <c r="B60">
        <v>977</v>
      </c>
      <c r="C60" t="s">
        <v>1082</v>
      </c>
      <c r="D60" t="s">
        <v>176</v>
      </c>
      <c r="E60">
        <v>18.349966999999999</v>
      </c>
      <c r="F60">
        <v>-64.698882999999995</v>
      </c>
      <c r="G60" s="3">
        <v>45008</v>
      </c>
      <c r="H60" s="153">
        <v>0.46319444444444446</v>
      </c>
      <c r="I60" t="s">
        <v>1114</v>
      </c>
      <c r="J60" t="s">
        <v>1084</v>
      </c>
      <c r="L60" s="31" t="s">
        <v>1191</v>
      </c>
      <c r="M60" t="s">
        <v>117</v>
      </c>
    </row>
    <row r="61" spans="1:13" x14ac:dyDescent="0.75">
      <c r="A61" t="s">
        <v>116</v>
      </c>
      <c r="B61">
        <v>978</v>
      </c>
      <c r="C61" t="s">
        <v>1082</v>
      </c>
      <c r="D61" t="s">
        <v>176</v>
      </c>
      <c r="E61">
        <v>18.350083000000001</v>
      </c>
      <c r="F61">
        <v>-64.698932999999997</v>
      </c>
      <c r="G61" s="3">
        <v>45008</v>
      </c>
      <c r="H61" s="153">
        <v>0.46111111111111108</v>
      </c>
      <c r="I61" t="s">
        <v>1192</v>
      </c>
      <c r="J61" t="s">
        <v>1084</v>
      </c>
      <c r="L61" s="31" t="s">
        <v>1193</v>
      </c>
      <c r="M61" t="s">
        <v>117</v>
      </c>
    </row>
    <row r="62" spans="1:13" x14ac:dyDescent="0.75">
      <c r="A62" t="s">
        <v>116</v>
      </c>
      <c r="B62">
        <v>979</v>
      </c>
      <c r="C62" t="s">
        <v>1082</v>
      </c>
      <c r="D62" t="s">
        <v>164</v>
      </c>
      <c r="E62">
        <v>18.350100000000001</v>
      </c>
      <c r="F62">
        <v>-64.698999999999998</v>
      </c>
      <c r="G62" s="3">
        <v>45008</v>
      </c>
      <c r="H62" s="153">
        <v>0.45208333333333334</v>
      </c>
      <c r="I62" t="s">
        <v>1194</v>
      </c>
      <c r="J62" t="s">
        <v>1084</v>
      </c>
      <c r="L62" s="31" t="s">
        <v>1195</v>
      </c>
      <c r="M62" t="s">
        <v>117</v>
      </c>
    </row>
    <row r="63" spans="1:13" x14ac:dyDescent="0.75">
      <c r="A63" t="s">
        <v>116</v>
      </c>
      <c r="B63">
        <v>980</v>
      </c>
      <c r="C63" t="s">
        <v>1082</v>
      </c>
      <c r="D63" t="s">
        <v>201</v>
      </c>
      <c r="E63">
        <v>18.348966999999998</v>
      </c>
      <c r="F63">
        <v>-64.699349999999995</v>
      </c>
      <c r="G63" s="3">
        <v>45008</v>
      </c>
      <c r="H63" s="153">
        <v>0.59305555555555556</v>
      </c>
      <c r="I63" s="10" t="s">
        <v>1196</v>
      </c>
      <c r="J63" t="s">
        <v>1084</v>
      </c>
      <c r="M63" t="s">
        <v>117</v>
      </c>
    </row>
    <row r="64" spans="1:13" x14ac:dyDescent="0.75">
      <c r="A64" t="s">
        <v>116</v>
      </c>
      <c r="B64">
        <v>981</v>
      </c>
      <c r="C64" t="s">
        <v>1082</v>
      </c>
      <c r="D64" t="s">
        <v>201</v>
      </c>
      <c r="E64">
        <v>18.350066999999999</v>
      </c>
      <c r="F64">
        <v>-64.699533000000002</v>
      </c>
      <c r="G64" s="3">
        <v>45027</v>
      </c>
      <c r="H64" s="153">
        <v>0.4465277777777778</v>
      </c>
      <c r="I64" t="s">
        <v>1197</v>
      </c>
      <c r="J64" t="s">
        <v>1084</v>
      </c>
      <c r="L64" s="31" t="s">
        <v>1198</v>
      </c>
      <c r="M64" t="s">
        <v>117</v>
      </c>
    </row>
    <row r="65" spans="1:15" x14ac:dyDescent="0.75">
      <c r="A65" t="s">
        <v>116</v>
      </c>
      <c r="B65">
        <v>982</v>
      </c>
      <c r="C65" t="s">
        <v>1082</v>
      </c>
      <c r="D65" t="s">
        <v>201</v>
      </c>
      <c r="E65">
        <v>18.350383000000001</v>
      </c>
      <c r="F65">
        <v>-64.698367000000005</v>
      </c>
      <c r="G65" s="3">
        <v>45007</v>
      </c>
      <c r="H65" s="153">
        <v>0.53402777777777777</v>
      </c>
      <c r="I65" t="s">
        <v>1199</v>
      </c>
      <c r="J65" t="s">
        <v>1084</v>
      </c>
      <c r="L65" s="31" t="s">
        <v>1200</v>
      </c>
      <c r="M65" t="s">
        <v>117</v>
      </c>
    </row>
    <row r="66" spans="1:15" x14ac:dyDescent="0.75">
      <c r="A66" t="s">
        <v>116</v>
      </c>
      <c r="B66">
        <v>983</v>
      </c>
      <c r="C66" t="s">
        <v>1082</v>
      </c>
      <c r="D66" t="s">
        <v>201</v>
      </c>
      <c r="E66">
        <v>18.350283000000001</v>
      </c>
      <c r="F66">
        <v>-64.698333000000005</v>
      </c>
      <c r="G66" s="3">
        <v>45007</v>
      </c>
      <c r="H66" s="153">
        <v>0.47916666666666669</v>
      </c>
      <c r="I66" t="s">
        <v>1201</v>
      </c>
      <c r="J66" t="s">
        <v>1084</v>
      </c>
      <c r="L66" s="31" t="s">
        <v>1202</v>
      </c>
      <c r="M66" t="s">
        <v>117</v>
      </c>
    </row>
    <row r="67" spans="1:15" x14ac:dyDescent="0.75">
      <c r="A67" t="s">
        <v>116</v>
      </c>
      <c r="B67">
        <v>999</v>
      </c>
      <c r="C67" t="s">
        <v>1082</v>
      </c>
      <c r="D67" t="s">
        <v>157</v>
      </c>
      <c r="E67">
        <v>18.349450000000001</v>
      </c>
      <c r="F67">
        <v>-64.698832999999993</v>
      </c>
      <c r="G67" s="3">
        <v>45008</v>
      </c>
      <c r="H67" s="153">
        <v>0.52083333333333337</v>
      </c>
      <c r="I67" t="s">
        <v>1203</v>
      </c>
      <c r="J67" t="s">
        <v>1084</v>
      </c>
      <c r="L67" s="31" t="s">
        <v>1204</v>
      </c>
      <c r="M67" t="s">
        <v>117</v>
      </c>
    </row>
    <row r="68" spans="1:15" x14ac:dyDescent="0.75">
      <c r="A68" t="s">
        <v>116</v>
      </c>
      <c r="B68">
        <v>1000</v>
      </c>
      <c r="C68" t="s">
        <v>1082</v>
      </c>
      <c r="D68" t="s">
        <v>164</v>
      </c>
      <c r="E68">
        <v>18.350017000000001</v>
      </c>
      <c r="F68">
        <v>-64.69905</v>
      </c>
      <c r="G68" s="3">
        <v>45021</v>
      </c>
      <c r="H68" s="153">
        <v>0.47500000000000003</v>
      </c>
      <c r="I68" t="s">
        <v>1205</v>
      </c>
      <c r="J68" t="s">
        <v>1084</v>
      </c>
      <c r="L68" s="31" t="s">
        <v>1206</v>
      </c>
      <c r="M68" t="s">
        <v>117</v>
      </c>
    </row>
    <row r="69" spans="1:15" x14ac:dyDescent="0.75">
      <c r="A69" t="s">
        <v>64</v>
      </c>
      <c r="B69">
        <v>3338</v>
      </c>
      <c r="C69" t="s">
        <v>1207</v>
      </c>
      <c r="D69" t="s">
        <v>201</v>
      </c>
      <c r="E69">
        <v>18.367916999999998</v>
      </c>
      <c r="F69">
        <v>-64.751017000000004</v>
      </c>
      <c r="G69" s="3">
        <v>44699</v>
      </c>
      <c r="H69" s="153">
        <v>0.45069444444444445</v>
      </c>
      <c r="I69" t="s">
        <v>1208</v>
      </c>
      <c r="J69" t="s">
        <v>1084</v>
      </c>
      <c r="K69" t="s">
        <v>374</v>
      </c>
      <c r="M69" t="s">
        <v>65</v>
      </c>
    </row>
    <row r="70" spans="1:15" x14ac:dyDescent="0.75">
      <c r="A70" t="s">
        <v>64</v>
      </c>
      <c r="B70">
        <v>3339</v>
      </c>
      <c r="C70" t="s">
        <v>1207</v>
      </c>
      <c r="D70" t="s">
        <v>201</v>
      </c>
      <c r="E70">
        <v>18.368033</v>
      </c>
      <c r="F70">
        <v>-64.751082999999994</v>
      </c>
      <c r="G70" s="3">
        <v>44699</v>
      </c>
      <c r="H70" s="153">
        <v>0.44513888888888892</v>
      </c>
      <c r="I70" t="s">
        <v>1209</v>
      </c>
      <c r="J70" t="s">
        <v>1084</v>
      </c>
      <c r="K70" t="s">
        <v>360</v>
      </c>
      <c r="M70" t="s">
        <v>65</v>
      </c>
    </row>
    <row r="71" spans="1:15" x14ac:dyDescent="0.75">
      <c r="A71" t="s">
        <v>60</v>
      </c>
      <c r="B71">
        <v>3340</v>
      </c>
      <c r="C71" t="s">
        <v>1207</v>
      </c>
      <c r="D71" t="s">
        <v>213</v>
      </c>
      <c r="E71">
        <v>18.367450000000002</v>
      </c>
      <c r="F71">
        <v>-64.733050000000006</v>
      </c>
      <c r="G71" s="3">
        <v>44664</v>
      </c>
      <c r="H71" s="153">
        <v>0.5756944444444444</v>
      </c>
      <c r="I71" t="s">
        <v>1210</v>
      </c>
      <c r="J71" t="s">
        <v>1211</v>
      </c>
      <c r="K71" t="s">
        <v>360</v>
      </c>
      <c r="L71" s="31" t="s">
        <v>1212</v>
      </c>
    </row>
    <row r="72" spans="1:15" x14ac:dyDescent="0.75">
      <c r="A72" t="s">
        <v>69</v>
      </c>
      <c r="B72">
        <v>3341</v>
      </c>
      <c r="C72" t="s">
        <v>1207</v>
      </c>
      <c r="D72" t="s">
        <v>197</v>
      </c>
      <c r="E72" s="10"/>
      <c r="F72" s="10"/>
      <c r="G72" s="3">
        <v>44659</v>
      </c>
      <c r="H72" s="153">
        <v>0.55763888888888891</v>
      </c>
      <c r="J72" t="s">
        <v>1211</v>
      </c>
      <c r="K72" t="s">
        <v>360</v>
      </c>
      <c r="L72" s="31" t="s">
        <v>1213</v>
      </c>
      <c r="M72" t="s">
        <v>1090</v>
      </c>
    </row>
    <row r="73" spans="1:15" x14ac:dyDescent="0.75">
      <c r="A73" t="s">
        <v>39</v>
      </c>
      <c r="B73">
        <v>3535</v>
      </c>
      <c r="C73" t="s">
        <v>1207</v>
      </c>
      <c r="D73" t="s">
        <v>164</v>
      </c>
      <c r="E73">
        <v>18.359916999999999</v>
      </c>
      <c r="F73">
        <v>-64.756033000000002</v>
      </c>
      <c r="G73" s="3">
        <v>44699</v>
      </c>
      <c r="I73" t="s">
        <v>1214</v>
      </c>
      <c r="J73" t="s">
        <v>1084</v>
      </c>
      <c r="L73" s="31" t="s">
        <v>1215</v>
      </c>
      <c r="M73" t="s">
        <v>1163</v>
      </c>
    </row>
    <row r="74" spans="1:15" x14ac:dyDescent="0.75">
      <c r="A74" t="s">
        <v>39</v>
      </c>
      <c r="B74">
        <v>3883</v>
      </c>
      <c r="C74" t="s">
        <v>1207</v>
      </c>
      <c r="D74" t="s">
        <v>201</v>
      </c>
      <c r="E74">
        <v>18.358782999999999</v>
      </c>
      <c r="F74">
        <v>-64.751683</v>
      </c>
      <c r="G74" s="3">
        <v>44656</v>
      </c>
      <c r="H74" s="153">
        <v>0.44305555555555554</v>
      </c>
      <c r="I74" t="s">
        <v>1216</v>
      </c>
      <c r="J74" t="s">
        <v>1084</v>
      </c>
      <c r="L74" s="31" t="s">
        <v>1217</v>
      </c>
      <c r="N74" s="266" t="s">
        <v>1218</v>
      </c>
      <c r="O74" s="266" t="s">
        <v>1219</v>
      </c>
    </row>
    <row r="75" spans="1:15" x14ac:dyDescent="0.75">
      <c r="A75" t="s">
        <v>23</v>
      </c>
      <c r="B75">
        <v>3884</v>
      </c>
      <c r="C75" t="s">
        <v>1207</v>
      </c>
      <c r="D75" t="s">
        <v>160</v>
      </c>
      <c r="E75">
        <v>18.362017000000002</v>
      </c>
      <c r="F75">
        <v>-64.772132999999997</v>
      </c>
      <c r="G75" s="3">
        <v>44641</v>
      </c>
      <c r="H75" s="153">
        <v>0.61944444444444446</v>
      </c>
      <c r="I75" t="s">
        <v>1091</v>
      </c>
      <c r="J75" t="s">
        <v>1084</v>
      </c>
      <c r="L75" s="31" t="s">
        <v>1220</v>
      </c>
      <c r="M75" t="s">
        <v>1093</v>
      </c>
    </row>
    <row r="76" spans="1:15" x14ac:dyDescent="0.75">
      <c r="A76" t="s">
        <v>69</v>
      </c>
      <c r="B76">
        <v>3988</v>
      </c>
      <c r="C76" t="s">
        <v>1207</v>
      </c>
      <c r="D76" t="s">
        <v>197</v>
      </c>
      <c r="E76">
        <v>18.342383000000002</v>
      </c>
      <c r="F76">
        <v>-64.688783000000001</v>
      </c>
      <c r="G76" s="3">
        <v>44706</v>
      </c>
      <c r="I76" t="s">
        <v>1221</v>
      </c>
      <c r="J76" t="s">
        <v>1084</v>
      </c>
      <c r="L76" s="31" t="s">
        <v>1222</v>
      </c>
      <c r="M76" t="s">
        <v>1090</v>
      </c>
    </row>
    <row r="77" spans="1:15" x14ac:dyDescent="0.75">
      <c r="A77" t="s">
        <v>69</v>
      </c>
      <c r="B77">
        <v>3993</v>
      </c>
      <c r="C77" t="s">
        <v>1207</v>
      </c>
      <c r="D77" t="s">
        <v>191</v>
      </c>
      <c r="E77">
        <v>18.342383000000002</v>
      </c>
      <c r="F77">
        <v>-64.688649999999996</v>
      </c>
      <c r="G77" s="3">
        <v>44706</v>
      </c>
      <c r="H77" s="153">
        <v>0.59375</v>
      </c>
      <c r="I77" t="s">
        <v>1223</v>
      </c>
      <c r="J77" t="s">
        <v>1084</v>
      </c>
      <c r="L77" s="31" t="s">
        <v>1224</v>
      </c>
      <c r="M77" t="s">
        <v>1090</v>
      </c>
    </row>
    <row r="78" spans="1:15" x14ac:dyDescent="0.75">
      <c r="A78" t="s">
        <v>23</v>
      </c>
      <c r="B78">
        <v>4112</v>
      </c>
      <c r="C78" t="s">
        <v>1207</v>
      </c>
      <c r="D78" t="s">
        <v>197</v>
      </c>
      <c r="E78">
        <v>18.358650000000001</v>
      </c>
      <c r="F78">
        <v>-64.776083</v>
      </c>
      <c r="G78" s="3">
        <v>44641</v>
      </c>
      <c r="H78" s="153">
        <v>0.53819444444444442</v>
      </c>
      <c r="I78" t="s">
        <v>1225</v>
      </c>
      <c r="J78" t="s">
        <v>1084</v>
      </c>
      <c r="M78" t="s">
        <v>1088</v>
      </c>
    </row>
    <row r="79" spans="1:15" x14ac:dyDescent="0.75">
      <c r="A79" t="s">
        <v>69</v>
      </c>
      <c r="B79">
        <v>4122</v>
      </c>
      <c r="C79" t="s">
        <v>1207</v>
      </c>
      <c r="D79" t="s">
        <v>197</v>
      </c>
      <c r="E79">
        <v>18.343333000000001</v>
      </c>
      <c r="F79">
        <v>-64.687517</v>
      </c>
      <c r="G79" s="3">
        <v>44706</v>
      </c>
      <c r="H79" s="153">
        <v>0.45833333333333331</v>
      </c>
      <c r="I79" t="s">
        <v>1226</v>
      </c>
      <c r="J79" t="s">
        <v>1084</v>
      </c>
      <c r="M79" t="s">
        <v>1090</v>
      </c>
    </row>
    <row r="80" spans="1:15" x14ac:dyDescent="0.75">
      <c r="A80" t="s">
        <v>69</v>
      </c>
      <c r="B80">
        <v>4125</v>
      </c>
      <c r="C80" t="s">
        <v>1207</v>
      </c>
      <c r="D80" t="s">
        <v>201</v>
      </c>
      <c r="E80">
        <v>18.342383000000002</v>
      </c>
      <c r="F80">
        <v>-64.688383000000002</v>
      </c>
      <c r="G80" s="3">
        <v>44706</v>
      </c>
      <c r="I80" t="s">
        <v>1227</v>
      </c>
      <c r="J80" t="s">
        <v>1084</v>
      </c>
      <c r="L80" s="31" t="s">
        <v>1228</v>
      </c>
      <c r="M80" t="s">
        <v>1090</v>
      </c>
    </row>
    <row r="81" spans="1:13" x14ac:dyDescent="0.75">
      <c r="A81" t="s">
        <v>69</v>
      </c>
      <c r="B81">
        <v>4127</v>
      </c>
      <c r="C81" t="s">
        <v>1207</v>
      </c>
      <c r="D81" t="s">
        <v>191</v>
      </c>
      <c r="E81">
        <v>18.34224</v>
      </c>
      <c r="F81">
        <v>-64.688509999999994</v>
      </c>
      <c r="G81" s="3">
        <v>44706</v>
      </c>
      <c r="H81" s="153">
        <v>0.57152777777777775</v>
      </c>
      <c r="J81" t="s">
        <v>1084</v>
      </c>
      <c r="M81" t="s">
        <v>1090</v>
      </c>
    </row>
    <row r="82" spans="1:13" x14ac:dyDescent="0.75">
      <c r="A82" t="s">
        <v>69</v>
      </c>
      <c r="B82">
        <v>4128</v>
      </c>
      <c r="C82" t="s">
        <v>1207</v>
      </c>
      <c r="D82" t="s">
        <v>197</v>
      </c>
      <c r="E82">
        <v>18.34225</v>
      </c>
      <c r="F82">
        <v>-64.688682999999997</v>
      </c>
      <c r="G82" s="3">
        <v>44706</v>
      </c>
      <c r="H82" s="153">
        <v>0.57291666666666663</v>
      </c>
      <c r="I82" t="s">
        <v>1229</v>
      </c>
      <c r="J82" t="s">
        <v>1084</v>
      </c>
      <c r="L82" s="31" t="s">
        <v>1230</v>
      </c>
      <c r="M82" t="s">
        <v>1090</v>
      </c>
    </row>
    <row r="83" spans="1:13" x14ac:dyDescent="0.75">
      <c r="A83" t="s">
        <v>69</v>
      </c>
      <c r="B83">
        <v>4129</v>
      </c>
      <c r="C83" t="s">
        <v>1207</v>
      </c>
      <c r="D83" t="s">
        <v>197</v>
      </c>
      <c r="E83" s="10"/>
      <c r="F83" s="10"/>
      <c r="G83" s="3">
        <v>44706</v>
      </c>
      <c r="H83" s="153">
        <v>0.58611111111111114</v>
      </c>
      <c r="J83" t="s">
        <v>1084</v>
      </c>
      <c r="L83" s="31" t="s">
        <v>1231</v>
      </c>
      <c r="M83" t="s">
        <v>1090</v>
      </c>
    </row>
    <row r="84" spans="1:13" x14ac:dyDescent="0.75">
      <c r="A84" t="s">
        <v>28</v>
      </c>
      <c r="B84">
        <v>4133</v>
      </c>
      <c r="C84" t="s">
        <v>1207</v>
      </c>
      <c r="D84" t="s">
        <v>191</v>
      </c>
      <c r="E84">
        <v>18.316932999999999</v>
      </c>
      <c r="F84">
        <v>-64.725700000000003</v>
      </c>
      <c r="G84" s="3">
        <v>44639</v>
      </c>
      <c r="I84" t="s">
        <v>1232</v>
      </c>
      <c r="J84" t="s">
        <v>1084</v>
      </c>
      <c r="L84" s="31" t="s">
        <v>1233</v>
      </c>
      <c r="M84" t="s">
        <v>1234</v>
      </c>
    </row>
    <row r="85" spans="1:13" x14ac:dyDescent="0.75">
      <c r="A85" t="s">
        <v>28</v>
      </c>
      <c r="B85">
        <v>4190</v>
      </c>
      <c r="C85" t="s">
        <v>1207</v>
      </c>
      <c r="D85" t="s">
        <v>160</v>
      </c>
      <c r="E85">
        <v>18.312833000000001</v>
      </c>
      <c r="F85">
        <v>-64.725949999999997</v>
      </c>
      <c r="G85" s="121">
        <v>44639</v>
      </c>
      <c r="I85" t="s">
        <v>1235</v>
      </c>
      <c r="J85" t="s">
        <v>1084</v>
      </c>
      <c r="L85" s="31" t="s">
        <v>1236</v>
      </c>
      <c r="M85" t="s">
        <v>1237</v>
      </c>
    </row>
    <row r="86" spans="1:13" x14ac:dyDescent="0.75">
      <c r="A86" t="s">
        <v>39</v>
      </c>
      <c r="B86" t="s">
        <v>1238</v>
      </c>
      <c r="C86" t="s">
        <v>1082</v>
      </c>
      <c r="D86" t="s">
        <v>172</v>
      </c>
      <c r="E86">
        <v>18.357150000000001</v>
      </c>
      <c r="F86">
        <v>-64.752116999999998</v>
      </c>
      <c r="G86" s="121">
        <v>44656</v>
      </c>
      <c r="H86" s="153">
        <v>0.48333333333333334</v>
      </c>
      <c r="I86" t="s">
        <v>1239</v>
      </c>
      <c r="J86" t="s">
        <v>1084</v>
      </c>
      <c r="L86" s="31" t="s">
        <v>1240</v>
      </c>
      <c r="M86" s="4" t="s">
        <v>1166</v>
      </c>
    </row>
    <row r="87" spans="1:13" x14ac:dyDescent="0.75">
      <c r="A87" t="s">
        <v>39</v>
      </c>
      <c r="B87" t="s">
        <v>1241</v>
      </c>
      <c r="C87" t="s">
        <v>1207</v>
      </c>
      <c r="D87" t="s">
        <v>172</v>
      </c>
      <c r="E87">
        <v>18.357167</v>
      </c>
      <c r="F87">
        <v>-64.752099999999999</v>
      </c>
      <c r="G87" s="3">
        <v>44656</v>
      </c>
      <c r="H87" s="153">
        <v>0.47361111111111115</v>
      </c>
      <c r="I87" t="s">
        <v>1242</v>
      </c>
      <c r="J87" t="s">
        <v>1084</v>
      </c>
      <c r="L87" s="31" t="s">
        <v>1243</v>
      </c>
      <c r="M87" s="4" t="s">
        <v>1166</v>
      </c>
    </row>
    <row r="88" spans="1:13" x14ac:dyDescent="0.75">
      <c r="A88" t="s">
        <v>23</v>
      </c>
      <c r="B88" s="217" t="s">
        <v>737</v>
      </c>
      <c r="C88" t="s">
        <v>1207</v>
      </c>
      <c r="D88" t="s">
        <v>153</v>
      </c>
      <c r="E88">
        <v>18.358633000000001</v>
      </c>
      <c r="F88">
        <v>-64.776083</v>
      </c>
      <c r="G88" s="3">
        <v>44641</v>
      </c>
      <c r="H88" s="153">
        <v>0.53263888888888888</v>
      </c>
      <c r="I88" t="s">
        <v>1244</v>
      </c>
      <c r="J88" t="s">
        <v>1084</v>
      </c>
      <c r="L88" s="31" t="s">
        <v>1245</v>
      </c>
      <c r="M88" t="s">
        <v>1088</v>
      </c>
    </row>
    <row r="89" spans="1:13" x14ac:dyDescent="0.75">
      <c r="A89" t="s">
        <v>23</v>
      </c>
      <c r="B89" t="s">
        <v>761</v>
      </c>
      <c r="C89" t="s">
        <v>1207</v>
      </c>
      <c r="D89" t="s">
        <v>194</v>
      </c>
      <c r="E89">
        <v>18.358633000000001</v>
      </c>
      <c r="F89">
        <v>-64.776083</v>
      </c>
      <c r="G89" s="3">
        <v>44641</v>
      </c>
      <c r="H89" s="153">
        <v>0.53263888888888888</v>
      </c>
      <c r="I89" t="s">
        <v>1244</v>
      </c>
      <c r="J89" t="s">
        <v>1084</v>
      </c>
      <c r="L89" s="31" t="s">
        <v>1246</v>
      </c>
      <c r="M89" t="s">
        <v>1088</v>
      </c>
    </row>
    <row r="90" spans="1:13" x14ac:dyDescent="0.75">
      <c r="A90" t="s">
        <v>96</v>
      </c>
      <c r="B90" t="s">
        <v>1247</v>
      </c>
      <c r="C90" t="s">
        <v>1101</v>
      </c>
      <c r="D90" t="s">
        <v>197</v>
      </c>
      <c r="E90">
        <v>18.309166999999999</v>
      </c>
      <c r="F90">
        <v>-64.723150000000004</v>
      </c>
      <c r="G90" s="3">
        <v>44859</v>
      </c>
      <c r="I90" t="s">
        <v>1248</v>
      </c>
      <c r="J90" t="s">
        <v>1084</v>
      </c>
      <c r="K90" t="s">
        <v>360</v>
      </c>
      <c r="L90" s="31" t="s">
        <v>1249</v>
      </c>
      <c r="M90" t="s">
        <v>1126</v>
      </c>
    </row>
    <row r="91" spans="1:13" x14ac:dyDescent="0.75">
      <c r="A91" t="s">
        <v>39</v>
      </c>
      <c r="B91" t="s">
        <v>1250</v>
      </c>
      <c r="C91" t="s">
        <v>1082</v>
      </c>
      <c r="D91" t="s">
        <v>164</v>
      </c>
      <c r="E91">
        <v>18.359850000000002</v>
      </c>
      <c r="F91">
        <v>-64.756450000000001</v>
      </c>
      <c r="G91" s="3">
        <v>44715</v>
      </c>
      <c r="H91" s="153">
        <v>0.5805555555555556</v>
      </c>
      <c r="I91" t="s">
        <v>1251</v>
      </c>
      <c r="J91" t="s">
        <v>1084</v>
      </c>
    </row>
    <row r="92" spans="1:13" x14ac:dyDescent="0.75">
      <c r="A92" t="s">
        <v>39</v>
      </c>
      <c r="B92" t="s">
        <v>1252</v>
      </c>
      <c r="C92" t="s">
        <v>1082</v>
      </c>
      <c r="D92" t="s">
        <v>197</v>
      </c>
      <c r="E92">
        <v>18.359850000000002</v>
      </c>
      <c r="F92">
        <v>-64.756450000000001</v>
      </c>
      <c r="G92" s="3">
        <v>44715</v>
      </c>
      <c r="H92" s="153">
        <v>0.5805555555555556</v>
      </c>
      <c r="I92" t="s">
        <v>1251</v>
      </c>
      <c r="J92" t="s">
        <v>1084</v>
      </c>
      <c r="L92" s="31" t="s">
        <v>1253</v>
      </c>
    </row>
    <row r="93" spans="1:13" x14ac:dyDescent="0.75">
      <c r="A93" t="s">
        <v>116</v>
      </c>
      <c r="B93">
        <v>194</v>
      </c>
      <c r="C93" t="s">
        <v>1254</v>
      </c>
      <c r="D93" t="s">
        <v>164</v>
      </c>
      <c r="E93" s="10"/>
      <c r="F93" s="10"/>
      <c r="G93" s="154"/>
      <c r="J93" t="s">
        <v>1211</v>
      </c>
    </row>
    <row r="94" spans="1:13" x14ac:dyDescent="0.75">
      <c r="A94" t="s">
        <v>116</v>
      </c>
      <c r="B94">
        <v>189</v>
      </c>
      <c r="C94" t="s">
        <v>1254</v>
      </c>
      <c r="D94" t="s">
        <v>157</v>
      </c>
      <c r="E94" s="10"/>
      <c r="F94" s="10"/>
      <c r="G94" s="154"/>
      <c r="J94" t="s">
        <v>1211</v>
      </c>
    </row>
    <row r="95" spans="1:13" x14ac:dyDescent="0.75">
      <c r="A95" t="s">
        <v>116</v>
      </c>
      <c r="B95">
        <v>186</v>
      </c>
      <c r="C95" t="s">
        <v>1254</v>
      </c>
      <c r="D95" t="s">
        <v>157</v>
      </c>
      <c r="E95" s="10"/>
      <c r="F95" s="10"/>
      <c r="G95" s="3">
        <v>45091</v>
      </c>
      <c r="J95" t="s">
        <v>1211</v>
      </c>
    </row>
    <row r="96" spans="1:13" x14ac:dyDescent="0.75">
      <c r="A96" t="s">
        <v>87</v>
      </c>
      <c r="B96">
        <v>187</v>
      </c>
      <c r="C96" t="s">
        <v>1254</v>
      </c>
      <c r="D96" t="s">
        <v>160</v>
      </c>
      <c r="E96" s="10"/>
      <c r="F96" s="10"/>
      <c r="G96" s="3">
        <v>45128</v>
      </c>
      <c r="H96" s="153">
        <v>0.53819444444444442</v>
      </c>
      <c r="J96" t="s">
        <v>1211</v>
      </c>
      <c r="K96" t="s">
        <v>374</v>
      </c>
      <c r="L96" s="31" t="s">
        <v>1255</v>
      </c>
      <c r="M96" t="s">
        <v>1256</v>
      </c>
    </row>
    <row r="97" spans="1:13" x14ac:dyDescent="0.75">
      <c r="A97" t="s">
        <v>87</v>
      </c>
      <c r="B97" s="10"/>
      <c r="C97" t="s">
        <v>1254</v>
      </c>
      <c r="D97" t="s">
        <v>160</v>
      </c>
      <c r="E97" s="10"/>
      <c r="F97" s="10"/>
      <c r="G97" s="154"/>
      <c r="J97" t="s">
        <v>1211</v>
      </c>
      <c r="M97" t="s">
        <v>1256</v>
      </c>
    </row>
    <row r="98" spans="1:13" x14ac:dyDescent="0.75">
      <c r="A98" t="s">
        <v>87</v>
      </c>
      <c r="B98" s="10"/>
      <c r="C98" t="s">
        <v>1254</v>
      </c>
      <c r="D98" t="s">
        <v>160</v>
      </c>
      <c r="E98" s="10"/>
      <c r="F98" s="10"/>
      <c r="G98" s="154"/>
      <c r="J98" t="s">
        <v>1211</v>
      </c>
      <c r="M98" t="s">
        <v>1256</v>
      </c>
    </row>
    <row r="99" spans="1:13" x14ac:dyDescent="0.75">
      <c r="A99" t="s">
        <v>87</v>
      </c>
      <c r="B99" s="10"/>
      <c r="C99" t="s">
        <v>1254</v>
      </c>
      <c r="D99" t="s">
        <v>160</v>
      </c>
      <c r="E99" s="10"/>
      <c r="F99" s="10"/>
      <c r="G99" s="154"/>
      <c r="J99" t="s">
        <v>1211</v>
      </c>
      <c r="L99" s="31" t="s">
        <v>1257</v>
      </c>
      <c r="M99" t="s">
        <v>1258</v>
      </c>
    </row>
  </sheetData>
  <autoFilter ref="A1:L99" xr:uid="{BAFBDBC2-D062-402B-8CC8-4ABD77BA996F}">
    <filterColumn colId="9">
      <filters>
        <filter val="CWORI Rescue"/>
      </filters>
    </filterColumn>
  </autoFilter>
  <sortState xmlns:xlrd2="http://schemas.microsoft.com/office/spreadsheetml/2017/richdata2" ref="A2:M92">
    <sortCondition ref="B2:B92"/>
  </sortState>
  <dataValidations count="5">
    <dataValidation type="time" allowBlank="1" showInputMessage="1" showErrorMessage="1" sqref="H32:H54 H2:H30 H58:H1048576" xr:uid="{0387B390-AEE9-4787-9768-E765400CFA0B}">
      <formula1>0.375</formula1>
      <formula2>0.708333333333333</formula2>
    </dataValidation>
    <dataValidation operator="greaterThan" allowBlank="1" showInputMessage="1" showErrorMessage="1" sqref="B2:B1048576" xr:uid="{C6B87549-1F10-4E67-8B99-AE9F16E98D6B}"/>
    <dataValidation type="date" operator="greaterThan" allowBlank="1" showInputMessage="1" showErrorMessage="1" sqref="G2:G1048576" xr:uid="{A620ADE4-6B3C-449F-8254-0216C0D41BCA}">
      <formula1>44571</formula1>
    </dataValidation>
    <dataValidation type="list" allowBlank="1" showInputMessage="1" showErrorMessage="1" sqref="K2:K1048576" xr:uid="{4ED1B43F-C95A-4402-A732-7D771DF7E449}">
      <formula1>"SG,MS,KAB,SVH"</formula1>
    </dataValidation>
    <dataValidation type="list" allowBlank="1" showInputMessage="1" showErrorMessage="1" sqref="J2:J1048576" xr:uid="{8D19C7B5-8C95-4C5E-B164-FB16563B5757}">
      <formula1>"Fate-Tracking, CWORI Rescue, Bleaching Project"</formula1>
    </dataValidation>
  </dataValidations>
  <hyperlinks>
    <hyperlink ref="N74" r:id="rId1" xr:uid="{2CE7F11D-CBAC-42F7-8482-DE337719AF2E}"/>
    <hyperlink ref="O74" r:id="rId2" xr:uid="{A0E04F84-A8DC-4920-BDB4-22F9BC356A2B}"/>
  </hyperlinks>
  <pageMargins left="0.25" right="0.25" top="0.75" bottom="0.75" header="0.3" footer="0.3"/>
  <pageSetup scale="40" fitToHeight="0" orientation="landscape"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AD8E4E50-1BB4-4E1E-9701-7BA18F5693F6}">
          <x14:formula1>
            <xm:f>Metadata!$A$47:$A$72</xm:f>
          </x14:formula1>
          <xm:sqref>D2:D1048576</xm:sqref>
        </x14:dataValidation>
        <x14:dataValidation type="list" allowBlank="1" showInputMessage="1" showErrorMessage="1" xr:uid="{A31D4E8A-FF02-483C-B639-E8D0F5852601}">
          <x14:formula1>
            <xm:f>Metadata!$B$9:$B$43</xm:f>
          </x14:formula1>
          <xm:sqref>A2:A1048576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88D11-55B5-427D-9320-D8265635DD0E}">
  <dimension ref="A1:AJ777"/>
  <sheetViews>
    <sheetView tabSelected="1" zoomScale="82" workbookViewId="0">
      <pane ySplit="1" topLeftCell="A467" activePane="bottomLeft" state="frozen"/>
      <selection pane="bottomLeft" activeCell="C471" sqref="C471"/>
    </sheetView>
  </sheetViews>
  <sheetFormatPr defaultRowHeight="15" customHeight="1" x14ac:dyDescent="0.75"/>
  <cols>
    <col min="1" max="1" width="18.40625" style="22" customWidth="1"/>
    <col min="2" max="2" width="12.40625" style="3" bestFit="1" customWidth="1"/>
    <col min="3" max="4" width="12.40625" style="3" customWidth="1"/>
    <col min="5" max="6" width="10.54296875" style="22" customWidth="1"/>
    <col min="7" max="7" width="9.1328125" style="22" customWidth="1"/>
    <col min="8" max="12" width="10.54296875" style="22" customWidth="1"/>
    <col min="13" max="16" width="10.54296875" style="47" customWidth="1"/>
    <col min="17" max="21" width="9.86328125" style="47" customWidth="1"/>
    <col min="22" max="22" width="14" style="47" customWidth="1"/>
    <col min="23" max="23" width="14.40625" style="22" customWidth="1"/>
    <col min="24" max="24" width="10.40625" style="22" customWidth="1"/>
    <col min="25" max="28" width="12.54296875" customWidth="1"/>
    <col min="29" max="29" width="12.40625" customWidth="1"/>
    <col min="30" max="31" width="10.40625" customWidth="1"/>
    <col min="32" max="33" width="10.54296875" customWidth="1"/>
    <col min="34" max="34" width="10.40625" customWidth="1"/>
    <col min="35" max="35" width="19.40625" bestFit="1" customWidth="1"/>
  </cols>
  <sheetData>
    <row r="1" spans="1:36" s="11" customFormat="1" ht="59.25" customHeight="1" x14ac:dyDescent="0.75">
      <c r="A1" s="41" t="s">
        <v>230</v>
      </c>
      <c r="B1" s="12" t="s">
        <v>62</v>
      </c>
      <c r="C1" s="12" t="s">
        <v>1369</v>
      </c>
      <c r="D1" s="12" t="s">
        <v>1368</v>
      </c>
      <c r="E1" s="12" t="s">
        <v>257</v>
      </c>
      <c r="F1" s="12" t="s">
        <v>1259</v>
      </c>
      <c r="G1" s="12" t="s">
        <v>1260</v>
      </c>
      <c r="H1" s="12" t="s">
        <v>1261</v>
      </c>
      <c r="I1" s="12" t="s">
        <v>1262</v>
      </c>
      <c r="J1" s="12" t="s">
        <v>1263</v>
      </c>
      <c r="K1" s="12" t="s">
        <v>1264</v>
      </c>
      <c r="L1" s="13" t="s">
        <v>1265</v>
      </c>
      <c r="M1" s="46" t="s">
        <v>1266</v>
      </c>
      <c r="N1" s="46" t="s">
        <v>1267</v>
      </c>
      <c r="O1" s="46" t="s">
        <v>1268</v>
      </c>
      <c r="P1" s="46" t="s">
        <v>1269</v>
      </c>
      <c r="Q1" s="13" t="s">
        <v>1270</v>
      </c>
      <c r="R1" s="46" t="s">
        <v>1271</v>
      </c>
      <c r="S1" s="46" t="s">
        <v>1272</v>
      </c>
      <c r="T1" s="46" t="s">
        <v>1273</v>
      </c>
      <c r="U1" s="46" t="s">
        <v>1274</v>
      </c>
      <c r="V1" s="13" t="s">
        <v>1275</v>
      </c>
      <c r="W1" s="46" t="s">
        <v>267</v>
      </c>
      <c r="X1" s="11" t="s">
        <v>270</v>
      </c>
      <c r="Y1" s="11" t="s">
        <v>273</v>
      </c>
      <c r="Z1" s="11" t="s">
        <v>1276</v>
      </c>
      <c r="AA1" s="11" t="s">
        <v>1277</v>
      </c>
      <c r="AB1" s="13" t="s">
        <v>276</v>
      </c>
      <c r="AC1" s="14" t="s">
        <v>170</v>
      </c>
      <c r="AD1" s="13" t="s">
        <v>281</v>
      </c>
      <c r="AE1" s="13" t="s">
        <v>1278</v>
      </c>
      <c r="AF1" s="13" t="s">
        <v>1279</v>
      </c>
      <c r="AG1" s="13" t="s">
        <v>1280</v>
      </c>
      <c r="AH1" s="13" t="s">
        <v>1281</v>
      </c>
      <c r="AI1" s="10" t="s">
        <v>1282</v>
      </c>
      <c r="AJ1" s="11" t="s">
        <v>18</v>
      </c>
    </row>
    <row r="2" spans="1:36" ht="14.75" x14ac:dyDescent="0.75">
      <c r="A2" s="22">
        <v>901</v>
      </c>
      <c r="B2" s="3">
        <v>44715</v>
      </c>
      <c r="C2" s="3" t="str">
        <f>TEXT(B2,"M/D/YY")</f>
        <v>6/3/22</v>
      </c>
      <c r="D2" s="3" t="s">
        <v>390</v>
      </c>
      <c r="E2" s="22">
        <v>0</v>
      </c>
      <c r="G2" s="22" t="s">
        <v>539</v>
      </c>
      <c r="H2" s="22">
        <f>M2+R2+74.9</f>
        <v>514.70000000000005</v>
      </c>
      <c r="I2" s="22">
        <f>N2+S2+201.9</f>
        <v>218.9</v>
      </c>
      <c r="J2" s="22">
        <f>O2+T2+79.4</f>
        <v>313.70000000000005</v>
      </c>
      <c r="K2" s="22">
        <f>SUM(P2+U2+67.7)</f>
        <v>213.7</v>
      </c>
      <c r="L2" s="22">
        <f t="shared" ref="L2:L184" si="0">SUM(H2:K2)</f>
        <v>1261.0000000000002</v>
      </c>
      <c r="M2" s="47">
        <v>413.3</v>
      </c>
      <c r="N2" s="47">
        <v>15.6</v>
      </c>
      <c r="O2" s="47">
        <v>216.4</v>
      </c>
      <c r="P2" s="47">
        <v>143.19999999999999</v>
      </c>
      <c r="Q2" s="47">
        <f t="shared" ref="Q2:Q71" si="1">SUM(M2:P2)</f>
        <v>788.5</v>
      </c>
      <c r="R2" s="47">
        <v>26.5</v>
      </c>
      <c r="S2" s="47">
        <v>1.4</v>
      </c>
      <c r="T2" s="47">
        <v>17.899999999999999</v>
      </c>
      <c r="U2" s="47">
        <v>2.8</v>
      </c>
      <c r="V2" s="47">
        <f t="shared" ref="V2:V71" si="2">SUM(R2:U2)</f>
        <v>48.599999999999994</v>
      </c>
      <c r="W2" s="22" t="s">
        <v>1283</v>
      </c>
      <c r="X2" s="22">
        <v>0</v>
      </c>
      <c r="Y2">
        <v>1</v>
      </c>
      <c r="Z2">
        <v>0</v>
      </c>
      <c r="AA2">
        <v>8.69</v>
      </c>
      <c r="AB2" t="str">
        <f>IF(AA2&gt;4.999, "Yes", "No")</f>
        <v>Yes</v>
      </c>
      <c r="AC2">
        <f>TreatmentUsed!E789</f>
        <v>6</v>
      </c>
      <c r="AD2" s="47" t="e">
        <f t="shared" ref="AD2:AD184" si="3">Q2-Q1</f>
        <v>#VALUE!</v>
      </c>
      <c r="AE2" t="e">
        <f>AD2/E2</f>
        <v>#VALUE!</v>
      </c>
      <c r="AF2" s="47" t="e">
        <f t="shared" ref="AF2:AF184" si="4">V2-V1</f>
        <v>#VALUE!</v>
      </c>
      <c r="AG2" t="e">
        <f>(V2-V1)/E2</f>
        <v>#VALUE!</v>
      </c>
      <c r="AH2">
        <f t="shared" ref="AH2:AH184" si="5">100*(V2/(L2))</f>
        <v>3.854084060269626</v>
      </c>
      <c r="AI2" s="10" t="e">
        <f>(AH2/E2)</f>
        <v>#DIV/0!</v>
      </c>
    </row>
    <row r="3" spans="1:36" ht="14.75" x14ac:dyDescent="0.75">
      <c r="A3" s="22">
        <v>901</v>
      </c>
      <c r="B3" s="3">
        <v>44762</v>
      </c>
      <c r="C3" s="3" t="str">
        <f t="shared" ref="C3:C66" si="6">TEXT(B3,"M/D/YY")</f>
        <v>7/20/22</v>
      </c>
      <c r="D3" s="3" t="s">
        <v>390</v>
      </c>
      <c r="E3" s="22">
        <f>20+30-3</f>
        <v>47</v>
      </c>
      <c r="G3" s="22" t="s">
        <v>539</v>
      </c>
      <c r="H3" s="22">
        <f>M3+133.8</f>
        <v>531</v>
      </c>
      <c r="I3" s="22">
        <f>N3+180.4</f>
        <v>192.5</v>
      </c>
      <c r="J3" s="22">
        <f>O3+118.9</f>
        <v>242.9</v>
      </c>
      <c r="K3" s="22">
        <f>P3+34.3</f>
        <v>134.69999999999999</v>
      </c>
      <c r="L3" s="22">
        <f t="shared" si="0"/>
        <v>1101.0999999999999</v>
      </c>
      <c r="M3" s="47">
        <v>397.2</v>
      </c>
      <c r="N3" s="47">
        <v>12.1</v>
      </c>
      <c r="O3" s="47">
        <v>124</v>
      </c>
      <c r="P3" s="47">
        <v>100.4</v>
      </c>
      <c r="Q3" s="47">
        <f t="shared" si="1"/>
        <v>633.69999999999993</v>
      </c>
      <c r="R3" s="47">
        <v>0</v>
      </c>
      <c r="S3" s="47">
        <v>0</v>
      </c>
      <c r="T3" s="47">
        <v>0</v>
      </c>
      <c r="U3" s="47">
        <v>0</v>
      </c>
      <c r="V3" s="47">
        <f t="shared" si="2"/>
        <v>0</v>
      </c>
      <c r="W3" s="22" t="s">
        <v>1283</v>
      </c>
      <c r="X3" s="22">
        <v>0</v>
      </c>
      <c r="Y3">
        <v>0</v>
      </c>
      <c r="Z3">
        <v>1</v>
      </c>
      <c r="AA3">
        <v>0</v>
      </c>
      <c r="AB3" t="str">
        <f t="shared" ref="AB3:AB277" si="7">IF(AA3&gt;4.999, "Yes", "No")</f>
        <v>No</v>
      </c>
      <c r="AC3">
        <v>3</v>
      </c>
      <c r="AD3" s="47">
        <f t="shared" si="3"/>
        <v>-154.80000000000007</v>
      </c>
      <c r="AE3">
        <f>AD3/E3</f>
        <v>-3.2936170212765972</v>
      </c>
      <c r="AF3" s="47">
        <f t="shared" si="4"/>
        <v>-48.599999999999994</v>
      </c>
      <c r="AG3">
        <f>(V3-V2)/E3</f>
        <v>-1.0340425531914892</v>
      </c>
      <c r="AH3">
        <f t="shared" si="5"/>
        <v>0</v>
      </c>
      <c r="AI3" s="10">
        <f>(AH3/E3)</f>
        <v>0</v>
      </c>
    </row>
    <row r="4" spans="1:36" ht="14.75" x14ac:dyDescent="0.75">
      <c r="A4" s="207">
        <v>901</v>
      </c>
      <c r="B4" s="3">
        <v>44784</v>
      </c>
      <c r="C4" s="3" t="str">
        <f t="shared" si="6"/>
        <v>8/11/22</v>
      </c>
      <c r="D4" s="3" t="s">
        <v>390</v>
      </c>
      <c r="E4" s="22">
        <f>11+31-20</f>
        <v>22</v>
      </c>
      <c r="G4" s="22" t="s">
        <v>390</v>
      </c>
      <c r="H4" s="22">
        <f>M4+165.3</f>
        <v>508.5</v>
      </c>
      <c r="I4" s="22">
        <f>N4+208.7</f>
        <v>225.2</v>
      </c>
      <c r="J4" s="22">
        <f>O4+102.1</f>
        <v>206.7</v>
      </c>
      <c r="K4" s="22">
        <f>96.8+P4</f>
        <v>136.5</v>
      </c>
      <c r="L4" s="22">
        <f t="shared" si="0"/>
        <v>1076.9000000000001</v>
      </c>
      <c r="M4" s="47">
        <v>343.2</v>
      </c>
      <c r="N4" s="47">
        <v>16.5</v>
      </c>
      <c r="O4" s="47">
        <v>104.6</v>
      </c>
      <c r="P4" s="47">
        <v>39.700000000000003</v>
      </c>
      <c r="Q4" s="47">
        <f t="shared" si="1"/>
        <v>503.99999999999994</v>
      </c>
      <c r="R4" s="47">
        <v>0</v>
      </c>
      <c r="S4" s="47">
        <v>0</v>
      </c>
      <c r="T4" s="47">
        <v>0</v>
      </c>
      <c r="U4" s="47">
        <v>0</v>
      </c>
      <c r="V4" s="47">
        <f t="shared" si="2"/>
        <v>0</v>
      </c>
      <c r="W4" s="22" t="s">
        <v>1283</v>
      </c>
      <c r="X4" s="22">
        <v>0</v>
      </c>
      <c r="Y4">
        <v>0</v>
      </c>
      <c r="Z4">
        <v>1</v>
      </c>
      <c r="AA4">
        <v>0</v>
      </c>
      <c r="AB4" t="str">
        <f t="shared" si="7"/>
        <v>No</v>
      </c>
      <c r="AC4">
        <v>0</v>
      </c>
      <c r="AD4" s="47">
        <f t="shared" si="3"/>
        <v>-129.69999999999999</v>
      </c>
      <c r="AE4">
        <f>AD4/E4</f>
        <v>-5.8954545454545446</v>
      </c>
      <c r="AF4" s="47">
        <f t="shared" si="4"/>
        <v>0</v>
      </c>
      <c r="AG4">
        <f>(V4-V3)/E4</f>
        <v>0</v>
      </c>
      <c r="AH4">
        <f t="shared" si="5"/>
        <v>0</v>
      </c>
      <c r="AI4" s="10">
        <f>(AH4/E4)</f>
        <v>0</v>
      </c>
    </row>
    <row r="5" spans="1:36" ht="14.75" x14ac:dyDescent="0.75">
      <c r="A5" s="207">
        <v>901</v>
      </c>
      <c r="B5" s="3">
        <v>44845</v>
      </c>
      <c r="C5" s="3" t="str">
        <f t="shared" si="6"/>
        <v>10/11/22</v>
      </c>
      <c r="D5" s="3" t="s">
        <v>390</v>
      </c>
      <c r="E5" s="22">
        <f>11+31+30-11</f>
        <v>61</v>
      </c>
      <c r="G5" s="22" t="s">
        <v>390</v>
      </c>
      <c r="H5" s="22">
        <f>M5+100.6</f>
        <v>346.4</v>
      </c>
      <c r="I5" s="22">
        <f>N5+145.3</f>
        <v>152.30000000000001</v>
      </c>
      <c r="J5" s="22">
        <f>O5+48.1</f>
        <v>88.5</v>
      </c>
      <c r="K5" s="22">
        <f>P5+84</f>
        <v>171.9</v>
      </c>
      <c r="L5" s="22">
        <f t="shared" si="0"/>
        <v>759.1</v>
      </c>
      <c r="M5" s="47">
        <v>245.8</v>
      </c>
      <c r="N5" s="47">
        <v>7</v>
      </c>
      <c r="O5" s="47">
        <v>40.4</v>
      </c>
      <c r="P5" s="47">
        <v>87.9</v>
      </c>
      <c r="Q5" s="47">
        <f t="shared" si="1"/>
        <v>381.1</v>
      </c>
      <c r="R5" s="47">
        <v>0</v>
      </c>
      <c r="S5" s="47">
        <v>0</v>
      </c>
      <c r="T5" s="47">
        <v>0</v>
      </c>
      <c r="U5" s="47">
        <v>0</v>
      </c>
      <c r="V5" s="47">
        <f t="shared" si="2"/>
        <v>0</v>
      </c>
      <c r="W5" s="22" t="s">
        <v>1283</v>
      </c>
      <c r="X5" s="22">
        <v>0</v>
      </c>
      <c r="Y5">
        <v>0</v>
      </c>
      <c r="Z5">
        <v>1</v>
      </c>
      <c r="AA5">
        <v>0</v>
      </c>
      <c r="AB5" t="str">
        <f t="shared" si="7"/>
        <v>No</v>
      </c>
      <c r="AC5">
        <v>0</v>
      </c>
      <c r="AD5" s="47">
        <f t="shared" si="3"/>
        <v>-122.89999999999992</v>
      </c>
      <c r="AE5">
        <f>AD5/E5</f>
        <v>-2.0147540983606542</v>
      </c>
      <c r="AF5" s="47">
        <f t="shared" si="4"/>
        <v>0</v>
      </c>
      <c r="AG5">
        <f>(V5-V4)/E5</f>
        <v>0</v>
      </c>
      <c r="AH5">
        <f t="shared" si="5"/>
        <v>0</v>
      </c>
      <c r="AI5" s="10">
        <f>(AH5/E5)</f>
        <v>0</v>
      </c>
    </row>
    <row r="6" spans="1:36" ht="14.75" x14ac:dyDescent="0.75">
      <c r="A6" s="207">
        <v>901</v>
      </c>
      <c r="B6" s="72">
        <v>44880</v>
      </c>
      <c r="C6" s="3" t="str">
        <f t="shared" si="6"/>
        <v>11/15/22</v>
      </c>
      <c r="D6" s="3" t="s">
        <v>390</v>
      </c>
      <c r="E6" s="22">
        <f>31-11+15</f>
        <v>35</v>
      </c>
      <c r="G6" s="22" t="s">
        <v>390</v>
      </c>
      <c r="AC6">
        <v>0</v>
      </c>
      <c r="AD6" s="47"/>
      <c r="AF6" s="47"/>
      <c r="AI6" s="10"/>
    </row>
    <row r="7" spans="1:36" ht="14.75" x14ac:dyDescent="0.75">
      <c r="A7" s="207">
        <v>901</v>
      </c>
      <c r="B7" s="3">
        <v>44937</v>
      </c>
      <c r="C7" s="3" t="str">
        <f t="shared" si="6"/>
        <v>1/11/23</v>
      </c>
      <c r="D7" s="3" t="s">
        <v>390</v>
      </c>
      <c r="E7" s="22">
        <f>30-15+31+11</f>
        <v>57</v>
      </c>
      <c r="G7" s="22" t="s">
        <v>390</v>
      </c>
      <c r="H7" s="22">
        <f>M7+170.2</f>
        <v>573</v>
      </c>
      <c r="I7" s="22">
        <f>N7+187.4</f>
        <v>200.20000000000002</v>
      </c>
      <c r="J7" s="22">
        <f>O7+145.6</f>
        <v>241.5</v>
      </c>
      <c r="K7" s="22">
        <f>P7+151.7</f>
        <v>327.10000000000002</v>
      </c>
      <c r="L7" s="22">
        <f t="shared" si="0"/>
        <v>1341.8000000000002</v>
      </c>
      <c r="M7" s="47">
        <v>402.8</v>
      </c>
      <c r="N7" s="47">
        <v>12.8</v>
      </c>
      <c r="O7" s="47">
        <v>95.9</v>
      </c>
      <c r="P7" s="47">
        <v>175.4</v>
      </c>
      <c r="Q7" s="47">
        <f t="shared" si="1"/>
        <v>686.9</v>
      </c>
      <c r="R7" s="47">
        <v>0</v>
      </c>
      <c r="S7" s="47">
        <v>0</v>
      </c>
      <c r="T7" s="47">
        <v>0</v>
      </c>
      <c r="U7" s="47">
        <v>0</v>
      </c>
      <c r="V7" s="47">
        <f t="shared" si="2"/>
        <v>0</v>
      </c>
      <c r="W7" s="22" t="s">
        <v>1283</v>
      </c>
      <c r="X7" s="22">
        <v>0</v>
      </c>
      <c r="Y7">
        <v>0</v>
      </c>
      <c r="Z7">
        <v>1</v>
      </c>
      <c r="AA7">
        <v>0</v>
      </c>
      <c r="AB7" t="str">
        <f t="shared" si="7"/>
        <v>No</v>
      </c>
      <c r="AC7">
        <v>0</v>
      </c>
      <c r="AD7" s="47">
        <f>Q7-Q5</f>
        <v>305.79999999999995</v>
      </c>
      <c r="AE7">
        <f>AD7/E7</f>
        <v>5.3649122807017537</v>
      </c>
      <c r="AF7" s="47">
        <f>V7-V5</f>
        <v>0</v>
      </c>
      <c r="AG7">
        <f>(V7-V5)/E7</f>
        <v>0</v>
      </c>
      <c r="AH7">
        <f t="shared" si="5"/>
        <v>0</v>
      </c>
      <c r="AI7" s="10">
        <f>(AH7/E7)</f>
        <v>0</v>
      </c>
    </row>
    <row r="8" spans="1:36" ht="14.75" x14ac:dyDescent="0.75">
      <c r="A8" s="207">
        <v>901</v>
      </c>
      <c r="B8" s="167">
        <v>45029</v>
      </c>
      <c r="C8" s="3" t="str">
        <f t="shared" si="6"/>
        <v>4/13/23</v>
      </c>
      <c r="D8" s="3" t="s">
        <v>539</v>
      </c>
      <c r="E8" s="22">
        <f>13+31+28+31-11</f>
        <v>92</v>
      </c>
      <c r="G8" s="22" t="s">
        <v>390</v>
      </c>
      <c r="L8" s="22">
        <f t="shared" si="0"/>
        <v>0</v>
      </c>
      <c r="Q8" s="47">
        <f t="shared" si="1"/>
        <v>0</v>
      </c>
      <c r="V8" s="47">
        <f t="shared" si="2"/>
        <v>0</v>
      </c>
      <c r="AC8">
        <v>0</v>
      </c>
      <c r="AD8" s="47">
        <f t="shared" si="3"/>
        <v>-686.9</v>
      </c>
      <c r="AE8">
        <f>AD8/E8</f>
        <v>-7.4663043478260871</v>
      </c>
      <c r="AF8" s="47">
        <f t="shared" si="4"/>
        <v>0</v>
      </c>
      <c r="AG8">
        <f>(V8-V7)/E8</f>
        <v>0</v>
      </c>
      <c r="AH8" t="e">
        <f t="shared" si="5"/>
        <v>#DIV/0!</v>
      </c>
      <c r="AI8" s="10"/>
      <c r="AJ8" t="s">
        <v>1284</v>
      </c>
    </row>
    <row r="9" spans="1:36" ht="14.75" x14ac:dyDescent="0.75">
      <c r="A9" s="207">
        <v>901</v>
      </c>
      <c r="B9" s="72">
        <v>45057</v>
      </c>
      <c r="C9" s="3" t="str">
        <f t="shared" si="6"/>
        <v>5/11/23</v>
      </c>
      <c r="D9" s="3" t="s">
        <v>539</v>
      </c>
      <c r="E9" s="22">
        <f>31-11+30+20</f>
        <v>70</v>
      </c>
      <c r="G9" s="22" t="s">
        <v>390</v>
      </c>
      <c r="AC9">
        <v>0</v>
      </c>
      <c r="AD9" s="47"/>
      <c r="AF9" s="47"/>
      <c r="AI9" s="10"/>
    </row>
    <row r="10" spans="1:36" ht="14.75" x14ac:dyDescent="0.75">
      <c r="A10" s="207">
        <v>901</v>
      </c>
      <c r="B10" s="3">
        <v>45097</v>
      </c>
      <c r="C10" s="3" t="str">
        <f t="shared" si="6"/>
        <v>6/20/23</v>
      </c>
      <c r="D10" s="3" t="s">
        <v>390</v>
      </c>
      <c r="E10" s="22">
        <f>31-11+20</f>
        <v>40</v>
      </c>
      <c r="G10" s="22" t="s">
        <v>390</v>
      </c>
      <c r="H10" s="22">
        <f>M10+149.6</f>
        <v>539.20000000000005</v>
      </c>
      <c r="I10" s="22">
        <f>N10+155.7</f>
        <v>170.39999999999998</v>
      </c>
      <c r="J10" s="22">
        <f>O10+93.9</f>
        <v>162.60000000000002</v>
      </c>
      <c r="K10" s="22">
        <f>P10+130.1</f>
        <v>274.79999999999995</v>
      </c>
      <c r="L10" s="22">
        <f t="shared" si="0"/>
        <v>1147</v>
      </c>
      <c r="M10" s="47">
        <v>389.6</v>
      </c>
      <c r="N10" s="47">
        <v>14.7</v>
      </c>
      <c r="O10" s="47">
        <v>68.7</v>
      </c>
      <c r="P10" s="47">
        <v>144.69999999999999</v>
      </c>
      <c r="Q10" s="47">
        <f t="shared" si="1"/>
        <v>617.70000000000005</v>
      </c>
      <c r="R10" s="47">
        <v>0</v>
      </c>
      <c r="S10" s="47">
        <v>0</v>
      </c>
      <c r="T10" s="47">
        <v>0</v>
      </c>
      <c r="U10" s="47">
        <v>0</v>
      </c>
      <c r="V10" s="47">
        <f t="shared" si="2"/>
        <v>0</v>
      </c>
      <c r="W10" s="22" t="s">
        <v>1283</v>
      </c>
      <c r="X10" s="22">
        <v>0</v>
      </c>
      <c r="Y10">
        <v>0</v>
      </c>
      <c r="Z10">
        <v>1</v>
      </c>
      <c r="AA10">
        <v>0</v>
      </c>
      <c r="AB10" t="s">
        <v>1285</v>
      </c>
      <c r="AC10">
        <v>0</v>
      </c>
      <c r="AD10" s="47">
        <f>Q10-Q8</f>
        <v>617.70000000000005</v>
      </c>
      <c r="AE10">
        <f>AD10/E10</f>
        <v>15.442500000000001</v>
      </c>
      <c r="AF10" s="47">
        <f>V10-V8</f>
        <v>0</v>
      </c>
      <c r="AG10">
        <f>(V10-V8)/E10</f>
        <v>0</v>
      </c>
      <c r="AH10">
        <f t="shared" si="5"/>
        <v>0</v>
      </c>
      <c r="AI10" s="10"/>
    </row>
    <row r="11" spans="1:36" ht="14.75" x14ac:dyDescent="0.75">
      <c r="A11" s="22">
        <v>901</v>
      </c>
      <c r="B11" s="3">
        <v>45161</v>
      </c>
      <c r="C11" s="3" t="str">
        <f t="shared" si="6"/>
        <v>8/23/23</v>
      </c>
      <c r="D11" s="3" t="s">
        <v>539</v>
      </c>
      <c r="E11" s="22">
        <f>B11-B10</f>
        <v>64</v>
      </c>
      <c r="G11" s="22" t="s">
        <v>539</v>
      </c>
      <c r="AD11" s="47"/>
      <c r="AF11" s="47"/>
      <c r="AI11" s="10"/>
    </row>
    <row r="12" spans="1:36" s="205" customFormat="1" ht="14.75" x14ac:dyDescent="0.75">
      <c r="A12" s="200">
        <v>902</v>
      </c>
      <c r="B12" s="201">
        <v>44713</v>
      </c>
      <c r="C12" s="3" t="str">
        <f t="shared" si="6"/>
        <v>6/1/22</v>
      </c>
      <c r="D12" s="3" t="s">
        <v>390</v>
      </c>
      <c r="E12" s="200">
        <v>0</v>
      </c>
      <c r="F12" s="200"/>
      <c r="G12" s="200" t="s">
        <v>539</v>
      </c>
      <c r="H12" s="204">
        <f>M12+R12+13.8</f>
        <v>1263.6000000000001</v>
      </c>
      <c r="I12" s="204">
        <f>N12+S12+1.2</f>
        <v>758.9</v>
      </c>
      <c r="J12" s="204">
        <f>O12</f>
        <v>1667.8</v>
      </c>
      <c r="K12" s="204">
        <f>P12</f>
        <v>1535.1</v>
      </c>
      <c r="L12" s="200">
        <f t="shared" si="0"/>
        <v>5225.3999999999996</v>
      </c>
      <c r="M12" s="204">
        <v>1207.4000000000001</v>
      </c>
      <c r="N12" s="204">
        <v>748.8</v>
      </c>
      <c r="O12" s="204">
        <v>1667.8</v>
      </c>
      <c r="P12" s="204">
        <v>1535.1</v>
      </c>
      <c r="Q12" s="204">
        <f t="shared" si="1"/>
        <v>5159.1000000000004</v>
      </c>
      <c r="R12" s="204">
        <f>42.4</f>
        <v>42.4</v>
      </c>
      <c r="S12" s="204">
        <v>8.9</v>
      </c>
      <c r="T12" s="204">
        <v>0</v>
      </c>
      <c r="U12" s="204">
        <v>0</v>
      </c>
      <c r="V12" s="204">
        <f t="shared" si="2"/>
        <v>51.3</v>
      </c>
      <c r="W12" s="200" t="s">
        <v>1283</v>
      </c>
      <c r="X12" s="200">
        <v>0</v>
      </c>
      <c r="Y12" s="205">
        <v>4</v>
      </c>
      <c r="Z12" s="205">
        <v>0</v>
      </c>
      <c r="AA12" s="205">
        <v>9.7200000000000006</v>
      </c>
      <c r="AB12" s="205" t="str">
        <f t="shared" si="7"/>
        <v>Yes</v>
      </c>
      <c r="AC12" s="205">
        <f>TreatmentUsed!E752</f>
        <v>13</v>
      </c>
      <c r="AD12" s="204">
        <f>Q12-Q7</f>
        <v>4472.2000000000007</v>
      </c>
      <c r="AE12" s="205" t="e">
        <f>AD12/E12</f>
        <v>#DIV/0!</v>
      </c>
      <c r="AF12" s="204">
        <f>V12-V7</f>
        <v>51.3</v>
      </c>
      <c r="AG12" s="205" t="e">
        <f>(V12-V7)/E12</f>
        <v>#DIV/0!</v>
      </c>
      <c r="AH12" s="205">
        <f t="shared" si="5"/>
        <v>0.98174302445745776</v>
      </c>
      <c r="AI12" s="206" t="e">
        <f>(AH12/E12)</f>
        <v>#DIV/0!</v>
      </c>
      <c r="AJ12" s="205" t="s">
        <v>1286</v>
      </c>
    </row>
    <row r="13" spans="1:36" ht="14.75" x14ac:dyDescent="0.75">
      <c r="A13" s="207">
        <v>902</v>
      </c>
      <c r="B13" s="3">
        <v>44757</v>
      </c>
      <c r="C13" s="3" t="str">
        <f t="shared" si="6"/>
        <v>7/15/22</v>
      </c>
      <c r="D13" s="3" t="s">
        <v>390</v>
      </c>
      <c r="E13" s="22">
        <f>15+30-1</f>
        <v>44</v>
      </c>
      <c r="G13" s="22" t="s">
        <v>539</v>
      </c>
      <c r="H13" s="47">
        <f>M13+144.5</f>
        <v>3098</v>
      </c>
      <c r="I13" s="47">
        <f>N13+8.1</f>
        <v>1156.8</v>
      </c>
      <c r="J13" s="47">
        <v>3350.7</v>
      </c>
      <c r="K13" s="47">
        <f>P13</f>
        <v>2359.6999999999998</v>
      </c>
      <c r="L13" s="22">
        <f t="shared" si="0"/>
        <v>9965.2000000000007</v>
      </c>
      <c r="M13" s="47">
        <v>2953.5</v>
      </c>
      <c r="N13" s="47">
        <v>1148.7</v>
      </c>
      <c r="O13" s="47">
        <v>3350.7</v>
      </c>
      <c r="P13" s="47">
        <v>2359.6999999999998</v>
      </c>
      <c r="Q13" s="47">
        <f t="shared" si="1"/>
        <v>9812.5999999999985</v>
      </c>
      <c r="R13" s="47">
        <v>0</v>
      </c>
      <c r="S13" s="47">
        <v>0</v>
      </c>
      <c r="T13" s="47">
        <v>0</v>
      </c>
      <c r="U13" s="47">
        <v>0</v>
      </c>
      <c r="V13" s="47">
        <f t="shared" si="2"/>
        <v>0</v>
      </c>
      <c r="W13" s="22" t="s">
        <v>1283</v>
      </c>
      <c r="X13" s="22">
        <v>0</v>
      </c>
      <c r="Y13">
        <v>0</v>
      </c>
      <c r="Z13">
        <v>4</v>
      </c>
      <c r="AA13" s="89">
        <v>0</v>
      </c>
      <c r="AB13" t="str">
        <f t="shared" si="7"/>
        <v>No</v>
      </c>
      <c r="AC13">
        <v>0</v>
      </c>
      <c r="AD13" s="47">
        <f t="shared" si="3"/>
        <v>4653.4999999999982</v>
      </c>
      <c r="AE13">
        <f>AD13/E13</f>
        <v>105.7613636363636</v>
      </c>
      <c r="AF13" s="47">
        <f t="shared" si="4"/>
        <v>-51.3</v>
      </c>
      <c r="AG13">
        <f>(V13-V12)/E13</f>
        <v>-1.1659090909090908</v>
      </c>
      <c r="AH13">
        <f t="shared" si="5"/>
        <v>0</v>
      </c>
      <c r="AI13" s="10">
        <f>(AH13/E13)</f>
        <v>0</v>
      </c>
    </row>
    <row r="14" spans="1:36" ht="14.75" x14ac:dyDescent="0.75">
      <c r="A14" s="207">
        <v>902</v>
      </c>
      <c r="B14" s="3">
        <v>44783</v>
      </c>
      <c r="C14" s="3" t="str">
        <f t="shared" si="6"/>
        <v>8/10/22</v>
      </c>
      <c r="D14" s="3" t="s">
        <v>390</v>
      </c>
      <c r="E14" s="22">
        <f>10+31-15</f>
        <v>26</v>
      </c>
      <c r="G14" s="22" t="s">
        <v>390</v>
      </c>
      <c r="H14" s="47">
        <f>107.5+M14</f>
        <v>3007.3</v>
      </c>
      <c r="I14" s="47">
        <v>3747.4</v>
      </c>
      <c r="J14" s="47">
        <f>O14+63.4</f>
        <v>2521.8000000000002</v>
      </c>
      <c r="K14" s="47">
        <f>P14</f>
        <v>2561.1999999999998</v>
      </c>
      <c r="L14" s="22">
        <f t="shared" si="0"/>
        <v>11837.7</v>
      </c>
      <c r="M14" s="47">
        <v>2899.8</v>
      </c>
      <c r="N14" s="47">
        <v>3747.4</v>
      </c>
      <c r="O14" s="47">
        <v>2458.4</v>
      </c>
      <c r="P14" s="47">
        <v>2561.1999999999998</v>
      </c>
      <c r="Q14" s="47">
        <f t="shared" si="1"/>
        <v>11666.8</v>
      </c>
      <c r="R14" s="47">
        <v>0</v>
      </c>
      <c r="S14" s="47">
        <v>0</v>
      </c>
      <c r="T14" s="47">
        <v>0</v>
      </c>
      <c r="U14" s="47">
        <v>0</v>
      </c>
      <c r="V14" s="47">
        <f t="shared" si="2"/>
        <v>0</v>
      </c>
      <c r="W14" s="22" t="s">
        <v>1283</v>
      </c>
      <c r="X14" s="22">
        <v>0</v>
      </c>
      <c r="Y14">
        <v>0</v>
      </c>
      <c r="Z14">
        <v>4</v>
      </c>
      <c r="AA14" s="89">
        <v>0</v>
      </c>
      <c r="AB14" t="str">
        <f t="shared" si="7"/>
        <v>No</v>
      </c>
      <c r="AC14">
        <v>0</v>
      </c>
      <c r="AD14" s="47">
        <f t="shared" si="3"/>
        <v>1854.2000000000007</v>
      </c>
      <c r="AE14">
        <f>AD14/E14</f>
        <v>71.315384615384644</v>
      </c>
      <c r="AF14" s="47">
        <f t="shared" si="4"/>
        <v>0</v>
      </c>
      <c r="AG14">
        <f>(V14-V13)/E14</f>
        <v>0</v>
      </c>
      <c r="AH14">
        <f t="shared" si="5"/>
        <v>0</v>
      </c>
      <c r="AI14" s="10">
        <f>(AH14/E14)</f>
        <v>0</v>
      </c>
    </row>
    <row r="15" spans="1:36" ht="14.75" x14ac:dyDescent="0.75">
      <c r="A15" s="207">
        <v>902</v>
      </c>
      <c r="B15" s="3">
        <v>44825</v>
      </c>
      <c r="C15" s="3" t="str">
        <f t="shared" si="6"/>
        <v>9/21/22</v>
      </c>
      <c r="D15" s="3" t="s">
        <v>390</v>
      </c>
      <c r="E15" s="22">
        <f>21+31-10</f>
        <v>42</v>
      </c>
      <c r="G15" s="22" t="s">
        <v>390</v>
      </c>
      <c r="H15" s="47">
        <f>59.3+M15</f>
        <v>1546.5</v>
      </c>
      <c r="I15" s="47">
        <v>2190.1999999999998</v>
      </c>
      <c r="J15" s="47">
        <f>O15</f>
        <v>1762</v>
      </c>
      <c r="K15" s="47">
        <f>P15</f>
        <v>1850.7</v>
      </c>
      <c r="L15" s="22">
        <f t="shared" si="0"/>
        <v>7349.4</v>
      </c>
      <c r="M15" s="47">
        <v>1487.2</v>
      </c>
      <c r="N15" s="47">
        <v>2190.1999999999998</v>
      </c>
      <c r="O15" s="47">
        <v>1762</v>
      </c>
      <c r="P15" s="47">
        <v>1850.7</v>
      </c>
      <c r="Q15" s="47">
        <f t="shared" si="1"/>
        <v>7290.0999999999995</v>
      </c>
      <c r="R15" s="47">
        <v>0</v>
      </c>
      <c r="S15" s="47">
        <v>0</v>
      </c>
      <c r="T15" s="47">
        <v>0</v>
      </c>
      <c r="U15" s="47">
        <v>0</v>
      </c>
      <c r="V15" s="47">
        <f t="shared" si="2"/>
        <v>0</v>
      </c>
      <c r="W15" s="22" t="s">
        <v>1283</v>
      </c>
      <c r="X15" s="22">
        <v>0</v>
      </c>
      <c r="Y15">
        <v>0</v>
      </c>
      <c r="Z15">
        <v>4</v>
      </c>
      <c r="AA15" s="89">
        <v>0</v>
      </c>
      <c r="AB15" t="str">
        <f t="shared" si="7"/>
        <v>No</v>
      </c>
      <c r="AC15">
        <v>0</v>
      </c>
      <c r="AD15" s="47">
        <f t="shared" si="3"/>
        <v>-4376.7</v>
      </c>
      <c r="AE15">
        <f>AD15/E15</f>
        <v>-104.20714285714286</v>
      </c>
      <c r="AF15" s="47">
        <f t="shared" si="4"/>
        <v>0</v>
      </c>
      <c r="AG15">
        <f>(V15-V14)/E15</f>
        <v>0</v>
      </c>
      <c r="AH15">
        <f t="shared" si="5"/>
        <v>0</v>
      </c>
      <c r="AI15" s="10">
        <f>(AH15/E15)</f>
        <v>0</v>
      </c>
    </row>
    <row r="16" spans="1:36" ht="14.75" x14ac:dyDescent="0.75">
      <c r="A16" s="207">
        <v>902</v>
      </c>
      <c r="B16" s="3">
        <v>44845</v>
      </c>
      <c r="C16" s="3" t="str">
        <f t="shared" si="6"/>
        <v>10/11/22</v>
      </c>
      <c r="D16" s="3" t="s">
        <v>390</v>
      </c>
      <c r="E16" s="22">
        <f>11+30-21</f>
        <v>20</v>
      </c>
      <c r="G16" s="22" t="s">
        <v>390</v>
      </c>
      <c r="H16" s="47">
        <f>75.4+M16</f>
        <v>1615.8000000000002</v>
      </c>
      <c r="I16" s="47">
        <f>N16+40.6</f>
        <v>1681.1999999999998</v>
      </c>
      <c r="J16" s="47">
        <f>O16</f>
        <v>2877.3</v>
      </c>
      <c r="K16" s="47">
        <f>P16</f>
        <v>1650.2</v>
      </c>
      <c r="L16" s="22">
        <f t="shared" si="0"/>
        <v>7824.5</v>
      </c>
      <c r="M16" s="47">
        <v>1540.4</v>
      </c>
      <c r="N16" s="47">
        <v>1640.6</v>
      </c>
      <c r="O16" s="47">
        <v>2877.3</v>
      </c>
      <c r="P16" s="47">
        <v>1650.2</v>
      </c>
      <c r="Q16" s="47">
        <f t="shared" si="1"/>
        <v>7708.5</v>
      </c>
      <c r="R16" s="47">
        <v>0</v>
      </c>
      <c r="S16" s="47">
        <v>0</v>
      </c>
      <c r="T16" s="47">
        <v>0</v>
      </c>
      <c r="U16" s="47">
        <v>0</v>
      </c>
      <c r="V16" s="47">
        <f t="shared" si="2"/>
        <v>0</v>
      </c>
      <c r="W16" s="22" t="s">
        <v>1283</v>
      </c>
      <c r="X16" s="22">
        <v>0</v>
      </c>
      <c r="Y16">
        <v>0</v>
      </c>
      <c r="Z16">
        <v>4</v>
      </c>
      <c r="AA16" s="89">
        <v>0</v>
      </c>
      <c r="AB16" t="str">
        <f t="shared" si="7"/>
        <v>No</v>
      </c>
      <c r="AC16">
        <v>0</v>
      </c>
      <c r="AD16" s="47">
        <f t="shared" si="3"/>
        <v>418.40000000000055</v>
      </c>
      <c r="AE16">
        <f>AD16/E16</f>
        <v>20.920000000000027</v>
      </c>
      <c r="AF16" s="47">
        <f t="shared" si="4"/>
        <v>0</v>
      </c>
      <c r="AG16">
        <f>(V16-V15)/E16</f>
        <v>0</v>
      </c>
      <c r="AH16">
        <f t="shared" si="5"/>
        <v>0</v>
      </c>
      <c r="AI16" s="10">
        <f>(AH16/E16)</f>
        <v>0</v>
      </c>
    </row>
    <row r="17" spans="1:36" ht="14.75" x14ac:dyDescent="0.75">
      <c r="A17" s="207">
        <v>902</v>
      </c>
      <c r="B17" s="3">
        <v>44873</v>
      </c>
      <c r="C17" s="3" t="str">
        <f t="shared" si="6"/>
        <v>11/8/22</v>
      </c>
      <c r="D17" s="3" t="s">
        <v>390</v>
      </c>
      <c r="E17" s="22">
        <f>8+31-11</f>
        <v>28</v>
      </c>
      <c r="G17" s="22" t="s">
        <v>390</v>
      </c>
      <c r="H17" s="47">
        <f>105.8+M17</f>
        <v>2386</v>
      </c>
      <c r="I17" s="47">
        <f>31.6+N17</f>
        <v>4134.8</v>
      </c>
      <c r="J17" s="47">
        <f>O17</f>
        <v>3538.8</v>
      </c>
      <c r="K17" s="47">
        <f>P17</f>
        <v>2909.3</v>
      </c>
      <c r="L17" s="22">
        <f t="shared" si="0"/>
        <v>12968.900000000001</v>
      </c>
      <c r="M17" s="47">
        <v>2280.1999999999998</v>
      </c>
      <c r="N17" s="47">
        <v>4103.2</v>
      </c>
      <c r="O17" s="47">
        <v>3538.8</v>
      </c>
      <c r="P17" s="47">
        <v>2909.3</v>
      </c>
      <c r="Q17" s="47">
        <f t="shared" si="1"/>
        <v>12831.5</v>
      </c>
      <c r="R17" s="47">
        <v>0</v>
      </c>
      <c r="S17" s="47">
        <v>0</v>
      </c>
      <c r="T17" s="47">
        <v>0</v>
      </c>
      <c r="U17" s="47">
        <v>0</v>
      </c>
      <c r="V17" s="47">
        <f t="shared" si="2"/>
        <v>0</v>
      </c>
      <c r="W17" s="22" t="s">
        <v>1283</v>
      </c>
      <c r="X17" s="22">
        <v>0</v>
      </c>
      <c r="Y17">
        <v>0</v>
      </c>
      <c r="Z17">
        <v>4</v>
      </c>
      <c r="AA17" s="89">
        <v>0</v>
      </c>
      <c r="AB17" t="str">
        <f t="shared" si="7"/>
        <v>No</v>
      </c>
      <c r="AC17">
        <v>0</v>
      </c>
      <c r="AD17" s="47">
        <f t="shared" si="3"/>
        <v>5123</v>
      </c>
      <c r="AE17">
        <f>AD17/E17</f>
        <v>182.96428571428572</v>
      </c>
      <c r="AF17" s="47">
        <f t="shared" si="4"/>
        <v>0</v>
      </c>
      <c r="AG17">
        <f>(V17-V16)/E17</f>
        <v>0</v>
      </c>
      <c r="AH17">
        <f t="shared" si="5"/>
        <v>0</v>
      </c>
      <c r="AI17" s="10">
        <f>(AH17/E17)</f>
        <v>0</v>
      </c>
    </row>
    <row r="18" spans="1:36" ht="14.75" x14ac:dyDescent="0.75">
      <c r="A18" s="207">
        <v>902</v>
      </c>
      <c r="B18" s="3">
        <v>44936</v>
      </c>
      <c r="C18" s="3" t="str">
        <f t="shared" si="6"/>
        <v>1/10/23</v>
      </c>
      <c r="D18" s="3" t="s">
        <v>390</v>
      </c>
      <c r="E18" s="22">
        <f>11+30+31-8</f>
        <v>64</v>
      </c>
      <c r="G18" s="22" t="s">
        <v>390</v>
      </c>
      <c r="H18" s="22">
        <f>M18+30.3</f>
        <v>1500.1</v>
      </c>
      <c r="I18" s="22">
        <v>3616.3</v>
      </c>
      <c r="J18" s="22">
        <f>O18+116.1</f>
        <v>3754.9</v>
      </c>
      <c r="K18" s="22">
        <v>2499.4</v>
      </c>
      <c r="L18" s="22">
        <f t="shared" si="0"/>
        <v>11370.699999999999</v>
      </c>
      <c r="M18" s="47">
        <v>1469.8</v>
      </c>
      <c r="N18" s="47">
        <v>3616.3</v>
      </c>
      <c r="O18" s="47">
        <v>3638.8</v>
      </c>
      <c r="P18" s="47">
        <v>2499.4</v>
      </c>
      <c r="Q18" s="47">
        <f t="shared" si="1"/>
        <v>11224.300000000001</v>
      </c>
      <c r="R18" s="47">
        <v>0</v>
      </c>
      <c r="S18" s="47">
        <v>0</v>
      </c>
      <c r="T18" s="47">
        <v>0</v>
      </c>
      <c r="U18" s="47">
        <v>0</v>
      </c>
      <c r="V18" s="47">
        <f t="shared" si="2"/>
        <v>0</v>
      </c>
      <c r="W18" s="22" t="s">
        <v>1283</v>
      </c>
      <c r="X18" s="22">
        <v>0</v>
      </c>
      <c r="Y18">
        <v>0</v>
      </c>
      <c r="Z18">
        <v>4</v>
      </c>
      <c r="AA18" s="89">
        <v>0</v>
      </c>
      <c r="AB18" t="str">
        <f t="shared" si="7"/>
        <v>No</v>
      </c>
      <c r="AC18">
        <v>0</v>
      </c>
      <c r="AD18" s="47">
        <f t="shared" si="3"/>
        <v>-1607.1999999999989</v>
      </c>
      <c r="AE18">
        <f>AD18/E18</f>
        <v>-25.112499999999983</v>
      </c>
      <c r="AF18" s="47">
        <f t="shared" si="4"/>
        <v>0</v>
      </c>
      <c r="AG18">
        <f>(V18-V17)/E18</f>
        <v>0</v>
      </c>
      <c r="AH18">
        <f t="shared" si="5"/>
        <v>0</v>
      </c>
      <c r="AI18" s="10">
        <f>(AH18/E18)</f>
        <v>0</v>
      </c>
    </row>
    <row r="19" spans="1:36" ht="14.75" x14ac:dyDescent="0.75">
      <c r="A19" s="207">
        <v>902</v>
      </c>
      <c r="B19" s="72">
        <v>44973</v>
      </c>
      <c r="C19" s="3" t="str">
        <f t="shared" si="6"/>
        <v>2/16/23</v>
      </c>
      <c r="D19" s="3" t="s">
        <v>539</v>
      </c>
      <c r="E19" s="22">
        <f>31-10+16</f>
        <v>37</v>
      </c>
      <c r="G19" s="22" t="s">
        <v>390</v>
      </c>
      <c r="L19" s="22">
        <f t="shared" si="0"/>
        <v>0</v>
      </c>
      <c r="Q19" s="47">
        <f t="shared" si="1"/>
        <v>0</v>
      </c>
      <c r="V19" s="47">
        <f t="shared" si="2"/>
        <v>0</v>
      </c>
      <c r="W19" s="22" t="s">
        <v>1283</v>
      </c>
      <c r="X19" s="22">
        <v>0</v>
      </c>
      <c r="Y19">
        <v>0</v>
      </c>
      <c r="Z19">
        <v>4</v>
      </c>
      <c r="AA19" s="89">
        <v>0</v>
      </c>
      <c r="AB19" t="str">
        <f t="shared" si="7"/>
        <v>No</v>
      </c>
      <c r="AC19">
        <v>0</v>
      </c>
      <c r="AD19" s="47">
        <f t="shared" si="3"/>
        <v>-11224.300000000001</v>
      </c>
      <c r="AE19">
        <f>AD19/E19</f>
        <v>-303.35945945945952</v>
      </c>
      <c r="AF19" s="47">
        <f t="shared" si="4"/>
        <v>0</v>
      </c>
      <c r="AG19">
        <f>(V19-V18)/E19</f>
        <v>0</v>
      </c>
      <c r="AH19" t="e">
        <f t="shared" si="5"/>
        <v>#DIV/0!</v>
      </c>
      <c r="AI19" s="10"/>
    </row>
    <row r="20" spans="1:36" ht="14.75" x14ac:dyDescent="0.75">
      <c r="A20" s="207">
        <v>902</v>
      </c>
      <c r="B20" s="3">
        <v>45028</v>
      </c>
      <c r="C20" s="3" t="str">
        <f t="shared" si="6"/>
        <v>4/12/23</v>
      </c>
      <c r="D20" s="3" t="s">
        <v>390</v>
      </c>
      <c r="E20" s="22">
        <f>28-16+31+12</f>
        <v>55</v>
      </c>
      <c r="G20" s="22" t="s">
        <v>390</v>
      </c>
      <c r="H20" s="22">
        <f>M20+82.7</f>
        <v>3163.1</v>
      </c>
      <c r="I20" s="22">
        <v>4345.2</v>
      </c>
      <c r="J20" s="22">
        <v>3823.5</v>
      </c>
      <c r="K20" s="22">
        <v>2481</v>
      </c>
      <c r="L20" s="22">
        <f t="shared" si="0"/>
        <v>13812.8</v>
      </c>
      <c r="M20" s="47">
        <v>3080.4</v>
      </c>
      <c r="N20" s="47">
        <v>4345.2</v>
      </c>
      <c r="O20" s="47">
        <v>3823.5</v>
      </c>
      <c r="P20" s="47">
        <v>2481</v>
      </c>
      <c r="Q20" s="47">
        <f t="shared" si="1"/>
        <v>13730.1</v>
      </c>
      <c r="R20" s="47">
        <v>0</v>
      </c>
      <c r="S20" s="47">
        <v>0</v>
      </c>
      <c r="T20" s="47">
        <v>0</v>
      </c>
      <c r="U20" s="47">
        <v>0</v>
      </c>
      <c r="V20" s="47">
        <f t="shared" si="2"/>
        <v>0</v>
      </c>
      <c r="W20" s="22" t="s">
        <v>1283</v>
      </c>
      <c r="X20" s="22">
        <v>0</v>
      </c>
      <c r="Y20">
        <v>0</v>
      </c>
      <c r="Z20">
        <v>4</v>
      </c>
      <c r="AA20" s="89">
        <v>0</v>
      </c>
      <c r="AB20" t="str">
        <f t="shared" si="7"/>
        <v>No</v>
      </c>
      <c r="AC20">
        <v>0</v>
      </c>
      <c r="AD20" s="47">
        <f t="shared" si="3"/>
        <v>13730.1</v>
      </c>
      <c r="AE20">
        <f>AD20/E20</f>
        <v>249.63818181818183</v>
      </c>
      <c r="AF20" s="47">
        <f t="shared" si="4"/>
        <v>0</v>
      </c>
      <c r="AG20">
        <f>(V20-V19)/E20</f>
        <v>0</v>
      </c>
      <c r="AH20">
        <f t="shared" si="5"/>
        <v>0</v>
      </c>
      <c r="AI20" s="10"/>
    </row>
    <row r="21" spans="1:36" ht="14.75" x14ac:dyDescent="0.75">
      <c r="A21" s="207">
        <v>902</v>
      </c>
      <c r="B21" s="3">
        <v>45104</v>
      </c>
      <c r="C21" s="3" t="str">
        <f t="shared" si="6"/>
        <v>6/27/23</v>
      </c>
      <c r="D21" s="3" t="s">
        <v>390</v>
      </c>
      <c r="E21" s="22">
        <f>30-12+31+27</f>
        <v>76</v>
      </c>
      <c r="G21" s="22" t="s">
        <v>390</v>
      </c>
      <c r="H21" s="22">
        <f>M21+71.6</f>
        <v>3706.4</v>
      </c>
      <c r="I21" s="22">
        <v>2905.9</v>
      </c>
      <c r="J21" s="47">
        <f>O21+130.5</f>
        <v>5229</v>
      </c>
      <c r="K21" s="22">
        <v>2713.7</v>
      </c>
      <c r="L21" s="22">
        <f t="shared" si="0"/>
        <v>14555</v>
      </c>
      <c r="M21" s="47">
        <v>3634.8</v>
      </c>
      <c r="N21" s="47">
        <v>2905.9</v>
      </c>
      <c r="O21" s="47">
        <v>5098.5</v>
      </c>
      <c r="P21" s="47">
        <v>2713.7</v>
      </c>
      <c r="Q21" s="47">
        <f t="shared" si="1"/>
        <v>14352.900000000001</v>
      </c>
      <c r="R21" s="47">
        <v>0</v>
      </c>
      <c r="S21" s="47">
        <v>0</v>
      </c>
      <c r="T21" s="47">
        <v>0</v>
      </c>
      <c r="U21" s="47">
        <v>0</v>
      </c>
      <c r="V21" s="47">
        <f t="shared" si="2"/>
        <v>0</v>
      </c>
      <c r="W21" s="22" t="s">
        <v>1283</v>
      </c>
      <c r="X21" s="22">
        <v>0</v>
      </c>
      <c r="Y21">
        <v>0</v>
      </c>
      <c r="Z21">
        <v>4</v>
      </c>
      <c r="AA21" s="89">
        <v>0</v>
      </c>
      <c r="AB21" t="str">
        <f t="shared" si="7"/>
        <v>No</v>
      </c>
      <c r="AC21">
        <v>0</v>
      </c>
      <c r="AD21" s="47">
        <f t="shared" si="3"/>
        <v>622.80000000000109</v>
      </c>
      <c r="AE21">
        <f>AD21/E21</f>
        <v>8.1947368421052769</v>
      </c>
      <c r="AF21" s="47">
        <f t="shared" si="4"/>
        <v>0</v>
      </c>
      <c r="AG21">
        <f>(V21-V20)/E21</f>
        <v>0</v>
      </c>
      <c r="AH21">
        <f t="shared" si="5"/>
        <v>0</v>
      </c>
      <c r="AI21" s="10"/>
    </row>
    <row r="22" spans="1:36" ht="14.75" x14ac:dyDescent="0.75">
      <c r="A22" s="200">
        <v>902</v>
      </c>
      <c r="B22" s="3">
        <v>45162</v>
      </c>
      <c r="C22" s="3" t="str">
        <f t="shared" si="6"/>
        <v>8/24/23</v>
      </c>
      <c r="D22" s="3" t="s">
        <v>539</v>
      </c>
      <c r="E22" s="22">
        <f>B22-B21</f>
        <v>58</v>
      </c>
      <c r="G22" s="298"/>
      <c r="J22" s="47"/>
      <c r="AA22" s="89"/>
      <c r="AD22" s="47"/>
      <c r="AF22" s="47"/>
      <c r="AI22" s="10"/>
    </row>
    <row r="23" spans="1:36" ht="15" customHeight="1" x14ac:dyDescent="0.75">
      <c r="A23" s="207">
        <v>902</v>
      </c>
      <c r="B23" s="3">
        <v>45209</v>
      </c>
      <c r="C23" s="3" t="str">
        <f t="shared" si="6"/>
        <v>10/10/23</v>
      </c>
      <c r="D23" s="3" t="s">
        <v>390</v>
      </c>
      <c r="E23" s="22">
        <f>B23-B22</f>
        <v>47</v>
      </c>
      <c r="G23" s="22" t="s">
        <v>390</v>
      </c>
      <c r="H23" s="22">
        <f>M23+75.2</f>
        <v>3264.5</v>
      </c>
      <c r="I23" s="22">
        <v>4896.5</v>
      </c>
      <c r="J23" s="22">
        <f>O23+28.9</f>
        <v>5366.9</v>
      </c>
      <c r="K23" s="22">
        <v>4436.2</v>
      </c>
      <c r="L23" s="22">
        <f t="shared" si="0"/>
        <v>17964.099999999999</v>
      </c>
      <c r="M23" s="47">
        <v>3189.3</v>
      </c>
      <c r="N23" s="47">
        <v>4896.5</v>
      </c>
      <c r="O23" s="47">
        <v>5338</v>
      </c>
      <c r="P23" s="47">
        <v>4436.2</v>
      </c>
      <c r="Q23" s="47">
        <f t="shared" si="1"/>
        <v>17860</v>
      </c>
      <c r="R23" s="47">
        <v>0</v>
      </c>
      <c r="S23" s="47">
        <v>0</v>
      </c>
      <c r="T23" s="47">
        <v>0</v>
      </c>
      <c r="U23" s="47">
        <v>0</v>
      </c>
      <c r="V23" s="47">
        <f t="shared" si="2"/>
        <v>0</v>
      </c>
      <c r="W23" s="22" t="s">
        <v>1283</v>
      </c>
      <c r="X23" s="22">
        <v>0</v>
      </c>
      <c r="Y23">
        <v>0</v>
      </c>
      <c r="Z23">
        <v>4</v>
      </c>
      <c r="AA23" s="89">
        <v>0</v>
      </c>
      <c r="AB23" t="str">
        <f t="shared" si="7"/>
        <v>No</v>
      </c>
      <c r="AC23">
        <v>0</v>
      </c>
      <c r="AD23" s="47">
        <f>Q23-Q21</f>
        <v>3507.0999999999985</v>
      </c>
      <c r="AE23">
        <f>AD23/E23</f>
        <v>74.619148936170177</v>
      </c>
      <c r="AF23" s="47">
        <f>V23-V21</f>
        <v>0</v>
      </c>
      <c r="AG23">
        <f>(V23-V21)/E23</f>
        <v>0</v>
      </c>
      <c r="AH23">
        <f t="shared" si="5"/>
        <v>0</v>
      </c>
    </row>
    <row r="24" spans="1:36" s="205" customFormat="1" ht="14.75" x14ac:dyDescent="0.75">
      <c r="A24" s="200">
        <v>903</v>
      </c>
      <c r="B24" s="201">
        <v>44707</v>
      </c>
      <c r="C24" s="3" t="str">
        <f t="shared" si="6"/>
        <v>5/26/22</v>
      </c>
      <c r="D24" s="3" t="s">
        <v>539</v>
      </c>
      <c r="E24" s="200">
        <v>0</v>
      </c>
      <c r="F24" s="200"/>
      <c r="G24" s="200" t="s">
        <v>539</v>
      </c>
      <c r="H24" s="200"/>
      <c r="I24" s="200"/>
      <c r="J24" s="200"/>
      <c r="K24" s="200"/>
      <c r="L24" s="200">
        <f t="shared" si="0"/>
        <v>0</v>
      </c>
      <c r="M24" s="204"/>
      <c r="N24" s="204"/>
      <c r="O24" s="204"/>
      <c r="P24" s="204"/>
      <c r="Q24" s="204">
        <f t="shared" si="1"/>
        <v>0</v>
      </c>
      <c r="R24" s="204"/>
      <c r="S24" s="204"/>
      <c r="T24" s="204"/>
      <c r="U24" s="204"/>
      <c r="V24" s="204">
        <f t="shared" si="2"/>
        <v>0</v>
      </c>
      <c r="W24" s="200"/>
      <c r="X24" s="200"/>
      <c r="AB24" s="205" t="str">
        <f>IF(AA24&gt;4.999, "Yes", "No")</f>
        <v>No</v>
      </c>
      <c r="AC24" s="205">
        <f>TreatmentUsed!E662</f>
        <v>14</v>
      </c>
      <c r="AD24" s="204">
        <f>Q24-Q18</f>
        <v>-11224.300000000001</v>
      </c>
      <c r="AE24" s="205" t="e">
        <f>AD24/E24</f>
        <v>#DIV/0!</v>
      </c>
      <c r="AF24" s="204">
        <f>V24-V18</f>
        <v>0</v>
      </c>
      <c r="AG24" s="205" t="e">
        <f>(V24-V18)/E24</f>
        <v>#DIV/0!</v>
      </c>
      <c r="AH24" s="205" t="e">
        <f t="shared" si="5"/>
        <v>#DIV/0!</v>
      </c>
      <c r="AI24" s="206" t="e">
        <f>(AH24/E24)</f>
        <v>#DIV/0!</v>
      </c>
    </row>
    <row r="25" spans="1:36" ht="14.75" x14ac:dyDescent="0.75">
      <c r="A25" s="22">
        <v>903</v>
      </c>
      <c r="B25" s="3">
        <v>44839</v>
      </c>
      <c r="C25" s="3" t="str">
        <f t="shared" si="6"/>
        <v>10/5/22</v>
      </c>
      <c r="D25" s="3" t="s">
        <v>539</v>
      </c>
      <c r="E25" s="22">
        <f>31-26+30+31+31+30+5</f>
        <v>132</v>
      </c>
      <c r="G25" s="22" t="s">
        <v>539</v>
      </c>
      <c r="AC25" t="s">
        <v>363</v>
      </c>
      <c r="AD25" s="47"/>
      <c r="AF25" s="47"/>
      <c r="AI25" s="10"/>
      <c r="AJ25" t="s">
        <v>1287</v>
      </c>
    </row>
    <row r="26" spans="1:36" ht="14.75" x14ac:dyDescent="0.75">
      <c r="A26" s="22">
        <v>903</v>
      </c>
      <c r="B26" s="3">
        <v>44875</v>
      </c>
      <c r="C26" s="3" t="str">
        <f t="shared" si="6"/>
        <v>11/10/22</v>
      </c>
      <c r="D26" s="3" t="s">
        <v>539</v>
      </c>
      <c r="E26" s="22">
        <f>31-5+10</f>
        <v>36</v>
      </c>
      <c r="G26" s="22" t="s">
        <v>539</v>
      </c>
      <c r="AC26">
        <v>0</v>
      </c>
      <c r="AD26" s="47"/>
      <c r="AF26" s="47"/>
      <c r="AI26" s="10"/>
    </row>
    <row r="27" spans="1:36" ht="14.75" x14ac:dyDescent="0.75">
      <c r="A27" s="207">
        <v>903</v>
      </c>
      <c r="B27" s="3">
        <v>44950</v>
      </c>
      <c r="C27" s="3" t="str">
        <f t="shared" si="6"/>
        <v>1/24/23</v>
      </c>
      <c r="D27" s="3" t="s">
        <v>539</v>
      </c>
      <c r="E27" s="22">
        <f>30-10+31+24</f>
        <v>75</v>
      </c>
      <c r="G27" s="22" t="s">
        <v>390</v>
      </c>
      <c r="AC27">
        <v>0</v>
      </c>
      <c r="AD27" s="47"/>
      <c r="AF27" s="47"/>
      <c r="AI27" s="10"/>
    </row>
    <row r="28" spans="1:36" ht="14.75" x14ac:dyDescent="0.75">
      <c r="A28" s="207">
        <v>903</v>
      </c>
      <c r="B28" s="3">
        <v>44987</v>
      </c>
      <c r="C28" s="3" t="str">
        <f t="shared" si="6"/>
        <v>3/2/23</v>
      </c>
      <c r="D28" s="3" t="s">
        <v>539</v>
      </c>
      <c r="E28" s="22">
        <f>31-24+28+2</f>
        <v>37</v>
      </c>
      <c r="G28" s="22" t="s">
        <v>390</v>
      </c>
      <c r="AC28">
        <v>0</v>
      </c>
      <c r="AD28" s="47"/>
      <c r="AF28" s="47"/>
      <c r="AI28" s="10"/>
    </row>
    <row r="29" spans="1:36" ht="14.75" x14ac:dyDescent="0.75">
      <c r="A29" s="207">
        <v>903</v>
      </c>
      <c r="B29" s="3">
        <v>45069</v>
      </c>
      <c r="C29" s="3" t="str">
        <f t="shared" si="6"/>
        <v>5/23/23</v>
      </c>
      <c r="D29" s="3" t="s">
        <v>539</v>
      </c>
      <c r="E29" s="22">
        <f>31-2+30+23</f>
        <v>82</v>
      </c>
      <c r="G29" s="22" t="s">
        <v>390</v>
      </c>
      <c r="AC29">
        <v>0</v>
      </c>
      <c r="AD29" s="47"/>
      <c r="AF29" s="47"/>
      <c r="AI29" s="10"/>
    </row>
    <row r="30" spans="1:36" ht="14.75" x14ac:dyDescent="0.75">
      <c r="A30" s="207">
        <v>903</v>
      </c>
      <c r="B30" s="3">
        <v>45113</v>
      </c>
      <c r="C30" s="3" t="str">
        <f t="shared" si="6"/>
        <v>7/6/23</v>
      </c>
      <c r="D30" s="3" t="s">
        <v>539</v>
      </c>
      <c r="E30" s="22">
        <f>31-23+30+6</f>
        <v>44</v>
      </c>
      <c r="G30" s="22" t="s">
        <v>390</v>
      </c>
      <c r="AC30">
        <v>0</v>
      </c>
      <c r="AD30" s="47"/>
      <c r="AF30" s="47"/>
      <c r="AI30" s="10"/>
    </row>
    <row r="31" spans="1:36" ht="14.75" x14ac:dyDescent="0.75">
      <c r="A31" s="22">
        <v>903</v>
      </c>
      <c r="B31" s="3">
        <v>45167</v>
      </c>
      <c r="C31" s="3" t="str">
        <f t="shared" si="6"/>
        <v>8/29/23</v>
      </c>
      <c r="D31" s="3" t="s">
        <v>539</v>
      </c>
      <c r="E31" s="22">
        <f>B31-B30</f>
        <v>54</v>
      </c>
      <c r="G31" s="22" t="s">
        <v>390</v>
      </c>
      <c r="AD31" s="47"/>
      <c r="AF31" s="47"/>
      <c r="AI31" s="10"/>
    </row>
    <row r="32" spans="1:36" s="205" customFormat="1" ht="14.75" x14ac:dyDescent="0.75">
      <c r="A32" s="200">
        <v>904</v>
      </c>
      <c r="B32" s="201">
        <v>44715</v>
      </c>
      <c r="C32" s="3" t="str">
        <f t="shared" si="6"/>
        <v>6/3/22</v>
      </c>
      <c r="D32" s="3" t="s">
        <v>539</v>
      </c>
      <c r="E32" s="200">
        <v>0</v>
      </c>
      <c r="F32" s="200"/>
      <c r="G32" s="200" t="s">
        <v>539</v>
      </c>
      <c r="H32" s="200"/>
      <c r="I32" s="200"/>
      <c r="J32" s="200"/>
      <c r="K32" s="200"/>
      <c r="L32" s="200">
        <f t="shared" si="0"/>
        <v>0</v>
      </c>
      <c r="M32" s="204"/>
      <c r="N32" s="204"/>
      <c r="O32" s="204"/>
      <c r="P32" s="204"/>
      <c r="Q32" s="204">
        <f t="shared" si="1"/>
        <v>0</v>
      </c>
      <c r="R32" s="204"/>
      <c r="S32" s="204"/>
      <c r="T32" s="204"/>
      <c r="U32" s="204"/>
      <c r="V32" s="204">
        <f t="shared" si="2"/>
        <v>0</v>
      </c>
      <c r="W32" s="200"/>
      <c r="X32" s="200"/>
      <c r="AB32" s="205" t="str">
        <f t="shared" si="7"/>
        <v>No</v>
      </c>
      <c r="AC32" s="205">
        <f>TreatmentUsed!E838</f>
        <v>40</v>
      </c>
      <c r="AD32" s="204">
        <f>Q32-Q24</f>
        <v>0</v>
      </c>
      <c r="AE32" s="205" t="e">
        <f>AD32/E32</f>
        <v>#DIV/0!</v>
      </c>
      <c r="AF32" s="204">
        <f>V32-V24</f>
        <v>0</v>
      </c>
      <c r="AG32" s="205" t="e">
        <f>(V32-V24)/E32</f>
        <v>#DIV/0!</v>
      </c>
      <c r="AH32" s="205" t="e">
        <f t="shared" si="5"/>
        <v>#DIV/0!</v>
      </c>
      <c r="AI32" s="206" t="e">
        <f>(AH32/E32)</f>
        <v>#DIV/0!</v>
      </c>
    </row>
    <row r="33" spans="1:35" ht="14.75" x14ac:dyDescent="0.75">
      <c r="A33" s="22">
        <v>904</v>
      </c>
      <c r="B33" s="3">
        <v>44740</v>
      </c>
      <c r="C33" s="3" t="str">
        <f t="shared" si="6"/>
        <v>6/28/22</v>
      </c>
      <c r="D33" s="3" t="s">
        <v>539</v>
      </c>
      <c r="E33" s="22">
        <f>28-3</f>
        <v>25</v>
      </c>
      <c r="G33" s="22" t="s">
        <v>539</v>
      </c>
      <c r="L33" s="22">
        <f t="shared" si="0"/>
        <v>0</v>
      </c>
      <c r="Q33" s="47">
        <f t="shared" si="1"/>
        <v>0</v>
      </c>
      <c r="V33" s="47">
        <f t="shared" si="2"/>
        <v>0</v>
      </c>
      <c r="AB33" t="str">
        <f t="shared" si="7"/>
        <v>No</v>
      </c>
      <c r="AC33">
        <f>TreatmentUsed!E1049</f>
        <v>3</v>
      </c>
      <c r="AD33" s="47">
        <f t="shared" si="3"/>
        <v>0</v>
      </c>
      <c r="AE33">
        <f>AD33/E33</f>
        <v>0</v>
      </c>
      <c r="AF33" s="47">
        <f t="shared" si="4"/>
        <v>0</v>
      </c>
      <c r="AG33">
        <f>(V33-V32)/E33</f>
        <v>0</v>
      </c>
      <c r="AH33" t="e">
        <f t="shared" si="5"/>
        <v>#DIV/0!</v>
      </c>
      <c r="AI33" s="10" t="e">
        <f>(AH33/E33)</f>
        <v>#DIV/0!</v>
      </c>
    </row>
    <row r="34" spans="1:35" ht="14.75" x14ac:dyDescent="0.75">
      <c r="A34" s="207">
        <v>904</v>
      </c>
      <c r="B34" s="3">
        <v>44761</v>
      </c>
      <c r="C34" s="3" t="str">
        <f t="shared" si="6"/>
        <v>7/19/22</v>
      </c>
      <c r="D34" s="3" t="s">
        <v>539</v>
      </c>
      <c r="E34" s="22">
        <f>30-28+19</f>
        <v>21</v>
      </c>
      <c r="G34" s="22" t="s">
        <v>539</v>
      </c>
      <c r="L34" s="22">
        <f t="shared" si="0"/>
        <v>0</v>
      </c>
      <c r="Q34" s="47">
        <f t="shared" si="1"/>
        <v>0</v>
      </c>
      <c r="V34" s="47">
        <f t="shared" si="2"/>
        <v>0</v>
      </c>
      <c r="AB34" t="str">
        <f t="shared" si="7"/>
        <v>No</v>
      </c>
      <c r="AC34">
        <v>0</v>
      </c>
      <c r="AD34" s="47">
        <f t="shared" si="3"/>
        <v>0</v>
      </c>
      <c r="AE34">
        <f>AD34/E34</f>
        <v>0</v>
      </c>
      <c r="AF34" s="47">
        <f t="shared" si="4"/>
        <v>0</v>
      </c>
      <c r="AG34">
        <f>(V34-V33)/E34</f>
        <v>0</v>
      </c>
      <c r="AH34" t="e">
        <f t="shared" si="5"/>
        <v>#DIV/0!</v>
      </c>
      <c r="AI34" s="10" t="e">
        <f>(AH34/E34)</f>
        <v>#DIV/0!</v>
      </c>
    </row>
    <row r="35" spans="1:35" ht="14.75" x14ac:dyDescent="0.75">
      <c r="A35" s="22">
        <v>904</v>
      </c>
      <c r="B35" s="3">
        <v>44791</v>
      </c>
      <c r="C35" s="3" t="str">
        <f t="shared" si="6"/>
        <v>8/18/22</v>
      </c>
      <c r="D35" s="3" t="s">
        <v>539</v>
      </c>
      <c r="E35" s="22">
        <f>31-19+18</f>
        <v>30</v>
      </c>
      <c r="G35" s="22" t="s">
        <v>539</v>
      </c>
      <c r="L35" s="22">
        <f t="shared" si="0"/>
        <v>0</v>
      </c>
      <c r="Q35" s="47">
        <f t="shared" si="1"/>
        <v>0</v>
      </c>
      <c r="V35" s="47">
        <f t="shared" si="2"/>
        <v>0</v>
      </c>
      <c r="AB35" t="str">
        <f t="shared" si="7"/>
        <v>No</v>
      </c>
      <c r="AC35">
        <v>3</v>
      </c>
      <c r="AD35" s="47">
        <f t="shared" si="3"/>
        <v>0</v>
      </c>
      <c r="AE35">
        <f>AD35/E35</f>
        <v>0</v>
      </c>
      <c r="AF35" s="47">
        <f t="shared" si="4"/>
        <v>0</v>
      </c>
      <c r="AG35">
        <f>(V35-V34)/E35</f>
        <v>0</v>
      </c>
      <c r="AH35" t="e">
        <f t="shared" si="5"/>
        <v>#DIV/0!</v>
      </c>
      <c r="AI35" s="10" t="e">
        <f>(AH35/E35)</f>
        <v>#DIV/0!</v>
      </c>
    </row>
    <row r="36" spans="1:35" ht="14.75" x14ac:dyDescent="0.75">
      <c r="A36" s="207">
        <v>904</v>
      </c>
      <c r="B36" s="3">
        <v>44824</v>
      </c>
      <c r="C36" s="3" t="str">
        <f t="shared" si="6"/>
        <v>9/20/22</v>
      </c>
      <c r="D36" s="3" t="s">
        <v>539</v>
      </c>
      <c r="E36" s="22">
        <f>30-18+20</f>
        <v>32</v>
      </c>
      <c r="G36" s="22" t="s">
        <v>539</v>
      </c>
      <c r="AC36">
        <v>0</v>
      </c>
      <c r="AD36" s="47"/>
      <c r="AF36" s="47"/>
      <c r="AI36" s="10"/>
    </row>
    <row r="37" spans="1:35" ht="14.75" x14ac:dyDescent="0.75">
      <c r="A37" s="207">
        <v>904</v>
      </c>
      <c r="B37" s="3">
        <v>44854</v>
      </c>
      <c r="C37" s="3" t="str">
        <f t="shared" si="6"/>
        <v>10/20/22</v>
      </c>
      <c r="D37" s="3" t="s">
        <v>539</v>
      </c>
      <c r="E37" s="22">
        <f>31-20+20</f>
        <v>31</v>
      </c>
      <c r="G37" s="22" t="s">
        <v>390</v>
      </c>
      <c r="L37" s="22">
        <f t="shared" si="0"/>
        <v>0</v>
      </c>
      <c r="Q37" s="47">
        <f t="shared" si="1"/>
        <v>0</v>
      </c>
      <c r="V37" s="47">
        <f t="shared" si="2"/>
        <v>0</v>
      </c>
      <c r="AB37" t="str">
        <f t="shared" si="7"/>
        <v>No</v>
      </c>
      <c r="AC37">
        <v>0</v>
      </c>
      <c r="AD37" s="47">
        <f>Q37-Q35</f>
        <v>0</v>
      </c>
      <c r="AE37">
        <f>AD37/E37</f>
        <v>0</v>
      </c>
      <c r="AF37" s="47">
        <f>V37-V35</f>
        <v>0</v>
      </c>
      <c r="AG37">
        <f>(V37-V35)/E37</f>
        <v>0</v>
      </c>
      <c r="AH37" t="e">
        <f t="shared" si="5"/>
        <v>#DIV/0!</v>
      </c>
      <c r="AI37" s="10" t="e">
        <f>(AH37/E37)</f>
        <v>#DIV/0!</v>
      </c>
    </row>
    <row r="38" spans="1:35" ht="14.75" x14ac:dyDescent="0.75">
      <c r="A38" s="22">
        <v>904</v>
      </c>
      <c r="B38" s="3">
        <v>44936</v>
      </c>
      <c r="C38" s="3" t="str">
        <f t="shared" si="6"/>
        <v>1/10/23</v>
      </c>
      <c r="D38" s="3" t="s">
        <v>539</v>
      </c>
      <c r="E38" s="22">
        <f>31-20+30+31+10</f>
        <v>82</v>
      </c>
      <c r="G38" s="22" t="s">
        <v>539</v>
      </c>
      <c r="AC38">
        <v>2</v>
      </c>
      <c r="AD38" s="47"/>
      <c r="AF38" s="47"/>
      <c r="AI38" s="10"/>
    </row>
    <row r="39" spans="1:35" ht="14.75" x14ac:dyDescent="0.75">
      <c r="A39" s="22">
        <v>904</v>
      </c>
      <c r="B39" s="3">
        <v>44978</v>
      </c>
      <c r="C39" s="3" t="str">
        <f t="shared" si="6"/>
        <v>2/21/23</v>
      </c>
      <c r="D39" s="3" t="s">
        <v>539</v>
      </c>
      <c r="E39" s="22">
        <f>31-10+21</f>
        <v>42</v>
      </c>
      <c r="G39" s="22" t="s">
        <v>539</v>
      </c>
      <c r="AC39">
        <v>1</v>
      </c>
      <c r="AD39" s="47"/>
      <c r="AF39" s="47"/>
      <c r="AI39" s="10"/>
    </row>
    <row r="40" spans="1:35" ht="14.75" x14ac:dyDescent="0.75">
      <c r="A40" s="207">
        <v>904</v>
      </c>
      <c r="B40" s="3">
        <v>45057</v>
      </c>
      <c r="C40" s="3" t="str">
        <f t="shared" si="6"/>
        <v>5/11/23</v>
      </c>
      <c r="D40" s="3" t="s">
        <v>539</v>
      </c>
      <c r="E40" s="22">
        <f>28-21+31+30+11</f>
        <v>79</v>
      </c>
      <c r="G40" s="22" t="s">
        <v>390</v>
      </c>
      <c r="AC40">
        <v>0</v>
      </c>
      <c r="AD40" s="47"/>
      <c r="AF40" s="47"/>
      <c r="AI40" s="10"/>
    </row>
    <row r="41" spans="1:35" ht="14.75" x14ac:dyDescent="0.75">
      <c r="A41" s="207">
        <v>904</v>
      </c>
      <c r="B41" s="3">
        <v>45104</v>
      </c>
      <c r="C41" s="3" t="str">
        <f t="shared" si="6"/>
        <v>6/27/23</v>
      </c>
      <c r="D41" s="3" t="s">
        <v>539</v>
      </c>
      <c r="E41" s="22">
        <f>31-11+27</f>
        <v>47</v>
      </c>
      <c r="G41" s="22" t="s">
        <v>390</v>
      </c>
      <c r="AC41">
        <v>0</v>
      </c>
      <c r="AD41" s="47"/>
      <c r="AF41" s="47"/>
      <c r="AI41" s="10"/>
    </row>
    <row r="42" spans="1:35" ht="14.75" x14ac:dyDescent="0.75">
      <c r="A42" s="207">
        <v>904</v>
      </c>
      <c r="B42" s="3">
        <v>45161</v>
      </c>
      <c r="C42" s="3" t="str">
        <f t="shared" si="6"/>
        <v>8/23/23</v>
      </c>
      <c r="D42" s="3" t="s">
        <v>539</v>
      </c>
      <c r="E42" s="22">
        <f>30-27+31+23</f>
        <v>57</v>
      </c>
      <c r="G42" s="22" t="s">
        <v>390</v>
      </c>
      <c r="AC42">
        <v>0</v>
      </c>
      <c r="AD42" s="47"/>
      <c r="AF42" s="47"/>
      <c r="AI42" s="10"/>
    </row>
    <row r="43" spans="1:35" s="205" customFormat="1" ht="14.75" x14ac:dyDescent="0.75">
      <c r="A43" s="200">
        <v>905</v>
      </c>
      <c r="B43" s="201">
        <v>44707</v>
      </c>
      <c r="C43" s="3" t="str">
        <f t="shared" si="6"/>
        <v>5/26/22</v>
      </c>
      <c r="D43" s="3" t="s">
        <v>539</v>
      </c>
      <c r="E43" s="200">
        <v>0</v>
      </c>
      <c r="F43" s="200"/>
      <c r="G43" s="200" t="s">
        <v>539</v>
      </c>
      <c r="H43" s="200"/>
      <c r="I43" s="200"/>
      <c r="J43" s="200"/>
      <c r="K43" s="200"/>
      <c r="L43" s="200">
        <f t="shared" si="0"/>
        <v>0</v>
      </c>
      <c r="M43" s="204"/>
      <c r="N43" s="204"/>
      <c r="O43" s="204"/>
      <c r="P43" s="204"/>
      <c r="Q43" s="204">
        <f t="shared" si="1"/>
        <v>0</v>
      </c>
      <c r="R43" s="204"/>
      <c r="S43" s="204"/>
      <c r="T43" s="204"/>
      <c r="U43" s="204"/>
      <c r="V43" s="204">
        <f t="shared" si="2"/>
        <v>0</v>
      </c>
      <c r="W43" s="200"/>
      <c r="X43" s="200"/>
      <c r="AB43" s="205" t="str">
        <f t="shared" si="7"/>
        <v>No</v>
      </c>
      <c r="AC43" s="205">
        <f>TreatmentUsed!E663</f>
        <v>13</v>
      </c>
      <c r="AD43" s="204">
        <f>Q43-Q37</f>
        <v>0</v>
      </c>
      <c r="AE43" s="205" t="e">
        <f>AD43/E43</f>
        <v>#DIV/0!</v>
      </c>
      <c r="AF43" s="204">
        <f>V43-V37</f>
        <v>0</v>
      </c>
      <c r="AG43" s="205" t="e">
        <f>(V43-V37)/E43</f>
        <v>#DIV/0!</v>
      </c>
      <c r="AH43" s="205" t="e">
        <f t="shared" si="5"/>
        <v>#DIV/0!</v>
      </c>
      <c r="AI43" s="206" t="e">
        <f>(AH43/E43)</f>
        <v>#DIV/0!</v>
      </c>
    </row>
    <row r="44" spans="1:35" ht="14.75" x14ac:dyDescent="0.75">
      <c r="A44" s="22">
        <v>905</v>
      </c>
      <c r="B44" s="3">
        <v>44722</v>
      </c>
      <c r="C44" s="3" t="str">
        <f t="shared" si="6"/>
        <v>6/10/22</v>
      </c>
      <c r="D44" s="3" t="s">
        <v>539</v>
      </c>
      <c r="E44" s="22">
        <f>31-26+10</f>
        <v>15</v>
      </c>
      <c r="G44" s="22" t="s">
        <v>539</v>
      </c>
      <c r="L44" s="22">
        <f t="shared" si="0"/>
        <v>0</v>
      </c>
      <c r="Q44" s="47">
        <f t="shared" si="1"/>
        <v>0</v>
      </c>
      <c r="V44" s="47">
        <f t="shared" si="2"/>
        <v>0</v>
      </c>
      <c r="AB44" t="str">
        <f t="shared" si="7"/>
        <v>No</v>
      </c>
      <c r="AC44">
        <f>TreatmentUsed!E917</f>
        <v>3</v>
      </c>
      <c r="AD44" s="47">
        <f t="shared" si="3"/>
        <v>0</v>
      </c>
      <c r="AE44">
        <f>AD44/E44</f>
        <v>0</v>
      </c>
      <c r="AF44" s="47">
        <f t="shared" si="4"/>
        <v>0</v>
      </c>
      <c r="AG44">
        <f>(V44-V43)/E44</f>
        <v>0</v>
      </c>
      <c r="AH44" t="e">
        <f t="shared" si="5"/>
        <v>#DIV/0!</v>
      </c>
      <c r="AI44" s="10" t="e">
        <f>(AH44/E44)</f>
        <v>#DIV/0!</v>
      </c>
    </row>
    <row r="45" spans="1:35" ht="14.75" x14ac:dyDescent="0.75">
      <c r="A45" s="22">
        <v>905</v>
      </c>
      <c r="B45" s="3">
        <v>44748</v>
      </c>
      <c r="C45" s="3" t="str">
        <f t="shared" si="6"/>
        <v>7/6/22</v>
      </c>
      <c r="D45" s="3" t="s">
        <v>539</v>
      </c>
      <c r="E45" s="22">
        <f>30-15+6</f>
        <v>21</v>
      </c>
      <c r="G45" s="22" t="s">
        <v>539</v>
      </c>
      <c r="L45" s="22">
        <f t="shared" si="0"/>
        <v>0</v>
      </c>
      <c r="Q45" s="47">
        <f t="shared" si="1"/>
        <v>0</v>
      </c>
      <c r="V45" s="47">
        <f t="shared" si="2"/>
        <v>0</v>
      </c>
      <c r="AB45" t="str">
        <f t="shared" si="7"/>
        <v>No</v>
      </c>
      <c r="AC45">
        <v>0</v>
      </c>
      <c r="AD45" s="47">
        <f t="shared" si="3"/>
        <v>0</v>
      </c>
      <c r="AE45">
        <f>AD45/E45</f>
        <v>0</v>
      </c>
      <c r="AF45" s="47">
        <f t="shared" si="4"/>
        <v>0</v>
      </c>
      <c r="AG45">
        <f>(V45-V44)/E45</f>
        <v>0</v>
      </c>
      <c r="AH45" t="e">
        <f t="shared" si="5"/>
        <v>#DIV/0!</v>
      </c>
      <c r="AI45" s="10" t="e">
        <f>(AH45/E45)</f>
        <v>#DIV/0!</v>
      </c>
    </row>
    <row r="46" spans="1:35" ht="14.75" x14ac:dyDescent="0.75">
      <c r="A46" s="22">
        <v>905</v>
      </c>
      <c r="B46" s="3">
        <v>45069</v>
      </c>
      <c r="C46" s="3" t="str">
        <f t="shared" si="6"/>
        <v>5/23/23</v>
      </c>
      <c r="D46" s="3" t="s">
        <v>539</v>
      </c>
      <c r="E46" s="22">
        <f>31-6+31+30+31+30+31+31+28+31+30+23</f>
        <v>321</v>
      </c>
      <c r="G46" s="22" t="s">
        <v>539</v>
      </c>
      <c r="AC46">
        <v>36</v>
      </c>
      <c r="AD46" s="47"/>
      <c r="AF46" s="47"/>
      <c r="AI46" s="10"/>
    </row>
    <row r="47" spans="1:35" ht="14.75" x14ac:dyDescent="0.75">
      <c r="A47" s="22">
        <v>905</v>
      </c>
      <c r="B47" s="3">
        <v>45113</v>
      </c>
      <c r="C47" s="3" t="str">
        <f t="shared" si="6"/>
        <v>7/6/23</v>
      </c>
      <c r="D47" s="3" t="s">
        <v>539</v>
      </c>
      <c r="E47" s="22">
        <f>31-23+30+6</f>
        <v>44</v>
      </c>
      <c r="G47" s="22" t="s">
        <v>539</v>
      </c>
      <c r="AC47">
        <v>28</v>
      </c>
      <c r="AD47" s="47"/>
      <c r="AF47" s="47"/>
      <c r="AI47" s="10"/>
    </row>
    <row r="48" spans="1:35" s="205" customFormat="1" ht="14.75" x14ac:dyDescent="0.75">
      <c r="A48" s="200">
        <v>906</v>
      </c>
      <c r="B48" s="201">
        <v>44707</v>
      </c>
      <c r="C48" s="3" t="str">
        <f t="shared" si="6"/>
        <v>5/26/22</v>
      </c>
      <c r="D48" s="3" t="s">
        <v>539</v>
      </c>
      <c r="E48" s="200">
        <v>0</v>
      </c>
      <c r="F48" s="200"/>
      <c r="G48" s="200" t="s">
        <v>539</v>
      </c>
      <c r="H48" s="200"/>
      <c r="I48" s="200"/>
      <c r="J48" s="200"/>
      <c r="K48" s="200"/>
      <c r="L48" s="200">
        <f t="shared" si="0"/>
        <v>0</v>
      </c>
      <c r="M48" s="204"/>
      <c r="N48" s="204"/>
      <c r="O48" s="204"/>
      <c r="P48" s="204"/>
      <c r="Q48" s="204">
        <f t="shared" si="1"/>
        <v>0</v>
      </c>
      <c r="R48" s="204"/>
      <c r="S48" s="204"/>
      <c r="T48" s="204"/>
      <c r="U48" s="204"/>
      <c r="V48" s="204">
        <f t="shared" si="2"/>
        <v>0</v>
      </c>
      <c r="W48" s="200"/>
      <c r="X48" s="200"/>
      <c r="AB48" s="205" t="str">
        <f t="shared" si="7"/>
        <v>No</v>
      </c>
      <c r="AC48" s="205">
        <f>TreatmentUsed!E661</f>
        <v>4</v>
      </c>
      <c r="AD48" s="204">
        <f>Q48-Q45</f>
        <v>0</v>
      </c>
      <c r="AE48" s="205" t="e">
        <f>AD48/E48</f>
        <v>#DIV/0!</v>
      </c>
      <c r="AF48" s="204">
        <f>V48-V45</f>
        <v>0</v>
      </c>
      <c r="AG48" s="205" t="e">
        <f>(V48-V45)/E48</f>
        <v>#DIV/0!</v>
      </c>
      <c r="AH48" s="205" t="e">
        <f t="shared" si="5"/>
        <v>#DIV/0!</v>
      </c>
      <c r="AI48" s="206" t="e">
        <f>(AH48/E48)</f>
        <v>#DIV/0!</v>
      </c>
    </row>
    <row r="49" spans="1:36" ht="14.75" x14ac:dyDescent="0.75">
      <c r="A49" s="22">
        <v>906</v>
      </c>
      <c r="B49" s="3">
        <v>44722</v>
      </c>
      <c r="C49" s="3" t="str">
        <f t="shared" si="6"/>
        <v>6/10/22</v>
      </c>
      <c r="D49" s="3" t="s">
        <v>539</v>
      </c>
      <c r="E49" s="22">
        <f>31-26+10</f>
        <v>15</v>
      </c>
      <c r="G49" s="22" t="s">
        <v>539</v>
      </c>
      <c r="L49" s="22">
        <f t="shared" si="0"/>
        <v>0</v>
      </c>
      <c r="Q49" s="47">
        <f t="shared" si="1"/>
        <v>0</v>
      </c>
      <c r="V49" s="47">
        <f t="shared" si="2"/>
        <v>0</v>
      </c>
      <c r="AB49" t="str">
        <f t="shared" si="7"/>
        <v>No</v>
      </c>
      <c r="AC49">
        <f>TreatmentUsed!E916</f>
        <v>3</v>
      </c>
      <c r="AD49" s="47">
        <f t="shared" si="3"/>
        <v>0</v>
      </c>
      <c r="AE49">
        <f>AD49/E49</f>
        <v>0</v>
      </c>
      <c r="AF49" s="47">
        <f t="shared" si="4"/>
        <v>0</v>
      </c>
      <c r="AG49">
        <f>(V49-V48)/E49</f>
        <v>0</v>
      </c>
      <c r="AH49" t="e">
        <f t="shared" si="5"/>
        <v>#DIV/0!</v>
      </c>
      <c r="AI49" s="10" t="e">
        <f>(AH49/E49)</f>
        <v>#DIV/0!</v>
      </c>
    </row>
    <row r="50" spans="1:36" ht="14.75" x14ac:dyDescent="0.75">
      <c r="A50" s="22">
        <v>906</v>
      </c>
      <c r="B50" s="3">
        <v>44748</v>
      </c>
      <c r="C50" s="3" t="str">
        <f t="shared" si="6"/>
        <v>7/6/22</v>
      </c>
      <c r="D50" s="3" t="s">
        <v>539</v>
      </c>
      <c r="E50" s="22">
        <f>30-10+6</f>
        <v>26</v>
      </c>
      <c r="G50" s="22" t="s">
        <v>539</v>
      </c>
      <c r="L50" s="22">
        <f t="shared" si="0"/>
        <v>0</v>
      </c>
      <c r="Q50" s="47">
        <f t="shared" si="1"/>
        <v>0</v>
      </c>
      <c r="V50" s="47">
        <f t="shared" si="2"/>
        <v>0</v>
      </c>
      <c r="AB50" t="str">
        <f t="shared" si="7"/>
        <v>No</v>
      </c>
      <c r="AC50">
        <v>2</v>
      </c>
      <c r="AD50" s="47">
        <f t="shared" si="3"/>
        <v>0</v>
      </c>
      <c r="AE50">
        <f>AD50/E50</f>
        <v>0</v>
      </c>
      <c r="AF50" s="47">
        <f t="shared" si="4"/>
        <v>0</v>
      </c>
      <c r="AG50">
        <f>(V50-V49)/E50</f>
        <v>0</v>
      </c>
      <c r="AH50" t="e">
        <f t="shared" si="5"/>
        <v>#DIV/0!</v>
      </c>
      <c r="AI50" s="10" t="e">
        <f>(AH50/E50)</f>
        <v>#DIV/0!</v>
      </c>
    </row>
    <row r="51" spans="1:36" ht="14.75" x14ac:dyDescent="0.75">
      <c r="A51" s="22">
        <v>906</v>
      </c>
      <c r="B51" s="3">
        <v>44768</v>
      </c>
      <c r="C51" s="3" t="str">
        <f t="shared" si="6"/>
        <v>7/26/22</v>
      </c>
      <c r="D51" s="3" t="s">
        <v>539</v>
      </c>
      <c r="E51" s="22">
        <v>20</v>
      </c>
      <c r="G51" s="22" t="s">
        <v>539</v>
      </c>
      <c r="AC51">
        <v>5</v>
      </c>
      <c r="AD51" s="47"/>
      <c r="AF51" s="47"/>
      <c r="AI51" s="10"/>
    </row>
    <row r="52" spans="1:36" ht="14.75" x14ac:dyDescent="0.75">
      <c r="A52" s="22">
        <v>906</v>
      </c>
      <c r="B52" s="3">
        <v>44790</v>
      </c>
      <c r="C52" s="3" t="str">
        <f t="shared" si="6"/>
        <v>8/17/22</v>
      </c>
      <c r="D52" s="3" t="s">
        <v>539</v>
      </c>
      <c r="E52" s="22">
        <f>31-26+17</f>
        <v>22</v>
      </c>
      <c r="G52" s="22" t="s">
        <v>539</v>
      </c>
      <c r="L52" s="22">
        <f t="shared" si="0"/>
        <v>0</v>
      </c>
      <c r="Q52" s="47">
        <f t="shared" si="1"/>
        <v>0</v>
      </c>
      <c r="V52" s="47">
        <f t="shared" si="2"/>
        <v>0</v>
      </c>
      <c r="AB52" t="str">
        <f t="shared" si="7"/>
        <v>No</v>
      </c>
      <c r="AC52">
        <v>4</v>
      </c>
      <c r="AD52" s="47">
        <f>Q52-Q50</f>
        <v>0</v>
      </c>
      <c r="AE52">
        <f>AD52/E52</f>
        <v>0</v>
      </c>
      <c r="AF52" s="47">
        <f>V52-V50</f>
        <v>0</v>
      </c>
      <c r="AG52">
        <f>(V52-V50)/E52</f>
        <v>0</v>
      </c>
      <c r="AH52" t="e">
        <f t="shared" si="5"/>
        <v>#DIV/0!</v>
      </c>
      <c r="AI52" s="10" t="e">
        <f>(AH52/E52)</f>
        <v>#DIV/0!</v>
      </c>
    </row>
    <row r="53" spans="1:36" ht="14.75" x14ac:dyDescent="0.75">
      <c r="A53" s="22">
        <v>906</v>
      </c>
      <c r="B53" s="3">
        <v>44839</v>
      </c>
      <c r="C53" s="3" t="str">
        <f t="shared" si="6"/>
        <v>10/5/22</v>
      </c>
      <c r="D53" s="3" t="s">
        <v>539</v>
      </c>
      <c r="E53" s="22">
        <f>31-17+30+5</f>
        <v>49</v>
      </c>
      <c r="G53" s="22" t="s">
        <v>539</v>
      </c>
      <c r="AC53">
        <v>0</v>
      </c>
      <c r="AD53" s="47"/>
      <c r="AF53" s="47"/>
      <c r="AI53" s="10"/>
    </row>
    <row r="54" spans="1:36" ht="14.75" x14ac:dyDescent="0.75">
      <c r="A54" s="22">
        <v>906</v>
      </c>
      <c r="B54" s="3">
        <v>44875</v>
      </c>
      <c r="C54" s="3" t="str">
        <f t="shared" si="6"/>
        <v>11/10/22</v>
      </c>
      <c r="D54" s="3" t="s">
        <v>539</v>
      </c>
      <c r="E54" s="22">
        <f>31-5+10</f>
        <v>36</v>
      </c>
      <c r="G54" s="22" t="s">
        <v>539</v>
      </c>
      <c r="AC54">
        <v>1</v>
      </c>
      <c r="AD54" s="47"/>
      <c r="AF54" s="47"/>
      <c r="AI54" s="10"/>
    </row>
    <row r="55" spans="1:36" ht="14.75" x14ac:dyDescent="0.75">
      <c r="A55" s="22">
        <v>906</v>
      </c>
      <c r="B55" s="3">
        <v>44896</v>
      </c>
      <c r="C55" s="3" t="str">
        <f t="shared" si="6"/>
        <v>12/1/22</v>
      </c>
      <c r="D55" s="3" t="s">
        <v>539</v>
      </c>
      <c r="E55" s="22">
        <f>30-10+1</f>
        <v>21</v>
      </c>
      <c r="G55" s="22" t="s">
        <v>539</v>
      </c>
      <c r="AC55">
        <v>3</v>
      </c>
      <c r="AD55" s="47"/>
      <c r="AF55" s="47"/>
      <c r="AI55" s="10"/>
    </row>
    <row r="56" spans="1:36" ht="14.75" x14ac:dyDescent="0.75">
      <c r="A56" s="22">
        <v>906</v>
      </c>
      <c r="B56" s="3">
        <v>44986</v>
      </c>
      <c r="C56" s="3" t="str">
        <f t="shared" si="6"/>
        <v>3/1/23</v>
      </c>
      <c r="D56" s="3" t="s">
        <v>539</v>
      </c>
      <c r="E56" s="22">
        <f>31-1+31+28+1</f>
        <v>90</v>
      </c>
      <c r="G56" s="22" t="s">
        <v>539</v>
      </c>
      <c r="AC56">
        <v>1</v>
      </c>
      <c r="AD56" s="47"/>
      <c r="AF56" s="47"/>
      <c r="AI56" s="10"/>
    </row>
    <row r="57" spans="1:36" ht="14.75" x14ac:dyDescent="0.75">
      <c r="A57" s="207">
        <v>906</v>
      </c>
      <c r="B57" s="3">
        <v>45069</v>
      </c>
      <c r="C57" s="3" t="str">
        <f t="shared" si="6"/>
        <v>5/23/23</v>
      </c>
      <c r="D57" s="3" t="s">
        <v>539</v>
      </c>
      <c r="E57" s="22">
        <f>31-1+30+23</f>
        <v>83</v>
      </c>
      <c r="G57" s="22" t="s">
        <v>390</v>
      </c>
      <c r="AC57">
        <v>0</v>
      </c>
      <c r="AD57" s="47"/>
      <c r="AF57" s="47"/>
      <c r="AI57" s="10"/>
    </row>
    <row r="58" spans="1:36" ht="14.75" x14ac:dyDescent="0.75">
      <c r="A58" s="207">
        <v>906</v>
      </c>
      <c r="B58" s="3">
        <v>45113</v>
      </c>
      <c r="C58" s="3" t="str">
        <f t="shared" si="6"/>
        <v>7/6/23</v>
      </c>
      <c r="D58" s="3" t="s">
        <v>539</v>
      </c>
      <c r="E58" s="22">
        <f>31-23+30+6</f>
        <v>44</v>
      </c>
      <c r="G58" s="22" t="s">
        <v>390</v>
      </c>
      <c r="AC58">
        <v>0</v>
      </c>
      <c r="AD58" s="47"/>
      <c r="AF58" s="47"/>
      <c r="AI58" s="10"/>
    </row>
    <row r="59" spans="1:36" ht="14.75" x14ac:dyDescent="0.75">
      <c r="A59" s="207">
        <v>906</v>
      </c>
      <c r="B59" s="3">
        <v>45167</v>
      </c>
      <c r="C59" s="3" t="str">
        <f t="shared" si="6"/>
        <v>8/29/23</v>
      </c>
      <c r="D59" s="3" t="s">
        <v>539</v>
      </c>
      <c r="E59" s="22">
        <f>29+31-6</f>
        <v>54</v>
      </c>
      <c r="G59" s="22" t="s">
        <v>390</v>
      </c>
      <c r="AC59">
        <v>0</v>
      </c>
      <c r="AD59" s="47"/>
      <c r="AF59" s="47"/>
      <c r="AI59" s="10"/>
    </row>
    <row r="60" spans="1:36" s="205" customFormat="1" ht="14.75" x14ac:dyDescent="0.75">
      <c r="A60" s="200">
        <v>907</v>
      </c>
      <c r="B60" s="201">
        <v>44707</v>
      </c>
      <c r="C60" s="3" t="str">
        <f t="shared" si="6"/>
        <v>5/26/22</v>
      </c>
      <c r="D60" s="3" t="s">
        <v>539</v>
      </c>
      <c r="E60" s="200">
        <v>0</v>
      </c>
      <c r="F60" s="200"/>
      <c r="G60" s="200" t="s">
        <v>539</v>
      </c>
      <c r="H60" s="200"/>
      <c r="I60" s="200"/>
      <c r="J60" s="200"/>
      <c r="K60" s="200"/>
      <c r="L60" s="200">
        <f t="shared" si="0"/>
        <v>0</v>
      </c>
      <c r="M60" s="204"/>
      <c r="N60" s="204"/>
      <c r="O60" s="204"/>
      <c r="P60" s="204"/>
      <c r="Q60" s="204">
        <f t="shared" si="1"/>
        <v>0</v>
      </c>
      <c r="R60" s="204"/>
      <c r="S60" s="204"/>
      <c r="T60" s="204"/>
      <c r="U60" s="204"/>
      <c r="V60" s="204">
        <f t="shared" si="2"/>
        <v>0</v>
      </c>
      <c r="W60" s="200"/>
      <c r="X60" s="200"/>
      <c r="AB60" s="205" t="str">
        <f t="shared" si="7"/>
        <v>No</v>
      </c>
      <c r="AC60" s="205">
        <f>TreatmentUsed!E660</f>
        <v>23</v>
      </c>
      <c r="AD60" s="204">
        <f>Q60-Q52</f>
        <v>0</v>
      </c>
      <c r="AE60" s="205" t="e">
        <f>AD60/E60</f>
        <v>#DIV/0!</v>
      </c>
      <c r="AF60" s="204">
        <f>V60-V52</f>
        <v>0</v>
      </c>
      <c r="AG60" s="205" t="e">
        <f>(V60-V52)/E60</f>
        <v>#DIV/0!</v>
      </c>
      <c r="AH60" s="205" t="e">
        <f t="shared" si="5"/>
        <v>#DIV/0!</v>
      </c>
      <c r="AI60" s="206" t="e">
        <f>(AH60/E60)</f>
        <v>#DIV/0!</v>
      </c>
    </row>
    <row r="61" spans="1:36" ht="14.75" x14ac:dyDescent="0.75">
      <c r="A61" s="22">
        <v>907</v>
      </c>
      <c r="B61" s="3">
        <v>44722</v>
      </c>
      <c r="C61" s="3" t="str">
        <f t="shared" si="6"/>
        <v>6/10/22</v>
      </c>
      <c r="D61" s="3" t="s">
        <v>539</v>
      </c>
      <c r="E61" s="22">
        <f>31-26+10</f>
        <v>15</v>
      </c>
      <c r="G61" s="22" t="s">
        <v>539</v>
      </c>
      <c r="L61" s="22">
        <f t="shared" si="0"/>
        <v>0</v>
      </c>
      <c r="Q61" s="47">
        <f t="shared" si="1"/>
        <v>0</v>
      </c>
      <c r="V61" s="47">
        <f t="shared" si="2"/>
        <v>0</v>
      </c>
      <c r="AB61" t="str">
        <f t="shared" si="7"/>
        <v>No</v>
      </c>
      <c r="AC61" s="42">
        <v>3</v>
      </c>
      <c r="AD61" s="47">
        <f t="shared" si="3"/>
        <v>0</v>
      </c>
      <c r="AE61">
        <f>AD61/E61</f>
        <v>0</v>
      </c>
      <c r="AF61" s="47">
        <f t="shared" si="4"/>
        <v>0</v>
      </c>
      <c r="AG61">
        <f>(V61-V60)/E61</f>
        <v>0</v>
      </c>
      <c r="AH61" t="e">
        <f t="shared" si="5"/>
        <v>#DIV/0!</v>
      </c>
      <c r="AI61" s="10" t="e">
        <f>(AH61/E61)</f>
        <v>#DIV/0!</v>
      </c>
      <c r="AJ61" t="s">
        <v>1287</v>
      </c>
    </row>
    <row r="62" spans="1:36" ht="14.75" x14ac:dyDescent="0.75">
      <c r="A62" s="22">
        <v>907</v>
      </c>
      <c r="B62" s="3">
        <v>44748</v>
      </c>
      <c r="C62" s="3" t="str">
        <f t="shared" si="6"/>
        <v>7/6/22</v>
      </c>
      <c r="D62" s="3" t="s">
        <v>539</v>
      </c>
      <c r="E62" s="22">
        <f>30-10+6</f>
        <v>26</v>
      </c>
      <c r="G62" s="22" t="s">
        <v>539</v>
      </c>
      <c r="L62" s="22">
        <f t="shared" si="0"/>
        <v>0</v>
      </c>
      <c r="Q62" s="47">
        <f t="shared" si="1"/>
        <v>0</v>
      </c>
      <c r="V62" s="47">
        <f t="shared" si="2"/>
        <v>0</v>
      </c>
      <c r="AB62" t="str">
        <f t="shared" si="7"/>
        <v>No</v>
      </c>
      <c r="AC62">
        <v>0</v>
      </c>
      <c r="AD62" s="47">
        <f t="shared" si="3"/>
        <v>0</v>
      </c>
      <c r="AE62">
        <f>AD62/E62</f>
        <v>0</v>
      </c>
      <c r="AF62" s="47">
        <f t="shared" si="4"/>
        <v>0</v>
      </c>
      <c r="AG62">
        <f>(V62-V61)/E62</f>
        <v>0</v>
      </c>
      <c r="AH62" t="e">
        <f t="shared" si="5"/>
        <v>#DIV/0!</v>
      </c>
      <c r="AI62" s="10" t="e">
        <f>(AH62/E62)</f>
        <v>#DIV/0!</v>
      </c>
    </row>
    <row r="63" spans="1:36" ht="14.75" x14ac:dyDescent="0.75">
      <c r="A63" s="22">
        <v>907</v>
      </c>
      <c r="B63" s="3">
        <v>44768</v>
      </c>
      <c r="C63" s="3" t="str">
        <f t="shared" si="6"/>
        <v>7/26/22</v>
      </c>
      <c r="D63" s="3" t="s">
        <v>539</v>
      </c>
      <c r="E63" s="22">
        <f>26-6</f>
        <v>20</v>
      </c>
      <c r="G63" s="22" t="s">
        <v>539</v>
      </c>
      <c r="AC63">
        <v>0</v>
      </c>
      <c r="AD63" s="47"/>
      <c r="AF63" s="47"/>
      <c r="AI63" s="10"/>
    </row>
    <row r="64" spans="1:36" ht="14.75" x14ac:dyDescent="0.75">
      <c r="A64" s="207">
        <v>907</v>
      </c>
      <c r="B64" s="3">
        <v>44875</v>
      </c>
      <c r="C64" s="3" t="str">
        <f t="shared" si="6"/>
        <v>11/10/22</v>
      </c>
      <c r="D64" s="3" t="s">
        <v>539</v>
      </c>
      <c r="E64" s="22">
        <f>31-26+31+30+31+10</f>
        <v>107</v>
      </c>
      <c r="G64" s="22" t="s">
        <v>390</v>
      </c>
      <c r="AC64">
        <v>0</v>
      </c>
      <c r="AD64" s="47"/>
      <c r="AF64" s="47"/>
      <c r="AI64" s="10"/>
    </row>
    <row r="65" spans="1:35" ht="14.75" x14ac:dyDescent="0.75">
      <c r="A65" s="207">
        <v>907</v>
      </c>
      <c r="B65" s="3">
        <v>44896</v>
      </c>
      <c r="C65" s="3" t="str">
        <f t="shared" si="6"/>
        <v>12/1/22</v>
      </c>
      <c r="D65" s="3" t="s">
        <v>539</v>
      </c>
      <c r="E65" s="22">
        <f>30-10+1</f>
        <v>21</v>
      </c>
      <c r="G65" s="22" t="s">
        <v>390</v>
      </c>
      <c r="AC65">
        <v>0</v>
      </c>
      <c r="AD65" s="47"/>
      <c r="AF65" s="47"/>
      <c r="AI65" s="10"/>
    </row>
    <row r="66" spans="1:35" ht="14.75" x14ac:dyDescent="0.75">
      <c r="A66" s="207">
        <v>907</v>
      </c>
      <c r="B66" s="3">
        <v>44987</v>
      </c>
      <c r="C66" s="3" t="str">
        <f t="shared" si="6"/>
        <v>3/2/23</v>
      </c>
      <c r="D66" s="3" t="s">
        <v>539</v>
      </c>
      <c r="E66" s="22">
        <f>31-1+31+28+2</f>
        <v>91</v>
      </c>
      <c r="G66" s="22" t="s">
        <v>390</v>
      </c>
      <c r="AC66">
        <v>0</v>
      </c>
      <c r="AD66" s="47"/>
      <c r="AF66" s="47"/>
      <c r="AI66" s="10"/>
    </row>
    <row r="67" spans="1:35" ht="14.75" x14ac:dyDescent="0.75">
      <c r="A67" s="207">
        <v>907</v>
      </c>
      <c r="B67" s="3">
        <v>45035</v>
      </c>
      <c r="C67" s="3" t="str">
        <f t="shared" ref="C67:C130" si="8">TEXT(B67,"M/D/YY")</f>
        <v>4/19/23</v>
      </c>
      <c r="D67" s="3" t="s">
        <v>539</v>
      </c>
      <c r="E67" s="22">
        <f>31-2+19</f>
        <v>48</v>
      </c>
      <c r="G67" s="22" t="s">
        <v>390</v>
      </c>
      <c r="AC67">
        <v>0</v>
      </c>
      <c r="AD67" s="47"/>
      <c r="AF67" s="47"/>
      <c r="AI67" s="10"/>
    </row>
    <row r="68" spans="1:35" ht="14.75" x14ac:dyDescent="0.75">
      <c r="A68" s="207">
        <v>907</v>
      </c>
      <c r="B68" s="3">
        <v>45069</v>
      </c>
      <c r="C68" s="3" t="str">
        <f t="shared" si="8"/>
        <v>5/23/23</v>
      </c>
      <c r="D68" s="3" t="s">
        <v>539</v>
      </c>
      <c r="E68" s="22">
        <f>30-19+23</f>
        <v>34</v>
      </c>
      <c r="G68" s="22" t="s">
        <v>390</v>
      </c>
      <c r="AC68">
        <v>0</v>
      </c>
      <c r="AD68" s="47"/>
      <c r="AF68" s="47"/>
      <c r="AI68" s="10"/>
    </row>
    <row r="69" spans="1:35" ht="14.75" x14ac:dyDescent="0.75">
      <c r="A69" s="207">
        <v>907</v>
      </c>
      <c r="B69" s="3">
        <v>45113</v>
      </c>
      <c r="C69" s="3" t="str">
        <f t="shared" si="8"/>
        <v>7/6/23</v>
      </c>
      <c r="D69" s="3" t="s">
        <v>539</v>
      </c>
      <c r="E69" s="22">
        <f>31-23+30+6</f>
        <v>44</v>
      </c>
      <c r="G69" s="22" t="s">
        <v>390</v>
      </c>
      <c r="AC69">
        <v>0</v>
      </c>
      <c r="AD69" s="47"/>
      <c r="AF69" s="47"/>
      <c r="AI69" s="10"/>
    </row>
    <row r="70" spans="1:35" s="205" customFormat="1" ht="14.75" x14ac:dyDescent="0.75">
      <c r="A70" s="200">
        <v>908</v>
      </c>
      <c r="B70" s="201">
        <v>44707</v>
      </c>
      <c r="C70" s="3" t="str">
        <f t="shared" si="8"/>
        <v>5/26/22</v>
      </c>
      <c r="D70" s="3" t="s">
        <v>539</v>
      </c>
      <c r="E70" s="200">
        <v>0</v>
      </c>
      <c r="F70" s="200"/>
      <c r="G70" s="200" t="s">
        <v>539</v>
      </c>
      <c r="H70" s="200"/>
      <c r="I70" s="200"/>
      <c r="J70" s="200"/>
      <c r="K70" s="200"/>
      <c r="L70" s="200">
        <f t="shared" si="0"/>
        <v>0</v>
      </c>
      <c r="M70" s="204"/>
      <c r="N70" s="204"/>
      <c r="O70" s="204"/>
      <c r="P70" s="204"/>
      <c r="Q70" s="204">
        <f t="shared" si="1"/>
        <v>0</v>
      </c>
      <c r="R70" s="204"/>
      <c r="S70" s="204"/>
      <c r="T70" s="204"/>
      <c r="U70" s="204"/>
      <c r="V70" s="204">
        <f t="shared" si="2"/>
        <v>0</v>
      </c>
      <c r="W70" s="200"/>
      <c r="X70" s="200"/>
      <c r="AB70" s="205" t="str">
        <f t="shared" si="7"/>
        <v>No</v>
      </c>
      <c r="AC70" s="205">
        <f>TreatmentUsed!E633</f>
        <v>3</v>
      </c>
      <c r="AD70" s="204">
        <f>Q70-Q62</f>
        <v>0</v>
      </c>
      <c r="AE70" s="205" t="e">
        <f>AD70/E70</f>
        <v>#DIV/0!</v>
      </c>
      <c r="AF70" s="204">
        <f>V70-V62</f>
        <v>0</v>
      </c>
      <c r="AG70" s="205" t="e">
        <f>(V70-V62)/E70</f>
        <v>#DIV/0!</v>
      </c>
      <c r="AH70" s="205" t="e">
        <f t="shared" si="5"/>
        <v>#DIV/0!</v>
      </c>
      <c r="AI70" s="206" t="e">
        <f>(AH70/E70)</f>
        <v>#DIV/0!</v>
      </c>
    </row>
    <row r="71" spans="1:35" ht="14.75" x14ac:dyDescent="0.75">
      <c r="A71" s="22">
        <v>908</v>
      </c>
      <c r="B71" s="3">
        <v>44722</v>
      </c>
      <c r="C71" s="3" t="str">
        <f t="shared" si="8"/>
        <v>6/10/22</v>
      </c>
      <c r="D71" s="3" t="s">
        <v>539</v>
      </c>
      <c r="E71" s="22">
        <f>31-26+10</f>
        <v>15</v>
      </c>
      <c r="G71" s="22" t="s">
        <v>539</v>
      </c>
      <c r="L71" s="22">
        <f t="shared" si="0"/>
        <v>0</v>
      </c>
      <c r="Q71" s="47">
        <f t="shared" si="1"/>
        <v>0</v>
      </c>
      <c r="V71" s="47">
        <f t="shared" si="2"/>
        <v>0</v>
      </c>
      <c r="AB71" t="str">
        <f t="shared" si="7"/>
        <v>No</v>
      </c>
      <c r="AC71">
        <v>0</v>
      </c>
      <c r="AD71" s="47">
        <f t="shared" si="3"/>
        <v>0</v>
      </c>
      <c r="AE71">
        <f>AD71/E71</f>
        <v>0</v>
      </c>
      <c r="AF71" s="47">
        <f t="shared" si="4"/>
        <v>0</v>
      </c>
      <c r="AG71">
        <f>(V71-V70)/E71</f>
        <v>0</v>
      </c>
      <c r="AH71" t="e">
        <f t="shared" si="5"/>
        <v>#DIV/0!</v>
      </c>
      <c r="AI71" s="10" t="e">
        <f>(AH71/E71)</f>
        <v>#DIV/0!</v>
      </c>
    </row>
    <row r="72" spans="1:35" ht="14.75" x14ac:dyDescent="0.75">
      <c r="A72" s="22">
        <v>908</v>
      </c>
      <c r="B72" s="3">
        <v>44748</v>
      </c>
      <c r="C72" s="3" t="str">
        <f t="shared" si="8"/>
        <v>7/6/22</v>
      </c>
      <c r="D72" s="3" t="s">
        <v>539</v>
      </c>
      <c r="E72" s="22">
        <f>30-10+6</f>
        <v>26</v>
      </c>
      <c r="G72" s="22" t="s">
        <v>539</v>
      </c>
      <c r="AC72">
        <v>0</v>
      </c>
      <c r="AD72" s="47"/>
      <c r="AF72" s="47"/>
      <c r="AI72" s="10"/>
    </row>
    <row r="73" spans="1:35" ht="14.75" x14ac:dyDescent="0.75">
      <c r="A73" s="22">
        <v>908</v>
      </c>
      <c r="B73" s="3">
        <v>44768</v>
      </c>
      <c r="C73" s="3" t="str">
        <f t="shared" si="8"/>
        <v>7/26/22</v>
      </c>
      <c r="D73" s="3" t="s">
        <v>539</v>
      </c>
      <c r="E73" s="22">
        <f>20</f>
        <v>20</v>
      </c>
      <c r="G73" s="22" t="s">
        <v>390</v>
      </c>
      <c r="L73" s="22">
        <f t="shared" si="0"/>
        <v>0</v>
      </c>
      <c r="Q73" s="47">
        <f t="shared" ref="Q73:Q277" si="9">SUM(M73:P73)</f>
        <v>0</v>
      </c>
      <c r="V73" s="47">
        <f t="shared" ref="V73:V277" si="10">SUM(R73:U73)</f>
        <v>0</v>
      </c>
      <c r="AB73" t="str">
        <f t="shared" si="7"/>
        <v>No</v>
      </c>
      <c r="AC73">
        <v>0</v>
      </c>
      <c r="AD73" s="47">
        <f>Q73-Q71</f>
        <v>0</v>
      </c>
      <c r="AE73">
        <f>AD73/E73</f>
        <v>0</v>
      </c>
      <c r="AF73" s="47">
        <f>V73-V71</f>
        <v>0</v>
      </c>
      <c r="AG73">
        <f>(V73-V71)/E73</f>
        <v>0</v>
      </c>
      <c r="AH73" t="e">
        <f t="shared" si="5"/>
        <v>#DIV/0!</v>
      </c>
      <c r="AI73" s="10" t="e">
        <f>(AH73/E73)</f>
        <v>#DIV/0!</v>
      </c>
    </row>
    <row r="74" spans="1:35" ht="14.75" x14ac:dyDescent="0.75">
      <c r="A74" s="22">
        <v>908</v>
      </c>
      <c r="B74" s="3">
        <v>44790</v>
      </c>
      <c r="C74" s="3" t="str">
        <f t="shared" si="8"/>
        <v>8/17/22</v>
      </c>
      <c r="D74" s="3" t="s">
        <v>539</v>
      </c>
      <c r="E74" s="22">
        <f>31-26+17</f>
        <v>22</v>
      </c>
      <c r="G74" s="22" t="s">
        <v>539</v>
      </c>
      <c r="L74" s="22">
        <f t="shared" si="0"/>
        <v>0</v>
      </c>
      <c r="Q74" s="47">
        <f t="shared" si="9"/>
        <v>0</v>
      </c>
      <c r="V74" s="47">
        <f t="shared" si="10"/>
        <v>0</v>
      </c>
      <c r="AB74" t="str">
        <f t="shared" si="7"/>
        <v>No</v>
      </c>
      <c r="AC74">
        <v>8</v>
      </c>
      <c r="AD74" s="47">
        <f t="shared" si="3"/>
        <v>0</v>
      </c>
      <c r="AE74">
        <f>AD74/E74</f>
        <v>0</v>
      </c>
      <c r="AF74" s="47">
        <f t="shared" si="4"/>
        <v>0</v>
      </c>
      <c r="AG74">
        <f>(V74-V73)/E74</f>
        <v>0</v>
      </c>
      <c r="AH74" t="e">
        <f t="shared" si="5"/>
        <v>#DIV/0!</v>
      </c>
      <c r="AI74" s="10" t="e">
        <f>(AH74/E74)</f>
        <v>#DIV/0!</v>
      </c>
    </row>
    <row r="75" spans="1:35" ht="14.75" x14ac:dyDescent="0.75">
      <c r="A75" s="22">
        <v>908</v>
      </c>
      <c r="B75" s="3">
        <v>44839</v>
      </c>
      <c r="C75" s="3" t="str">
        <f t="shared" si="8"/>
        <v>10/5/22</v>
      </c>
      <c r="D75" s="3" t="s">
        <v>539</v>
      </c>
      <c r="E75" s="22">
        <f>31-17+30+5</f>
        <v>49</v>
      </c>
      <c r="G75" s="22" t="s">
        <v>539</v>
      </c>
      <c r="AC75">
        <v>0</v>
      </c>
      <c r="AD75" s="47"/>
      <c r="AF75" s="47"/>
      <c r="AI75" s="10"/>
    </row>
    <row r="76" spans="1:35" ht="14.75" x14ac:dyDescent="0.75">
      <c r="A76" s="22">
        <v>908</v>
      </c>
      <c r="B76" s="3">
        <v>44875</v>
      </c>
      <c r="C76" s="3" t="str">
        <f t="shared" si="8"/>
        <v>11/10/22</v>
      </c>
      <c r="D76" s="3" t="s">
        <v>539</v>
      </c>
      <c r="E76" s="22">
        <f>31-5+10</f>
        <v>36</v>
      </c>
      <c r="G76" s="22" t="s">
        <v>390</v>
      </c>
      <c r="AC76">
        <v>0</v>
      </c>
      <c r="AD76" s="47"/>
      <c r="AF76" s="47"/>
      <c r="AI76" s="10"/>
    </row>
    <row r="77" spans="1:35" ht="14.75" x14ac:dyDescent="0.75">
      <c r="A77" s="22">
        <v>908</v>
      </c>
      <c r="B77" s="3">
        <v>44896</v>
      </c>
      <c r="C77" s="3" t="str">
        <f t="shared" si="8"/>
        <v>12/1/22</v>
      </c>
      <c r="D77" s="3" t="s">
        <v>539</v>
      </c>
      <c r="E77" s="22">
        <f>30-10+1</f>
        <v>21</v>
      </c>
      <c r="G77" s="22" t="s">
        <v>539</v>
      </c>
      <c r="AC77">
        <v>1</v>
      </c>
      <c r="AD77" s="47"/>
      <c r="AF77" s="47"/>
      <c r="AI77" s="10"/>
    </row>
    <row r="78" spans="1:35" ht="14.75" x14ac:dyDescent="0.75">
      <c r="A78" s="22">
        <v>908</v>
      </c>
      <c r="B78" s="3">
        <v>44950</v>
      </c>
      <c r="C78" s="3" t="str">
        <f t="shared" si="8"/>
        <v>1/24/23</v>
      </c>
      <c r="D78" s="3" t="s">
        <v>539</v>
      </c>
      <c r="E78" s="22">
        <f>31-1+24</f>
        <v>54</v>
      </c>
      <c r="G78" s="22" t="s">
        <v>539</v>
      </c>
      <c r="AC78">
        <v>0</v>
      </c>
      <c r="AD78" s="47"/>
      <c r="AF78" s="47"/>
      <c r="AI78" s="10"/>
    </row>
    <row r="79" spans="1:35" ht="14.75" x14ac:dyDescent="0.75">
      <c r="A79" s="22">
        <v>908</v>
      </c>
      <c r="B79" s="3">
        <v>44986</v>
      </c>
      <c r="C79" s="3" t="str">
        <f t="shared" si="8"/>
        <v>3/1/23</v>
      </c>
      <c r="D79" s="3" t="s">
        <v>539</v>
      </c>
      <c r="E79" s="22">
        <f>31-24+28+1</f>
        <v>36</v>
      </c>
      <c r="G79" s="22" t="s">
        <v>539</v>
      </c>
      <c r="AC79">
        <v>2</v>
      </c>
      <c r="AD79" s="47"/>
      <c r="AF79" s="47"/>
      <c r="AI79" s="10"/>
    </row>
    <row r="80" spans="1:35" ht="14.75" x14ac:dyDescent="0.75">
      <c r="A80" s="22">
        <v>908</v>
      </c>
      <c r="B80" s="3">
        <v>45069</v>
      </c>
      <c r="C80" s="3" t="str">
        <f t="shared" si="8"/>
        <v>5/23/23</v>
      </c>
      <c r="D80" s="3" t="s">
        <v>539</v>
      </c>
      <c r="E80" s="22">
        <f>30+30+23</f>
        <v>83</v>
      </c>
      <c r="G80" s="22" t="s">
        <v>539</v>
      </c>
      <c r="AC80">
        <v>6</v>
      </c>
      <c r="AD80" s="47"/>
      <c r="AF80" s="47"/>
      <c r="AI80" s="10"/>
    </row>
    <row r="81" spans="1:35" ht="14.75" x14ac:dyDescent="0.75">
      <c r="A81" s="22">
        <v>908</v>
      </c>
      <c r="B81" s="3">
        <v>45113</v>
      </c>
      <c r="C81" s="3" t="str">
        <f t="shared" si="8"/>
        <v>7/6/23</v>
      </c>
      <c r="D81" s="3" t="s">
        <v>539</v>
      </c>
      <c r="E81" s="22">
        <f>31-23+30+6</f>
        <v>44</v>
      </c>
      <c r="G81" s="22" t="s">
        <v>539</v>
      </c>
      <c r="AC81">
        <v>0</v>
      </c>
      <c r="AD81" s="47"/>
      <c r="AF81" s="47"/>
      <c r="AI81" s="10"/>
    </row>
    <row r="82" spans="1:35" ht="14.75" x14ac:dyDescent="0.75">
      <c r="A82" s="22">
        <v>908</v>
      </c>
      <c r="B82" s="3">
        <v>45167</v>
      </c>
      <c r="C82" s="3" t="str">
        <f t="shared" si="8"/>
        <v>8/29/23</v>
      </c>
      <c r="D82" s="3" t="s">
        <v>539</v>
      </c>
      <c r="E82" s="22">
        <f>B82-B81</f>
        <v>54</v>
      </c>
      <c r="G82" s="22" t="s">
        <v>390</v>
      </c>
      <c r="AD82" s="47"/>
      <c r="AF82" s="47"/>
      <c r="AI82" s="10"/>
    </row>
    <row r="83" spans="1:35" s="205" customFormat="1" ht="14.75" x14ac:dyDescent="0.75">
      <c r="A83" s="200">
        <v>909</v>
      </c>
      <c r="B83" s="201">
        <v>44722</v>
      </c>
      <c r="C83" s="3" t="str">
        <f t="shared" si="8"/>
        <v>6/10/22</v>
      </c>
      <c r="D83" s="3" t="s">
        <v>539</v>
      </c>
      <c r="E83" s="200">
        <v>0</v>
      </c>
      <c r="F83" s="200"/>
      <c r="G83" s="200" t="s">
        <v>539</v>
      </c>
      <c r="H83" s="200"/>
      <c r="I83" s="200"/>
      <c r="J83" s="200"/>
      <c r="K83" s="200"/>
      <c r="L83" s="200">
        <f t="shared" si="0"/>
        <v>0</v>
      </c>
      <c r="M83" s="204"/>
      <c r="N83" s="204"/>
      <c r="O83" s="204"/>
      <c r="P83" s="204"/>
      <c r="Q83" s="204">
        <f t="shared" si="9"/>
        <v>0</v>
      </c>
      <c r="R83" s="204"/>
      <c r="S83" s="204"/>
      <c r="T83" s="204"/>
      <c r="U83" s="204"/>
      <c r="V83" s="204">
        <f t="shared" si="10"/>
        <v>0</v>
      </c>
      <c r="W83" s="200"/>
      <c r="X83" s="200"/>
      <c r="AB83" s="205" t="str">
        <f t="shared" si="7"/>
        <v>No</v>
      </c>
      <c r="AC83" s="205">
        <f>TreatmentUsed!E929</f>
        <v>39</v>
      </c>
      <c r="AD83" s="204">
        <f>Q83-Q74</f>
        <v>0</v>
      </c>
      <c r="AE83" s="205" t="e">
        <f>AD83/E83</f>
        <v>#DIV/0!</v>
      </c>
      <c r="AF83" s="204">
        <f>V83-V74</f>
        <v>0</v>
      </c>
      <c r="AG83" s="205" t="e">
        <f>(V83-V74)/E83</f>
        <v>#DIV/0!</v>
      </c>
      <c r="AH83" s="205" t="e">
        <f t="shared" si="5"/>
        <v>#DIV/0!</v>
      </c>
      <c r="AI83" s="206" t="e">
        <f>(AH83/E83)</f>
        <v>#DIV/0!</v>
      </c>
    </row>
    <row r="84" spans="1:35" ht="14.75" x14ac:dyDescent="0.75">
      <c r="A84" s="22">
        <v>909</v>
      </c>
      <c r="B84" s="3">
        <v>44748</v>
      </c>
      <c r="C84" s="3" t="str">
        <f t="shared" si="8"/>
        <v>7/6/22</v>
      </c>
      <c r="D84" s="3" t="s">
        <v>539</v>
      </c>
      <c r="E84" s="22">
        <f>30-10+6</f>
        <v>26</v>
      </c>
      <c r="G84" s="22" t="s">
        <v>539</v>
      </c>
      <c r="L84" s="22">
        <f t="shared" si="0"/>
        <v>0</v>
      </c>
      <c r="Q84" s="47">
        <f t="shared" si="9"/>
        <v>0</v>
      </c>
      <c r="V84" s="47">
        <f t="shared" si="10"/>
        <v>0</v>
      </c>
      <c r="AB84" t="str">
        <f t="shared" si="7"/>
        <v>No</v>
      </c>
      <c r="AC84">
        <v>0</v>
      </c>
      <c r="AD84" s="47">
        <f t="shared" si="3"/>
        <v>0</v>
      </c>
      <c r="AE84">
        <f>AD84/E84</f>
        <v>0</v>
      </c>
      <c r="AF84" s="47">
        <f t="shared" si="4"/>
        <v>0</v>
      </c>
      <c r="AG84">
        <f>(V84-V83)/E84</f>
        <v>0</v>
      </c>
      <c r="AH84" t="e">
        <f t="shared" si="5"/>
        <v>#DIV/0!</v>
      </c>
      <c r="AI84" s="10" t="e">
        <f>(AH84/E84)</f>
        <v>#DIV/0!</v>
      </c>
    </row>
    <row r="85" spans="1:35" ht="14.75" x14ac:dyDescent="0.75">
      <c r="A85" s="22">
        <v>909</v>
      </c>
      <c r="B85" s="3">
        <v>44769</v>
      </c>
      <c r="C85" s="3" t="str">
        <f t="shared" si="8"/>
        <v>7/27/22</v>
      </c>
      <c r="D85" s="3" t="s">
        <v>539</v>
      </c>
      <c r="E85" s="22">
        <f>27-6</f>
        <v>21</v>
      </c>
      <c r="G85" s="22" t="s">
        <v>539</v>
      </c>
      <c r="L85" s="22">
        <f t="shared" si="0"/>
        <v>0</v>
      </c>
      <c r="Q85" s="47">
        <f t="shared" si="9"/>
        <v>0</v>
      </c>
      <c r="V85" s="47">
        <f t="shared" si="10"/>
        <v>0</v>
      </c>
      <c r="AB85" t="str">
        <f t="shared" si="7"/>
        <v>No</v>
      </c>
      <c r="AC85">
        <v>0</v>
      </c>
      <c r="AD85" s="47">
        <f t="shared" si="3"/>
        <v>0</v>
      </c>
      <c r="AE85">
        <f>AD85/E85</f>
        <v>0</v>
      </c>
      <c r="AF85" s="47">
        <f t="shared" si="4"/>
        <v>0</v>
      </c>
      <c r="AG85">
        <f>(V85-V84)/E85</f>
        <v>0</v>
      </c>
      <c r="AH85" t="e">
        <f t="shared" si="5"/>
        <v>#DIV/0!</v>
      </c>
      <c r="AI85" s="10" t="e">
        <f>(AH85/E85)</f>
        <v>#DIV/0!</v>
      </c>
    </row>
    <row r="86" spans="1:35" ht="14.75" x14ac:dyDescent="0.75">
      <c r="A86" s="22">
        <v>909</v>
      </c>
      <c r="B86" s="3">
        <v>44789</v>
      </c>
      <c r="C86" s="3" t="str">
        <f t="shared" si="8"/>
        <v>8/16/22</v>
      </c>
      <c r="D86" s="3" t="s">
        <v>539</v>
      </c>
      <c r="E86" s="22">
        <f>31-27+16</f>
        <v>20</v>
      </c>
      <c r="G86" s="22" t="s">
        <v>539</v>
      </c>
      <c r="L86" s="22">
        <f t="shared" si="0"/>
        <v>0</v>
      </c>
      <c r="Q86" s="47">
        <f t="shared" si="9"/>
        <v>0</v>
      </c>
      <c r="V86" s="47">
        <f t="shared" si="10"/>
        <v>0</v>
      </c>
      <c r="AB86" t="str">
        <f t="shared" si="7"/>
        <v>No</v>
      </c>
      <c r="AC86">
        <v>2</v>
      </c>
      <c r="AD86" s="47">
        <f t="shared" si="3"/>
        <v>0</v>
      </c>
      <c r="AE86">
        <f>AD86/E86</f>
        <v>0</v>
      </c>
      <c r="AF86" s="47">
        <f t="shared" si="4"/>
        <v>0</v>
      </c>
      <c r="AG86">
        <f>(V86-V85)/E86</f>
        <v>0</v>
      </c>
      <c r="AH86" t="e">
        <f t="shared" si="5"/>
        <v>#DIV/0!</v>
      </c>
      <c r="AI86" s="10" t="e">
        <f>(AH86/E86)</f>
        <v>#DIV/0!</v>
      </c>
    </row>
    <row r="87" spans="1:35" ht="14.75" x14ac:dyDescent="0.75">
      <c r="A87" s="22">
        <v>909</v>
      </c>
      <c r="B87" s="3">
        <v>44838</v>
      </c>
      <c r="C87" s="3" t="str">
        <f t="shared" si="8"/>
        <v>10/4/22</v>
      </c>
      <c r="D87" s="3" t="s">
        <v>539</v>
      </c>
      <c r="E87" s="22">
        <f>31-16+30+4</f>
        <v>49</v>
      </c>
      <c r="G87" s="22" t="s">
        <v>539</v>
      </c>
      <c r="AC87">
        <v>0</v>
      </c>
      <c r="AD87" s="47"/>
      <c r="AF87" s="47"/>
      <c r="AI87" s="10"/>
    </row>
    <row r="88" spans="1:35" ht="14.75" x14ac:dyDescent="0.75">
      <c r="A88" s="207">
        <v>909</v>
      </c>
      <c r="B88" s="3">
        <v>44867</v>
      </c>
      <c r="C88" s="3" t="str">
        <f t="shared" si="8"/>
        <v>11/2/22</v>
      </c>
      <c r="D88" s="3" t="s">
        <v>539</v>
      </c>
      <c r="E88" s="22">
        <f>31-4+2</f>
        <v>29</v>
      </c>
      <c r="G88" s="22" t="s">
        <v>390</v>
      </c>
      <c r="AC88">
        <v>0</v>
      </c>
      <c r="AD88" s="47"/>
      <c r="AF88" s="47"/>
      <c r="AI88" s="10"/>
    </row>
    <row r="89" spans="1:35" ht="14.75" x14ac:dyDescent="0.75">
      <c r="A89" s="207">
        <v>909</v>
      </c>
      <c r="B89" s="3">
        <v>44895</v>
      </c>
      <c r="C89" s="3" t="str">
        <f t="shared" si="8"/>
        <v>11/30/22</v>
      </c>
      <c r="D89" s="3" t="s">
        <v>539</v>
      </c>
      <c r="E89" s="22">
        <f>28</f>
        <v>28</v>
      </c>
      <c r="G89" s="22" t="s">
        <v>390</v>
      </c>
      <c r="AC89">
        <v>0</v>
      </c>
      <c r="AD89" s="47"/>
      <c r="AF89" s="47"/>
      <c r="AI89" s="10"/>
    </row>
    <row r="90" spans="1:35" ht="14.75" x14ac:dyDescent="0.75">
      <c r="A90" s="207">
        <v>909</v>
      </c>
      <c r="B90" s="3">
        <v>44943</v>
      </c>
      <c r="C90" s="3" t="str">
        <f t="shared" si="8"/>
        <v>1/17/23</v>
      </c>
      <c r="D90" s="3" t="s">
        <v>539</v>
      </c>
      <c r="E90" s="22">
        <f>31+17</f>
        <v>48</v>
      </c>
      <c r="G90" s="22" t="s">
        <v>390</v>
      </c>
      <c r="AC90">
        <v>0</v>
      </c>
      <c r="AD90" s="47"/>
      <c r="AF90" s="47"/>
      <c r="AI90" s="10"/>
    </row>
    <row r="91" spans="1:35" ht="14.75" x14ac:dyDescent="0.75">
      <c r="A91" s="207">
        <v>909</v>
      </c>
      <c r="B91" s="3">
        <v>44985</v>
      </c>
      <c r="C91" s="3" t="str">
        <f t="shared" si="8"/>
        <v>2/28/23</v>
      </c>
      <c r="D91" s="3" t="s">
        <v>539</v>
      </c>
      <c r="E91" s="22">
        <f>31-17+28</f>
        <v>42</v>
      </c>
      <c r="G91" s="22" t="s">
        <v>390</v>
      </c>
      <c r="AC91">
        <v>0</v>
      </c>
      <c r="AD91" s="47"/>
      <c r="AF91" s="47"/>
      <c r="AI91" s="10"/>
    </row>
    <row r="92" spans="1:35" ht="14.75" x14ac:dyDescent="0.75">
      <c r="A92" s="207">
        <v>909</v>
      </c>
      <c r="B92" s="3">
        <v>45062</v>
      </c>
      <c r="C92" s="3" t="str">
        <f t="shared" si="8"/>
        <v>5/16/23</v>
      </c>
      <c r="D92" s="3" t="s">
        <v>539</v>
      </c>
      <c r="E92" s="22">
        <f>31+30+16</f>
        <v>77</v>
      </c>
      <c r="G92" s="22" t="s">
        <v>390</v>
      </c>
      <c r="AC92">
        <v>0</v>
      </c>
      <c r="AD92" s="47"/>
      <c r="AF92" s="47"/>
      <c r="AI92" s="10"/>
    </row>
    <row r="93" spans="1:35" ht="14.75" x14ac:dyDescent="0.75">
      <c r="A93" s="207">
        <v>909</v>
      </c>
      <c r="B93" s="3">
        <v>45105</v>
      </c>
      <c r="C93" s="3" t="str">
        <f t="shared" si="8"/>
        <v>6/28/23</v>
      </c>
      <c r="D93" s="3" t="s">
        <v>539</v>
      </c>
      <c r="E93" s="22">
        <f>31-16+28</f>
        <v>43</v>
      </c>
      <c r="G93" s="22" t="s">
        <v>390</v>
      </c>
      <c r="AC93">
        <v>0</v>
      </c>
      <c r="AD93" s="47"/>
      <c r="AF93" s="47"/>
      <c r="AI93" s="10"/>
    </row>
    <row r="94" spans="1:35" ht="14.75" x14ac:dyDescent="0.75">
      <c r="A94" s="207">
        <v>909</v>
      </c>
      <c r="B94" s="3">
        <v>45167</v>
      </c>
      <c r="C94" s="3" t="str">
        <f t="shared" si="8"/>
        <v>8/29/23</v>
      </c>
      <c r="D94" s="3" t="s">
        <v>539</v>
      </c>
      <c r="E94" s="22">
        <f>29+31+30-28</f>
        <v>62</v>
      </c>
      <c r="G94" s="22" t="s">
        <v>390</v>
      </c>
      <c r="AC94">
        <v>0</v>
      </c>
      <c r="AD94" s="47"/>
      <c r="AF94" s="47"/>
      <c r="AI94" s="10"/>
    </row>
    <row r="95" spans="1:35" s="205" customFormat="1" ht="14.75" x14ac:dyDescent="0.75">
      <c r="A95" s="200">
        <v>910</v>
      </c>
      <c r="B95" s="201">
        <v>45021</v>
      </c>
      <c r="C95" s="3" t="str">
        <f t="shared" si="8"/>
        <v>4/5/23</v>
      </c>
      <c r="D95" s="3" t="s">
        <v>539</v>
      </c>
      <c r="E95" s="200">
        <v>0</v>
      </c>
      <c r="F95" s="200"/>
      <c r="G95" s="200" t="s">
        <v>539</v>
      </c>
      <c r="H95" s="200"/>
      <c r="I95" s="200"/>
      <c r="J95" s="200"/>
      <c r="K95" s="200"/>
      <c r="L95" s="200"/>
      <c r="M95" s="204"/>
      <c r="N95" s="204"/>
      <c r="O95" s="204"/>
      <c r="P95" s="204"/>
      <c r="Q95" s="204"/>
      <c r="R95" s="204"/>
      <c r="S95" s="204"/>
      <c r="T95" s="204"/>
      <c r="U95" s="204"/>
      <c r="V95" s="204"/>
      <c r="W95" s="200"/>
      <c r="X95" s="200"/>
      <c r="AC95" s="205">
        <v>20</v>
      </c>
      <c r="AD95" s="204"/>
      <c r="AF95" s="204"/>
      <c r="AI95" s="206"/>
    </row>
    <row r="96" spans="1:35" ht="14.75" x14ac:dyDescent="0.75">
      <c r="A96" s="22">
        <v>910</v>
      </c>
      <c r="B96" s="3">
        <v>45055</v>
      </c>
      <c r="C96" s="3" t="str">
        <f t="shared" si="8"/>
        <v>5/9/23</v>
      </c>
      <c r="D96" s="3" t="s">
        <v>539</v>
      </c>
      <c r="E96" s="22">
        <f>30-5+9</f>
        <v>34</v>
      </c>
      <c r="G96" s="22" t="s">
        <v>539</v>
      </c>
      <c r="AC96">
        <v>0</v>
      </c>
      <c r="AD96" s="47"/>
      <c r="AF96" s="47"/>
      <c r="AI96" s="10"/>
    </row>
    <row r="97" spans="1:36" ht="14.75" x14ac:dyDescent="0.75">
      <c r="A97" s="22">
        <v>910</v>
      </c>
      <c r="B97" s="3">
        <v>45092</v>
      </c>
      <c r="C97" s="3" t="str">
        <f t="shared" si="8"/>
        <v>6/15/23</v>
      </c>
      <c r="D97" s="3" t="s">
        <v>539</v>
      </c>
      <c r="E97" s="22">
        <f>31-9+15</f>
        <v>37</v>
      </c>
      <c r="G97" s="22" t="s">
        <v>390</v>
      </c>
      <c r="AC97">
        <v>0</v>
      </c>
      <c r="AD97" s="47"/>
      <c r="AF97" s="47"/>
      <c r="AI97" s="10"/>
    </row>
    <row r="98" spans="1:36" ht="14.75" x14ac:dyDescent="0.75">
      <c r="A98" s="22">
        <v>910</v>
      </c>
      <c r="B98" s="3">
        <v>45118</v>
      </c>
      <c r="C98" s="3" t="str">
        <f t="shared" si="8"/>
        <v>7/11/23</v>
      </c>
      <c r="D98" s="3" t="s">
        <v>539</v>
      </c>
      <c r="E98" s="22">
        <f>30-15+11</f>
        <v>26</v>
      </c>
      <c r="G98" s="22" t="s">
        <v>539</v>
      </c>
      <c r="AC98">
        <v>8</v>
      </c>
      <c r="AD98" s="47"/>
      <c r="AF98" s="47"/>
      <c r="AI98" s="10"/>
    </row>
    <row r="99" spans="1:36" ht="14.75" x14ac:dyDescent="0.75">
      <c r="A99" s="22">
        <v>910</v>
      </c>
      <c r="B99" s="3">
        <v>45133</v>
      </c>
      <c r="C99" s="3" t="str">
        <f t="shared" si="8"/>
        <v>7/26/23</v>
      </c>
      <c r="D99" s="3" t="s">
        <v>539</v>
      </c>
      <c r="E99" s="22">
        <f>26-11</f>
        <v>15</v>
      </c>
      <c r="G99" s="22" t="s">
        <v>539</v>
      </c>
      <c r="AC99">
        <v>6</v>
      </c>
      <c r="AD99" s="47"/>
      <c r="AF99" s="47"/>
      <c r="AI99" s="10"/>
      <c r="AJ99" t="s">
        <v>1288</v>
      </c>
    </row>
    <row r="100" spans="1:36" s="205" customFormat="1" ht="14.75" x14ac:dyDescent="0.75">
      <c r="A100" s="200">
        <v>911</v>
      </c>
      <c r="B100" s="201">
        <v>45006</v>
      </c>
      <c r="C100" s="3" t="str">
        <f t="shared" si="8"/>
        <v>3/21/23</v>
      </c>
      <c r="D100" s="3" t="s">
        <v>539</v>
      </c>
      <c r="E100" s="200">
        <v>0</v>
      </c>
      <c r="F100" s="200"/>
      <c r="G100" s="200" t="s">
        <v>539</v>
      </c>
      <c r="H100" s="200"/>
      <c r="I100" s="200"/>
      <c r="J100" s="200"/>
      <c r="K100" s="200"/>
      <c r="L100" s="200"/>
      <c r="M100" s="204"/>
      <c r="N100" s="204"/>
      <c r="O100" s="204"/>
      <c r="P100" s="204"/>
      <c r="Q100" s="204"/>
      <c r="R100" s="204"/>
      <c r="S100" s="204"/>
      <c r="T100" s="204"/>
      <c r="U100" s="204"/>
      <c r="V100" s="204"/>
      <c r="W100" s="200"/>
      <c r="X100" s="200"/>
      <c r="AC100" s="205">
        <v>35</v>
      </c>
      <c r="AD100" s="204"/>
      <c r="AF100" s="204"/>
      <c r="AI100" s="206"/>
    </row>
    <row r="101" spans="1:36" ht="14.75" x14ac:dyDescent="0.75">
      <c r="A101" s="22">
        <v>911</v>
      </c>
      <c r="B101" s="3">
        <v>45041</v>
      </c>
      <c r="C101" s="3" t="str">
        <f t="shared" si="8"/>
        <v>4/25/23</v>
      </c>
      <c r="D101" s="3" t="s">
        <v>539</v>
      </c>
      <c r="E101" s="22">
        <f>31-21+25</f>
        <v>35</v>
      </c>
      <c r="G101" s="22" t="s">
        <v>539</v>
      </c>
      <c r="AC101">
        <v>21</v>
      </c>
      <c r="AD101" s="47"/>
      <c r="AF101" s="47"/>
      <c r="AI101" s="10"/>
    </row>
    <row r="102" spans="1:36" ht="14.75" x14ac:dyDescent="0.75">
      <c r="A102" s="22">
        <v>911</v>
      </c>
      <c r="B102" s="3">
        <v>45133</v>
      </c>
      <c r="C102" s="3" t="str">
        <f t="shared" si="8"/>
        <v>7/26/23</v>
      </c>
      <c r="D102" s="3" t="s">
        <v>539</v>
      </c>
      <c r="E102" s="22">
        <f>30-25+31+30+26</f>
        <v>92</v>
      </c>
      <c r="G102" s="22" t="s">
        <v>1289</v>
      </c>
      <c r="AC102">
        <v>0</v>
      </c>
      <c r="AD102" s="47"/>
      <c r="AF102" s="47"/>
      <c r="AI102" s="10"/>
    </row>
    <row r="103" spans="1:36" s="205" customFormat="1" ht="14.75" x14ac:dyDescent="0.75">
      <c r="A103" s="200">
        <v>912</v>
      </c>
      <c r="B103" s="201">
        <v>45006</v>
      </c>
      <c r="C103" s="3" t="str">
        <f t="shared" si="8"/>
        <v>3/21/23</v>
      </c>
      <c r="D103" s="3" t="s">
        <v>539</v>
      </c>
      <c r="E103" s="200">
        <v>0</v>
      </c>
      <c r="F103" s="200"/>
      <c r="G103" s="200" t="s">
        <v>539</v>
      </c>
      <c r="H103" s="200"/>
      <c r="I103" s="200"/>
      <c r="J103" s="200"/>
      <c r="K103" s="200"/>
      <c r="L103" s="200"/>
      <c r="M103" s="204"/>
      <c r="N103" s="204"/>
      <c r="O103" s="204"/>
      <c r="P103" s="204"/>
      <c r="Q103" s="204"/>
      <c r="R103" s="204"/>
      <c r="S103" s="204"/>
      <c r="T103" s="204"/>
      <c r="U103" s="204"/>
      <c r="V103" s="204"/>
      <c r="W103" s="200"/>
      <c r="X103" s="200"/>
      <c r="AC103" s="205">
        <v>10</v>
      </c>
      <c r="AD103" s="204"/>
      <c r="AF103" s="204"/>
      <c r="AI103" s="206"/>
    </row>
    <row r="104" spans="1:36" ht="14.75" x14ac:dyDescent="0.75">
      <c r="A104" s="22">
        <v>912</v>
      </c>
      <c r="B104" s="3">
        <v>45041</v>
      </c>
      <c r="C104" s="3" t="str">
        <f t="shared" si="8"/>
        <v>4/25/23</v>
      </c>
      <c r="D104" s="3" t="s">
        <v>539</v>
      </c>
      <c r="E104" s="22">
        <f>31-21+25</f>
        <v>35</v>
      </c>
      <c r="G104" s="22" t="s">
        <v>539</v>
      </c>
      <c r="AC104">
        <v>15</v>
      </c>
      <c r="AD104" s="47"/>
      <c r="AF104" s="47"/>
      <c r="AI104" s="10"/>
    </row>
    <row r="105" spans="1:36" ht="14.75" x14ac:dyDescent="0.75">
      <c r="A105" s="22">
        <v>912</v>
      </c>
      <c r="B105" s="3">
        <v>45091</v>
      </c>
      <c r="C105" s="3" t="str">
        <f t="shared" si="8"/>
        <v>6/14/23</v>
      </c>
      <c r="D105" s="3" t="s">
        <v>539</v>
      </c>
      <c r="E105" s="22">
        <f>30-25+31+14</f>
        <v>50</v>
      </c>
      <c r="G105" s="22" t="s">
        <v>539</v>
      </c>
      <c r="AC105">
        <v>0</v>
      </c>
      <c r="AD105" s="47"/>
      <c r="AF105" s="47"/>
      <c r="AI105" s="10"/>
    </row>
    <row r="106" spans="1:36" s="205" customFormat="1" ht="14.75" x14ac:dyDescent="0.75">
      <c r="A106" s="200">
        <v>914</v>
      </c>
      <c r="B106" s="201">
        <v>45008</v>
      </c>
      <c r="C106" s="3" t="str">
        <f t="shared" si="8"/>
        <v>3/23/23</v>
      </c>
      <c r="D106" s="3" t="s">
        <v>539</v>
      </c>
      <c r="E106" s="200">
        <v>0</v>
      </c>
      <c r="F106" s="200"/>
      <c r="G106" s="200" t="s">
        <v>539</v>
      </c>
      <c r="H106" s="200"/>
      <c r="I106" s="200"/>
      <c r="J106" s="200"/>
      <c r="K106" s="200"/>
      <c r="L106" s="200"/>
      <c r="M106" s="204"/>
      <c r="N106" s="204"/>
      <c r="O106" s="204"/>
      <c r="P106" s="204"/>
      <c r="Q106" s="204"/>
      <c r="R106" s="204"/>
      <c r="S106" s="204"/>
      <c r="T106" s="204"/>
      <c r="U106" s="204"/>
      <c r="V106" s="204"/>
      <c r="W106" s="200"/>
      <c r="X106" s="200"/>
      <c r="AC106" s="205">
        <v>5</v>
      </c>
      <c r="AD106" s="204"/>
      <c r="AF106" s="204"/>
      <c r="AI106" s="206"/>
    </row>
    <row r="107" spans="1:36" ht="14.75" x14ac:dyDescent="0.75">
      <c r="A107" s="22">
        <v>914</v>
      </c>
      <c r="B107" s="3">
        <v>45021</v>
      </c>
      <c r="C107" s="3" t="str">
        <f t="shared" si="8"/>
        <v>4/5/23</v>
      </c>
      <c r="D107" s="3" t="s">
        <v>539</v>
      </c>
      <c r="E107" s="22">
        <f>B107-B106</f>
        <v>13</v>
      </c>
      <c r="G107" s="22" t="s">
        <v>539</v>
      </c>
      <c r="AC107">
        <v>1</v>
      </c>
      <c r="AD107" s="47"/>
      <c r="AF107" s="47"/>
      <c r="AI107" s="10"/>
    </row>
    <row r="108" spans="1:36" ht="14.75" x14ac:dyDescent="0.75">
      <c r="A108" s="22">
        <v>914</v>
      </c>
      <c r="B108" s="3">
        <v>45055</v>
      </c>
      <c r="C108" s="3" t="str">
        <f t="shared" si="8"/>
        <v>5/9/23</v>
      </c>
      <c r="D108" s="3" t="s">
        <v>539</v>
      </c>
      <c r="E108" s="22">
        <f>B108-B107</f>
        <v>34</v>
      </c>
      <c r="G108" s="22" t="s">
        <v>539</v>
      </c>
      <c r="AC108">
        <v>8</v>
      </c>
      <c r="AD108" s="47"/>
      <c r="AF108" s="47"/>
      <c r="AI108" s="10"/>
    </row>
    <row r="109" spans="1:36" ht="14.75" x14ac:dyDescent="0.75">
      <c r="A109" s="22">
        <v>914</v>
      </c>
      <c r="B109" s="3">
        <v>45092</v>
      </c>
      <c r="C109" s="3" t="str">
        <f t="shared" si="8"/>
        <v>6/15/23</v>
      </c>
      <c r="D109" s="3" t="s">
        <v>539</v>
      </c>
      <c r="E109" s="22">
        <f>B109-B108</f>
        <v>37</v>
      </c>
      <c r="G109" s="22" t="s">
        <v>539</v>
      </c>
      <c r="AC109">
        <v>14</v>
      </c>
      <c r="AD109" s="47"/>
      <c r="AF109" s="47"/>
      <c r="AI109" s="10"/>
    </row>
    <row r="110" spans="1:36" ht="14.75" x14ac:dyDescent="0.75">
      <c r="A110" s="22">
        <v>914</v>
      </c>
      <c r="B110" s="3">
        <v>45118</v>
      </c>
      <c r="C110" s="3" t="str">
        <f t="shared" si="8"/>
        <v>7/11/23</v>
      </c>
      <c r="D110" s="3" t="s">
        <v>539</v>
      </c>
      <c r="E110" s="22">
        <f>B110-B109</f>
        <v>26</v>
      </c>
      <c r="G110" s="22" t="s">
        <v>539</v>
      </c>
      <c r="AC110">
        <v>0</v>
      </c>
      <c r="AD110" s="47"/>
      <c r="AF110" s="47"/>
      <c r="AI110" s="10"/>
    </row>
    <row r="111" spans="1:36" s="205" customFormat="1" ht="14.75" x14ac:dyDescent="0.75">
      <c r="A111" s="200">
        <v>916</v>
      </c>
      <c r="B111" s="201">
        <v>45008</v>
      </c>
      <c r="C111" s="3" t="str">
        <f t="shared" si="8"/>
        <v>3/23/23</v>
      </c>
      <c r="D111" s="3" t="s">
        <v>539</v>
      </c>
      <c r="E111" s="200">
        <v>0</v>
      </c>
      <c r="F111" s="200"/>
      <c r="G111" s="200" t="s">
        <v>539</v>
      </c>
      <c r="H111" s="200"/>
      <c r="I111" s="200"/>
      <c r="J111" s="200"/>
      <c r="K111" s="200"/>
      <c r="L111" s="200"/>
      <c r="M111" s="204"/>
      <c r="N111" s="204"/>
      <c r="O111" s="204"/>
      <c r="P111" s="204"/>
      <c r="Q111" s="204"/>
      <c r="R111" s="204"/>
      <c r="S111" s="204"/>
      <c r="T111" s="204"/>
      <c r="U111" s="204"/>
      <c r="V111" s="204"/>
      <c r="W111" s="200"/>
      <c r="X111" s="200"/>
      <c r="AC111" s="205" t="s">
        <v>363</v>
      </c>
      <c r="AD111" s="204"/>
      <c r="AF111" s="204"/>
      <c r="AI111" s="206"/>
    </row>
    <row r="112" spans="1:36" ht="14.75" x14ac:dyDescent="0.75">
      <c r="A112" s="22">
        <v>916</v>
      </c>
      <c r="B112" s="3">
        <v>45042</v>
      </c>
      <c r="C112" s="3" t="str">
        <f t="shared" si="8"/>
        <v>4/26/23</v>
      </c>
      <c r="D112" s="3" t="s">
        <v>539</v>
      </c>
      <c r="E112" s="22">
        <f>31-23+26</f>
        <v>34</v>
      </c>
      <c r="G112" s="22" t="s">
        <v>539</v>
      </c>
      <c r="AC112">
        <v>42</v>
      </c>
      <c r="AD112" s="47"/>
      <c r="AF112" s="47"/>
      <c r="AI112" s="10"/>
    </row>
    <row r="113" spans="1:35" ht="14.75" x14ac:dyDescent="0.75">
      <c r="A113" s="22">
        <v>916</v>
      </c>
      <c r="B113" s="3">
        <v>45134</v>
      </c>
      <c r="C113" s="3" t="str">
        <f t="shared" si="8"/>
        <v>7/27/23</v>
      </c>
      <c r="D113" s="3" t="s">
        <v>539</v>
      </c>
      <c r="E113" s="22">
        <f>30-26+31+30+27</f>
        <v>92</v>
      </c>
      <c r="G113" s="22" t="s">
        <v>390</v>
      </c>
      <c r="AC113">
        <v>0</v>
      </c>
      <c r="AD113" s="47"/>
      <c r="AF113" s="47"/>
      <c r="AI113" s="10"/>
    </row>
    <row r="114" spans="1:35" s="205" customFormat="1" ht="14.75" x14ac:dyDescent="0.75">
      <c r="A114" s="200">
        <v>917</v>
      </c>
      <c r="B114" s="201">
        <v>45008</v>
      </c>
      <c r="C114" s="3" t="str">
        <f t="shared" si="8"/>
        <v>3/23/23</v>
      </c>
      <c r="D114" s="3" t="s">
        <v>539</v>
      </c>
      <c r="E114" s="200">
        <v>0</v>
      </c>
      <c r="F114" s="200"/>
      <c r="G114" s="200" t="s">
        <v>539</v>
      </c>
      <c r="H114" s="200"/>
      <c r="I114" s="200"/>
      <c r="J114" s="200"/>
      <c r="K114" s="200"/>
      <c r="L114" s="200"/>
      <c r="M114" s="204"/>
      <c r="N114" s="204"/>
      <c r="O114" s="204"/>
      <c r="P114" s="204"/>
      <c r="Q114" s="204"/>
      <c r="R114" s="204"/>
      <c r="S114" s="204"/>
      <c r="T114" s="204"/>
      <c r="U114" s="204"/>
      <c r="V114" s="204"/>
      <c r="W114" s="200"/>
      <c r="X114" s="200"/>
      <c r="AC114" s="205">
        <v>17</v>
      </c>
      <c r="AD114" s="204"/>
      <c r="AF114" s="204"/>
      <c r="AI114" s="206"/>
    </row>
    <row r="115" spans="1:35" ht="14.75" x14ac:dyDescent="0.75">
      <c r="A115" s="22">
        <v>917</v>
      </c>
      <c r="B115" s="3">
        <v>45055</v>
      </c>
      <c r="C115" s="3" t="str">
        <f t="shared" si="8"/>
        <v>5/9/23</v>
      </c>
      <c r="D115" s="3" t="s">
        <v>539</v>
      </c>
      <c r="E115" s="22">
        <f>31-23+30+9</f>
        <v>47</v>
      </c>
      <c r="G115" s="22" t="s">
        <v>539</v>
      </c>
      <c r="AC115">
        <v>0</v>
      </c>
      <c r="AD115" s="47"/>
      <c r="AF115" s="47"/>
      <c r="AI115" s="10"/>
    </row>
    <row r="116" spans="1:35" ht="14.75" x14ac:dyDescent="0.75">
      <c r="A116" s="22">
        <v>917</v>
      </c>
      <c r="B116" s="3">
        <v>45092</v>
      </c>
      <c r="C116" s="3" t="str">
        <f t="shared" si="8"/>
        <v>6/15/23</v>
      </c>
      <c r="D116" s="3" t="s">
        <v>539</v>
      </c>
      <c r="E116" s="22">
        <f>31-9+15</f>
        <v>37</v>
      </c>
      <c r="G116" s="22" t="s">
        <v>390</v>
      </c>
      <c r="AC116">
        <v>0</v>
      </c>
      <c r="AD116" s="47"/>
      <c r="AF116" s="47"/>
      <c r="AI116" s="10"/>
    </row>
    <row r="117" spans="1:35" ht="14.75" x14ac:dyDescent="0.75">
      <c r="A117" s="22">
        <v>917</v>
      </c>
      <c r="B117" s="3">
        <v>45118</v>
      </c>
      <c r="C117" s="3" t="str">
        <f t="shared" si="8"/>
        <v>7/11/23</v>
      </c>
      <c r="D117" s="3" t="s">
        <v>539</v>
      </c>
      <c r="E117" s="22">
        <f>30-15+11</f>
        <v>26</v>
      </c>
      <c r="G117" s="22" t="s">
        <v>390</v>
      </c>
      <c r="AC117">
        <v>0</v>
      </c>
      <c r="AD117" s="47"/>
      <c r="AF117" s="47"/>
      <c r="AI117" s="10"/>
    </row>
    <row r="118" spans="1:35" ht="14.75" x14ac:dyDescent="0.75">
      <c r="A118" s="22">
        <v>917</v>
      </c>
      <c r="B118" s="3">
        <v>45168</v>
      </c>
      <c r="C118" s="3" t="str">
        <f t="shared" si="8"/>
        <v>8/30/23</v>
      </c>
      <c r="D118" s="3" t="s">
        <v>539</v>
      </c>
      <c r="E118" s="22">
        <f>B118-B117</f>
        <v>50</v>
      </c>
      <c r="G118" s="22" t="s">
        <v>390</v>
      </c>
      <c r="AD118" s="47"/>
      <c r="AF118" s="47"/>
      <c r="AI118" s="10"/>
    </row>
    <row r="119" spans="1:35" s="205" customFormat="1" ht="14.75" x14ac:dyDescent="0.75">
      <c r="A119" s="200">
        <v>918</v>
      </c>
      <c r="B119" s="201">
        <v>45008</v>
      </c>
      <c r="C119" s="3" t="str">
        <f t="shared" si="8"/>
        <v>3/23/23</v>
      </c>
      <c r="D119" s="3" t="s">
        <v>539</v>
      </c>
      <c r="E119" s="200">
        <v>0</v>
      </c>
      <c r="F119" s="200"/>
      <c r="G119" s="200" t="s">
        <v>539</v>
      </c>
      <c r="H119" s="200"/>
      <c r="I119" s="200"/>
      <c r="J119" s="200"/>
      <c r="K119" s="200"/>
      <c r="L119" s="200"/>
      <c r="M119" s="204"/>
      <c r="N119" s="204"/>
      <c r="O119" s="204"/>
      <c r="P119" s="204"/>
      <c r="Q119" s="204"/>
      <c r="R119" s="204"/>
      <c r="S119" s="204"/>
      <c r="T119" s="204"/>
      <c r="U119" s="204"/>
      <c r="V119" s="204"/>
      <c r="W119" s="200"/>
      <c r="X119" s="200"/>
      <c r="AC119" s="205">
        <v>16</v>
      </c>
      <c r="AD119" s="204"/>
      <c r="AF119" s="204"/>
      <c r="AI119" s="206"/>
    </row>
    <row r="120" spans="1:35" ht="14.75" x14ac:dyDescent="0.75">
      <c r="A120" s="22">
        <v>918</v>
      </c>
      <c r="B120" s="3">
        <v>45055</v>
      </c>
      <c r="C120" s="3" t="str">
        <f t="shared" si="8"/>
        <v>5/9/23</v>
      </c>
      <c r="D120" s="3" t="s">
        <v>539</v>
      </c>
      <c r="E120" s="22">
        <f>B120-B119</f>
        <v>47</v>
      </c>
      <c r="G120" s="22" t="s">
        <v>539</v>
      </c>
      <c r="AC120">
        <v>19</v>
      </c>
      <c r="AD120" s="47"/>
      <c r="AF120" s="47"/>
      <c r="AI120" s="10"/>
    </row>
    <row r="121" spans="1:35" ht="14.75" x14ac:dyDescent="0.75">
      <c r="A121" s="22">
        <v>918</v>
      </c>
      <c r="B121" s="3">
        <v>45092</v>
      </c>
      <c r="C121" s="3" t="str">
        <f t="shared" si="8"/>
        <v>6/15/23</v>
      </c>
      <c r="D121" s="3" t="s">
        <v>539</v>
      </c>
      <c r="E121" s="22">
        <f>B121-B120</f>
        <v>37</v>
      </c>
      <c r="G121" s="22" t="s">
        <v>539</v>
      </c>
      <c r="AC121">
        <v>1</v>
      </c>
      <c r="AD121" s="47"/>
      <c r="AF121" s="47"/>
      <c r="AI121" s="10"/>
    </row>
    <row r="122" spans="1:35" ht="14.75" x14ac:dyDescent="0.75">
      <c r="A122" s="22">
        <v>918</v>
      </c>
      <c r="B122" s="3">
        <v>45118</v>
      </c>
      <c r="C122" s="3" t="str">
        <f t="shared" si="8"/>
        <v>7/11/23</v>
      </c>
      <c r="D122" s="3" t="s">
        <v>539</v>
      </c>
      <c r="E122" s="22">
        <f>B122-B121</f>
        <v>26</v>
      </c>
      <c r="G122" s="22" t="s">
        <v>539</v>
      </c>
      <c r="AC122">
        <v>0</v>
      </c>
      <c r="AD122" s="47"/>
      <c r="AF122" s="47"/>
      <c r="AI122" s="10"/>
    </row>
    <row r="123" spans="1:35" ht="14.75" x14ac:dyDescent="0.75">
      <c r="A123" s="22">
        <v>918</v>
      </c>
      <c r="B123" s="3">
        <v>45168</v>
      </c>
      <c r="C123" s="3" t="str">
        <f t="shared" si="8"/>
        <v>8/30/23</v>
      </c>
      <c r="D123" s="3" t="s">
        <v>539</v>
      </c>
      <c r="E123" s="22">
        <f>B123-B122</f>
        <v>50</v>
      </c>
      <c r="G123" s="22" t="s">
        <v>390</v>
      </c>
      <c r="AD123" s="47"/>
      <c r="AF123" s="47"/>
      <c r="AI123" s="10"/>
    </row>
    <row r="124" spans="1:35" s="205" customFormat="1" ht="14.75" x14ac:dyDescent="0.75">
      <c r="A124" s="200">
        <v>920</v>
      </c>
      <c r="B124" s="201">
        <v>45006</v>
      </c>
      <c r="C124" s="3" t="str">
        <f t="shared" si="8"/>
        <v>3/21/23</v>
      </c>
      <c r="D124" s="3" t="s">
        <v>539</v>
      </c>
      <c r="E124" s="200">
        <v>0</v>
      </c>
      <c r="F124" s="200"/>
      <c r="G124" s="200" t="s">
        <v>539</v>
      </c>
      <c r="H124" s="200"/>
      <c r="I124" s="200"/>
      <c r="J124" s="200"/>
      <c r="K124" s="200"/>
      <c r="L124" s="200"/>
      <c r="M124" s="204"/>
      <c r="N124" s="204"/>
      <c r="O124" s="204"/>
      <c r="P124" s="204"/>
      <c r="Q124" s="204"/>
      <c r="R124" s="204"/>
      <c r="S124" s="204"/>
      <c r="T124" s="204"/>
      <c r="U124" s="204"/>
      <c r="V124" s="204"/>
      <c r="W124" s="200"/>
      <c r="X124" s="200"/>
      <c r="AC124" s="205">
        <v>24</v>
      </c>
      <c r="AD124" s="204"/>
      <c r="AF124" s="204"/>
      <c r="AI124" s="206"/>
    </row>
    <row r="125" spans="1:35" ht="14.75" x14ac:dyDescent="0.75">
      <c r="A125" s="22">
        <v>920</v>
      </c>
      <c r="B125" s="3">
        <v>45041</v>
      </c>
      <c r="C125" s="3" t="str">
        <f t="shared" si="8"/>
        <v>4/25/23</v>
      </c>
      <c r="D125" s="3" t="s">
        <v>539</v>
      </c>
      <c r="G125" s="22" t="s">
        <v>539</v>
      </c>
      <c r="AC125">
        <v>5</v>
      </c>
      <c r="AD125" s="47"/>
      <c r="AF125" s="47"/>
      <c r="AI125" s="10"/>
    </row>
    <row r="126" spans="1:35" ht="14.75" x14ac:dyDescent="0.75">
      <c r="A126" s="22">
        <v>920</v>
      </c>
      <c r="B126" s="3">
        <v>45091</v>
      </c>
      <c r="C126" s="3" t="str">
        <f t="shared" si="8"/>
        <v>6/14/23</v>
      </c>
      <c r="D126" s="3" t="s">
        <v>539</v>
      </c>
      <c r="G126" s="22" t="s">
        <v>539</v>
      </c>
      <c r="AC126">
        <v>7</v>
      </c>
      <c r="AD126" s="47"/>
      <c r="AF126" s="47"/>
      <c r="AI126" s="10"/>
    </row>
    <row r="127" spans="1:35" s="205" customFormat="1" ht="14.75" x14ac:dyDescent="0.75">
      <c r="A127" s="200">
        <v>921</v>
      </c>
      <c r="B127" s="201">
        <v>45007</v>
      </c>
      <c r="C127" s="3" t="str">
        <f t="shared" si="8"/>
        <v>3/22/23</v>
      </c>
      <c r="D127" s="3" t="s">
        <v>539</v>
      </c>
      <c r="E127" s="200">
        <v>0</v>
      </c>
      <c r="F127" s="200"/>
      <c r="G127" s="200" t="s">
        <v>539</v>
      </c>
      <c r="H127" s="200"/>
      <c r="I127" s="200"/>
      <c r="J127" s="200"/>
      <c r="K127" s="200"/>
      <c r="L127" s="200"/>
      <c r="M127" s="204"/>
      <c r="N127" s="204"/>
      <c r="O127" s="204"/>
      <c r="P127" s="204"/>
      <c r="Q127" s="204"/>
      <c r="R127" s="204"/>
      <c r="S127" s="204"/>
      <c r="T127" s="204"/>
      <c r="U127" s="204"/>
      <c r="V127" s="204"/>
      <c r="W127" s="200"/>
      <c r="X127" s="200"/>
      <c r="AC127" s="205">
        <v>12</v>
      </c>
      <c r="AD127" s="204"/>
      <c r="AF127" s="204"/>
      <c r="AI127" s="206"/>
    </row>
    <row r="128" spans="1:35" ht="14.75" x14ac:dyDescent="0.75">
      <c r="A128" s="22">
        <v>921</v>
      </c>
      <c r="B128" s="3">
        <v>45041</v>
      </c>
      <c r="C128" s="3" t="str">
        <f t="shared" si="8"/>
        <v>4/25/23</v>
      </c>
      <c r="D128" s="3" t="s">
        <v>539</v>
      </c>
      <c r="E128" s="22">
        <f>31-22+25</f>
        <v>34</v>
      </c>
      <c r="G128" s="22" t="s">
        <v>539</v>
      </c>
      <c r="AC128">
        <v>8</v>
      </c>
      <c r="AD128" s="47"/>
      <c r="AF128" s="47"/>
      <c r="AI128" s="10"/>
    </row>
    <row r="129" spans="1:36" ht="14.75" x14ac:dyDescent="0.75">
      <c r="A129" s="22">
        <v>921</v>
      </c>
      <c r="B129" s="3">
        <v>45091</v>
      </c>
      <c r="C129" s="3" t="str">
        <f t="shared" si="8"/>
        <v>6/14/23</v>
      </c>
      <c r="D129" s="3" t="s">
        <v>539</v>
      </c>
      <c r="E129" s="22">
        <f>30-25+31+14</f>
        <v>50</v>
      </c>
      <c r="G129" s="22" t="s">
        <v>539</v>
      </c>
      <c r="AC129">
        <v>0</v>
      </c>
      <c r="AD129" s="47"/>
      <c r="AF129" s="47"/>
      <c r="AI129" s="10"/>
    </row>
    <row r="130" spans="1:36" ht="14.75" x14ac:dyDescent="0.75">
      <c r="A130" s="22">
        <v>921</v>
      </c>
      <c r="B130" s="3">
        <v>45133</v>
      </c>
      <c r="C130" s="3" t="str">
        <f t="shared" si="8"/>
        <v>7/26/23</v>
      </c>
      <c r="D130" s="3" t="s">
        <v>539</v>
      </c>
      <c r="E130" s="22">
        <f>30-14+26</f>
        <v>42</v>
      </c>
      <c r="G130" s="22" t="s">
        <v>539</v>
      </c>
      <c r="AC130">
        <v>16</v>
      </c>
      <c r="AD130" s="47"/>
      <c r="AF130" s="47"/>
      <c r="AI130" s="10"/>
    </row>
    <row r="131" spans="1:36" s="205" customFormat="1" ht="14.75" x14ac:dyDescent="0.75">
      <c r="A131" s="200">
        <v>922</v>
      </c>
      <c r="B131" s="201">
        <v>45007</v>
      </c>
      <c r="C131" s="3" t="str">
        <f t="shared" ref="C131:C194" si="11">TEXT(B131,"M/D/YY")</f>
        <v>3/22/23</v>
      </c>
      <c r="D131" s="3" t="s">
        <v>539</v>
      </c>
      <c r="E131" s="200">
        <v>0</v>
      </c>
      <c r="F131" s="200"/>
      <c r="G131" s="200" t="s">
        <v>539</v>
      </c>
      <c r="H131" s="200"/>
      <c r="I131" s="200"/>
      <c r="J131" s="200"/>
      <c r="K131" s="200"/>
      <c r="L131" s="200"/>
      <c r="M131" s="204"/>
      <c r="N131" s="204"/>
      <c r="O131" s="204"/>
      <c r="P131" s="204"/>
      <c r="Q131" s="204"/>
      <c r="R131" s="204"/>
      <c r="S131" s="204"/>
      <c r="T131" s="204"/>
      <c r="U131" s="204"/>
      <c r="V131" s="204"/>
      <c r="W131" s="200"/>
      <c r="X131" s="200"/>
      <c r="AC131" s="205">
        <v>10</v>
      </c>
      <c r="AD131" s="204"/>
      <c r="AF131" s="204"/>
      <c r="AI131" s="206"/>
    </row>
    <row r="132" spans="1:36" ht="14.75" x14ac:dyDescent="0.75">
      <c r="A132" s="22">
        <v>922</v>
      </c>
      <c r="B132" s="3">
        <v>45041</v>
      </c>
      <c r="C132" s="3" t="str">
        <f t="shared" si="11"/>
        <v>4/25/23</v>
      </c>
      <c r="D132" s="3" t="s">
        <v>539</v>
      </c>
      <c r="E132" s="22">
        <f>31-22+25</f>
        <v>34</v>
      </c>
      <c r="G132" s="22" t="s">
        <v>539</v>
      </c>
      <c r="AC132">
        <v>6</v>
      </c>
      <c r="AD132" s="47"/>
      <c r="AF132" s="47"/>
      <c r="AI132" s="10"/>
    </row>
    <row r="133" spans="1:36" ht="14.75" x14ac:dyDescent="0.75">
      <c r="A133" s="22">
        <v>922</v>
      </c>
      <c r="B133" s="3">
        <v>45091</v>
      </c>
      <c r="C133" s="3" t="str">
        <f t="shared" si="11"/>
        <v>6/14/23</v>
      </c>
      <c r="D133" s="3" t="s">
        <v>539</v>
      </c>
      <c r="E133" s="22">
        <f>30-25+31+14</f>
        <v>50</v>
      </c>
      <c r="G133" s="22" t="s">
        <v>539</v>
      </c>
      <c r="AD133" s="47"/>
      <c r="AF133" s="47"/>
      <c r="AI133" s="10"/>
    </row>
    <row r="134" spans="1:36" ht="14.75" x14ac:dyDescent="0.75">
      <c r="A134" s="22">
        <v>922</v>
      </c>
      <c r="B134" s="3">
        <v>45133</v>
      </c>
      <c r="C134" s="3" t="str">
        <f t="shared" si="11"/>
        <v>7/26/23</v>
      </c>
      <c r="D134" s="3" t="s">
        <v>539</v>
      </c>
      <c r="E134" s="22">
        <f>B134-B133</f>
        <v>42</v>
      </c>
      <c r="G134" s="22" t="s">
        <v>390</v>
      </c>
      <c r="AD134" s="47"/>
      <c r="AF134" s="47"/>
      <c r="AI134" s="10"/>
    </row>
    <row r="135" spans="1:36" s="205" customFormat="1" ht="14.75" x14ac:dyDescent="0.75">
      <c r="A135" s="200">
        <v>923</v>
      </c>
      <c r="B135" s="201">
        <v>45007</v>
      </c>
      <c r="C135" s="3" t="str">
        <f t="shared" si="11"/>
        <v>3/22/23</v>
      </c>
      <c r="D135" s="3" t="s">
        <v>539</v>
      </c>
      <c r="E135" s="200">
        <v>0</v>
      </c>
      <c r="F135" s="200"/>
      <c r="G135" s="200" t="s">
        <v>539</v>
      </c>
      <c r="H135" s="200"/>
      <c r="I135" s="200"/>
      <c r="J135" s="200"/>
      <c r="K135" s="200"/>
      <c r="L135" s="200"/>
      <c r="M135" s="204"/>
      <c r="N135" s="204"/>
      <c r="O135" s="204"/>
      <c r="P135" s="204"/>
      <c r="Q135" s="204"/>
      <c r="R135" s="204"/>
      <c r="S135" s="204"/>
      <c r="T135" s="204"/>
      <c r="U135" s="204"/>
      <c r="V135" s="204"/>
      <c r="W135" s="200"/>
      <c r="X135" s="200"/>
      <c r="AC135" s="205">
        <v>49</v>
      </c>
      <c r="AD135" s="204"/>
      <c r="AF135" s="204"/>
      <c r="AI135" s="206"/>
    </row>
    <row r="136" spans="1:36" ht="14.75" x14ac:dyDescent="0.75">
      <c r="A136" s="22">
        <v>923</v>
      </c>
      <c r="B136" s="3">
        <v>45041</v>
      </c>
      <c r="C136" s="3" t="str">
        <f t="shared" si="11"/>
        <v>4/25/23</v>
      </c>
      <c r="D136" s="3" t="s">
        <v>539</v>
      </c>
      <c r="E136" s="22">
        <f>31-22+25</f>
        <v>34</v>
      </c>
      <c r="G136" s="22" t="s">
        <v>539</v>
      </c>
      <c r="AC136">
        <v>0</v>
      </c>
      <c r="AD136" s="47"/>
      <c r="AF136" s="47"/>
      <c r="AI136" s="10"/>
    </row>
    <row r="137" spans="1:36" ht="14.75" x14ac:dyDescent="0.75">
      <c r="A137" s="22">
        <v>923</v>
      </c>
      <c r="B137" s="3">
        <v>45133</v>
      </c>
      <c r="C137" s="3" t="str">
        <f t="shared" si="11"/>
        <v>7/26/23</v>
      </c>
      <c r="D137" s="3" t="s">
        <v>539</v>
      </c>
      <c r="E137" s="22">
        <f>30-25+31+30+26</f>
        <v>92</v>
      </c>
      <c r="G137" s="22" t="s">
        <v>390</v>
      </c>
      <c r="AC137">
        <v>0</v>
      </c>
      <c r="AD137" s="47"/>
      <c r="AF137" s="47"/>
      <c r="AI137" s="10"/>
    </row>
    <row r="138" spans="1:36" s="205" customFormat="1" ht="14.75" x14ac:dyDescent="0.75">
      <c r="A138" s="200">
        <v>925</v>
      </c>
      <c r="B138" s="201">
        <v>45021</v>
      </c>
      <c r="C138" s="3" t="str">
        <f t="shared" si="11"/>
        <v>4/5/23</v>
      </c>
      <c r="D138" s="3" t="s">
        <v>539</v>
      </c>
      <c r="E138" s="200">
        <v>0</v>
      </c>
      <c r="F138" s="200"/>
      <c r="G138" s="200" t="s">
        <v>539</v>
      </c>
      <c r="H138" s="200"/>
      <c r="I138" s="200"/>
      <c r="J138" s="200"/>
      <c r="K138" s="200"/>
      <c r="L138" s="200"/>
      <c r="M138" s="204"/>
      <c r="N138" s="204"/>
      <c r="O138" s="204"/>
      <c r="P138" s="204"/>
      <c r="Q138" s="204"/>
      <c r="R138" s="204"/>
      <c r="S138" s="204"/>
      <c r="T138" s="204"/>
      <c r="U138" s="204"/>
      <c r="V138" s="204"/>
      <c r="W138" s="200"/>
      <c r="X138" s="200"/>
      <c r="AC138" s="205">
        <v>0</v>
      </c>
      <c r="AD138" s="204"/>
      <c r="AF138" s="204"/>
      <c r="AI138" s="206"/>
      <c r="AJ138" s="205" t="s">
        <v>1290</v>
      </c>
    </row>
    <row r="139" spans="1:36" ht="14.75" x14ac:dyDescent="0.75">
      <c r="A139" s="22">
        <v>925</v>
      </c>
      <c r="B139" s="3">
        <v>45055</v>
      </c>
      <c r="C139" s="3" t="str">
        <f t="shared" si="11"/>
        <v>5/9/23</v>
      </c>
      <c r="D139" s="3" t="s">
        <v>539</v>
      </c>
      <c r="E139" s="22">
        <f>B139-B138</f>
        <v>34</v>
      </c>
      <c r="G139" s="22" t="s">
        <v>539</v>
      </c>
      <c r="AC139">
        <v>36</v>
      </c>
      <c r="AD139" s="47"/>
      <c r="AF139" s="47"/>
      <c r="AI139" s="10"/>
    </row>
    <row r="140" spans="1:36" ht="14.75" x14ac:dyDescent="0.75">
      <c r="A140" s="22">
        <v>925</v>
      </c>
      <c r="B140" s="3">
        <v>45092</v>
      </c>
      <c r="C140" s="3" t="str">
        <f t="shared" si="11"/>
        <v>6/15/23</v>
      </c>
      <c r="D140" s="3" t="s">
        <v>539</v>
      </c>
      <c r="E140" s="22">
        <f>B140-B139</f>
        <v>37</v>
      </c>
      <c r="G140" s="22" t="s">
        <v>539</v>
      </c>
      <c r="AC140">
        <v>8</v>
      </c>
      <c r="AD140" s="47"/>
      <c r="AF140" s="47"/>
      <c r="AI140" s="10"/>
    </row>
    <row r="141" spans="1:36" ht="14.75" x14ac:dyDescent="0.75">
      <c r="A141" s="22">
        <v>925</v>
      </c>
      <c r="B141" s="3">
        <v>45134</v>
      </c>
      <c r="C141" s="3" t="str">
        <f t="shared" si="11"/>
        <v>7/27/23</v>
      </c>
      <c r="D141" s="3" t="s">
        <v>539</v>
      </c>
      <c r="E141" s="22">
        <f>B141-B140</f>
        <v>42</v>
      </c>
      <c r="G141" s="22" t="s">
        <v>539</v>
      </c>
      <c r="AC141">
        <v>29</v>
      </c>
      <c r="AD141" s="47"/>
      <c r="AF141" s="47"/>
      <c r="AI141" s="10"/>
    </row>
    <row r="142" spans="1:36" s="205" customFormat="1" ht="14.75" x14ac:dyDescent="0.75">
      <c r="A142" s="296">
        <v>926</v>
      </c>
      <c r="B142" s="297">
        <v>44859</v>
      </c>
      <c r="C142" s="3" t="str">
        <f t="shared" si="11"/>
        <v>10/25/22</v>
      </c>
      <c r="D142" s="3" t="s">
        <v>539</v>
      </c>
      <c r="E142" s="200">
        <v>0</v>
      </c>
      <c r="F142" s="200"/>
      <c r="G142" s="200" t="s">
        <v>539</v>
      </c>
      <c r="H142" s="200"/>
      <c r="I142" s="200"/>
      <c r="J142" s="200"/>
      <c r="K142" s="200"/>
      <c r="L142" s="200"/>
      <c r="M142" s="204"/>
      <c r="N142" s="204"/>
      <c r="O142" s="204"/>
      <c r="P142" s="204"/>
      <c r="Q142" s="204"/>
      <c r="R142" s="204"/>
      <c r="S142" s="204"/>
      <c r="T142" s="204"/>
      <c r="U142" s="204"/>
      <c r="V142" s="204"/>
      <c r="W142" s="200"/>
      <c r="X142" s="200"/>
      <c r="AC142" s="205">
        <v>24</v>
      </c>
      <c r="AD142" s="204"/>
      <c r="AF142" s="204"/>
      <c r="AI142" s="206"/>
    </row>
    <row r="143" spans="1:36" ht="14.75" x14ac:dyDescent="0.75">
      <c r="A143" s="22">
        <v>926</v>
      </c>
      <c r="B143" s="3">
        <v>44881</v>
      </c>
      <c r="C143" s="3" t="str">
        <f t="shared" si="11"/>
        <v>11/16/22</v>
      </c>
      <c r="D143" s="3" t="s">
        <v>539</v>
      </c>
      <c r="E143" s="22">
        <f>31-25+16</f>
        <v>22</v>
      </c>
      <c r="G143" s="22" t="s">
        <v>539</v>
      </c>
      <c r="H143" s="22">
        <f>M143+1903</f>
        <v>2509.5</v>
      </c>
      <c r="M143" s="47">
        <v>606.5</v>
      </c>
      <c r="R143" s="47">
        <v>0</v>
      </c>
      <c r="W143" s="22" t="s">
        <v>1283</v>
      </c>
      <c r="X143" s="22">
        <v>0</v>
      </c>
      <c r="AB143">
        <v>0</v>
      </c>
      <c r="AC143">
        <v>16</v>
      </c>
      <c r="AD143" s="47"/>
      <c r="AF143" s="47"/>
      <c r="AI143" s="10"/>
    </row>
    <row r="144" spans="1:36" ht="14.75" x14ac:dyDescent="0.75">
      <c r="A144" s="71">
        <v>926</v>
      </c>
      <c r="B144" s="72">
        <v>44901</v>
      </c>
      <c r="C144" s="3" t="str">
        <f t="shared" si="11"/>
        <v>12/6/22</v>
      </c>
      <c r="D144" s="3" t="s">
        <v>539</v>
      </c>
      <c r="E144" s="22">
        <f>30-16+6</f>
        <v>20</v>
      </c>
      <c r="G144" s="22" t="s">
        <v>539</v>
      </c>
      <c r="AC144">
        <v>0</v>
      </c>
      <c r="AD144" s="47"/>
      <c r="AF144" s="47"/>
      <c r="AI144" s="10"/>
    </row>
    <row r="145" spans="1:36" ht="14.75" x14ac:dyDescent="0.75">
      <c r="A145" s="22">
        <v>926</v>
      </c>
      <c r="B145" s="3">
        <v>44992</v>
      </c>
      <c r="C145" s="3" t="str">
        <f t="shared" si="11"/>
        <v>3/7/23</v>
      </c>
      <c r="D145" s="3" t="s">
        <v>539</v>
      </c>
      <c r="E145" s="22">
        <f>31-6+31+28+7</f>
        <v>91</v>
      </c>
      <c r="G145" s="22" t="s">
        <v>390</v>
      </c>
      <c r="H145" s="22">
        <f>R145+M145+1046</f>
        <v>1478.7</v>
      </c>
      <c r="M145" s="47">
        <f>415.4+17.3</f>
        <v>432.7</v>
      </c>
      <c r="R145" s="47">
        <v>0</v>
      </c>
      <c r="W145" s="22" t="s">
        <v>1283</v>
      </c>
      <c r="X145" s="22">
        <v>0</v>
      </c>
      <c r="Y145">
        <v>0</v>
      </c>
      <c r="AC145">
        <v>0</v>
      </c>
      <c r="AD145" s="47"/>
      <c r="AF145" s="47"/>
      <c r="AI145" s="10"/>
    </row>
    <row r="146" spans="1:36" ht="14.75" x14ac:dyDescent="0.75">
      <c r="A146" s="22">
        <v>926</v>
      </c>
      <c r="B146" s="3">
        <v>45036</v>
      </c>
      <c r="C146" s="3" t="str">
        <f t="shared" si="11"/>
        <v>4/20/23</v>
      </c>
      <c r="D146" s="3" t="s">
        <v>539</v>
      </c>
      <c r="G146" s="22" t="s">
        <v>390</v>
      </c>
      <c r="H146" s="22">
        <f>M146+R146+2410.4</f>
        <v>3017.5</v>
      </c>
      <c r="M146" s="47">
        <f>605.5+1.6</f>
        <v>607.1</v>
      </c>
      <c r="R146" s="47">
        <v>0</v>
      </c>
      <c r="W146" s="22" t="s">
        <v>1283</v>
      </c>
      <c r="X146" s="22">
        <v>0</v>
      </c>
      <c r="Y146">
        <v>0</v>
      </c>
      <c r="AC146">
        <v>0</v>
      </c>
      <c r="AD146" s="47"/>
      <c r="AF146" s="47"/>
      <c r="AI146" s="10"/>
    </row>
    <row r="147" spans="1:36" ht="14.75" x14ac:dyDescent="0.75">
      <c r="A147" s="22">
        <v>926</v>
      </c>
      <c r="B147" s="3">
        <v>45071</v>
      </c>
      <c r="C147" s="3" t="str">
        <f t="shared" si="11"/>
        <v>5/25/23</v>
      </c>
      <c r="D147" s="3" t="s">
        <v>539</v>
      </c>
      <c r="G147" s="22" t="s">
        <v>390</v>
      </c>
      <c r="W147" s="22" t="s">
        <v>1283</v>
      </c>
      <c r="AC147">
        <v>0</v>
      </c>
      <c r="AD147" s="47"/>
      <c r="AF147" s="47"/>
      <c r="AI147" s="10"/>
    </row>
    <row r="148" spans="1:36" ht="14.75" x14ac:dyDescent="0.75">
      <c r="A148" s="22">
        <v>926</v>
      </c>
      <c r="B148" s="3">
        <v>45112</v>
      </c>
      <c r="C148" s="3" t="str">
        <f t="shared" si="11"/>
        <v>7/5/23</v>
      </c>
      <c r="D148" s="3" t="s">
        <v>539</v>
      </c>
      <c r="G148" s="22" t="s">
        <v>390</v>
      </c>
      <c r="H148" s="22">
        <f>M148+R148+1570.4</f>
        <v>2048.1</v>
      </c>
      <c r="M148" s="47">
        <f>472.4+5.3</f>
        <v>477.7</v>
      </c>
      <c r="R148" s="47">
        <v>0</v>
      </c>
      <c r="W148" s="22" t="s">
        <v>1283</v>
      </c>
      <c r="X148" s="22">
        <v>0</v>
      </c>
      <c r="Y148">
        <v>0</v>
      </c>
      <c r="AC148">
        <v>0</v>
      </c>
      <c r="AD148" s="47"/>
      <c r="AF148" s="47"/>
      <c r="AI148" s="10"/>
    </row>
    <row r="149" spans="1:36" ht="14.75" x14ac:dyDescent="0.75">
      <c r="A149" s="22">
        <v>926</v>
      </c>
      <c r="B149" s="3">
        <v>45160</v>
      </c>
      <c r="C149" s="3" t="str">
        <f t="shared" si="11"/>
        <v>8/22/23</v>
      </c>
      <c r="D149" s="3" t="s">
        <v>539</v>
      </c>
      <c r="G149" s="22" t="s">
        <v>390</v>
      </c>
      <c r="H149" s="22">
        <f>M149+1588.9</f>
        <v>2048.5</v>
      </c>
      <c r="M149" s="47">
        <v>459.6</v>
      </c>
      <c r="R149" s="47">
        <v>0</v>
      </c>
      <c r="W149" s="22" t="s">
        <v>1283</v>
      </c>
      <c r="X149" s="22">
        <v>0</v>
      </c>
      <c r="Y149">
        <v>0</v>
      </c>
      <c r="AD149" s="47"/>
      <c r="AF149" s="47"/>
      <c r="AI149" s="10"/>
      <c r="AJ149" t="s">
        <v>1291</v>
      </c>
    </row>
    <row r="150" spans="1:36" ht="14.75" x14ac:dyDescent="0.75">
      <c r="A150" s="22">
        <v>926</v>
      </c>
      <c r="B150" s="3">
        <v>45216</v>
      </c>
      <c r="C150" s="3" t="str">
        <f t="shared" si="11"/>
        <v>10/17/23</v>
      </c>
      <c r="D150" s="3" t="s">
        <v>539</v>
      </c>
      <c r="G150" s="22" t="s">
        <v>390</v>
      </c>
      <c r="H150" s="22">
        <f>M150+142.2</f>
        <v>366.29999999999995</v>
      </c>
      <c r="M150" s="47">
        <v>224.1</v>
      </c>
      <c r="R150" s="47">
        <v>0</v>
      </c>
      <c r="W150" s="22" t="s">
        <v>1283</v>
      </c>
      <c r="AD150" s="47"/>
      <c r="AF150" s="47"/>
      <c r="AI150" s="10"/>
    </row>
    <row r="151" spans="1:36" s="205" customFormat="1" ht="14.75" x14ac:dyDescent="0.75">
      <c r="A151" s="200">
        <v>928</v>
      </c>
      <c r="B151" s="201">
        <v>45006</v>
      </c>
      <c r="C151" s="3" t="str">
        <f t="shared" si="11"/>
        <v>3/21/23</v>
      </c>
      <c r="D151" s="3" t="s">
        <v>539</v>
      </c>
      <c r="E151" s="200">
        <v>0</v>
      </c>
      <c r="F151" s="200"/>
      <c r="G151" s="200" t="s">
        <v>539</v>
      </c>
      <c r="H151" s="200"/>
      <c r="I151" s="200"/>
      <c r="J151" s="200"/>
      <c r="K151" s="200"/>
      <c r="L151" s="200"/>
      <c r="M151" s="204"/>
      <c r="N151" s="204"/>
      <c r="O151" s="204"/>
      <c r="P151" s="204"/>
      <c r="Q151" s="204"/>
      <c r="R151" s="204"/>
      <c r="S151" s="204"/>
      <c r="T151" s="204"/>
      <c r="U151" s="204"/>
      <c r="V151" s="204"/>
      <c r="W151" s="200"/>
      <c r="X151" s="200"/>
      <c r="AC151" s="205">
        <v>10</v>
      </c>
      <c r="AD151" s="204"/>
      <c r="AF151" s="204"/>
      <c r="AI151" s="206"/>
    </row>
    <row r="152" spans="1:36" ht="14.75" x14ac:dyDescent="0.75">
      <c r="A152" s="22">
        <v>928</v>
      </c>
      <c r="B152" s="3">
        <v>45041</v>
      </c>
      <c r="C152" s="3" t="str">
        <f t="shared" si="11"/>
        <v>4/25/23</v>
      </c>
      <c r="D152" s="3" t="s">
        <v>539</v>
      </c>
      <c r="E152" s="22">
        <f>B152-B151</f>
        <v>35</v>
      </c>
      <c r="G152" s="22" t="s">
        <v>539</v>
      </c>
      <c r="AC152">
        <v>15</v>
      </c>
      <c r="AD152" s="47"/>
      <c r="AF152" s="47"/>
      <c r="AI152" s="10"/>
    </row>
    <row r="153" spans="1:36" ht="14.75" x14ac:dyDescent="0.75">
      <c r="A153" s="22">
        <v>928</v>
      </c>
      <c r="B153" s="3">
        <v>45090</v>
      </c>
      <c r="C153" s="3" t="str">
        <f t="shared" si="11"/>
        <v>6/13/23</v>
      </c>
      <c r="D153" s="3" t="s">
        <v>539</v>
      </c>
      <c r="E153" s="22">
        <f>B153-B152</f>
        <v>49</v>
      </c>
      <c r="G153" s="22" t="s">
        <v>539</v>
      </c>
      <c r="AC153">
        <v>0</v>
      </c>
      <c r="AD153" s="47"/>
      <c r="AF153" s="47"/>
      <c r="AI153" s="10"/>
    </row>
    <row r="154" spans="1:36" ht="14.75" x14ac:dyDescent="0.75">
      <c r="A154" s="22">
        <v>928</v>
      </c>
      <c r="B154" s="3">
        <v>45133</v>
      </c>
      <c r="C154" s="3" t="str">
        <f t="shared" si="11"/>
        <v>7/26/23</v>
      </c>
      <c r="D154" s="3" t="s">
        <v>539</v>
      </c>
      <c r="E154" s="22">
        <f>B154-B153</f>
        <v>43</v>
      </c>
      <c r="G154" s="22" t="s">
        <v>390</v>
      </c>
      <c r="AD154" s="47"/>
      <c r="AF154" s="47"/>
      <c r="AI154" s="10"/>
    </row>
    <row r="155" spans="1:36" s="205" customFormat="1" ht="14.75" x14ac:dyDescent="0.75">
      <c r="A155" s="200">
        <v>929</v>
      </c>
      <c r="B155" s="201">
        <v>45021</v>
      </c>
      <c r="C155" s="3" t="str">
        <f t="shared" si="11"/>
        <v>4/5/23</v>
      </c>
      <c r="D155" s="3" t="s">
        <v>539</v>
      </c>
      <c r="E155" s="200">
        <v>0</v>
      </c>
      <c r="F155" s="200"/>
      <c r="G155" s="200" t="s">
        <v>539</v>
      </c>
      <c r="H155" s="200"/>
      <c r="I155" s="200"/>
      <c r="J155" s="200"/>
      <c r="K155" s="200"/>
      <c r="L155" s="200"/>
      <c r="M155" s="204"/>
      <c r="N155" s="204"/>
      <c r="O155" s="204"/>
      <c r="P155" s="204"/>
      <c r="Q155" s="204"/>
      <c r="R155" s="204"/>
      <c r="S155" s="204"/>
      <c r="T155" s="204"/>
      <c r="U155" s="204"/>
      <c r="V155" s="204"/>
      <c r="W155" s="200"/>
      <c r="X155" s="200"/>
      <c r="AC155" s="205">
        <v>40</v>
      </c>
      <c r="AD155" s="204"/>
      <c r="AF155" s="204"/>
      <c r="AI155" s="206"/>
    </row>
    <row r="156" spans="1:36" ht="14.75" x14ac:dyDescent="0.75">
      <c r="A156" s="22">
        <v>929</v>
      </c>
      <c r="B156" s="3">
        <v>45056</v>
      </c>
      <c r="C156" s="3" t="str">
        <f t="shared" si="11"/>
        <v>5/10/23</v>
      </c>
      <c r="D156" s="3" t="s">
        <v>539</v>
      </c>
      <c r="E156" s="22">
        <f>30-5+10</f>
        <v>35</v>
      </c>
      <c r="G156" s="22" t="s">
        <v>539</v>
      </c>
      <c r="AC156">
        <v>9</v>
      </c>
      <c r="AD156" s="47"/>
      <c r="AF156" s="47"/>
      <c r="AI156" s="10"/>
    </row>
    <row r="157" spans="1:36" ht="14.75" x14ac:dyDescent="0.75">
      <c r="A157" s="22">
        <v>929</v>
      </c>
      <c r="B157" s="3">
        <v>45092</v>
      </c>
      <c r="C157" s="3" t="str">
        <f t="shared" si="11"/>
        <v>6/15/23</v>
      </c>
      <c r="D157" s="3" t="s">
        <v>539</v>
      </c>
      <c r="E157" s="22">
        <f>31-10+15</f>
        <v>36</v>
      </c>
      <c r="G157" s="22" t="s">
        <v>539</v>
      </c>
      <c r="AC157">
        <v>0</v>
      </c>
      <c r="AD157" s="47"/>
      <c r="AF157" s="47"/>
      <c r="AI157" s="10"/>
    </row>
    <row r="158" spans="1:36" ht="14.75" x14ac:dyDescent="0.75">
      <c r="A158" s="22">
        <v>929</v>
      </c>
      <c r="B158" s="3">
        <v>45118</v>
      </c>
      <c r="C158" s="3" t="str">
        <f t="shared" si="11"/>
        <v>7/11/23</v>
      </c>
      <c r="D158" s="3" t="s">
        <v>539</v>
      </c>
      <c r="E158" s="22">
        <f>30-15+11</f>
        <v>26</v>
      </c>
      <c r="G158" s="22" t="s">
        <v>390</v>
      </c>
      <c r="AC158">
        <v>0</v>
      </c>
      <c r="AD158" s="47"/>
      <c r="AF158" s="47"/>
      <c r="AI158" s="10"/>
    </row>
    <row r="159" spans="1:36" s="205" customFormat="1" ht="14.75" x14ac:dyDescent="0.75">
      <c r="A159" s="200">
        <v>937</v>
      </c>
      <c r="B159" s="201">
        <v>44859</v>
      </c>
      <c r="C159" s="3" t="str">
        <f t="shared" si="11"/>
        <v>10/25/22</v>
      </c>
      <c r="D159" s="3" t="s">
        <v>539</v>
      </c>
      <c r="E159" s="200">
        <v>0</v>
      </c>
      <c r="F159" s="200"/>
      <c r="G159" s="200" t="s">
        <v>539</v>
      </c>
      <c r="H159" s="200"/>
      <c r="I159" s="200"/>
      <c r="J159" s="200"/>
      <c r="K159" s="200"/>
      <c r="L159" s="200"/>
      <c r="M159" s="204"/>
      <c r="N159" s="204"/>
      <c r="O159" s="204"/>
      <c r="P159" s="204"/>
      <c r="Q159" s="204"/>
      <c r="R159" s="204"/>
      <c r="S159" s="204"/>
      <c r="T159" s="204"/>
      <c r="U159" s="204"/>
      <c r="V159" s="204"/>
      <c r="W159" s="200"/>
      <c r="X159" s="200"/>
      <c r="AC159" s="205">
        <v>21</v>
      </c>
      <c r="AD159" s="204"/>
      <c r="AF159" s="204"/>
      <c r="AI159" s="206"/>
    </row>
    <row r="160" spans="1:36" ht="14.75" x14ac:dyDescent="0.75">
      <c r="A160" s="22">
        <v>937</v>
      </c>
      <c r="B160" s="3">
        <v>44881</v>
      </c>
      <c r="C160" s="3" t="str">
        <f t="shared" si="11"/>
        <v>11/16/22</v>
      </c>
      <c r="D160" s="3" t="s">
        <v>539</v>
      </c>
      <c r="E160" s="22">
        <f>31-25+16</f>
        <v>22</v>
      </c>
      <c r="G160" s="22" t="s">
        <v>539</v>
      </c>
      <c r="AC160">
        <v>8</v>
      </c>
      <c r="AD160" s="47"/>
      <c r="AF160" s="47"/>
      <c r="AI160" s="10"/>
    </row>
    <row r="161" spans="1:36" ht="14.75" x14ac:dyDescent="0.75">
      <c r="A161" s="22">
        <v>937</v>
      </c>
      <c r="B161" s="3">
        <v>44951</v>
      </c>
      <c r="C161" s="3" t="str">
        <f t="shared" si="11"/>
        <v>1/25/23</v>
      </c>
      <c r="D161" s="3" t="s">
        <v>539</v>
      </c>
      <c r="E161" s="22">
        <f>30-16+31+25</f>
        <v>70</v>
      </c>
      <c r="G161" s="22" t="s">
        <v>390</v>
      </c>
      <c r="AC161">
        <v>0</v>
      </c>
      <c r="AD161" s="47"/>
      <c r="AF161" s="47"/>
      <c r="AI161" s="10"/>
    </row>
    <row r="162" spans="1:36" ht="14.75" x14ac:dyDescent="0.75">
      <c r="A162" s="22">
        <v>937</v>
      </c>
      <c r="B162" s="3">
        <v>44992</v>
      </c>
      <c r="C162" s="3" t="str">
        <f t="shared" si="11"/>
        <v>3/7/23</v>
      </c>
      <c r="D162" s="3" t="s">
        <v>539</v>
      </c>
      <c r="E162" s="22">
        <f>B162-B161</f>
        <v>41</v>
      </c>
      <c r="G162" s="22" t="s">
        <v>390</v>
      </c>
      <c r="AC162">
        <v>0</v>
      </c>
      <c r="AD162" s="47"/>
      <c r="AF162" s="47"/>
      <c r="AI162" s="10"/>
    </row>
    <row r="163" spans="1:36" ht="14.75" x14ac:dyDescent="0.75">
      <c r="A163" s="22">
        <v>937</v>
      </c>
      <c r="B163" s="3">
        <v>45036</v>
      </c>
      <c r="C163" s="3" t="str">
        <f t="shared" si="11"/>
        <v>4/20/23</v>
      </c>
      <c r="D163" s="3" t="s">
        <v>539</v>
      </c>
      <c r="E163" s="22">
        <f>B163-B162</f>
        <v>44</v>
      </c>
      <c r="G163" s="22" t="s">
        <v>390</v>
      </c>
      <c r="AC163">
        <v>0</v>
      </c>
      <c r="AD163" s="47"/>
      <c r="AF163" s="47"/>
      <c r="AI163" s="10"/>
    </row>
    <row r="164" spans="1:36" ht="14.75" x14ac:dyDescent="0.75">
      <c r="A164" s="22">
        <v>937</v>
      </c>
      <c r="B164" s="3">
        <v>45071</v>
      </c>
      <c r="C164" s="3" t="str">
        <f t="shared" si="11"/>
        <v>5/25/23</v>
      </c>
      <c r="D164" s="3" t="s">
        <v>539</v>
      </c>
      <c r="E164" s="22">
        <f>B164-B163</f>
        <v>35</v>
      </c>
      <c r="G164" s="22" t="s">
        <v>390</v>
      </c>
      <c r="AC164">
        <v>0</v>
      </c>
      <c r="AD164" s="47"/>
      <c r="AF164" s="47"/>
      <c r="AI164" s="10"/>
    </row>
    <row r="165" spans="1:36" ht="14.75" x14ac:dyDescent="0.75">
      <c r="A165" s="22">
        <v>937</v>
      </c>
      <c r="B165" s="3">
        <v>45112</v>
      </c>
      <c r="C165" s="3" t="str">
        <f t="shared" si="11"/>
        <v>7/5/23</v>
      </c>
      <c r="D165" s="3" t="s">
        <v>539</v>
      </c>
      <c r="E165" s="22">
        <f>B165-B164</f>
        <v>41</v>
      </c>
      <c r="G165" s="22" t="s">
        <v>390</v>
      </c>
      <c r="AC165">
        <v>0</v>
      </c>
      <c r="AD165" s="47"/>
      <c r="AF165" s="47"/>
      <c r="AI165" s="10"/>
    </row>
    <row r="166" spans="1:36" ht="14.75" x14ac:dyDescent="0.75">
      <c r="A166" s="22">
        <v>937</v>
      </c>
      <c r="B166" s="3">
        <v>45160</v>
      </c>
      <c r="C166" s="3" t="str">
        <f t="shared" si="11"/>
        <v>8/22/23</v>
      </c>
      <c r="D166" s="3" t="s">
        <v>539</v>
      </c>
      <c r="E166" s="22">
        <f>B166-B165</f>
        <v>48</v>
      </c>
      <c r="G166" s="22" t="s">
        <v>390</v>
      </c>
      <c r="AD166" s="47"/>
      <c r="AF166" s="47"/>
      <c r="AI166" s="10"/>
    </row>
    <row r="167" spans="1:36" s="205" customFormat="1" ht="14.75" x14ac:dyDescent="0.75">
      <c r="A167" s="200">
        <v>938</v>
      </c>
      <c r="B167" s="201">
        <v>45008</v>
      </c>
      <c r="C167" s="3" t="str">
        <f t="shared" si="11"/>
        <v>3/23/23</v>
      </c>
      <c r="D167" s="3" t="s">
        <v>539</v>
      </c>
      <c r="E167" s="200">
        <v>0</v>
      </c>
      <c r="F167" s="200"/>
      <c r="G167" s="200" t="s">
        <v>539</v>
      </c>
      <c r="H167" s="200"/>
      <c r="I167" s="200"/>
      <c r="J167" s="200"/>
      <c r="K167" s="200"/>
      <c r="L167" s="200"/>
      <c r="M167" s="204"/>
      <c r="N167" s="204"/>
      <c r="O167" s="204"/>
      <c r="P167" s="204"/>
      <c r="Q167" s="204"/>
      <c r="R167" s="204"/>
      <c r="S167" s="204"/>
      <c r="T167" s="204"/>
      <c r="U167" s="204"/>
      <c r="V167" s="204"/>
      <c r="W167" s="200"/>
      <c r="X167" s="200"/>
      <c r="AC167" s="205">
        <v>30</v>
      </c>
      <c r="AD167" s="204"/>
      <c r="AF167" s="204"/>
      <c r="AI167" s="206"/>
    </row>
    <row r="168" spans="1:36" ht="14.75" x14ac:dyDescent="0.75">
      <c r="A168" s="22">
        <v>938</v>
      </c>
      <c r="B168" s="3">
        <v>45055</v>
      </c>
      <c r="C168" s="3" t="str">
        <f t="shared" si="11"/>
        <v>5/9/23</v>
      </c>
      <c r="D168" s="3" t="s">
        <v>539</v>
      </c>
      <c r="E168" s="22">
        <f>31-23+30+9</f>
        <v>47</v>
      </c>
      <c r="AC168">
        <v>0</v>
      </c>
      <c r="AD168" s="47"/>
      <c r="AF168" s="47"/>
      <c r="AI168" s="10"/>
    </row>
    <row r="169" spans="1:36" ht="14.75" x14ac:dyDescent="0.75">
      <c r="A169" s="22">
        <v>938</v>
      </c>
      <c r="B169" s="3">
        <v>45092</v>
      </c>
      <c r="C169" s="3" t="str">
        <f t="shared" si="11"/>
        <v>6/15/23</v>
      </c>
      <c r="D169" s="3" t="s">
        <v>539</v>
      </c>
      <c r="E169" s="22">
        <f>31-9+15</f>
        <v>37</v>
      </c>
      <c r="G169" s="22" t="s">
        <v>390</v>
      </c>
      <c r="AC169">
        <v>0</v>
      </c>
      <c r="AD169" s="47"/>
      <c r="AF169" s="47"/>
      <c r="AI169" s="10"/>
    </row>
    <row r="170" spans="1:36" ht="14.75" x14ac:dyDescent="0.75">
      <c r="A170" s="22">
        <v>938</v>
      </c>
      <c r="B170" s="3">
        <v>45134</v>
      </c>
      <c r="C170" s="3" t="str">
        <f t="shared" si="11"/>
        <v>7/27/23</v>
      </c>
      <c r="D170" s="3" t="s">
        <v>539</v>
      </c>
      <c r="E170" s="22">
        <f>B170-B169</f>
        <v>42</v>
      </c>
      <c r="G170" s="22" t="s">
        <v>390</v>
      </c>
      <c r="AC170">
        <v>0</v>
      </c>
      <c r="AD170" s="47"/>
      <c r="AF170" s="47"/>
      <c r="AI170" s="10"/>
    </row>
    <row r="171" spans="1:36" s="205" customFormat="1" ht="14.75" x14ac:dyDescent="0.75">
      <c r="A171" s="200">
        <v>940</v>
      </c>
      <c r="B171" s="201">
        <v>45006</v>
      </c>
      <c r="C171" s="3" t="str">
        <f t="shared" si="11"/>
        <v>3/21/23</v>
      </c>
      <c r="D171" s="3" t="s">
        <v>539</v>
      </c>
      <c r="E171" s="200">
        <v>0</v>
      </c>
      <c r="F171" s="200"/>
      <c r="G171" s="200" t="s">
        <v>539</v>
      </c>
      <c r="H171" s="200"/>
      <c r="I171" s="200"/>
      <c r="J171" s="200"/>
      <c r="K171" s="200"/>
      <c r="L171" s="200"/>
      <c r="M171" s="204"/>
      <c r="N171" s="204"/>
      <c r="O171" s="204"/>
      <c r="P171" s="204"/>
      <c r="Q171" s="204"/>
      <c r="R171" s="204"/>
      <c r="S171" s="204"/>
      <c r="T171" s="204"/>
      <c r="U171" s="204"/>
      <c r="V171" s="204"/>
      <c r="W171" s="200"/>
      <c r="X171" s="200"/>
      <c r="AC171" s="205">
        <v>85</v>
      </c>
      <c r="AD171" s="204"/>
      <c r="AF171" s="204"/>
      <c r="AI171" s="206"/>
    </row>
    <row r="172" spans="1:36" ht="14.75" x14ac:dyDescent="0.75">
      <c r="A172" s="22">
        <v>940</v>
      </c>
      <c r="B172" s="3">
        <v>45041</v>
      </c>
      <c r="C172" s="3" t="str">
        <f t="shared" si="11"/>
        <v>4/25/23</v>
      </c>
      <c r="D172" s="3" t="s">
        <v>539</v>
      </c>
      <c r="E172" s="22">
        <f>30-21+25</f>
        <v>34</v>
      </c>
      <c r="G172" s="22" t="s">
        <v>539</v>
      </c>
      <c r="AC172">
        <v>37</v>
      </c>
      <c r="AD172" s="47"/>
      <c r="AF172" s="47"/>
      <c r="AI172" s="10"/>
    </row>
    <row r="173" spans="1:36" ht="14.75" x14ac:dyDescent="0.75">
      <c r="A173" s="22">
        <v>940</v>
      </c>
      <c r="B173" s="3">
        <v>45090</v>
      </c>
      <c r="C173" s="3" t="str">
        <f t="shared" si="11"/>
        <v>6/13/23</v>
      </c>
      <c r="D173" s="3" t="s">
        <v>539</v>
      </c>
      <c r="E173" s="22">
        <f>30-25+31+13</f>
        <v>49</v>
      </c>
      <c r="G173" s="22" t="s">
        <v>539</v>
      </c>
      <c r="AC173">
        <v>0</v>
      </c>
      <c r="AD173" s="47"/>
      <c r="AF173" s="47"/>
      <c r="AI173" s="10"/>
    </row>
    <row r="174" spans="1:36" ht="14.75" x14ac:dyDescent="0.75">
      <c r="A174" s="22">
        <v>940</v>
      </c>
      <c r="B174" s="3">
        <v>45091</v>
      </c>
      <c r="C174" s="3" t="str">
        <f t="shared" si="11"/>
        <v>6/14/23</v>
      </c>
      <c r="D174" s="3" t="s">
        <v>539</v>
      </c>
      <c r="E174" s="22">
        <f>1</f>
        <v>1</v>
      </c>
      <c r="G174" s="22" t="s">
        <v>539</v>
      </c>
      <c r="AC174">
        <v>0</v>
      </c>
      <c r="AD174" s="47"/>
      <c r="AF174" s="47"/>
      <c r="AI174" s="10"/>
    </row>
    <row r="175" spans="1:36" ht="14.75" x14ac:dyDescent="0.75">
      <c r="A175" s="22">
        <v>940</v>
      </c>
      <c r="B175" s="3">
        <v>45133</v>
      </c>
      <c r="C175" s="3" t="str">
        <f t="shared" si="11"/>
        <v>7/26/23</v>
      </c>
      <c r="D175" s="3" t="s">
        <v>539</v>
      </c>
      <c r="E175" s="22">
        <f>B175-B174</f>
        <v>42</v>
      </c>
      <c r="G175" s="22" t="s">
        <v>390</v>
      </c>
      <c r="AD175" s="47"/>
      <c r="AF175" s="47"/>
      <c r="AI175" s="10"/>
    </row>
    <row r="176" spans="1:36" s="205" customFormat="1" ht="14.75" x14ac:dyDescent="0.75">
      <c r="A176" s="200">
        <v>941</v>
      </c>
      <c r="B176" s="201">
        <v>45007</v>
      </c>
      <c r="C176" s="3" t="str">
        <f t="shared" si="11"/>
        <v>3/22/23</v>
      </c>
      <c r="D176" s="3" t="s">
        <v>539</v>
      </c>
      <c r="E176" s="200">
        <v>0</v>
      </c>
      <c r="F176" s="200"/>
      <c r="G176" s="200" t="s">
        <v>539</v>
      </c>
      <c r="H176" s="200"/>
      <c r="I176" s="200"/>
      <c r="J176" s="200"/>
      <c r="K176" s="200"/>
      <c r="L176" s="200"/>
      <c r="M176" s="204"/>
      <c r="N176" s="204"/>
      <c r="O176" s="204"/>
      <c r="P176" s="204"/>
      <c r="Q176" s="204"/>
      <c r="R176" s="204"/>
      <c r="S176" s="204"/>
      <c r="T176" s="204"/>
      <c r="U176" s="204"/>
      <c r="V176" s="204"/>
      <c r="W176" s="200"/>
      <c r="X176" s="200"/>
      <c r="AC176" s="205">
        <v>0</v>
      </c>
      <c r="AD176" s="204"/>
      <c r="AF176" s="204"/>
      <c r="AI176" s="206"/>
      <c r="AJ176" s="205" t="s">
        <v>1292</v>
      </c>
    </row>
    <row r="177" spans="1:36" ht="14.75" x14ac:dyDescent="0.75">
      <c r="A177" s="22">
        <v>941</v>
      </c>
      <c r="B177" s="3">
        <v>45042</v>
      </c>
      <c r="C177" s="3" t="str">
        <f t="shared" si="11"/>
        <v>4/26/23</v>
      </c>
      <c r="D177" s="3" t="s">
        <v>539</v>
      </c>
      <c r="E177" s="22">
        <v>0</v>
      </c>
      <c r="G177" s="22" t="s">
        <v>539</v>
      </c>
      <c r="AC177">
        <v>4</v>
      </c>
      <c r="AD177" s="47"/>
      <c r="AF177" s="47"/>
      <c r="AI177" s="10"/>
    </row>
    <row r="178" spans="1:36" ht="14.75" x14ac:dyDescent="0.75">
      <c r="A178" s="22">
        <v>941</v>
      </c>
      <c r="B178" s="3">
        <v>45091</v>
      </c>
      <c r="C178" s="3" t="str">
        <f t="shared" si="11"/>
        <v>6/14/23</v>
      </c>
      <c r="D178" s="3" t="s">
        <v>539</v>
      </c>
      <c r="E178" s="22">
        <f>30-26+31+14</f>
        <v>49</v>
      </c>
      <c r="G178" s="22" t="s">
        <v>539</v>
      </c>
      <c r="AC178">
        <v>0</v>
      </c>
      <c r="AD178" s="47"/>
      <c r="AF178" s="47"/>
      <c r="AI178" s="10"/>
    </row>
    <row r="179" spans="1:36" ht="14.75" x14ac:dyDescent="0.75">
      <c r="A179" s="22">
        <v>941</v>
      </c>
      <c r="B179" s="3">
        <v>45133</v>
      </c>
      <c r="C179" s="3" t="str">
        <f t="shared" si="11"/>
        <v>7/26/23</v>
      </c>
      <c r="D179" s="3" t="s">
        <v>539</v>
      </c>
      <c r="E179" s="22">
        <f>30-14+26</f>
        <v>42</v>
      </c>
      <c r="G179" s="22" t="s">
        <v>390</v>
      </c>
      <c r="AC179">
        <v>0</v>
      </c>
      <c r="AD179" s="47"/>
      <c r="AF179" s="47"/>
      <c r="AI179" s="10"/>
    </row>
    <row r="180" spans="1:36" s="213" customFormat="1" ht="14.75" x14ac:dyDescent="0.75">
      <c r="A180" s="200">
        <v>942</v>
      </c>
      <c r="B180" s="190">
        <v>44603</v>
      </c>
      <c r="C180" s="3" t="str">
        <f t="shared" si="11"/>
        <v>2/11/22</v>
      </c>
      <c r="D180" s="3" t="s">
        <v>539</v>
      </c>
      <c r="E180" s="189">
        <v>0</v>
      </c>
      <c r="F180" s="189"/>
      <c r="G180" s="189" t="s">
        <v>539</v>
      </c>
      <c r="H180" s="189"/>
      <c r="I180" s="189"/>
      <c r="J180" s="189"/>
      <c r="K180" s="189"/>
      <c r="L180" s="189"/>
      <c r="M180" s="212"/>
      <c r="N180" s="212"/>
      <c r="O180" s="212"/>
      <c r="P180" s="212"/>
      <c r="Q180" s="212"/>
      <c r="R180" s="212"/>
      <c r="S180" s="212"/>
      <c r="T180" s="212"/>
      <c r="U180" s="212"/>
      <c r="V180" s="212"/>
      <c r="W180" s="189"/>
      <c r="X180" s="189"/>
      <c r="AC180" s="213" t="s">
        <v>363</v>
      </c>
      <c r="AD180" s="212"/>
      <c r="AF180" s="212"/>
      <c r="AI180" s="214"/>
      <c r="AJ180" s="213" t="s">
        <v>1293</v>
      </c>
    </row>
    <row r="181" spans="1:36" ht="14.75" x14ac:dyDescent="0.75">
      <c r="A181" s="22">
        <v>942</v>
      </c>
      <c r="B181" s="3">
        <v>44715</v>
      </c>
      <c r="C181" s="3" t="str">
        <f t="shared" si="11"/>
        <v>6/3/22</v>
      </c>
      <c r="D181" s="3" t="s">
        <v>539</v>
      </c>
      <c r="E181" s="56">
        <f>28-11+31+30+31+3</f>
        <v>112</v>
      </c>
      <c r="F181" s="56"/>
      <c r="G181" s="22" t="s">
        <v>539</v>
      </c>
      <c r="H181" s="22">
        <f>356.3+181.4</f>
        <v>537.70000000000005</v>
      </c>
      <c r="L181" s="22">
        <f t="shared" si="0"/>
        <v>537.70000000000005</v>
      </c>
      <c r="M181" s="47">
        <v>356.3</v>
      </c>
      <c r="Q181" s="47">
        <f t="shared" si="9"/>
        <v>356.3</v>
      </c>
      <c r="R181" s="47">
        <v>0</v>
      </c>
      <c r="V181" s="47">
        <f t="shared" si="10"/>
        <v>0</v>
      </c>
      <c r="W181" s="22">
        <v>0</v>
      </c>
      <c r="AB181" t="str">
        <f t="shared" si="7"/>
        <v>No</v>
      </c>
      <c r="AC181">
        <f>TreatmentUsed!E801</f>
        <v>13</v>
      </c>
      <c r="AD181" s="47">
        <f>Q181-Q86</f>
        <v>356.3</v>
      </c>
      <c r="AE181">
        <f>AD181/E181</f>
        <v>3.1812499999999999</v>
      </c>
      <c r="AF181" s="47">
        <f>V181-V86</f>
        <v>0</v>
      </c>
      <c r="AG181">
        <f>(V181-V86)/E181</f>
        <v>0</v>
      </c>
      <c r="AH181">
        <f t="shared" si="5"/>
        <v>0</v>
      </c>
      <c r="AI181" s="10">
        <f>(AH181/E181)</f>
        <v>0</v>
      </c>
    </row>
    <row r="182" spans="1:36" ht="14.75" x14ac:dyDescent="0.75">
      <c r="A182" s="207">
        <v>942</v>
      </c>
      <c r="B182" s="3">
        <v>44740</v>
      </c>
      <c r="C182" s="3" t="str">
        <f t="shared" si="11"/>
        <v>6/28/22</v>
      </c>
      <c r="D182" s="3" t="s">
        <v>539</v>
      </c>
      <c r="E182" s="22">
        <f>28-3</f>
        <v>25</v>
      </c>
      <c r="G182" s="22" t="s">
        <v>539</v>
      </c>
      <c r="H182" s="22">
        <f>414.9+220.4</f>
        <v>635.29999999999995</v>
      </c>
      <c r="L182" s="22">
        <f t="shared" si="0"/>
        <v>635.29999999999995</v>
      </c>
      <c r="M182" s="47">
        <v>414.9</v>
      </c>
      <c r="Q182" s="47">
        <f t="shared" si="9"/>
        <v>414.9</v>
      </c>
      <c r="R182" s="47">
        <v>0</v>
      </c>
      <c r="V182" s="47">
        <f t="shared" si="10"/>
        <v>0</v>
      </c>
      <c r="W182" s="22">
        <v>0</v>
      </c>
      <c r="AB182" t="str">
        <f t="shared" si="7"/>
        <v>No</v>
      </c>
      <c r="AC182">
        <v>0</v>
      </c>
      <c r="AD182" s="47">
        <f t="shared" si="3"/>
        <v>58.599999999999966</v>
      </c>
      <c r="AE182">
        <f>AD182/E182</f>
        <v>2.3439999999999985</v>
      </c>
      <c r="AF182" s="47">
        <f t="shared" si="4"/>
        <v>0</v>
      </c>
      <c r="AG182">
        <f>(V182-V181)/E182</f>
        <v>0</v>
      </c>
      <c r="AH182">
        <f t="shared" si="5"/>
        <v>0</v>
      </c>
      <c r="AI182" s="10">
        <f>(AH182/E182)</f>
        <v>0</v>
      </c>
    </row>
    <row r="183" spans="1:36" ht="14.75" x14ac:dyDescent="0.75">
      <c r="A183" s="207">
        <v>942</v>
      </c>
      <c r="B183" s="3">
        <v>44762</v>
      </c>
      <c r="C183" s="3" t="str">
        <f t="shared" si="11"/>
        <v>7/20/22</v>
      </c>
      <c r="D183" s="3" t="s">
        <v>539</v>
      </c>
      <c r="E183" s="22">
        <f>30-28+20</f>
        <v>22</v>
      </c>
      <c r="G183" s="22" t="s">
        <v>539</v>
      </c>
      <c r="H183" s="22">
        <f>340.4+243.7</f>
        <v>584.09999999999991</v>
      </c>
      <c r="L183" s="22">
        <f t="shared" si="0"/>
        <v>584.09999999999991</v>
      </c>
      <c r="M183" s="47">
        <v>340.4</v>
      </c>
      <c r="Q183" s="47">
        <f t="shared" si="9"/>
        <v>340.4</v>
      </c>
      <c r="R183" s="47">
        <v>0</v>
      </c>
      <c r="V183" s="47">
        <f t="shared" si="10"/>
        <v>0</v>
      </c>
      <c r="W183" s="22">
        <v>0</v>
      </c>
      <c r="AB183" t="str">
        <f t="shared" si="7"/>
        <v>No</v>
      </c>
      <c r="AC183">
        <v>0</v>
      </c>
      <c r="AD183" s="47">
        <f t="shared" si="3"/>
        <v>-74.5</v>
      </c>
      <c r="AE183">
        <f>AD183/E183</f>
        <v>-3.3863636363636362</v>
      </c>
      <c r="AF183" s="47">
        <f t="shared" si="4"/>
        <v>0</v>
      </c>
      <c r="AG183">
        <f>(V183-V182)/E183</f>
        <v>0</v>
      </c>
      <c r="AH183">
        <f t="shared" si="5"/>
        <v>0</v>
      </c>
      <c r="AI183" s="10">
        <f>(AH183/E183)</f>
        <v>0</v>
      </c>
    </row>
    <row r="184" spans="1:36" ht="14.75" x14ac:dyDescent="0.75">
      <c r="A184" s="207">
        <v>942</v>
      </c>
      <c r="B184" s="3">
        <v>44784</v>
      </c>
      <c r="C184" s="3" t="str">
        <f t="shared" si="11"/>
        <v>8/11/22</v>
      </c>
      <c r="D184" s="3" t="s">
        <v>539</v>
      </c>
      <c r="E184" s="22">
        <f>31-20+11</f>
        <v>22</v>
      </c>
      <c r="G184" s="22" t="s">
        <v>390</v>
      </c>
      <c r="H184" s="22">
        <f>386.1+205.3</f>
        <v>591.40000000000009</v>
      </c>
      <c r="L184" s="22">
        <f t="shared" si="0"/>
        <v>591.40000000000009</v>
      </c>
      <c r="M184" s="47">
        <v>386.1</v>
      </c>
      <c r="Q184" s="47">
        <f t="shared" si="9"/>
        <v>386.1</v>
      </c>
      <c r="R184" s="47">
        <v>0</v>
      </c>
      <c r="V184" s="47">
        <f t="shared" si="10"/>
        <v>0</v>
      </c>
      <c r="W184" s="22">
        <v>0</v>
      </c>
      <c r="AB184" t="str">
        <f t="shared" si="7"/>
        <v>No</v>
      </c>
      <c r="AC184">
        <v>0</v>
      </c>
      <c r="AD184" s="47">
        <f t="shared" si="3"/>
        <v>45.700000000000045</v>
      </c>
      <c r="AE184">
        <f>AD184/E184</f>
        <v>2.0772727272727294</v>
      </c>
      <c r="AF184" s="47">
        <f t="shared" si="4"/>
        <v>0</v>
      </c>
      <c r="AG184">
        <f>(V184-V183)/E184</f>
        <v>0</v>
      </c>
      <c r="AH184">
        <f t="shared" si="5"/>
        <v>0</v>
      </c>
      <c r="AI184" s="10">
        <f>(AH184/E184)</f>
        <v>0</v>
      </c>
    </row>
    <row r="185" spans="1:36" ht="14.75" x14ac:dyDescent="0.75">
      <c r="A185" s="207">
        <v>942</v>
      </c>
      <c r="B185" s="3">
        <v>44845</v>
      </c>
      <c r="C185" s="3" t="str">
        <f t="shared" si="11"/>
        <v>10/11/22</v>
      </c>
      <c r="D185" s="3" t="s">
        <v>539</v>
      </c>
      <c r="E185" s="22">
        <f>31-11+11+30</f>
        <v>61</v>
      </c>
      <c r="G185" s="22" t="s">
        <v>390</v>
      </c>
      <c r="H185" s="22">
        <f>324.5+186.4</f>
        <v>510.9</v>
      </c>
      <c r="L185" s="22">
        <f t="shared" ref="L185:L186" si="12">SUM(H185:K185)</f>
        <v>510.9</v>
      </c>
      <c r="M185" s="47">
        <v>324.5</v>
      </c>
      <c r="Q185" s="47">
        <f t="shared" si="9"/>
        <v>324.5</v>
      </c>
      <c r="R185" s="47">
        <v>0</v>
      </c>
      <c r="V185" s="47">
        <f t="shared" si="10"/>
        <v>0</v>
      </c>
      <c r="W185" s="22">
        <v>0</v>
      </c>
      <c r="AB185" t="str">
        <f t="shared" si="7"/>
        <v>No</v>
      </c>
      <c r="AC185">
        <v>0</v>
      </c>
      <c r="AD185" s="47">
        <f t="shared" ref="AD185:AD186" si="13">Q185-Q184</f>
        <v>-61.600000000000023</v>
      </c>
      <c r="AE185">
        <f>AD185/E185</f>
        <v>-1.0098360655737708</v>
      </c>
      <c r="AF185" s="47">
        <f t="shared" ref="AF185:AF186" si="14">V185-V184</f>
        <v>0</v>
      </c>
      <c r="AG185">
        <f>(V185-V184)/E185</f>
        <v>0</v>
      </c>
      <c r="AH185">
        <f t="shared" ref="AH185:AH186" si="15">100*(V185/(L185))</f>
        <v>0</v>
      </c>
      <c r="AI185" s="10">
        <f>(AH185/E185)</f>
        <v>0</v>
      </c>
    </row>
    <row r="186" spans="1:36" ht="14.75" x14ac:dyDescent="0.75">
      <c r="A186" s="207">
        <v>942</v>
      </c>
      <c r="B186" s="3">
        <v>44880</v>
      </c>
      <c r="C186" s="3" t="str">
        <f t="shared" si="11"/>
        <v>11/15/22</v>
      </c>
      <c r="D186" s="3" t="s">
        <v>539</v>
      </c>
      <c r="E186" s="22">
        <f>31-11+15</f>
        <v>35</v>
      </c>
      <c r="G186" s="22" t="s">
        <v>390</v>
      </c>
      <c r="L186" s="22">
        <f t="shared" si="12"/>
        <v>0</v>
      </c>
      <c r="Q186" s="47">
        <f t="shared" si="9"/>
        <v>0</v>
      </c>
      <c r="V186" s="47">
        <f t="shared" si="10"/>
        <v>0</v>
      </c>
      <c r="AB186" t="str">
        <f t="shared" si="7"/>
        <v>No</v>
      </c>
      <c r="AC186">
        <v>0</v>
      </c>
      <c r="AD186" s="47">
        <f t="shared" si="13"/>
        <v>-324.5</v>
      </c>
      <c r="AE186">
        <f>AD186/E186</f>
        <v>-9.2714285714285722</v>
      </c>
      <c r="AF186" s="47">
        <f t="shared" si="14"/>
        <v>0</v>
      </c>
      <c r="AG186">
        <f>(V186-V185)/E186</f>
        <v>0</v>
      </c>
      <c r="AH186" t="e">
        <f t="shared" si="15"/>
        <v>#DIV/0!</v>
      </c>
      <c r="AI186" s="10" t="e">
        <f>(AH186/E186)</f>
        <v>#DIV/0!</v>
      </c>
    </row>
    <row r="187" spans="1:36" ht="14.75" x14ac:dyDescent="0.75">
      <c r="A187" s="207">
        <v>942</v>
      </c>
      <c r="B187" s="3">
        <v>44937</v>
      </c>
      <c r="C187" s="3" t="str">
        <f t="shared" si="11"/>
        <v>1/11/23</v>
      </c>
      <c r="D187" s="3" t="s">
        <v>539</v>
      </c>
      <c r="E187" s="22">
        <f>30-15+31+11</f>
        <v>57</v>
      </c>
      <c r="G187" s="22" t="s">
        <v>539</v>
      </c>
      <c r="AC187">
        <v>7</v>
      </c>
      <c r="AD187" s="47"/>
      <c r="AF187" s="47"/>
      <c r="AI187" s="10"/>
    </row>
    <row r="188" spans="1:36" ht="14.75" x14ac:dyDescent="0.75">
      <c r="A188" s="207">
        <v>942</v>
      </c>
      <c r="B188" s="3">
        <v>44692</v>
      </c>
      <c r="C188" s="3" t="str">
        <f t="shared" si="11"/>
        <v>5/11/22</v>
      </c>
      <c r="D188" s="3" t="s">
        <v>539</v>
      </c>
      <c r="E188" s="22">
        <f>31-11+28+31+30+11</f>
        <v>120</v>
      </c>
      <c r="G188" s="22" t="s">
        <v>390</v>
      </c>
      <c r="AC188">
        <v>0</v>
      </c>
      <c r="AD188" s="47"/>
      <c r="AF188" s="47"/>
      <c r="AI188" s="10"/>
    </row>
    <row r="189" spans="1:36" ht="14.75" x14ac:dyDescent="0.75">
      <c r="A189" s="207">
        <v>942</v>
      </c>
      <c r="B189" s="3">
        <v>45097</v>
      </c>
      <c r="C189" s="3" t="str">
        <f t="shared" si="11"/>
        <v>6/20/23</v>
      </c>
      <c r="D189" s="3" t="s">
        <v>539</v>
      </c>
      <c r="E189" s="22">
        <f>31-11+20</f>
        <v>40</v>
      </c>
      <c r="G189" s="22" t="s">
        <v>390</v>
      </c>
      <c r="AC189">
        <v>0</v>
      </c>
      <c r="AD189" s="47"/>
      <c r="AF189" s="47"/>
      <c r="AI189" s="10"/>
    </row>
    <row r="190" spans="1:36" s="173" customFormat="1" ht="14.75" x14ac:dyDescent="0.75">
      <c r="A190" s="198">
        <v>942</v>
      </c>
      <c r="B190" s="199">
        <v>45161</v>
      </c>
      <c r="C190" s="3" t="str">
        <f t="shared" si="11"/>
        <v>8/23/23</v>
      </c>
      <c r="D190" s="3" t="s">
        <v>539</v>
      </c>
      <c r="E190" s="198">
        <f>B190-B189</f>
        <v>64</v>
      </c>
      <c r="F190" s="198"/>
      <c r="G190" s="198" t="s">
        <v>390</v>
      </c>
      <c r="H190" s="198"/>
      <c r="I190" s="198"/>
      <c r="J190" s="198"/>
      <c r="K190" s="198"/>
      <c r="L190" s="198"/>
      <c r="M190" s="210"/>
      <c r="N190" s="210"/>
      <c r="O190" s="210"/>
      <c r="P190" s="210"/>
      <c r="Q190" s="210"/>
      <c r="R190" s="210"/>
      <c r="S190" s="210"/>
      <c r="T190" s="210"/>
      <c r="U190" s="210"/>
      <c r="V190" s="210"/>
      <c r="W190" s="198"/>
      <c r="X190" s="198"/>
      <c r="AD190" s="210"/>
      <c r="AF190" s="210"/>
      <c r="AI190" s="211"/>
    </row>
    <row r="191" spans="1:36" ht="14.75" x14ac:dyDescent="0.75">
      <c r="A191" s="22">
        <v>943</v>
      </c>
      <c r="B191" s="3">
        <v>44694</v>
      </c>
      <c r="C191" s="3" t="str">
        <f t="shared" si="11"/>
        <v>5/13/22</v>
      </c>
      <c r="D191" s="3" t="s">
        <v>539</v>
      </c>
      <c r="E191" s="22">
        <v>0</v>
      </c>
      <c r="G191" s="22" t="s">
        <v>539</v>
      </c>
      <c r="AC191">
        <v>3</v>
      </c>
      <c r="AD191" s="47"/>
      <c r="AF191" s="47"/>
      <c r="AI191" s="10"/>
      <c r="AJ191" t="s">
        <v>1294</v>
      </c>
    </row>
    <row r="192" spans="1:36" ht="14.75" x14ac:dyDescent="0.75">
      <c r="A192" s="207">
        <v>943</v>
      </c>
      <c r="B192" s="3">
        <v>44715</v>
      </c>
      <c r="C192" s="3" t="str">
        <f t="shared" si="11"/>
        <v>6/3/22</v>
      </c>
      <c r="D192" s="3" t="s">
        <v>539</v>
      </c>
      <c r="E192" s="56">
        <f>31-13+3</f>
        <v>21</v>
      </c>
      <c r="F192" s="56"/>
      <c r="G192" s="22" t="s">
        <v>539</v>
      </c>
      <c r="L192" s="22">
        <f t="shared" ref="L192:L382" si="16">SUM(H192:K192)</f>
        <v>0</v>
      </c>
      <c r="Q192" s="47">
        <f t="shared" si="9"/>
        <v>0</v>
      </c>
      <c r="V192" s="47">
        <f t="shared" si="10"/>
        <v>0</v>
      </c>
      <c r="AB192" t="str">
        <f t="shared" si="7"/>
        <v>No</v>
      </c>
      <c r="AC192">
        <v>0</v>
      </c>
      <c r="AD192" s="47">
        <v>0</v>
      </c>
      <c r="AE192">
        <f>AD192/E192</f>
        <v>0</v>
      </c>
      <c r="AF192" s="47">
        <f>V192-V184</f>
        <v>0</v>
      </c>
      <c r="AG192">
        <f>(V192-V184)/E192</f>
        <v>0</v>
      </c>
      <c r="AH192" t="e">
        <f t="shared" ref="AH192:AH323" si="17">100*(V192/(L192))</f>
        <v>#DIV/0!</v>
      </c>
      <c r="AI192" s="10" t="e">
        <f>(AH192/E192)</f>
        <v>#DIV/0!</v>
      </c>
    </row>
    <row r="193" spans="1:35" ht="14.75" x14ac:dyDescent="0.75">
      <c r="A193" s="207">
        <v>943</v>
      </c>
      <c r="B193" s="3">
        <v>44784</v>
      </c>
      <c r="C193" s="3" t="str">
        <f t="shared" si="11"/>
        <v>8/11/22</v>
      </c>
      <c r="D193" s="3" t="s">
        <v>539</v>
      </c>
      <c r="E193" s="22">
        <f>30-3+31+11</f>
        <v>69</v>
      </c>
      <c r="G193" s="22" t="s">
        <v>390</v>
      </c>
      <c r="L193" s="22">
        <f t="shared" si="16"/>
        <v>0</v>
      </c>
      <c r="Q193" s="47">
        <f t="shared" si="9"/>
        <v>0</v>
      </c>
      <c r="V193" s="47">
        <f t="shared" si="10"/>
        <v>0</v>
      </c>
      <c r="AB193" t="str">
        <f t="shared" si="7"/>
        <v>No</v>
      </c>
      <c r="AC193">
        <v>0</v>
      </c>
      <c r="AD193" s="47">
        <f t="shared" ref="AD193:AD324" si="18">Q193-Q192</f>
        <v>0</v>
      </c>
      <c r="AE193">
        <f>AD193/E193</f>
        <v>0</v>
      </c>
      <c r="AF193" s="47">
        <f t="shared" ref="AF193:AF324" si="19">V193-V192</f>
        <v>0</v>
      </c>
      <c r="AG193">
        <f>(V193-V192)/E193</f>
        <v>0</v>
      </c>
      <c r="AH193" t="e">
        <f t="shared" si="17"/>
        <v>#DIV/0!</v>
      </c>
      <c r="AI193" s="10" t="e">
        <f>(AH193/E193)</f>
        <v>#DIV/0!</v>
      </c>
    </row>
    <row r="194" spans="1:35" ht="14.75" x14ac:dyDescent="0.75">
      <c r="A194" s="207">
        <v>943</v>
      </c>
      <c r="B194" s="3">
        <v>45245</v>
      </c>
      <c r="C194" s="3" t="str">
        <f t="shared" si="11"/>
        <v>11/15/23</v>
      </c>
      <c r="D194" s="3" t="s">
        <v>539</v>
      </c>
      <c r="E194" s="22">
        <f>31-11+30+31+15</f>
        <v>96</v>
      </c>
      <c r="G194" s="22" t="s">
        <v>390</v>
      </c>
      <c r="AC194">
        <v>0</v>
      </c>
      <c r="AD194" s="47"/>
      <c r="AF194" s="47"/>
      <c r="AI194" s="10"/>
    </row>
    <row r="195" spans="1:35" ht="14.75" x14ac:dyDescent="0.75">
      <c r="A195" s="207">
        <v>943</v>
      </c>
      <c r="B195" s="3">
        <v>44937</v>
      </c>
      <c r="C195" s="3" t="str">
        <f t="shared" ref="C195:C258" si="20">TEXT(B195,"M/D/YY")</f>
        <v>1/11/23</v>
      </c>
      <c r="D195" s="3" t="s">
        <v>539</v>
      </c>
      <c r="E195" s="22">
        <f>30-15+31+11</f>
        <v>57</v>
      </c>
      <c r="G195" s="22" t="s">
        <v>390</v>
      </c>
      <c r="AC195">
        <v>0</v>
      </c>
      <c r="AD195" s="47"/>
      <c r="AF195" s="47"/>
      <c r="AI195" s="10"/>
    </row>
    <row r="196" spans="1:35" s="205" customFormat="1" ht="14.75" x14ac:dyDescent="0.75">
      <c r="A196" s="200">
        <v>944</v>
      </c>
      <c r="B196" s="201">
        <v>44742</v>
      </c>
      <c r="C196" s="3" t="str">
        <f t="shared" si="20"/>
        <v>6/30/22</v>
      </c>
      <c r="D196" s="3" t="s">
        <v>539</v>
      </c>
      <c r="E196" s="200">
        <v>0</v>
      </c>
      <c r="F196" s="200"/>
      <c r="G196" s="200" t="s">
        <v>539</v>
      </c>
      <c r="H196" s="200"/>
      <c r="I196" s="200"/>
      <c r="J196" s="200"/>
      <c r="K196" s="200"/>
      <c r="L196" s="200">
        <f t="shared" si="16"/>
        <v>0</v>
      </c>
      <c r="M196" s="204"/>
      <c r="N196" s="204"/>
      <c r="O196" s="204"/>
      <c r="P196" s="204"/>
      <c r="Q196" s="204">
        <f t="shared" si="9"/>
        <v>0</v>
      </c>
      <c r="R196" s="204"/>
      <c r="S196" s="204"/>
      <c r="T196" s="204"/>
      <c r="U196" s="204"/>
      <c r="V196" s="204">
        <f t="shared" si="10"/>
        <v>0</v>
      </c>
      <c r="W196" s="200"/>
      <c r="X196" s="200"/>
      <c r="AB196" s="205" t="str">
        <f t="shared" si="7"/>
        <v>No</v>
      </c>
      <c r="AC196" s="205">
        <f>TreatmentUsed!E1063</f>
        <v>9</v>
      </c>
      <c r="AD196" s="204">
        <f>Q196-Q193</f>
        <v>0</v>
      </c>
      <c r="AE196" s="205" t="e">
        <f>AD196/E196</f>
        <v>#DIV/0!</v>
      </c>
      <c r="AF196" s="204">
        <f>V196-V193</f>
        <v>0</v>
      </c>
      <c r="AG196" s="205" t="e">
        <f>(V196-V193)/E196</f>
        <v>#DIV/0!</v>
      </c>
      <c r="AH196" s="205" t="e">
        <f t="shared" si="17"/>
        <v>#DIV/0!</v>
      </c>
      <c r="AI196" s="206" t="e">
        <f>(AH196/E196)</f>
        <v>#DIV/0!</v>
      </c>
    </row>
    <row r="197" spans="1:35" ht="14.75" x14ac:dyDescent="0.75">
      <c r="A197" s="207">
        <v>944</v>
      </c>
      <c r="B197" s="3">
        <v>44757</v>
      </c>
      <c r="C197" s="3" t="str">
        <f t="shared" si="20"/>
        <v>7/15/22</v>
      </c>
      <c r="D197" s="3" t="s">
        <v>539</v>
      </c>
      <c r="E197" s="22">
        <f>15</f>
        <v>15</v>
      </c>
      <c r="G197" s="22" t="s">
        <v>539</v>
      </c>
      <c r="L197" s="22">
        <f t="shared" si="16"/>
        <v>0</v>
      </c>
      <c r="Q197" s="47">
        <f t="shared" si="9"/>
        <v>0</v>
      </c>
      <c r="V197" s="47">
        <f t="shared" si="10"/>
        <v>0</v>
      </c>
      <c r="AB197" t="str">
        <f t="shared" si="7"/>
        <v>No</v>
      </c>
      <c r="AC197">
        <v>0</v>
      </c>
      <c r="AD197" s="47">
        <f t="shared" si="18"/>
        <v>0</v>
      </c>
      <c r="AE197">
        <f>AD197/E197</f>
        <v>0</v>
      </c>
      <c r="AF197" s="47">
        <f t="shared" si="19"/>
        <v>0</v>
      </c>
      <c r="AG197">
        <f>(V197-V196)/E197</f>
        <v>0</v>
      </c>
      <c r="AH197" t="e">
        <f t="shared" si="17"/>
        <v>#DIV/0!</v>
      </c>
      <c r="AI197" s="10" t="e">
        <f>(AH197/E197)</f>
        <v>#DIV/0!</v>
      </c>
    </row>
    <row r="198" spans="1:35" ht="14.75" x14ac:dyDescent="0.75">
      <c r="A198" s="22">
        <v>944</v>
      </c>
      <c r="B198" s="3">
        <v>44825</v>
      </c>
      <c r="C198" s="3" t="str">
        <f t="shared" si="20"/>
        <v>9/21/22</v>
      </c>
      <c r="D198" s="3" t="s">
        <v>539</v>
      </c>
      <c r="E198" s="22">
        <f>31-15+31+21</f>
        <v>68</v>
      </c>
      <c r="G198" s="22" t="s">
        <v>539</v>
      </c>
      <c r="AC198">
        <v>2</v>
      </c>
      <c r="AD198" s="47"/>
      <c r="AF198" s="47"/>
      <c r="AI198" s="10"/>
    </row>
    <row r="199" spans="1:35" ht="14.75" x14ac:dyDescent="0.75">
      <c r="A199" s="22">
        <v>944</v>
      </c>
      <c r="B199" s="3">
        <v>44845</v>
      </c>
      <c r="C199" s="3" t="str">
        <f t="shared" si="20"/>
        <v>10/11/22</v>
      </c>
      <c r="D199" s="3" t="s">
        <v>539</v>
      </c>
      <c r="E199" s="22">
        <f>30-21+11</f>
        <v>20</v>
      </c>
      <c r="G199" s="22" t="s">
        <v>539</v>
      </c>
      <c r="AC199">
        <v>4</v>
      </c>
      <c r="AD199" s="47"/>
      <c r="AF199" s="47"/>
      <c r="AI199" s="10"/>
    </row>
    <row r="200" spans="1:35" ht="14.75" x14ac:dyDescent="0.75">
      <c r="A200" s="22">
        <v>944</v>
      </c>
      <c r="B200" s="3">
        <v>44873</v>
      </c>
      <c r="C200" s="3" t="str">
        <f t="shared" si="20"/>
        <v>11/8/22</v>
      </c>
      <c r="D200" s="3" t="s">
        <v>539</v>
      </c>
      <c r="E200" s="22">
        <f>31-11+8</f>
        <v>28</v>
      </c>
      <c r="G200" s="22" t="s">
        <v>539</v>
      </c>
      <c r="AC200">
        <v>0</v>
      </c>
      <c r="AD200" s="47"/>
      <c r="AF200" s="47"/>
      <c r="AI200" s="10"/>
    </row>
    <row r="201" spans="1:35" ht="14.75" x14ac:dyDescent="0.75">
      <c r="A201" s="207">
        <v>944</v>
      </c>
      <c r="B201" s="3">
        <v>44936</v>
      </c>
      <c r="C201" s="3" t="str">
        <f t="shared" si="20"/>
        <v>1/10/23</v>
      </c>
      <c r="D201" s="3" t="s">
        <v>539</v>
      </c>
      <c r="E201" s="22">
        <f>30-8+31+10</f>
        <v>63</v>
      </c>
      <c r="G201" s="22" t="s">
        <v>390</v>
      </c>
      <c r="AC201">
        <v>0</v>
      </c>
      <c r="AD201" s="47"/>
      <c r="AF201" s="47"/>
      <c r="AI201" s="10"/>
    </row>
    <row r="202" spans="1:35" ht="14.75" x14ac:dyDescent="0.75">
      <c r="A202" s="207">
        <v>944</v>
      </c>
      <c r="B202" s="3">
        <v>45064</v>
      </c>
      <c r="C202" s="3" t="str">
        <f t="shared" si="20"/>
        <v>5/18/23</v>
      </c>
      <c r="D202" s="3" t="s">
        <v>539</v>
      </c>
      <c r="E202" s="22">
        <f>31-10+28+31+30+18</f>
        <v>128</v>
      </c>
      <c r="G202" s="22" t="s">
        <v>390</v>
      </c>
      <c r="AC202">
        <v>0</v>
      </c>
      <c r="AD202" s="47"/>
      <c r="AF202" s="47"/>
      <c r="AI202" s="10"/>
    </row>
    <row r="203" spans="1:35" ht="14.75" x14ac:dyDescent="0.75">
      <c r="A203" s="207">
        <v>944</v>
      </c>
      <c r="B203" s="3">
        <v>45104</v>
      </c>
      <c r="C203" s="3" t="str">
        <f t="shared" si="20"/>
        <v>6/27/23</v>
      </c>
      <c r="D203" s="3" t="s">
        <v>539</v>
      </c>
      <c r="E203" s="22">
        <f>31-18+27</f>
        <v>40</v>
      </c>
      <c r="G203" s="22" t="s">
        <v>390</v>
      </c>
      <c r="AC203">
        <v>0</v>
      </c>
      <c r="AD203" s="47"/>
      <c r="AF203" s="47"/>
      <c r="AI203" s="10"/>
    </row>
    <row r="204" spans="1:35" ht="14.75" x14ac:dyDescent="0.75">
      <c r="A204" s="22">
        <v>944</v>
      </c>
      <c r="B204" s="3">
        <v>45162</v>
      </c>
      <c r="C204" s="3" t="str">
        <f t="shared" si="20"/>
        <v>8/24/23</v>
      </c>
      <c r="D204" s="3" t="s">
        <v>539</v>
      </c>
      <c r="E204" s="22">
        <f>30-27+31+24</f>
        <v>58</v>
      </c>
      <c r="G204" s="22" t="s">
        <v>539</v>
      </c>
      <c r="AC204">
        <v>10</v>
      </c>
      <c r="AD204" s="47"/>
      <c r="AF204" s="47"/>
      <c r="AI204" s="10"/>
    </row>
    <row r="205" spans="1:35" s="205" customFormat="1" ht="14.75" x14ac:dyDescent="0.75">
      <c r="A205" s="200">
        <v>945</v>
      </c>
      <c r="B205" s="201">
        <v>44936</v>
      </c>
      <c r="C205" s="3" t="str">
        <f t="shared" si="20"/>
        <v>1/10/23</v>
      </c>
      <c r="D205" s="3" t="s">
        <v>539</v>
      </c>
      <c r="E205" s="200">
        <v>0</v>
      </c>
      <c r="F205" s="200"/>
      <c r="G205" s="200" t="s">
        <v>539</v>
      </c>
      <c r="H205" s="200"/>
      <c r="I205" s="200"/>
      <c r="J205" s="200"/>
      <c r="K205" s="200"/>
      <c r="L205" s="200"/>
      <c r="M205" s="204"/>
      <c r="N205" s="204"/>
      <c r="O205" s="204"/>
      <c r="P205" s="204"/>
      <c r="Q205" s="204"/>
      <c r="R205" s="204"/>
      <c r="S205" s="204"/>
      <c r="T205" s="204"/>
      <c r="U205" s="204"/>
      <c r="V205" s="204"/>
      <c r="W205" s="200"/>
      <c r="X205" s="200"/>
      <c r="AC205" s="205">
        <v>54</v>
      </c>
      <c r="AD205" s="204"/>
      <c r="AF205" s="204"/>
      <c r="AI205" s="206"/>
    </row>
    <row r="206" spans="1:35" ht="14.75" x14ac:dyDescent="0.75">
      <c r="A206" s="22">
        <v>945</v>
      </c>
      <c r="B206" s="3">
        <v>45104</v>
      </c>
      <c r="C206" s="3" t="str">
        <f t="shared" si="20"/>
        <v>6/27/23</v>
      </c>
      <c r="D206" s="3" t="s">
        <v>539</v>
      </c>
      <c r="E206" s="22">
        <f>B206-B205</f>
        <v>168</v>
      </c>
      <c r="G206" s="22" t="s">
        <v>390</v>
      </c>
      <c r="AC206">
        <v>0</v>
      </c>
      <c r="AD206" s="47"/>
      <c r="AF206" s="47"/>
      <c r="AI206" s="10"/>
    </row>
    <row r="207" spans="1:35" ht="14.75" x14ac:dyDescent="0.75">
      <c r="A207" s="200">
        <v>945</v>
      </c>
      <c r="B207" s="3">
        <v>45161</v>
      </c>
      <c r="C207" s="3" t="str">
        <f t="shared" si="20"/>
        <v>8/23/23</v>
      </c>
      <c r="D207" s="3" t="s">
        <v>539</v>
      </c>
      <c r="E207" s="22">
        <f>B207-B206</f>
        <v>57</v>
      </c>
      <c r="G207" s="298"/>
      <c r="AD207" s="47"/>
      <c r="AF207" s="47"/>
      <c r="AI207" s="10"/>
    </row>
    <row r="208" spans="1:35" s="205" customFormat="1" ht="14.75" x14ac:dyDescent="0.75">
      <c r="A208" s="200">
        <v>946</v>
      </c>
      <c r="B208" s="201">
        <v>44769</v>
      </c>
      <c r="C208" s="3" t="str">
        <f t="shared" si="20"/>
        <v>7/27/22</v>
      </c>
      <c r="D208" s="3" t="s">
        <v>539</v>
      </c>
      <c r="E208" s="200">
        <v>0</v>
      </c>
      <c r="F208" s="200"/>
      <c r="G208" s="200" t="s">
        <v>539</v>
      </c>
      <c r="H208" s="200"/>
      <c r="I208" s="200"/>
      <c r="J208" s="200"/>
      <c r="K208" s="200"/>
      <c r="L208" s="200">
        <f t="shared" si="16"/>
        <v>0</v>
      </c>
      <c r="M208" s="204"/>
      <c r="N208" s="204"/>
      <c r="O208" s="204"/>
      <c r="P208" s="204"/>
      <c r="Q208" s="204">
        <f t="shared" si="9"/>
        <v>0</v>
      </c>
      <c r="R208" s="204"/>
      <c r="S208" s="204"/>
      <c r="T208" s="204"/>
      <c r="U208" s="204"/>
      <c r="V208" s="204">
        <f t="shared" si="10"/>
        <v>0</v>
      </c>
      <c r="W208" s="200"/>
      <c r="X208" s="200"/>
      <c r="AB208" s="205" t="str">
        <f t="shared" si="7"/>
        <v>No</v>
      </c>
      <c r="AC208" s="205">
        <v>166</v>
      </c>
      <c r="AD208" s="204">
        <f>Q208-Q197</f>
        <v>0</v>
      </c>
      <c r="AE208" s="205" t="e">
        <f>AD208/E208</f>
        <v>#DIV/0!</v>
      </c>
      <c r="AF208" s="204">
        <f>V208-V197</f>
        <v>0</v>
      </c>
      <c r="AG208" s="205" t="e">
        <f>(V208-V197)/E208</f>
        <v>#DIV/0!</v>
      </c>
      <c r="AH208" s="205" t="e">
        <f t="shared" si="17"/>
        <v>#DIV/0!</v>
      </c>
      <c r="AI208" s="206" t="e">
        <f>(AH208/E208)</f>
        <v>#DIV/0!</v>
      </c>
    </row>
    <row r="209" spans="1:35" ht="14.75" x14ac:dyDescent="0.75">
      <c r="A209" s="22">
        <v>946</v>
      </c>
      <c r="B209" s="3">
        <v>44789</v>
      </c>
      <c r="C209" s="3" t="str">
        <f t="shared" si="20"/>
        <v>8/16/22</v>
      </c>
      <c r="D209" s="3" t="s">
        <v>539</v>
      </c>
      <c r="E209" s="22">
        <f>31-27+16</f>
        <v>20</v>
      </c>
      <c r="G209" s="22" t="s">
        <v>539</v>
      </c>
      <c r="L209" s="22">
        <f t="shared" si="16"/>
        <v>0</v>
      </c>
      <c r="Q209" s="47">
        <f t="shared" si="9"/>
        <v>0</v>
      </c>
      <c r="V209" s="47">
        <f t="shared" si="10"/>
        <v>0</v>
      </c>
      <c r="AB209" t="str">
        <f t="shared" si="7"/>
        <v>No</v>
      </c>
      <c r="AC209">
        <v>0</v>
      </c>
      <c r="AD209" s="47">
        <f t="shared" si="18"/>
        <v>0</v>
      </c>
      <c r="AE209">
        <f>AD209/E209</f>
        <v>0</v>
      </c>
      <c r="AF209" s="47">
        <f t="shared" si="19"/>
        <v>0</v>
      </c>
      <c r="AG209">
        <f>(V209-V208)/E209</f>
        <v>0</v>
      </c>
      <c r="AH209" t="e">
        <f t="shared" si="17"/>
        <v>#DIV/0!</v>
      </c>
      <c r="AI209" s="10" t="e">
        <f>(AH209/E209)</f>
        <v>#DIV/0!</v>
      </c>
    </row>
    <row r="210" spans="1:35" ht="14.75" x14ac:dyDescent="0.75">
      <c r="A210" s="22">
        <v>946</v>
      </c>
      <c r="B210" s="3">
        <v>44831</v>
      </c>
      <c r="C210" s="3" t="str">
        <f t="shared" si="20"/>
        <v>9/27/22</v>
      </c>
      <c r="D210" s="3" t="s">
        <v>539</v>
      </c>
      <c r="E210" s="22">
        <f>31-16+27</f>
        <v>42</v>
      </c>
      <c r="G210" s="22" t="s">
        <v>539</v>
      </c>
      <c r="AC210">
        <v>6</v>
      </c>
      <c r="AD210" s="47"/>
      <c r="AF210" s="47"/>
      <c r="AI210" s="10"/>
    </row>
    <row r="211" spans="1:35" ht="14.75" x14ac:dyDescent="0.75">
      <c r="A211" s="22">
        <v>946</v>
      </c>
      <c r="B211" s="3">
        <v>44838</v>
      </c>
      <c r="C211" s="3" t="str">
        <f t="shared" si="20"/>
        <v>10/4/22</v>
      </c>
      <c r="D211" s="3" t="s">
        <v>539</v>
      </c>
      <c r="E211" s="22">
        <f>30-27+4</f>
        <v>7</v>
      </c>
      <c r="G211" s="22" t="s">
        <v>539</v>
      </c>
      <c r="AC211">
        <v>0</v>
      </c>
      <c r="AD211" s="47"/>
      <c r="AF211" s="47"/>
      <c r="AI211" s="10"/>
    </row>
    <row r="212" spans="1:35" ht="14.75" x14ac:dyDescent="0.75">
      <c r="A212" s="22">
        <v>946</v>
      </c>
      <c r="B212" s="3">
        <v>44867</v>
      </c>
      <c r="C212" s="3" t="str">
        <f t="shared" si="20"/>
        <v>11/2/22</v>
      </c>
      <c r="D212" s="3" t="s">
        <v>539</v>
      </c>
      <c r="E212" s="22">
        <f>31-4+2</f>
        <v>29</v>
      </c>
      <c r="G212" s="22" t="s">
        <v>539</v>
      </c>
      <c r="AC212">
        <v>0</v>
      </c>
      <c r="AD212" s="47"/>
      <c r="AF212" s="47"/>
      <c r="AI212" s="10"/>
    </row>
    <row r="213" spans="1:35" ht="14.75" x14ac:dyDescent="0.75">
      <c r="A213" s="22">
        <v>946</v>
      </c>
      <c r="B213" s="3">
        <v>44874</v>
      </c>
      <c r="C213" s="3" t="str">
        <f t="shared" si="20"/>
        <v>11/9/22</v>
      </c>
      <c r="D213" s="3" t="s">
        <v>539</v>
      </c>
      <c r="E213" s="22">
        <v>7</v>
      </c>
      <c r="G213" s="22" t="s">
        <v>539</v>
      </c>
      <c r="AC213">
        <v>0</v>
      </c>
      <c r="AD213" s="47"/>
      <c r="AF213" s="47"/>
      <c r="AI213" s="10"/>
    </row>
    <row r="214" spans="1:35" ht="14.75" x14ac:dyDescent="0.75">
      <c r="A214" s="207">
        <v>946</v>
      </c>
      <c r="B214" s="3">
        <v>44895</v>
      </c>
      <c r="C214" s="3" t="str">
        <f t="shared" si="20"/>
        <v>11/30/22</v>
      </c>
      <c r="D214" s="3" t="s">
        <v>539</v>
      </c>
      <c r="E214" s="22">
        <v>21</v>
      </c>
      <c r="G214" s="22" t="s">
        <v>390</v>
      </c>
      <c r="AC214">
        <v>0</v>
      </c>
      <c r="AD214" s="47"/>
      <c r="AF214" s="47"/>
      <c r="AI214" s="10"/>
    </row>
    <row r="215" spans="1:35" ht="14.75" x14ac:dyDescent="0.75">
      <c r="A215" s="207">
        <v>946</v>
      </c>
      <c r="B215" s="3">
        <v>44943</v>
      </c>
      <c r="C215" s="3" t="str">
        <f t="shared" si="20"/>
        <v>1/17/23</v>
      </c>
      <c r="D215" s="3" t="s">
        <v>539</v>
      </c>
      <c r="E215" s="22">
        <f>31+17</f>
        <v>48</v>
      </c>
      <c r="G215" s="22" t="s">
        <v>390</v>
      </c>
      <c r="AC215">
        <v>0</v>
      </c>
      <c r="AD215" s="47"/>
      <c r="AF215" s="47"/>
      <c r="AI215" s="10"/>
    </row>
    <row r="216" spans="1:35" ht="14.75" x14ac:dyDescent="0.75">
      <c r="A216" s="207">
        <v>946</v>
      </c>
      <c r="B216" s="3">
        <v>44985</v>
      </c>
      <c r="C216" s="3" t="str">
        <f t="shared" si="20"/>
        <v>2/28/23</v>
      </c>
      <c r="D216" s="3" t="s">
        <v>539</v>
      </c>
      <c r="E216" s="22">
        <f>31-17+28</f>
        <v>42</v>
      </c>
      <c r="G216" s="22" t="s">
        <v>390</v>
      </c>
      <c r="AC216">
        <v>0</v>
      </c>
      <c r="AD216" s="47"/>
      <c r="AF216" s="47"/>
      <c r="AI216" s="10"/>
    </row>
    <row r="217" spans="1:35" ht="14.75" x14ac:dyDescent="0.75">
      <c r="A217" s="207">
        <v>946</v>
      </c>
      <c r="B217" s="3">
        <v>45062</v>
      </c>
      <c r="C217" s="3" t="str">
        <f t="shared" si="20"/>
        <v>5/16/23</v>
      </c>
      <c r="D217" s="3" t="s">
        <v>539</v>
      </c>
      <c r="E217" s="22">
        <f>31+30+16</f>
        <v>77</v>
      </c>
      <c r="G217" s="22" t="s">
        <v>390</v>
      </c>
      <c r="AC217">
        <v>0</v>
      </c>
      <c r="AD217" s="47"/>
      <c r="AF217" s="47"/>
      <c r="AI217" s="10"/>
    </row>
    <row r="218" spans="1:35" ht="14.75" x14ac:dyDescent="0.75">
      <c r="A218" s="207">
        <v>946</v>
      </c>
      <c r="B218" s="3">
        <v>45105</v>
      </c>
      <c r="C218" s="3" t="str">
        <f t="shared" si="20"/>
        <v>6/28/23</v>
      </c>
      <c r="D218" s="3" t="s">
        <v>539</v>
      </c>
      <c r="E218" s="22">
        <f>31-16+28</f>
        <v>43</v>
      </c>
      <c r="G218" s="22" t="s">
        <v>390</v>
      </c>
      <c r="AC218">
        <v>0</v>
      </c>
      <c r="AD218" s="47"/>
      <c r="AF218" s="47"/>
      <c r="AI218" s="10"/>
    </row>
    <row r="219" spans="1:35" s="205" customFormat="1" ht="14.75" x14ac:dyDescent="0.75">
      <c r="A219" s="200">
        <v>947</v>
      </c>
      <c r="B219" s="201">
        <v>44769</v>
      </c>
      <c r="C219" s="3" t="str">
        <f t="shared" si="20"/>
        <v>7/27/22</v>
      </c>
      <c r="D219" s="3" t="s">
        <v>539</v>
      </c>
      <c r="E219" s="200">
        <v>0</v>
      </c>
      <c r="F219" s="200"/>
      <c r="G219" s="200" t="s">
        <v>539</v>
      </c>
      <c r="H219" s="200"/>
      <c r="I219" s="200"/>
      <c r="J219" s="200"/>
      <c r="K219" s="200"/>
      <c r="L219" s="200">
        <f t="shared" si="16"/>
        <v>0</v>
      </c>
      <c r="M219" s="204"/>
      <c r="N219" s="204"/>
      <c r="O219" s="204"/>
      <c r="P219" s="204"/>
      <c r="Q219" s="204">
        <f t="shared" si="9"/>
        <v>0</v>
      </c>
      <c r="R219" s="204"/>
      <c r="S219" s="204"/>
      <c r="T219" s="204"/>
      <c r="U219" s="204"/>
      <c r="V219" s="204">
        <f t="shared" si="10"/>
        <v>0</v>
      </c>
      <c r="W219" s="200"/>
      <c r="X219" s="200"/>
      <c r="AB219" s="205" t="str">
        <f t="shared" si="7"/>
        <v>No</v>
      </c>
      <c r="AC219" s="205">
        <v>165</v>
      </c>
      <c r="AD219" s="204">
        <f>Q219-Q209</f>
        <v>0</v>
      </c>
      <c r="AE219" s="205" t="e">
        <f>AD219/E219</f>
        <v>#DIV/0!</v>
      </c>
      <c r="AF219" s="204">
        <f>V219-V209</f>
        <v>0</v>
      </c>
      <c r="AG219" s="205" t="e">
        <f>(V219-V209)/E219</f>
        <v>#DIV/0!</v>
      </c>
      <c r="AH219" s="205" t="e">
        <f t="shared" si="17"/>
        <v>#DIV/0!</v>
      </c>
      <c r="AI219" s="206" t="e">
        <f>(AH219/E219)</f>
        <v>#DIV/0!</v>
      </c>
    </row>
    <row r="220" spans="1:35" ht="14.75" x14ac:dyDescent="0.75">
      <c r="A220" s="22">
        <v>947</v>
      </c>
      <c r="B220" s="3">
        <v>44789</v>
      </c>
      <c r="C220" s="3" t="str">
        <f t="shared" si="20"/>
        <v>8/16/22</v>
      </c>
      <c r="D220" s="3" t="s">
        <v>539</v>
      </c>
      <c r="E220" s="22">
        <f>31-27+16</f>
        <v>20</v>
      </c>
      <c r="G220" s="22" t="s">
        <v>539</v>
      </c>
      <c r="L220" s="22">
        <f t="shared" si="16"/>
        <v>0</v>
      </c>
      <c r="Q220" s="47">
        <f t="shared" si="9"/>
        <v>0</v>
      </c>
      <c r="V220" s="47">
        <f t="shared" si="10"/>
        <v>0</v>
      </c>
      <c r="AB220" t="str">
        <f t="shared" si="7"/>
        <v>No</v>
      </c>
      <c r="AC220">
        <v>0</v>
      </c>
      <c r="AD220" s="47">
        <f t="shared" si="18"/>
        <v>0</v>
      </c>
      <c r="AE220">
        <f>AD220/E220</f>
        <v>0</v>
      </c>
      <c r="AF220" s="47">
        <f t="shared" si="19"/>
        <v>0</v>
      </c>
      <c r="AG220">
        <f>(V220-V219)/E220</f>
        <v>0</v>
      </c>
      <c r="AH220" t="e">
        <f t="shared" si="17"/>
        <v>#DIV/0!</v>
      </c>
      <c r="AI220" s="10" t="e">
        <f>(AH220/E220)</f>
        <v>#DIV/0!</v>
      </c>
    </row>
    <row r="221" spans="1:35" ht="14.75" x14ac:dyDescent="0.75">
      <c r="A221" s="207">
        <v>947</v>
      </c>
      <c r="B221" s="3">
        <v>44831</v>
      </c>
      <c r="C221" s="3" t="str">
        <f t="shared" si="20"/>
        <v>9/27/22</v>
      </c>
      <c r="D221" s="3" t="s">
        <v>539</v>
      </c>
      <c r="E221" s="22">
        <f>31-16+27</f>
        <v>42</v>
      </c>
      <c r="G221" s="22" t="s">
        <v>390</v>
      </c>
      <c r="AC221">
        <v>0</v>
      </c>
      <c r="AD221" s="47"/>
      <c r="AF221" s="47"/>
      <c r="AI221" s="10"/>
    </row>
    <row r="222" spans="1:35" ht="14.75" x14ac:dyDescent="0.75">
      <c r="A222" s="207">
        <v>947</v>
      </c>
      <c r="B222" s="3">
        <v>44867</v>
      </c>
      <c r="C222" s="3" t="str">
        <f t="shared" si="20"/>
        <v>11/2/22</v>
      </c>
      <c r="D222" s="3" t="s">
        <v>539</v>
      </c>
      <c r="E222" s="22">
        <f>30-27+31+2</f>
        <v>36</v>
      </c>
      <c r="G222" s="22" t="s">
        <v>390</v>
      </c>
      <c r="AC222">
        <v>0</v>
      </c>
      <c r="AD222" s="47"/>
      <c r="AF222" s="47"/>
      <c r="AI222" s="10"/>
    </row>
    <row r="223" spans="1:35" ht="14.75" x14ac:dyDescent="0.75">
      <c r="A223" s="207">
        <v>947</v>
      </c>
      <c r="B223" s="3">
        <v>45260</v>
      </c>
      <c r="C223" s="3" t="str">
        <f t="shared" si="20"/>
        <v>11/30/23</v>
      </c>
      <c r="D223" s="3" t="s">
        <v>539</v>
      </c>
      <c r="E223" s="22">
        <v>28</v>
      </c>
      <c r="G223" s="22" t="s">
        <v>390</v>
      </c>
      <c r="AC223">
        <v>0</v>
      </c>
      <c r="AD223" s="47"/>
      <c r="AF223" s="47"/>
      <c r="AI223" s="10"/>
    </row>
    <row r="224" spans="1:35" ht="14.75" x14ac:dyDescent="0.75">
      <c r="A224" s="207">
        <v>947</v>
      </c>
      <c r="B224" s="3">
        <v>44943</v>
      </c>
      <c r="C224" s="3" t="str">
        <f t="shared" si="20"/>
        <v>1/17/23</v>
      </c>
      <c r="D224" s="3" t="s">
        <v>539</v>
      </c>
      <c r="E224" s="22">
        <f>31+17</f>
        <v>48</v>
      </c>
      <c r="G224" s="22" t="s">
        <v>390</v>
      </c>
      <c r="AC224">
        <v>0</v>
      </c>
      <c r="AD224" s="47"/>
      <c r="AF224" s="47"/>
      <c r="AI224" s="10"/>
    </row>
    <row r="225" spans="1:36" ht="14.75" x14ac:dyDescent="0.75">
      <c r="A225" s="207">
        <v>947</v>
      </c>
      <c r="B225" s="3">
        <v>44985</v>
      </c>
      <c r="C225" s="3" t="str">
        <f t="shared" si="20"/>
        <v>2/28/23</v>
      </c>
      <c r="D225" s="3" t="s">
        <v>539</v>
      </c>
      <c r="E225" s="22">
        <f>31-17+28</f>
        <v>42</v>
      </c>
      <c r="G225" s="22" t="s">
        <v>390</v>
      </c>
      <c r="AC225">
        <v>0</v>
      </c>
      <c r="AD225" s="47"/>
      <c r="AF225" s="47"/>
      <c r="AI225" s="10"/>
    </row>
    <row r="226" spans="1:36" ht="14.75" x14ac:dyDescent="0.75">
      <c r="A226" s="207">
        <v>947</v>
      </c>
      <c r="B226" s="3">
        <v>45062</v>
      </c>
      <c r="C226" s="3" t="str">
        <f t="shared" si="20"/>
        <v>5/16/23</v>
      </c>
      <c r="D226" s="3" t="s">
        <v>539</v>
      </c>
      <c r="E226" s="22">
        <f>31+30+16</f>
        <v>77</v>
      </c>
      <c r="G226" s="22" t="s">
        <v>390</v>
      </c>
      <c r="AC226">
        <v>0</v>
      </c>
      <c r="AD226" s="47"/>
      <c r="AF226" s="47"/>
      <c r="AI226" s="10"/>
    </row>
    <row r="227" spans="1:36" ht="14.75" x14ac:dyDescent="0.75">
      <c r="A227" s="207">
        <v>947</v>
      </c>
      <c r="B227" s="3">
        <v>45105</v>
      </c>
      <c r="C227" s="3" t="str">
        <f t="shared" si="20"/>
        <v>6/28/23</v>
      </c>
      <c r="D227" s="3" t="s">
        <v>539</v>
      </c>
      <c r="E227" s="22">
        <f>31-16+28</f>
        <v>43</v>
      </c>
      <c r="G227" s="22" t="s">
        <v>390</v>
      </c>
      <c r="AC227">
        <v>0</v>
      </c>
      <c r="AD227" s="47"/>
      <c r="AF227" s="47"/>
      <c r="AI227" s="10"/>
    </row>
    <row r="228" spans="1:36" s="205" customFormat="1" ht="14.75" x14ac:dyDescent="0.75">
      <c r="A228" s="200">
        <v>948</v>
      </c>
      <c r="B228" s="201">
        <v>44743</v>
      </c>
      <c r="C228" s="3" t="str">
        <f t="shared" si="20"/>
        <v>7/1/22</v>
      </c>
      <c r="D228" s="3" t="s">
        <v>539</v>
      </c>
      <c r="E228" s="200">
        <v>0</v>
      </c>
      <c r="F228" s="200"/>
      <c r="G228" s="200" t="s">
        <v>539</v>
      </c>
      <c r="H228" s="200"/>
      <c r="I228" s="200"/>
      <c r="J228" s="200"/>
      <c r="K228" s="200"/>
      <c r="L228" s="200">
        <f t="shared" si="16"/>
        <v>0</v>
      </c>
      <c r="M228" s="204"/>
      <c r="N228" s="204"/>
      <c r="O228" s="204"/>
      <c r="P228" s="204"/>
      <c r="Q228" s="204">
        <f t="shared" si="9"/>
        <v>0</v>
      </c>
      <c r="R228" s="204"/>
      <c r="S228" s="204"/>
      <c r="T228" s="204"/>
      <c r="U228" s="204"/>
      <c r="V228" s="204">
        <f t="shared" si="10"/>
        <v>0</v>
      </c>
      <c r="W228" s="200"/>
      <c r="X228" s="200"/>
      <c r="AB228" s="205" t="str">
        <f t="shared" si="7"/>
        <v>No</v>
      </c>
      <c r="AC228" s="205" t="s">
        <v>363</v>
      </c>
      <c r="AD228" s="204">
        <f>Q228-Q220</f>
        <v>0</v>
      </c>
      <c r="AE228" s="205" t="e">
        <f>AD228/E228</f>
        <v>#DIV/0!</v>
      </c>
      <c r="AF228" s="204">
        <f>V228-V220</f>
        <v>0</v>
      </c>
      <c r="AG228" s="205" t="e">
        <f>(V228-V220)/E228</f>
        <v>#DIV/0!</v>
      </c>
      <c r="AH228" s="205" t="e">
        <f t="shared" si="17"/>
        <v>#DIV/0!</v>
      </c>
      <c r="AI228" s="206" t="e">
        <f>(AH228/E228)</f>
        <v>#DIV/0!</v>
      </c>
    </row>
    <row r="229" spans="1:36" ht="14.75" x14ac:dyDescent="0.75">
      <c r="A229" s="207">
        <v>948</v>
      </c>
      <c r="B229" s="3">
        <v>44762</v>
      </c>
      <c r="C229" s="3" t="str">
        <f t="shared" si="20"/>
        <v>7/20/22</v>
      </c>
      <c r="D229" s="3" t="s">
        <v>539</v>
      </c>
      <c r="E229" s="22">
        <v>19</v>
      </c>
      <c r="G229" s="22" t="s">
        <v>539</v>
      </c>
      <c r="AC229">
        <v>0</v>
      </c>
      <c r="AD229" s="47"/>
      <c r="AF229" s="47"/>
      <c r="AI229" s="10"/>
    </row>
    <row r="230" spans="1:36" ht="14.75" x14ac:dyDescent="0.75">
      <c r="A230" s="22">
        <v>948</v>
      </c>
      <c r="B230" s="3">
        <v>44784</v>
      </c>
      <c r="C230" s="3" t="str">
        <f t="shared" si="20"/>
        <v>8/11/22</v>
      </c>
      <c r="D230" s="3" t="s">
        <v>539</v>
      </c>
      <c r="E230" s="22">
        <f>31-20+11</f>
        <v>22</v>
      </c>
      <c r="G230" s="22" t="s">
        <v>539</v>
      </c>
      <c r="AC230">
        <v>4</v>
      </c>
      <c r="AD230" s="47"/>
      <c r="AF230" s="47"/>
      <c r="AI230" s="10"/>
    </row>
    <row r="231" spans="1:36" ht="14.75" x14ac:dyDescent="0.75">
      <c r="A231" s="207">
        <v>948</v>
      </c>
      <c r="B231" s="3">
        <v>44845</v>
      </c>
      <c r="C231" s="3" t="str">
        <f t="shared" si="20"/>
        <v>10/11/22</v>
      </c>
      <c r="D231" s="3" t="s">
        <v>539</v>
      </c>
      <c r="E231" s="22">
        <f>31-11+30+11</f>
        <v>61</v>
      </c>
      <c r="G231" s="22" t="s">
        <v>390</v>
      </c>
      <c r="AC231">
        <v>0</v>
      </c>
      <c r="AD231" s="47"/>
      <c r="AF231" s="47"/>
      <c r="AI231" s="10"/>
    </row>
    <row r="232" spans="1:36" ht="14.75" x14ac:dyDescent="0.75">
      <c r="A232" s="22">
        <v>948</v>
      </c>
      <c r="B232" s="3">
        <v>44937</v>
      </c>
      <c r="C232" s="3" t="str">
        <f t="shared" si="20"/>
        <v>1/11/23</v>
      </c>
      <c r="D232" s="3" t="s">
        <v>539</v>
      </c>
      <c r="E232" s="22">
        <f>31-11+30+31+11</f>
        <v>92</v>
      </c>
      <c r="G232" s="22" t="s">
        <v>539</v>
      </c>
      <c r="AC232">
        <v>1</v>
      </c>
      <c r="AD232" s="47"/>
      <c r="AF232" s="47"/>
      <c r="AI232" s="10"/>
    </row>
    <row r="233" spans="1:36" ht="14.75" x14ac:dyDescent="0.75">
      <c r="A233" s="22">
        <v>948</v>
      </c>
      <c r="B233" s="3">
        <v>44980</v>
      </c>
      <c r="C233" s="3" t="str">
        <f t="shared" si="20"/>
        <v>2/23/23</v>
      </c>
      <c r="D233" s="3" t="s">
        <v>539</v>
      </c>
      <c r="E233" s="22">
        <f>31-11+23</f>
        <v>43</v>
      </c>
      <c r="G233" s="22" t="s">
        <v>539</v>
      </c>
      <c r="AC233">
        <v>5</v>
      </c>
      <c r="AD233" s="47"/>
      <c r="AF233" s="47"/>
      <c r="AI233" s="10"/>
    </row>
    <row r="234" spans="1:36" ht="14.75" x14ac:dyDescent="0.75">
      <c r="A234" s="22">
        <v>948</v>
      </c>
      <c r="B234" s="3">
        <v>45104</v>
      </c>
      <c r="C234" s="3" t="str">
        <f t="shared" si="20"/>
        <v>6/27/23</v>
      </c>
      <c r="D234" s="3" t="s">
        <v>539</v>
      </c>
      <c r="E234" s="22">
        <f>28-23+31+30+31+27</f>
        <v>124</v>
      </c>
      <c r="G234" s="22" t="s">
        <v>1289</v>
      </c>
      <c r="M234" s="47">
        <v>0</v>
      </c>
      <c r="N234" s="47">
        <v>0</v>
      </c>
      <c r="O234" s="47">
        <v>0</v>
      </c>
      <c r="P234" s="47">
        <v>0</v>
      </c>
      <c r="Q234" s="47">
        <v>0</v>
      </c>
      <c r="AC234">
        <v>0</v>
      </c>
      <c r="AD234" s="47"/>
      <c r="AF234" s="47"/>
      <c r="AI234" s="10"/>
      <c r="AJ234" t="s">
        <v>1295</v>
      </c>
    </row>
    <row r="235" spans="1:36" s="205" customFormat="1" ht="14.75" x14ac:dyDescent="0.75">
      <c r="A235" s="200">
        <v>949</v>
      </c>
      <c r="B235" s="201">
        <v>45006</v>
      </c>
      <c r="C235" s="3" t="str">
        <f t="shared" si="20"/>
        <v>3/21/23</v>
      </c>
      <c r="D235" s="3" t="s">
        <v>539</v>
      </c>
      <c r="E235" s="200">
        <v>0</v>
      </c>
      <c r="F235" s="200"/>
      <c r="G235" s="200" t="s">
        <v>539</v>
      </c>
      <c r="H235" s="200"/>
      <c r="I235" s="200"/>
      <c r="J235" s="200"/>
      <c r="K235" s="200"/>
      <c r="L235" s="200"/>
      <c r="M235" s="204"/>
      <c r="N235" s="204"/>
      <c r="O235" s="204"/>
      <c r="P235" s="204"/>
      <c r="Q235" s="204"/>
      <c r="R235" s="204"/>
      <c r="S235" s="204"/>
      <c r="T235" s="204"/>
      <c r="U235" s="204"/>
      <c r="V235" s="204"/>
      <c r="W235" s="200"/>
      <c r="X235" s="200"/>
      <c r="AC235" s="205">
        <v>1</v>
      </c>
      <c r="AD235" s="204"/>
      <c r="AF235" s="204"/>
      <c r="AI235" s="206"/>
    </row>
    <row r="236" spans="1:36" s="205" customFormat="1" ht="14.75" x14ac:dyDescent="0.75">
      <c r="A236" s="200">
        <v>950</v>
      </c>
      <c r="B236" s="201">
        <v>44715</v>
      </c>
      <c r="C236" s="3" t="str">
        <f t="shared" si="20"/>
        <v>6/3/22</v>
      </c>
      <c r="D236" s="3" t="s">
        <v>539</v>
      </c>
      <c r="E236" s="200">
        <v>0</v>
      </c>
      <c r="F236" s="200"/>
      <c r="G236" s="200" t="s">
        <v>539</v>
      </c>
      <c r="H236" s="200"/>
      <c r="I236" s="200"/>
      <c r="J236" s="200"/>
      <c r="K236" s="200"/>
      <c r="L236" s="200">
        <f t="shared" si="16"/>
        <v>0</v>
      </c>
      <c r="M236" s="204"/>
      <c r="N236" s="204"/>
      <c r="O236" s="204"/>
      <c r="P236" s="204"/>
      <c r="Q236" s="204">
        <f t="shared" si="9"/>
        <v>0</v>
      </c>
      <c r="R236" s="204"/>
      <c r="S236" s="204"/>
      <c r="T236" s="204"/>
      <c r="U236" s="204"/>
      <c r="V236" s="204">
        <f t="shared" si="10"/>
        <v>0</v>
      </c>
      <c r="W236" s="200"/>
      <c r="X236" s="200"/>
      <c r="AB236" s="205" t="str">
        <f t="shared" si="7"/>
        <v>No</v>
      </c>
      <c r="AC236" s="205">
        <f>TreatmentUsed!E803</f>
        <v>9</v>
      </c>
      <c r="AD236" s="204">
        <f>Q236-Q228</f>
        <v>0</v>
      </c>
      <c r="AE236" s="205" t="e">
        <f>AD236/E236</f>
        <v>#DIV/0!</v>
      </c>
      <c r="AF236" s="204">
        <f>V236-V228</f>
        <v>0</v>
      </c>
      <c r="AG236" s="205" t="e">
        <f>(V236-V228)/E236</f>
        <v>#DIV/0!</v>
      </c>
      <c r="AH236" s="205" t="e">
        <f t="shared" si="17"/>
        <v>#DIV/0!</v>
      </c>
      <c r="AI236" s="206" t="e">
        <f>(AH236/E236)</f>
        <v>#DIV/0!</v>
      </c>
    </row>
    <row r="237" spans="1:36" ht="14.75" x14ac:dyDescent="0.75">
      <c r="A237" s="207">
        <v>950</v>
      </c>
      <c r="B237" s="3">
        <v>44743</v>
      </c>
      <c r="C237" s="3" t="str">
        <f t="shared" si="20"/>
        <v>7/1/22</v>
      </c>
      <c r="D237" s="3" t="s">
        <v>539</v>
      </c>
      <c r="E237" s="22">
        <f>30-3+1</f>
        <v>28</v>
      </c>
      <c r="G237" s="22" t="s">
        <v>539</v>
      </c>
      <c r="AC237">
        <v>0</v>
      </c>
      <c r="AD237" s="47"/>
      <c r="AF237" s="47"/>
      <c r="AI237" s="10"/>
    </row>
    <row r="238" spans="1:36" ht="14.75" x14ac:dyDescent="0.75">
      <c r="A238" s="207">
        <v>950</v>
      </c>
      <c r="B238" s="3">
        <v>44762</v>
      </c>
      <c r="C238" s="3" t="str">
        <f t="shared" si="20"/>
        <v>7/20/22</v>
      </c>
      <c r="D238" s="3" t="s">
        <v>539</v>
      </c>
      <c r="E238" s="22">
        <f>20-1</f>
        <v>19</v>
      </c>
      <c r="G238" s="22" t="s">
        <v>539</v>
      </c>
      <c r="AC238">
        <v>0</v>
      </c>
      <c r="AD238" s="47"/>
      <c r="AF238" s="47"/>
      <c r="AI238" s="10"/>
    </row>
    <row r="239" spans="1:36" ht="14.75" x14ac:dyDescent="0.75">
      <c r="A239" s="207">
        <v>950</v>
      </c>
      <c r="B239" s="3">
        <v>44937</v>
      </c>
      <c r="C239" s="3" t="str">
        <f t="shared" si="20"/>
        <v>1/11/23</v>
      </c>
      <c r="D239" s="3" t="s">
        <v>539</v>
      </c>
      <c r="E239" s="22">
        <f>31-20+31+30+31+30+31+11</f>
        <v>175</v>
      </c>
      <c r="G239" s="22" t="s">
        <v>390</v>
      </c>
      <c r="AC239">
        <v>0</v>
      </c>
      <c r="AD239" s="47"/>
      <c r="AF239" s="47"/>
      <c r="AI239" s="10"/>
    </row>
    <row r="240" spans="1:36" s="205" customFormat="1" ht="14.75" x14ac:dyDescent="0.75">
      <c r="A240" s="200" t="s">
        <v>777</v>
      </c>
      <c r="B240" s="201">
        <v>44715</v>
      </c>
      <c r="C240" s="3" t="str">
        <f t="shared" si="20"/>
        <v>6/3/22</v>
      </c>
      <c r="D240" s="3" t="s">
        <v>539</v>
      </c>
      <c r="E240" s="200">
        <v>0</v>
      </c>
      <c r="F240" s="200"/>
      <c r="G240" s="200" t="s">
        <v>539</v>
      </c>
      <c r="H240" s="200"/>
      <c r="I240" s="200"/>
      <c r="J240" s="200"/>
      <c r="K240" s="200"/>
      <c r="L240" s="200"/>
      <c r="M240" s="204"/>
      <c r="N240" s="204"/>
      <c r="O240" s="204"/>
      <c r="P240" s="204"/>
      <c r="Q240" s="204"/>
      <c r="R240" s="204"/>
      <c r="S240" s="204"/>
      <c r="T240" s="204"/>
      <c r="U240" s="204"/>
      <c r="V240" s="204"/>
      <c r="W240" s="200"/>
      <c r="X240" s="200"/>
      <c r="AC240" s="205">
        <v>2</v>
      </c>
      <c r="AD240" s="204"/>
      <c r="AF240" s="204"/>
      <c r="AI240" s="206"/>
    </row>
    <row r="241" spans="1:36" ht="14.75" x14ac:dyDescent="0.75">
      <c r="A241" s="22" t="s">
        <v>777</v>
      </c>
      <c r="B241" s="3">
        <v>44743</v>
      </c>
      <c r="C241" s="3" t="str">
        <f t="shared" si="20"/>
        <v>7/1/22</v>
      </c>
      <c r="D241" s="3" t="s">
        <v>539</v>
      </c>
      <c r="E241" s="22">
        <v>28</v>
      </c>
      <c r="G241" s="22" t="s">
        <v>539</v>
      </c>
      <c r="AC241">
        <v>2</v>
      </c>
      <c r="AD241" s="47"/>
      <c r="AF241" s="47"/>
      <c r="AI241" s="10"/>
    </row>
    <row r="242" spans="1:36" ht="14.75" x14ac:dyDescent="0.75">
      <c r="A242" s="207" t="s">
        <v>777</v>
      </c>
      <c r="B242" s="3">
        <v>44762</v>
      </c>
      <c r="C242" s="3" t="str">
        <f t="shared" si="20"/>
        <v>7/20/22</v>
      </c>
      <c r="D242" s="3" t="s">
        <v>539</v>
      </c>
      <c r="E242" s="22">
        <v>20</v>
      </c>
      <c r="G242" s="22" t="s">
        <v>539</v>
      </c>
      <c r="AC242">
        <v>0</v>
      </c>
      <c r="AD242" s="47"/>
      <c r="AF242" s="47"/>
      <c r="AI242" s="10"/>
    </row>
    <row r="243" spans="1:36" ht="14.75" x14ac:dyDescent="0.75">
      <c r="A243" s="22" t="s">
        <v>777</v>
      </c>
      <c r="B243" s="3">
        <v>44784</v>
      </c>
      <c r="C243" s="3" t="str">
        <f t="shared" si="20"/>
        <v>8/11/22</v>
      </c>
      <c r="D243" s="3" t="s">
        <v>539</v>
      </c>
      <c r="E243" s="22">
        <f>31-20+11</f>
        <v>22</v>
      </c>
      <c r="G243" s="22" t="s">
        <v>539</v>
      </c>
      <c r="AC243">
        <v>4</v>
      </c>
      <c r="AD243" s="47"/>
      <c r="AF243" s="47"/>
      <c r="AI243" s="10"/>
    </row>
    <row r="244" spans="1:36" ht="14.75" x14ac:dyDescent="0.75">
      <c r="A244" s="207" t="s">
        <v>777</v>
      </c>
      <c r="B244" s="3">
        <v>44845</v>
      </c>
      <c r="C244" s="3" t="str">
        <f t="shared" si="20"/>
        <v>10/11/22</v>
      </c>
      <c r="D244" s="3" t="s">
        <v>539</v>
      </c>
      <c r="E244" s="22">
        <f>31-11+30+11</f>
        <v>61</v>
      </c>
      <c r="G244" s="22" t="s">
        <v>390</v>
      </c>
      <c r="AC244">
        <v>0</v>
      </c>
      <c r="AD244" s="47"/>
      <c r="AF244" s="47"/>
      <c r="AI244" s="10"/>
    </row>
    <row r="245" spans="1:36" ht="14.75" x14ac:dyDescent="0.75">
      <c r="A245" s="207" t="s">
        <v>777</v>
      </c>
      <c r="B245" s="3">
        <v>44937</v>
      </c>
      <c r="C245" s="3" t="str">
        <f t="shared" si="20"/>
        <v>1/11/23</v>
      </c>
      <c r="D245" s="3" t="s">
        <v>539</v>
      </c>
      <c r="E245" s="22">
        <f>31-11+30+31+11</f>
        <v>92</v>
      </c>
      <c r="G245" s="22" t="s">
        <v>390</v>
      </c>
      <c r="AC245">
        <v>0</v>
      </c>
      <c r="AD245" s="47"/>
      <c r="AF245" s="47"/>
      <c r="AI245" s="10"/>
    </row>
    <row r="246" spans="1:36" ht="14.75" x14ac:dyDescent="0.75">
      <c r="A246" s="207" t="s">
        <v>777</v>
      </c>
      <c r="B246" s="3">
        <v>44980</v>
      </c>
      <c r="C246" s="3" t="str">
        <f t="shared" si="20"/>
        <v>2/23/23</v>
      </c>
      <c r="D246" s="3" t="s">
        <v>539</v>
      </c>
      <c r="E246" s="22">
        <f>31-11+23</f>
        <v>43</v>
      </c>
      <c r="G246" s="22" t="s">
        <v>390</v>
      </c>
      <c r="AC246">
        <v>0</v>
      </c>
      <c r="AD246" s="47"/>
      <c r="AF246" s="47"/>
      <c r="AI246" s="10"/>
    </row>
    <row r="247" spans="1:36" ht="14.75" x14ac:dyDescent="0.75">
      <c r="A247" s="207" t="s">
        <v>777</v>
      </c>
      <c r="B247" s="3">
        <v>45028</v>
      </c>
      <c r="C247" s="3" t="str">
        <f t="shared" si="20"/>
        <v>4/12/23</v>
      </c>
      <c r="D247" s="3" t="s">
        <v>539</v>
      </c>
      <c r="E247" s="22">
        <f>28-23+31+12</f>
        <v>48</v>
      </c>
      <c r="G247" s="22" t="s">
        <v>390</v>
      </c>
      <c r="AC247">
        <v>0</v>
      </c>
      <c r="AD247" s="47"/>
      <c r="AF247" s="47"/>
      <c r="AI247" s="10"/>
    </row>
    <row r="248" spans="1:36" ht="14.75" x14ac:dyDescent="0.75">
      <c r="A248" s="207" t="s">
        <v>777</v>
      </c>
      <c r="B248" s="3">
        <v>45064</v>
      </c>
      <c r="C248" s="3" t="str">
        <f t="shared" si="20"/>
        <v>5/18/23</v>
      </c>
      <c r="D248" s="3" t="s">
        <v>539</v>
      </c>
      <c r="E248" s="22">
        <f>30-12+18</f>
        <v>36</v>
      </c>
      <c r="G248" s="22" t="s">
        <v>390</v>
      </c>
      <c r="AC248">
        <v>0</v>
      </c>
      <c r="AD248" s="47"/>
      <c r="AF248" s="47"/>
      <c r="AI248" s="10"/>
    </row>
    <row r="249" spans="1:36" ht="14.75" x14ac:dyDescent="0.75">
      <c r="A249" s="207" t="s">
        <v>777</v>
      </c>
      <c r="B249" s="3">
        <v>45104</v>
      </c>
      <c r="C249" s="3" t="str">
        <f t="shared" si="20"/>
        <v>6/27/23</v>
      </c>
      <c r="D249" s="3" t="s">
        <v>539</v>
      </c>
      <c r="E249" s="22">
        <f>31-18+27</f>
        <v>40</v>
      </c>
      <c r="G249" s="22" t="s">
        <v>390</v>
      </c>
      <c r="AC249">
        <v>0</v>
      </c>
      <c r="AD249" s="47"/>
      <c r="AF249" s="47"/>
      <c r="AI249" s="10"/>
    </row>
    <row r="250" spans="1:36" s="205" customFormat="1" ht="14.75" x14ac:dyDescent="0.75">
      <c r="A250" s="200">
        <v>952</v>
      </c>
      <c r="B250" s="201">
        <v>44659</v>
      </c>
      <c r="C250" s="3" t="str">
        <f t="shared" si="20"/>
        <v>4/8/22</v>
      </c>
      <c r="D250" s="3" t="s">
        <v>539</v>
      </c>
      <c r="E250" s="200">
        <v>0</v>
      </c>
      <c r="F250" s="200"/>
      <c r="G250" s="200" t="s">
        <v>539</v>
      </c>
      <c r="H250" s="200"/>
      <c r="I250" s="200"/>
      <c r="J250" s="200"/>
      <c r="K250" s="200"/>
      <c r="L250" s="200">
        <f t="shared" si="16"/>
        <v>0</v>
      </c>
      <c r="M250" s="204"/>
      <c r="N250" s="204"/>
      <c r="O250" s="204"/>
      <c r="P250" s="204"/>
      <c r="Q250" s="204">
        <f t="shared" si="9"/>
        <v>0</v>
      </c>
      <c r="R250" s="204"/>
      <c r="S250" s="204"/>
      <c r="T250" s="204"/>
      <c r="U250" s="204"/>
      <c r="V250" s="204">
        <f t="shared" si="10"/>
        <v>0</v>
      </c>
      <c r="W250" s="200"/>
      <c r="X250" s="200"/>
      <c r="AB250" s="205" t="str">
        <f t="shared" si="7"/>
        <v>No</v>
      </c>
      <c r="AC250" s="205" t="s">
        <v>363</v>
      </c>
      <c r="AD250" s="204">
        <f>Q250-Q236</f>
        <v>0</v>
      </c>
      <c r="AE250" s="205" t="e">
        <f>AD250/E250</f>
        <v>#DIV/0!</v>
      </c>
      <c r="AF250" s="204">
        <f>V250-V236</f>
        <v>0</v>
      </c>
      <c r="AG250" s="205" t="e">
        <f>(V250-V236)/E250</f>
        <v>#DIV/0!</v>
      </c>
      <c r="AH250" s="205" t="e">
        <f t="shared" si="17"/>
        <v>#DIV/0!</v>
      </c>
      <c r="AI250" s="206" t="e">
        <f>(AH250/E250)</f>
        <v>#DIV/0!</v>
      </c>
    </row>
    <row r="251" spans="1:36" ht="14.75" x14ac:dyDescent="0.75">
      <c r="A251" s="22">
        <v>952</v>
      </c>
      <c r="B251" s="3">
        <v>44748</v>
      </c>
      <c r="C251" s="3" t="str">
        <f t="shared" si="20"/>
        <v>7/6/22</v>
      </c>
      <c r="D251" s="3" t="s">
        <v>539</v>
      </c>
      <c r="E251" s="22">
        <f>30-8+31+30+6</f>
        <v>89</v>
      </c>
      <c r="G251" s="22" t="s">
        <v>539</v>
      </c>
      <c r="L251" s="22">
        <f t="shared" si="16"/>
        <v>0</v>
      </c>
      <c r="Q251" s="47">
        <f t="shared" si="9"/>
        <v>0</v>
      </c>
      <c r="V251" s="47">
        <f t="shared" si="10"/>
        <v>0</v>
      </c>
      <c r="AB251" t="str">
        <f t="shared" si="7"/>
        <v>No</v>
      </c>
      <c r="AC251">
        <v>5</v>
      </c>
      <c r="AD251" s="47">
        <f>Q251-Q250</f>
        <v>0</v>
      </c>
      <c r="AE251">
        <f>AD251/E251</f>
        <v>0</v>
      </c>
      <c r="AF251" s="47">
        <f>V251-V250</f>
        <v>0</v>
      </c>
      <c r="AG251">
        <f>(V251-V250)/E251</f>
        <v>0</v>
      </c>
      <c r="AH251" t="e">
        <f t="shared" si="17"/>
        <v>#DIV/0!</v>
      </c>
      <c r="AI251" s="10" t="e">
        <f>(AH251/E251)</f>
        <v>#DIV/0!</v>
      </c>
    </row>
    <row r="252" spans="1:36" ht="14.75" x14ac:dyDescent="0.75">
      <c r="A252" s="22">
        <v>952</v>
      </c>
      <c r="B252" s="3">
        <v>44768</v>
      </c>
      <c r="C252" s="3" t="str">
        <f t="shared" si="20"/>
        <v>7/26/22</v>
      </c>
      <c r="D252" s="3" t="s">
        <v>539</v>
      </c>
      <c r="E252" s="22">
        <v>20</v>
      </c>
      <c r="G252" s="22" t="s">
        <v>539</v>
      </c>
      <c r="L252" s="22">
        <f t="shared" si="16"/>
        <v>0</v>
      </c>
      <c r="Q252" s="47">
        <f t="shared" si="9"/>
        <v>0</v>
      </c>
      <c r="V252" s="47">
        <f t="shared" si="10"/>
        <v>0</v>
      </c>
      <c r="AB252" t="str">
        <f t="shared" si="7"/>
        <v>No</v>
      </c>
      <c r="AC252">
        <v>0</v>
      </c>
      <c r="AD252" s="47">
        <f t="shared" si="18"/>
        <v>0</v>
      </c>
      <c r="AE252">
        <f>AD252/E252</f>
        <v>0</v>
      </c>
      <c r="AF252" s="47">
        <f t="shared" si="19"/>
        <v>0</v>
      </c>
      <c r="AG252">
        <f>(V252-V251)/E252</f>
        <v>0</v>
      </c>
      <c r="AH252" t="e">
        <f t="shared" si="17"/>
        <v>#DIV/0!</v>
      </c>
      <c r="AI252" s="10" t="e">
        <f>(AH252/E252)</f>
        <v>#DIV/0!</v>
      </c>
      <c r="AJ252" s="143" t="s">
        <v>1296</v>
      </c>
    </row>
    <row r="253" spans="1:36" ht="14.75" x14ac:dyDescent="0.75">
      <c r="A253" s="22">
        <v>952</v>
      </c>
      <c r="B253" s="3">
        <v>44790</v>
      </c>
      <c r="C253" s="3" t="str">
        <f t="shared" si="20"/>
        <v>8/17/22</v>
      </c>
      <c r="D253" s="3" t="s">
        <v>539</v>
      </c>
      <c r="E253" s="22">
        <f>31-26+17</f>
        <v>22</v>
      </c>
      <c r="G253" s="22" t="s">
        <v>539</v>
      </c>
      <c r="L253" s="22">
        <f t="shared" si="16"/>
        <v>0</v>
      </c>
      <c r="Q253" s="47">
        <f t="shared" si="9"/>
        <v>0</v>
      </c>
      <c r="V253" s="47">
        <f t="shared" si="10"/>
        <v>0</v>
      </c>
      <c r="AB253" t="str">
        <f t="shared" si="7"/>
        <v>No</v>
      </c>
      <c r="AC253">
        <v>17</v>
      </c>
      <c r="AD253" s="47">
        <f t="shared" si="18"/>
        <v>0</v>
      </c>
      <c r="AE253">
        <f>AD253/E253</f>
        <v>0</v>
      </c>
      <c r="AF253" s="47">
        <f t="shared" si="19"/>
        <v>0</v>
      </c>
      <c r="AG253">
        <f>(V253-V252)/E253</f>
        <v>0</v>
      </c>
      <c r="AH253" t="e">
        <f t="shared" si="17"/>
        <v>#DIV/0!</v>
      </c>
      <c r="AI253" s="10" t="e">
        <f>(AH253/E253)</f>
        <v>#DIV/0!</v>
      </c>
    </row>
    <row r="254" spans="1:36" ht="14.75" x14ac:dyDescent="0.75">
      <c r="A254" s="22">
        <v>952</v>
      </c>
      <c r="B254" s="3">
        <v>44838</v>
      </c>
      <c r="C254" s="3" t="str">
        <f t="shared" si="20"/>
        <v>10/4/22</v>
      </c>
      <c r="D254" s="3" t="s">
        <v>539</v>
      </c>
      <c r="E254" s="22">
        <f>31-17+30+4</f>
        <v>48</v>
      </c>
      <c r="G254" s="22" t="s">
        <v>539</v>
      </c>
      <c r="AC254">
        <v>2</v>
      </c>
      <c r="AD254" s="47"/>
      <c r="AF254" s="47"/>
      <c r="AI254" s="10"/>
    </row>
    <row r="255" spans="1:36" ht="14.75" x14ac:dyDescent="0.75">
      <c r="A255" s="22">
        <v>952</v>
      </c>
      <c r="B255" s="3">
        <v>44875</v>
      </c>
      <c r="C255" s="3" t="str">
        <f t="shared" si="20"/>
        <v>11/10/22</v>
      </c>
      <c r="D255" s="3" t="s">
        <v>539</v>
      </c>
      <c r="E255" s="22">
        <f>31-4+10</f>
        <v>37</v>
      </c>
      <c r="G255" s="22" t="s">
        <v>539</v>
      </c>
      <c r="AC255">
        <v>0</v>
      </c>
      <c r="AD255" s="47"/>
      <c r="AF255" s="47"/>
      <c r="AI255" s="10"/>
    </row>
    <row r="256" spans="1:36" ht="14.75" x14ac:dyDescent="0.75">
      <c r="A256" s="207">
        <v>952</v>
      </c>
      <c r="B256" s="3">
        <v>44896</v>
      </c>
      <c r="C256" s="3" t="str">
        <f t="shared" si="20"/>
        <v>12/1/22</v>
      </c>
      <c r="D256" s="3" t="s">
        <v>539</v>
      </c>
      <c r="E256" s="22">
        <f>30-10+1</f>
        <v>21</v>
      </c>
      <c r="G256" s="22" t="s">
        <v>390</v>
      </c>
      <c r="AC256">
        <v>0</v>
      </c>
      <c r="AD256" s="47"/>
      <c r="AF256" s="47"/>
      <c r="AI256" s="10"/>
    </row>
    <row r="257" spans="1:35" ht="14.75" x14ac:dyDescent="0.75">
      <c r="A257" s="207">
        <v>952</v>
      </c>
      <c r="B257" s="3">
        <v>44950</v>
      </c>
      <c r="C257" s="3" t="str">
        <f t="shared" si="20"/>
        <v>1/24/23</v>
      </c>
      <c r="D257" s="3" t="s">
        <v>539</v>
      </c>
      <c r="E257" s="22">
        <f>31-1+24</f>
        <v>54</v>
      </c>
      <c r="G257" s="22" t="s">
        <v>390</v>
      </c>
      <c r="AC257">
        <v>0</v>
      </c>
      <c r="AD257" s="47"/>
      <c r="AF257" s="47"/>
      <c r="AI257" s="10"/>
    </row>
    <row r="258" spans="1:35" ht="14.75" x14ac:dyDescent="0.75">
      <c r="A258" s="22">
        <v>952</v>
      </c>
      <c r="B258" s="3">
        <v>44986</v>
      </c>
      <c r="C258" s="3" t="str">
        <f t="shared" si="20"/>
        <v>3/1/23</v>
      </c>
      <c r="D258" s="3" t="s">
        <v>539</v>
      </c>
      <c r="E258" s="22">
        <f>31-24+28+1</f>
        <v>36</v>
      </c>
      <c r="G258" s="22" t="s">
        <v>539</v>
      </c>
      <c r="AC258">
        <v>5</v>
      </c>
      <c r="AD258" s="47"/>
      <c r="AF258" s="47"/>
      <c r="AI258" s="10"/>
    </row>
    <row r="259" spans="1:35" ht="14.75" x14ac:dyDescent="0.75">
      <c r="A259" s="22">
        <v>952</v>
      </c>
      <c r="B259" s="3">
        <v>45035</v>
      </c>
      <c r="C259" s="3" t="str">
        <f t="shared" ref="C259:C322" si="21">TEXT(B259,"M/D/YY")</f>
        <v>4/19/23</v>
      </c>
      <c r="D259" s="3" t="s">
        <v>539</v>
      </c>
      <c r="E259" s="22">
        <f>31-1+19</f>
        <v>49</v>
      </c>
      <c r="G259" s="22" t="s">
        <v>539</v>
      </c>
      <c r="AC259">
        <v>0</v>
      </c>
      <c r="AD259" s="47"/>
      <c r="AF259" s="47"/>
      <c r="AI259" s="10"/>
    </row>
    <row r="260" spans="1:35" ht="14.75" x14ac:dyDescent="0.75">
      <c r="A260" s="207">
        <v>952</v>
      </c>
      <c r="B260" s="3">
        <v>45069</v>
      </c>
      <c r="C260" s="3" t="str">
        <f t="shared" si="21"/>
        <v>5/23/23</v>
      </c>
      <c r="D260" s="3" t="s">
        <v>539</v>
      </c>
      <c r="E260" s="22">
        <f>30-19+23</f>
        <v>34</v>
      </c>
      <c r="G260" s="22" t="s">
        <v>390</v>
      </c>
      <c r="AC260">
        <v>0</v>
      </c>
      <c r="AD260" s="47"/>
      <c r="AF260" s="47"/>
      <c r="AI260" s="10"/>
    </row>
    <row r="261" spans="1:35" ht="14.75" x14ac:dyDescent="0.75">
      <c r="A261" s="207">
        <v>952</v>
      </c>
      <c r="B261" s="3">
        <v>45113</v>
      </c>
      <c r="C261" s="3" t="str">
        <f t="shared" si="21"/>
        <v>7/6/23</v>
      </c>
      <c r="D261" s="3" t="s">
        <v>539</v>
      </c>
      <c r="E261" s="22">
        <f>31-23+30+6</f>
        <v>44</v>
      </c>
      <c r="G261" s="22" t="s">
        <v>390</v>
      </c>
      <c r="AC261">
        <v>0</v>
      </c>
      <c r="AD261" s="47"/>
      <c r="AF261" s="47"/>
      <c r="AI261" s="10"/>
    </row>
    <row r="262" spans="1:35" ht="14.75" x14ac:dyDescent="0.75">
      <c r="A262" s="207">
        <v>952</v>
      </c>
      <c r="B262" s="3">
        <v>45167</v>
      </c>
      <c r="C262" s="3" t="str">
        <f t="shared" si="21"/>
        <v>8/29/23</v>
      </c>
      <c r="D262" s="3" t="s">
        <v>539</v>
      </c>
      <c r="E262" s="22">
        <f>29+31-6</f>
        <v>54</v>
      </c>
      <c r="G262" s="22" t="s">
        <v>390</v>
      </c>
      <c r="AC262">
        <v>0</v>
      </c>
      <c r="AD262" s="47"/>
      <c r="AF262" s="47"/>
      <c r="AI262" s="10"/>
    </row>
    <row r="263" spans="1:35" s="205" customFormat="1" ht="14.75" x14ac:dyDescent="0.75">
      <c r="A263" s="200">
        <v>953</v>
      </c>
      <c r="B263" s="201">
        <v>44748</v>
      </c>
      <c r="C263" s="3" t="str">
        <f t="shared" si="21"/>
        <v>7/6/22</v>
      </c>
      <c r="D263" s="3" t="s">
        <v>539</v>
      </c>
      <c r="E263" s="200">
        <v>0</v>
      </c>
      <c r="F263" s="200"/>
      <c r="G263" s="200" t="s">
        <v>539</v>
      </c>
      <c r="H263" s="200"/>
      <c r="I263" s="200"/>
      <c r="J263" s="200"/>
      <c r="K263" s="200"/>
      <c r="L263" s="200">
        <f t="shared" si="16"/>
        <v>0</v>
      </c>
      <c r="M263" s="204"/>
      <c r="N263" s="204"/>
      <c r="O263" s="204"/>
      <c r="P263" s="204"/>
      <c r="Q263" s="204">
        <f t="shared" si="9"/>
        <v>0</v>
      </c>
      <c r="R263" s="204"/>
      <c r="S263" s="204"/>
      <c r="T263" s="204"/>
      <c r="U263" s="204"/>
      <c r="V263" s="204">
        <f t="shared" si="10"/>
        <v>0</v>
      </c>
      <c r="W263" s="200"/>
      <c r="X263" s="200"/>
      <c r="AB263" s="205" t="str">
        <f t="shared" si="7"/>
        <v>No</v>
      </c>
      <c r="AC263" s="205">
        <v>15</v>
      </c>
      <c r="AD263" s="204">
        <f>Q263-Q253</f>
        <v>0</v>
      </c>
      <c r="AE263" s="205" t="e">
        <f>AD263/E263</f>
        <v>#DIV/0!</v>
      </c>
      <c r="AF263" s="204">
        <f>V263-V253</f>
        <v>0</v>
      </c>
      <c r="AG263" s="205" t="e">
        <f>(V263-V253)/E263</f>
        <v>#DIV/0!</v>
      </c>
      <c r="AH263" s="205" t="e">
        <f t="shared" si="17"/>
        <v>#DIV/0!</v>
      </c>
      <c r="AI263" s="206" t="e">
        <f>(AH263/E263)</f>
        <v>#DIV/0!</v>
      </c>
    </row>
    <row r="264" spans="1:35" ht="14.75" x14ac:dyDescent="0.75">
      <c r="A264" s="22">
        <v>953</v>
      </c>
      <c r="B264" s="3">
        <v>44769</v>
      </c>
      <c r="C264" s="3" t="str">
        <f t="shared" si="21"/>
        <v>7/27/22</v>
      </c>
      <c r="D264" s="3" t="s">
        <v>539</v>
      </c>
      <c r="E264" s="22">
        <v>21</v>
      </c>
      <c r="G264" s="22" t="s">
        <v>539</v>
      </c>
      <c r="L264" s="22">
        <f t="shared" si="16"/>
        <v>0</v>
      </c>
      <c r="Q264" s="47">
        <f t="shared" si="9"/>
        <v>0</v>
      </c>
      <c r="V264" s="47">
        <f t="shared" si="10"/>
        <v>0</v>
      </c>
      <c r="AB264" t="str">
        <f t="shared" si="7"/>
        <v>No</v>
      </c>
      <c r="AC264">
        <v>3</v>
      </c>
      <c r="AD264" s="47">
        <f t="shared" si="18"/>
        <v>0</v>
      </c>
      <c r="AE264">
        <f>AD264/E264</f>
        <v>0</v>
      </c>
      <c r="AF264" s="47">
        <f t="shared" si="19"/>
        <v>0</v>
      </c>
      <c r="AG264">
        <f>(V264-V263)/E264</f>
        <v>0</v>
      </c>
      <c r="AH264" t="e">
        <f t="shared" si="17"/>
        <v>#DIV/0!</v>
      </c>
      <c r="AI264" s="10" t="e">
        <f>(AH264/E264)</f>
        <v>#DIV/0!</v>
      </c>
    </row>
    <row r="265" spans="1:35" ht="14.75" x14ac:dyDescent="0.75">
      <c r="A265" s="22">
        <v>953</v>
      </c>
      <c r="B265" s="3">
        <v>44789</v>
      </c>
      <c r="C265" s="3" t="str">
        <f t="shared" si="21"/>
        <v>8/16/22</v>
      </c>
      <c r="D265" s="3" t="s">
        <v>539</v>
      </c>
      <c r="E265" s="22">
        <f>31-27+16</f>
        <v>20</v>
      </c>
      <c r="G265" s="22" t="s">
        <v>539</v>
      </c>
      <c r="L265" s="22">
        <f t="shared" si="16"/>
        <v>0</v>
      </c>
      <c r="Q265" s="47">
        <f t="shared" si="9"/>
        <v>0</v>
      </c>
      <c r="V265" s="47">
        <f t="shared" si="10"/>
        <v>0</v>
      </c>
      <c r="AB265" t="str">
        <f t="shared" si="7"/>
        <v>No</v>
      </c>
      <c r="AC265">
        <v>9</v>
      </c>
      <c r="AD265" s="47">
        <f t="shared" si="18"/>
        <v>0</v>
      </c>
      <c r="AE265">
        <f>AD265/E265</f>
        <v>0</v>
      </c>
      <c r="AF265" s="47">
        <f t="shared" si="19"/>
        <v>0</v>
      </c>
      <c r="AG265">
        <f>(V265-V264)/E265</f>
        <v>0</v>
      </c>
      <c r="AH265" t="e">
        <f t="shared" si="17"/>
        <v>#DIV/0!</v>
      </c>
      <c r="AI265" s="10" t="e">
        <f>(AH265/E265)</f>
        <v>#DIV/0!</v>
      </c>
    </row>
    <row r="266" spans="1:35" ht="14.75" x14ac:dyDescent="0.75">
      <c r="A266" s="22">
        <v>953</v>
      </c>
      <c r="B266" s="3">
        <v>44831</v>
      </c>
      <c r="C266" s="3" t="str">
        <f t="shared" si="21"/>
        <v>9/27/22</v>
      </c>
      <c r="D266" s="3" t="s">
        <v>539</v>
      </c>
      <c r="E266" s="22">
        <f>31-16+27</f>
        <v>42</v>
      </c>
      <c r="G266" s="22" t="s">
        <v>539</v>
      </c>
      <c r="AC266">
        <v>6</v>
      </c>
      <c r="AD266" s="47"/>
      <c r="AF266" s="47"/>
      <c r="AI266" s="10"/>
    </row>
    <row r="267" spans="1:35" ht="14.75" x14ac:dyDescent="0.75">
      <c r="A267" s="22">
        <v>953</v>
      </c>
      <c r="B267" s="3">
        <v>44874</v>
      </c>
      <c r="C267" s="3" t="str">
        <f t="shared" si="21"/>
        <v>11/9/22</v>
      </c>
      <c r="D267" s="3" t="s">
        <v>539</v>
      </c>
      <c r="E267" s="22">
        <f>30-27+31+9</f>
        <v>43</v>
      </c>
      <c r="G267" s="22" t="s">
        <v>539</v>
      </c>
      <c r="AC267">
        <v>4</v>
      </c>
      <c r="AD267" s="47"/>
      <c r="AF267" s="47"/>
      <c r="AI267" s="10"/>
    </row>
    <row r="268" spans="1:35" ht="14.75" x14ac:dyDescent="0.75">
      <c r="A268" s="22">
        <v>953</v>
      </c>
      <c r="B268" s="3">
        <v>44895</v>
      </c>
      <c r="C268" s="3" t="str">
        <f t="shared" si="21"/>
        <v>11/30/22</v>
      </c>
      <c r="D268" s="3" t="s">
        <v>539</v>
      </c>
      <c r="E268" s="22">
        <f>21</f>
        <v>21</v>
      </c>
      <c r="G268" s="22" t="s">
        <v>539</v>
      </c>
      <c r="AC268">
        <v>0</v>
      </c>
      <c r="AD268" s="47"/>
      <c r="AF268" s="47"/>
      <c r="AI268" s="10"/>
    </row>
    <row r="269" spans="1:35" ht="14.75" x14ac:dyDescent="0.75">
      <c r="A269" s="207">
        <v>953</v>
      </c>
      <c r="B269" s="3">
        <v>44943</v>
      </c>
      <c r="C269" s="3" t="str">
        <f t="shared" si="21"/>
        <v>1/17/23</v>
      </c>
      <c r="D269" s="3" t="s">
        <v>539</v>
      </c>
      <c r="E269" s="22">
        <f>31+17</f>
        <v>48</v>
      </c>
      <c r="G269" s="22" t="s">
        <v>390</v>
      </c>
      <c r="AC269">
        <v>0</v>
      </c>
      <c r="AD269" s="47"/>
      <c r="AF269" s="47"/>
      <c r="AI269" s="10"/>
    </row>
    <row r="270" spans="1:35" ht="14.75" x14ac:dyDescent="0.75">
      <c r="A270" s="207">
        <v>953</v>
      </c>
      <c r="B270" s="3">
        <v>44985</v>
      </c>
      <c r="C270" s="3" t="str">
        <f t="shared" si="21"/>
        <v>2/28/23</v>
      </c>
      <c r="D270" s="3" t="s">
        <v>539</v>
      </c>
      <c r="E270" s="22">
        <f>31-17+28</f>
        <v>42</v>
      </c>
      <c r="G270" s="22" t="s">
        <v>390</v>
      </c>
      <c r="AC270">
        <v>0</v>
      </c>
      <c r="AD270" s="47"/>
      <c r="AF270" s="47"/>
      <c r="AI270" s="10"/>
    </row>
    <row r="271" spans="1:35" ht="14.75" x14ac:dyDescent="0.75">
      <c r="A271" s="207">
        <v>953</v>
      </c>
      <c r="B271" s="3">
        <v>45035</v>
      </c>
      <c r="C271" s="3" t="str">
        <f t="shared" si="21"/>
        <v>4/19/23</v>
      </c>
      <c r="D271" s="3" t="s">
        <v>539</v>
      </c>
      <c r="E271" s="22">
        <f>31+19</f>
        <v>50</v>
      </c>
      <c r="G271" s="22" t="s">
        <v>390</v>
      </c>
      <c r="AC271">
        <v>0</v>
      </c>
      <c r="AD271" s="47"/>
      <c r="AF271" s="47"/>
      <c r="AI271" s="10"/>
    </row>
    <row r="272" spans="1:35" ht="14.75" x14ac:dyDescent="0.75">
      <c r="A272" s="207">
        <v>953</v>
      </c>
      <c r="B272" s="3">
        <v>45062</v>
      </c>
      <c r="C272" s="3" t="str">
        <f t="shared" si="21"/>
        <v>5/16/23</v>
      </c>
      <c r="D272" s="3" t="s">
        <v>539</v>
      </c>
      <c r="E272" s="22">
        <f>30-19+16</f>
        <v>27</v>
      </c>
      <c r="G272" s="22" t="s">
        <v>390</v>
      </c>
      <c r="AC272">
        <v>0</v>
      </c>
      <c r="AD272" s="47"/>
      <c r="AF272" s="47"/>
      <c r="AI272" s="10"/>
    </row>
    <row r="273" spans="1:36" ht="14.75" x14ac:dyDescent="0.75">
      <c r="A273" s="207">
        <v>953</v>
      </c>
      <c r="B273" s="3">
        <v>45105</v>
      </c>
      <c r="C273" s="3" t="str">
        <f t="shared" si="21"/>
        <v>6/28/23</v>
      </c>
      <c r="D273" s="3" t="s">
        <v>539</v>
      </c>
      <c r="E273" s="22">
        <f>31-16+28</f>
        <v>43</v>
      </c>
      <c r="G273" s="22" t="s">
        <v>390</v>
      </c>
      <c r="AC273">
        <v>0</v>
      </c>
      <c r="AD273" s="47"/>
      <c r="AF273" s="47"/>
      <c r="AI273" s="10"/>
    </row>
    <row r="274" spans="1:36" ht="14.75" x14ac:dyDescent="0.75">
      <c r="A274" s="207">
        <v>953</v>
      </c>
      <c r="B274" s="3">
        <v>45167</v>
      </c>
      <c r="C274" s="3" t="str">
        <f t="shared" si="21"/>
        <v>8/29/23</v>
      </c>
      <c r="D274" s="3" t="s">
        <v>539</v>
      </c>
      <c r="E274" s="22">
        <f>29+31+30-28</f>
        <v>62</v>
      </c>
      <c r="G274" s="22" t="s">
        <v>390</v>
      </c>
      <c r="AC274">
        <v>0</v>
      </c>
      <c r="AD274" s="47"/>
      <c r="AF274" s="47"/>
      <c r="AI274" s="10"/>
    </row>
    <row r="275" spans="1:36" s="205" customFormat="1" ht="14.75" x14ac:dyDescent="0.75">
      <c r="A275" s="200">
        <v>954</v>
      </c>
      <c r="B275" s="201">
        <v>44748</v>
      </c>
      <c r="C275" s="3" t="str">
        <f t="shared" si="21"/>
        <v>7/6/22</v>
      </c>
      <c r="D275" s="3" t="s">
        <v>539</v>
      </c>
      <c r="E275" s="200">
        <v>0</v>
      </c>
      <c r="F275" s="200"/>
      <c r="G275" s="200" t="s">
        <v>539</v>
      </c>
      <c r="H275" s="200"/>
      <c r="I275" s="200"/>
      <c r="J275" s="200"/>
      <c r="K275" s="200"/>
      <c r="L275" s="200">
        <f t="shared" si="16"/>
        <v>0</v>
      </c>
      <c r="M275" s="204"/>
      <c r="N275" s="204"/>
      <c r="O275" s="204"/>
      <c r="P275" s="204"/>
      <c r="Q275" s="204">
        <f t="shared" si="9"/>
        <v>0</v>
      </c>
      <c r="R275" s="204"/>
      <c r="S275" s="204"/>
      <c r="T275" s="204"/>
      <c r="U275" s="204"/>
      <c r="V275" s="204">
        <f t="shared" si="10"/>
        <v>0</v>
      </c>
      <c r="W275" s="200"/>
      <c r="X275" s="200"/>
      <c r="AB275" s="205" t="str">
        <f t="shared" si="7"/>
        <v>No</v>
      </c>
      <c r="AC275" s="205">
        <v>6</v>
      </c>
      <c r="AD275" s="204">
        <f>Q275-Q265</f>
        <v>0</v>
      </c>
      <c r="AE275" s="205" t="e">
        <f>AD275/E275</f>
        <v>#DIV/0!</v>
      </c>
      <c r="AF275" s="204">
        <f>V275-V265</f>
        <v>0</v>
      </c>
      <c r="AG275" s="205" t="e">
        <f>(V275-V265)/E275</f>
        <v>#DIV/0!</v>
      </c>
      <c r="AH275" s="205" t="e">
        <f t="shared" si="17"/>
        <v>#DIV/0!</v>
      </c>
      <c r="AI275" s="206" t="e">
        <f>(AH275/E275)</f>
        <v>#DIV/0!</v>
      </c>
    </row>
    <row r="276" spans="1:36" ht="14.75" x14ac:dyDescent="0.75">
      <c r="A276" s="22">
        <v>954</v>
      </c>
      <c r="B276" s="3">
        <v>44769</v>
      </c>
      <c r="C276" s="3" t="str">
        <f t="shared" si="21"/>
        <v>7/27/22</v>
      </c>
      <c r="D276" s="3" t="s">
        <v>539</v>
      </c>
      <c r="E276" s="22">
        <v>21</v>
      </c>
      <c r="G276" s="22" t="s">
        <v>539</v>
      </c>
      <c r="L276" s="22">
        <f t="shared" si="16"/>
        <v>0</v>
      </c>
      <c r="Q276" s="47">
        <f t="shared" si="9"/>
        <v>0</v>
      </c>
      <c r="V276" s="47">
        <f t="shared" si="10"/>
        <v>0</v>
      </c>
      <c r="AB276" t="str">
        <f t="shared" si="7"/>
        <v>No</v>
      </c>
      <c r="AC276">
        <v>0</v>
      </c>
      <c r="AD276" s="47">
        <f t="shared" si="18"/>
        <v>0</v>
      </c>
      <c r="AE276">
        <f>AD276/E276</f>
        <v>0</v>
      </c>
      <c r="AF276" s="47">
        <f t="shared" si="19"/>
        <v>0</v>
      </c>
      <c r="AG276">
        <f>(V276-V275)/E276</f>
        <v>0</v>
      </c>
      <c r="AH276" t="e">
        <f t="shared" si="17"/>
        <v>#DIV/0!</v>
      </c>
      <c r="AI276" s="10" t="e">
        <f>(AH276/E276)</f>
        <v>#DIV/0!</v>
      </c>
    </row>
    <row r="277" spans="1:36" ht="14.75" x14ac:dyDescent="0.75">
      <c r="A277" s="22">
        <v>954</v>
      </c>
      <c r="B277" s="3">
        <v>44789</v>
      </c>
      <c r="C277" s="3" t="str">
        <f t="shared" si="21"/>
        <v>8/16/22</v>
      </c>
      <c r="D277" s="3" t="s">
        <v>539</v>
      </c>
      <c r="E277" s="22">
        <f>31-27+16</f>
        <v>20</v>
      </c>
      <c r="G277" s="22" t="s">
        <v>539</v>
      </c>
      <c r="L277" s="22">
        <f t="shared" si="16"/>
        <v>0</v>
      </c>
      <c r="Q277" s="47">
        <f t="shared" si="9"/>
        <v>0</v>
      </c>
      <c r="V277" s="47">
        <f t="shared" si="10"/>
        <v>0</v>
      </c>
      <c r="AB277" t="str">
        <f t="shared" si="7"/>
        <v>No</v>
      </c>
      <c r="AC277">
        <v>1</v>
      </c>
      <c r="AD277" s="47">
        <f t="shared" si="18"/>
        <v>0</v>
      </c>
      <c r="AE277">
        <f>AD277/E277</f>
        <v>0</v>
      </c>
      <c r="AF277" s="47">
        <f t="shared" si="19"/>
        <v>0</v>
      </c>
      <c r="AG277">
        <f>(V277-V276)/E277</f>
        <v>0</v>
      </c>
      <c r="AH277" t="e">
        <f t="shared" si="17"/>
        <v>#DIV/0!</v>
      </c>
      <c r="AI277" s="10" t="e">
        <f>(AH277/E277)</f>
        <v>#DIV/0!</v>
      </c>
    </row>
    <row r="278" spans="1:36" ht="14.75" x14ac:dyDescent="0.75">
      <c r="A278" s="22">
        <v>954</v>
      </c>
      <c r="B278" s="3">
        <v>44831</v>
      </c>
      <c r="C278" s="3" t="str">
        <f t="shared" si="21"/>
        <v>9/27/22</v>
      </c>
      <c r="D278" s="3" t="s">
        <v>539</v>
      </c>
      <c r="E278" s="22">
        <f>31-16+27</f>
        <v>42</v>
      </c>
      <c r="G278" s="22" t="s">
        <v>539</v>
      </c>
      <c r="AC278">
        <v>0</v>
      </c>
      <c r="AD278" s="47"/>
      <c r="AF278" s="47"/>
      <c r="AI278" s="10"/>
    </row>
    <row r="279" spans="1:36" ht="14.75" x14ac:dyDescent="0.75">
      <c r="A279" s="207">
        <v>954</v>
      </c>
      <c r="B279" s="3">
        <v>44874</v>
      </c>
      <c r="C279" s="3" t="str">
        <f t="shared" si="21"/>
        <v>11/9/22</v>
      </c>
      <c r="D279" s="3" t="s">
        <v>539</v>
      </c>
      <c r="E279" s="22">
        <f>30-27+31+9</f>
        <v>43</v>
      </c>
      <c r="G279" s="22" t="s">
        <v>390</v>
      </c>
      <c r="AC279">
        <v>0</v>
      </c>
      <c r="AD279" s="47"/>
      <c r="AF279" s="47"/>
      <c r="AI279" s="10"/>
    </row>
    <row r="280" spans="1:36" ht="14.75" x14ac:dyDescent="0.75">
      <c r="A280" s="207">
        <v>954</v>
      </c>
      <c r="B280" s="3">
        <v>44895</v>
      </c>
      <c r="C280" s="3" t="str">
        <f t="shared" si="21"/>
        <v>11/30/22</v>
      </c>
      <c r="D280" s="3" t="s">
        <v>539</v>
      </c>
      <c r="E280" s="22">
        <f>21</f>
        <v>21</v>
      </c>
      <c r="G280" s="22" t="s">
        <v>390</v>
      </c>
      <c r="AC280">
        <v>0</v>
      </c>
      <c r="AD280" s="47"/>
      <c r="AF280" s="47"/>
      <c r="AI280" s="10"/>
    </row>
    <row r="281" spans="1:36" ht="14.75" x14ac:dyDescent="0.75">
      <c r="A281" s="207">
        <v>954</v>
      </c>
      <c r="B281" s="3">
        <v>44943</v>
      </c>
      <c r="C281" s="3" t="str">
        <f t="shared" si="21"/>
        <v>1/17/23</v>
      </c>
      <c r="D281" s="3" t="s">
        <v>539</v>
      </c>
      <c r="E281" s="22">
        <f>31+17</f>
        <v>48</v>
      </c>
      <c r="G281" s="22" t="s">
        <v>390</v>
      </c>
      <c r="AC281">
        <v>0</v>
      </c>
      <c r="AD281" s="47"/>
      <c r="AF281" s="47"/>
      <c r="AI281" s="10"/>
    </row>
    <row r="282" spans="1:36" ht="14.75" x14ac:dyDescent="0.75">
      <c r="A282" s="207">
        <v>954</v>
      </c>
      <c r="B282" s="3">
        <v>44985</v>
      </c>
      <c r="C282" s="3" t="str">
        <f t="shared" si="21"/>
        <v>2/28/23</v>
      </c>
      <c r="D282" s="3" t="s">
        <v>539</v>
      </c>
      <c r="E282" s="22">
        <f>31-17+28</f>
        <v>42</v>
      </c>
      <c r="G282" s="22" t="s">
        <v>390</v>
      </c>
      <c r="AC282">
        <v>0</v>
      </c>
      <c r="AD282" s="47"/>
      <c r="AF282" s="47"/>
      <c r="AI282" s="10"/>
    </row>
    <row r="283" spans="1:36" ht="14.75" x14ac:dyDescent="0.75">
      <c r="A283" s="207">
        <v>954</v>
      </c>
      <c r="B283" s="3">
        <v>45062</v>
      </c>
      <c r="C283" s="3" t="str">
        <f t="shared" si="21"/>
        <v>5/16/23</v>
      </c>
      <c r="D283" s="3" t="s">
        <v>539</v>
      </c>
      <c r="E283" s="22">
        <f>31+30+16</f>
        <v>77</v>
      </c>
      <c r="G283" s="22" t="s">
        <v>390</v>
      </c>
      <c r="AC283">
        <v>0</v>
      </c>
      <c r="AD283" s="47"/>
      <c r="AF283" s="47"/>
      <c r="AI283" s="10"/>
    </row>
    <row r="284" spans="1:36" ht="14.75" x14ac:dyDescent="0.75">
      <c r="A284" s="207">
        <v>954</v>
      </c>
      <c r="B284" s="3">
        <v>45105</v>
      </c>
      <c r="C284" s="3" t="str">
        <f t="shared" si="21"/>
        <v>6/28/23</v>
      </c>
      <c r="D284" s="3" t="s">
        <v>539</v>
      </c>
      <c r="E284" s="22">
        <f>31-16+28</f>
        <v>43</v>
      </c>
      <c r="G284" s="22" t="s">
        <v>390</v>
      </c>
      <c r="AC284">
        <v>0</v>
      </c>
      <c r="AD284" s="47"/>
      <c r="AF284" s="47"/>
      <c r="AI284" s="10"/>
    </row>
    <row r="285" spans="1:36" ht="14.75" x14ac:dyDescent="0.75">
      <c r="A285" s="22">
        <v>954</v>
      </c>
      <c r="B285" s="3">
        <v>45167</v>
      </c>
      <c r="C285" s="3" t="str">
        <f t="shared" si="21"/>
        <v>8/29/23</v>
      </c>
      <c r="D285" s="3" t="s">
        <v>539</v>
      </c>
      <c r="E285" s="22">
        <f>29+31+30-28</f>
        <v>62</v>
      </c>
      <c r="AC285">
        <v>0</v>
      </c>
      <c r="AD285" s="47"/>
      <c r="AF285" s="47"/>
      <c r="AI285" s="10"/>
    </row>
    <row r="286" spans="1:36" s="205" customFormat="1" ht="14.75" x14ac:dyDescent="0.75">
      <c r="A286" s="200">
        <v>955</v>
      </c>
      <c r="B286" s="201">
        <v>44748</v>
      </c>
      <c r="C286" s="3" t="str">
        <f t="shared" si="21"/>
        <v>7/6/22</v>
      </c>
      <c r="D286" s="3" t="s">
        <v>390</v>
      </c>
      <c r="E286" s="200">
        <v>0</v>
      </c>
      <c r="F286" s="200"/>
      <c r="G286" s="200" t="s">
        <v>539</v>
      </c>
      <c r="H286" s="204">
        <f>300.4+72.9+43+751.7</f>
        <v>1168</v>
      </c>
      <c r="I286" s="200" t="s">
        <v>1283</v>
      </c>
      <c r="J286" s="200" t="s">
        <v>1283</v>
      </c>
      <c r="K286" s="200" t="s">
        <v>1283</v>
      </c>
      <c r="L286" s="200">
        <f t="shared" si="16"/>
        <v>1168</v>
      </c>
      <c r="M286" s="204">
        <v>300.39999999999998</v>
      </c>
      <c r="N286" s="204" t="s">
        <v>1283</v>
      </c>
      <c r="O286" s="204" t="s">
        <v>1283</v>
      </c>
      <c r="P286" s="204" t="s">
        <v>1283</v>
      </c>
      <c r="Q286" s="204">
        <f t="shared" ref="Q286:Q382" si="22">SUM(M286:P286)</f>
        <v>300.39999999999998</v>
      </c>
      <c r="R286" s="204">
        <f>129.77+76.22</f>
        <v>205.99</v>
      </c>
      <c r="S286" s="204" t="s">
        <v>1283</v>
      </c>
      <c r="T286" s="204" t="s">
        <v>1283</v>
      </c>
      <c r="U286" s="204" t="s">
        <v>1283</v>
      </c>
      <c r="V286" s="204">
        <f t="shared" ref="V286:V382" si="23">SUM(R286:U286)</f>
        <v>205.99</v>
      </c>
      <c r="W286" s="208" t="s">
        <v>1283</v>
      </c>
      <c r="X286" s="200">
        <v>0</v>
      </c>
      <c r="Y286" s="205">
        <v>1</v>
      </c>
      <c r="Z286" s="205">
        <v>0</v>
      </c>
      <c r="AA286" s="205">
        <v>7.71</v>
      </c>
      <c r="AB286" s="205" t="str">
        <f t="shared" ref="AB286:AB312" si="24">IF(AA286&gt;4.999, "Yes", "No")</f>
        <v>Yes</v>
      </c>
      <c r="AC286" s="205">
        <v>11</v>
      </c>
      <c r="AD286" s="204">
        <f>Q286-Q277</f>
        <v>300.39999999999998</v>
      </c>
      <c r="AE286" s="205" t="e">
        <f>AD286/E286</f>
        <v>#DIV/0!</v>
      </c>
      <c r="AF286" s="204">
        <f>V286-V277</f>
        <v>205.99</v>
      </c>
      <c r="AG286" s="205" t="e">
        <f>(V286-V277)/E286</f>
        <v>#DIV/0!</v>
      </c>
      <c r="AH286" s="205">
        <f t="shared" si="17"/>
        <v>17.636130136986303</v>
      </c>
      <c r="AI286" s="206" t="e">
        <f>(AH286/E286)</f>
        <v>#DIV/0!</v>
      </c>
      <c r="AJ286" s="204" t="s">
        <v>1297</v>
      </c>
    </row>
    <row r="287" spans="1:36" s="94" customFormat="1" ht="14.75" x14ac:dyDescent="0.75">
      <c r="A287" s="90">
        <v>955</v>
      </c>
      <c r="B287" s="91">
        <v>44769</v>
      </c>
      <c r="C287" s="3" t="str">
        <f t="shared" si="21"/>
        <v>7/27/22</v>
      </c>
      <c r="D287" s="3" t="s">
        <v>390</v>
      </c>
      <c r="E287" s="90">
        <f>27-6</f>
        <v>21</v>
      </c>
      <c r="F287" s="90"/>
      <c r="G287" s="90" t="s">
        <v>539</v>
      </c>
      <c r="H287" s="92">
        <f>M287+812.14+1.82+1.8</f>
        <v>991.42</v>
      </c>
      <c r="I287" s="90" t="s">
        <v>1283</v>
      </c>
      <c r="J287" s="90" t="s">
        <v>1283</v>
      </c>
      <c r="K287" s="90" t="s">
        <v>1283</v>
      </c>
      <c r="L287" s="90">
        <f t="shared" si="16"/>
        <v>991.42</v>
      </c>
      <c r="M287" s="92">
        <v>175.66</v>
      </c>
      <c r="N287" s="92" t="s">
        <v>1283</v>
      </c>
      <c r="O287" s="92" t="s">
        <v>1283</v>
      </c>
      <c r="P287" s="92" t="s">
        <v>1283</v>
      </c>
      <c r="Q287" s="92">
        <f t="shared" si="22"/>
        <v>175.66</v>
      </c>
      <c r="R287" s="92">
        <v>1.82</v>
      </c>
      <c r="S287" s="92" t="s">
        <v>1283</v>
      </c>
      <c r="T287" s="92" t="s">
        <v>1283</v>
      </c>
      <c r="U287" s="92" t="s">
        <v>1283</v>
      </c>
      <c r="V287" s="92">
        <f t="shared" si="23"/>
        <v>1.82</v>
      </c>
      <c r="W287" s="93">
        <v>1.8</v>
      </c>
      <c r="X287" s="90">
        <v>0</v>
      </c>
      <c r="Y287" s="94">
        <v>1</v>
      </c>
      <c r="Z287" s="94">
        <v>0</v>
      </c>
      <c r="AA287" s="94">
        <v>4.9800000000000004</v>
      </c>
      <c r="AB287" s="94" t="str">
        <f t="shared" si="24"/>
        <v>No</v>
      </c>
      <c r="AC287" s="94">
        <v>3</v>
      </c>
      <c r="AD287" s="92">
        <f t="shared" si="18"/>
        <v>-124.73999999999998</v>
      </c>
      <c r="AE287" s="94">
        <f>AD287/E287</f>
        <v>-5.9399999999999995</v>
      </c>
      <c r="AF287" s="92">
        <f t="shared" si="19"/>
        <v>-204.17000000000002</v>
      </c>
      <c r="AG287" s="94">
        <f>(V287-V286)/E287</f>
        <v>-9.7223809523809539</v>
      </c>
      <c r="AH287" s="94">
        <f t="shared" si="17"/>
        <v>0.18357507413608765</v>
      </c>
      <c r="AI287" s="94">
        <f>(AH287/E287)</f>
        <v>8.7416701969565552E-3</v>
      </c>
      <c r="AJ287" s="48" t="s">
        <v>1298</v>
      </c>
    </row>
    <row r="288" spans="1:36" ht="14.75" x14ac:dyDescent="0.75">
      <c r="A288" s="207">
        <v>955</v>
      </c>
      <c r="B288" s="3">
        <v>44831</v>
      </c>
      <c r="C288" s="3" t="str">
        <f t="shared" si="21"/>
        <v>9/27/22</v>
      </c>
      <c r="D288" s="3" t="s">
        <v>390</v>
      </c>
      <c r="E288" s="22">
        <f>27+31+31-6</f>
        <v>83</v>
      </c>
      <c r="G288" s="22" t="s">
        <v>390</v>
      </c>
      <c r="H288" s="47">
        <f>200.8+1358.2</f>
        <v>1559</v>
      </c>
      <c r="I288" s="22" t="s">
        <v>1283</v>
      </c>
      <c r="J288" s="22" t="s">
        <v>1283</v>
      </c>
      <c r="K288" s="22" t="s">
        <v>1283</v>
      </c>
      <c r="L288" s="22">
        <f t="shared" si="16"/>
        <v>1559</v>
      </c>
      <c r="M288" s="47">
        <v>200.8</v>
      </c>
      <c r="N288" s="47" t="s">
        <v>1283</v>
      </c>
      <c r="O288" s="47" t="s">
        <v>1283</v>
      </c>
      <c r="P288" s="47" t="s">
        <v>1283</v>
      </c>
      <c r="Q288" s="47">
        <f t="shared" si="22"/>
        <v>200.8</v>
      </c>
      <c r="R288" s="47">
        <v>0</v>
      </c>
      <c r="S288" s="47" t="s">
        <v>1283</v>
      </c>
      <c r="T288" s="47" t="s">
        <v>1283</v>
      </c>
      <c r="U288" s="47" t="s">
        <v>1283</v>
      </c>
      <c r="V288" s="47">
        <f t="shared" si="23"/>
        <v>0</v>
      </c>
      <c r="W288" s="73" t="s">
        <v>1283</v>
      </c>
      <c r="X288" s="22">
        <v>0</v>
      </c>
      <c r="Y288">
        <v>0</v>
      </c>
      <c r="Z288">
        <v>1</v>
      </c>
      <c r="AA288">
        <v>0</v>
      </c>
      <c r="AB288" t="str">
        <f t="shared" si="24"/>
        <v>No</v>
      </c>
      <c r="AC288">
        <v>0</v>
      </c>
      <c r="AD288" s="47">
        <f t="shared" si="18"/>
        <v>25.140000000000015</v>
      </c>
      <c r="AE288">
        <f>AD288/E288</f>
        <v>0.30289156626506042</v>
      </c>
      <c r="AF288" s="47">
        <f t="shared" si="19"/>
        <v>-1.82</v>
      </c>
      <c r="AG288">
        <f>(V288-V287)/E288</f>
        <v>-2.1927710843373496E-2</v>
      </c>
      <c r="AH288">
        <f t="shared" si="17"/>
        <v>0</v>
      </c>
      <c r="AI288" s="10">
        <f>(AH288/E288)</f>
        <v>0</v>
      </c>
    </row>
    <row r="289" spans="1:36" ht="14.75" x14ac:dyDescent="0.75">
      <c r="A289" s="207">
        <v>955</v>
      </c>
      <c r="B289" s="3">
        <v>44867</v>
      </c>
      <c r="C289" s="3" t="str">
        <f t="shared" si="21"/>
        <v>11/2/22</v>
      </c>
      <c r="D289" s="3" t="s">
        <v>390</v>
      </c>
      <c r="E289" s="22">
        <f>2+30+31-27</f>
        <v>36</v>
      </c>
      <c r="G289" s="22" t="s">
        <v>390</v>
      </c>
      <c r="H289" s="47">
        <f>267+1168.7</f>
        <v>1435.7</v>
      </c>
      <c r="I289" s="22" t="s">
        <v>1283</v>
      </c>
      <c r="J289" s="22" t="s">
        <v>1283</v>
      </c>
      <c r="K289" s="22" t="s">
        <v>1283</v>
      </c>
      <c r="L289" s="22">
        <f t="shared" si="16"/>
        <v>1435.7</v>
      </c>
      <c r="M289" s="47">
        <v>267</v>
      </c>
      <c r="N289" s="47" t="s">
        <v>1283</v>
      </c>
      <c r="O289" s="47" t="s">
        <v>1283</v>
      </c>
      <c r="P289" s="47" t="s">
        <v>1283</v>
      </c>
      <c r="Q289" s="47">
        <f t="shared" si="22"/>
        <v>267</v>
      </c>
      <c r="R289" s="47">
        <v>0</v>
      </c>
      <c r="S289" s="47" t="s">
        <v>1283</v>
      </c>
      <c r="T289" s="47" t="s">
        <v>1283</v>
      </c>
      <c r="U289" s="47" t="s">
        <v>1283</v>
      </c>
      <c r="V289" s="47">
        <f t="shared" si="23"/>
        <v>0</v>
      </c>
      <c r="W289" s="73" t="s">
        <v>1283</v>
      </c>
      <c r="X289" s="22">
        <v>0</v>
      </c>
      <c r="Y289">
        <v>0</v>
      </c>
      <c r="Z289">
        <v>1</v>
      </c>
      <c r="AA289">
        <v>0</v>
      </c>
      <c r="AB289" t="str">
        <f t="shared" si="24"/>
        <v>No</v>
      </c>
      <c r="AC289">
        <v>0</v>
      </c>
      <c r="AD289" s="47">
        <f t="shared" si="18"/>
        <v>66.199999999999989</v>
      </c>
      <c r="AE289">
        <f>AD289/E289</f>
        <v>1.8388888888888886</v>
      </c>
      <c r="AF289" s="47">
        <f t="shared" si="19"/>
        <v>0</v>
      </c>
      <c r="AG289">
        <f>(V289-V288)/E289</f>
        <v>0</v>
      </c>
      <c r="AH289">
        <f t="shared" si="17"/>
        <v>0</v>
      </c>
      <c r="AI289" s="10">
        <f>(AH289/E289)</f>
        <v>0</v>
      </c>
    </row>
    <row r="290" spans="1:36" ht="14.75" x14ac:dyDescent="0.75">
      <c r="A290" s="207">
        <v>955</v>
      </c>
      <c r="B290" s="3">
        <v>44895</v>
      </c>
      <c r="C290" s="3" t="str">
        <f t="shared" si="21"/>
        <v>11/30/22</v>
      </c>
      <c r="D290" s="3" t="s">
        <v>390</v>
      </c>
      <c r="E290" s="22">
        <f>30-2</f>
        <v>28</v>
      </c>
      <c r="G290" s="22" t="s">
        <v>390</v>
      </c>
      <c r="H290" s="47">
        <f>226.1+1601.7</f>
        <v>1827.8</v>
      </c>
      <c r="I290" s="22" t="s">
        <v>1283</v>
      </c>
      <c r="J290" s="22" t="s">
        <v>1283</v>
      </c>
      <c r="K290" s="22" t="s">
        <v>1283</v>
      </c>
      <c r="L290" s="22">
        <f t="shared" si="16"/>
        <v>1827.8</v>
      </c>
      <c r="M290" s="47">
        <v>226.1</v>
      </c>
      <c r="N290" s="47" t="s">
        <v>1283</v>
      </c>
      <c r="O290" s="47" t="s">
        <v>1283</v>
      </c>
      <c r="P290" s="47" t="s">
        <v>1283</v>
      </c>
      <c r="Q290" s="47">
        <f t="shared" si="22"/>
        <v>226.1</v>
      </c>
      <c r="R290" s="47">
        <v>0</v>
      </c>
      <c r="S290" s="47" t="s">
        <v>1283</v>
      </c>
      <c r="T290" s="47" t="s">
        <v>1283</v>
      </c>
      <c r="U290" s="47" t="s">
        <v>1283</v>
      </c>
      <c r="V290" s="47">
        <f t="shared" si="23"/>
        <v>0</v>
      </c>
      <c r="W290" s="73" t="s">
        <v>1283</v>
      </c>
      <c r="X290" s="22">
        <v>0</v>
      </c>
      <c r="Y290">
        <v>0</v>
      </c>
      <c r="Z290">
        <v>1</v>
      </c>
      <c r="AA290">
        <v>0</v>
      </c>
      <c r="AB290" t="str">
        <f t="shared" si="24"/>
        <v>No</v>
      </c>
      <c r="AC290">
        <v>0</v>
      </c>
      <c r="AD290" s="47">
        <f t="shared" si="18"/>
        <v>-40.900000000000006</v>
      </c>
      <c r="AE290">
        <f>AD290/E290</f>
        <v>-1.4607142857142859</v>
      </c>
      <c r="AF290" s="47">
        <f t="shared" si="19"/>
        <v>0</v>
      </c>
      <c r="AG290">
        <f>(V290-V289)/E290</f>
        <v>0</v>
      </c>
      <c r="AH290">
        <f t="shared" si="17"/>
        <v>0</v>
      </c>
      <c r="AI290" s="10">
        <f>(AH290/E290)</f>
        <v>0</v>
      </c>
    </row>
    <row r="291" spans="1:36" ht="14.75" x14ac:dyDescent="0.75">
      <c r="A291" s="207">
        <v>955</v>
      </c>
      <c r="B291" s="3">
        <v>44943</v>
      </c>
      <c r="C291" s="3" t="str">
        <f t="shared" si="21"/>
        <v>1/17/23</v>
      </c>
      <c r="D291" s="3" t="s">
        <v>539</v>
      </c>
      <c r="E291" s="22">
        <f>17+30+31-30</f>
        <v>48</v>
      </c>
      <c r="G291" s="22" t="s">
        <v>390</v>
      </c>
      <c r="L291" s="22">
        <f t="shared" si="16"/>
        <v>0</v>
      </c>
      <c r="Q291" s="47">
        <f t="shared" si="22"/>
        <v>0</v>
      </c>
      <c r="V291" s="47">
        <f t="shared" si="23"/>
        <v>0</v>
      </c>
      <c r="AB291" t="str">
        <f t="shared" si="24"/>
        <v>No</v>
      </c>
      <c r="AC291">
        <v>0</v>
      </c>
      <c r="AD291" s="47">
        <f t="shared" si="18"/>
        <v>-226.1</v>
      </c>
      <c r="AE291">
        <f>AD291/E291</f>
        <v>-4.7104166666666663</v>
      </c>
      <c r="AF291" s="47">
        <f t="shared" si="19"/>
        <v>0</v>
      </c>
      <c r="AG291">
        <f>(V291-V290)/E291</f>
        <v>0</v>
      </c>
      <c r="AH291" t="e">
        <f t="shared" si="17"/>
        <v>#DIV/0!</v>
      </c>
      <c r="AI291" s="10" t="e">
        <f>(AH291/E291)</f>
        <v>#DIV/0!</v>
      </c>
    </row>
    <row r="292" spans="1:36" ht="14.75" x14ac:dyDescent="0.75">
      <c r="A292" s="207">
        <v>955</v>
      </c>
      <c r="B292" s="3">
        <v>44985</v>
      </c>
      <c r="C292" s="3" t="str">
        <f t="shared" si="21"/>
        <v>2/28/23</v>
      </c>
      <c r="D292" s="3" t="s">
        <v>539</v>
      </c>
      <c r="E292" s="22">
        <f>31-17+28</f>
        <v>42</v>
      </c>
      <c r="G292" s="22" t="s">
        <v>390</v>
      </c>
      <c r="AC292">
        <v>0</v>
      </c>
      <c r="AD292" s="47"/>
      <c r="AF292" s="47"/>
      <c r="AI292" s="10"/>
    </row>
    <row r="293" spans="1:36" ht="14.75" x14ac:dyDescent="0.75">
      <c r="A293" s="207">
        <v>955</v>
      </c>
      <c r="B293" s="3">
        <v>45035</v>
      </c>
      <c r="C293" s="3" t="str">
        <f t="shared" si="21"/>
        <v>4/19/23</v>
      </c>
      <c r="D293" s="3" t="s">
        <v>539</v>
      </c>
      <c r="E293" s="22">
        <f>31+19</f>
        <v>50</v>
      </c>
      <c r="G293" s="22" t="s">
        <v>390</v>
      </c>
      <c r="AC293">
        <v>0</v>
      </c>
      <c r="AD293" s="47"/>
      <c r="AF293" s="47"/>
      <c r="AI293" s="10"/>
    </row>
    <row r="294" spans="1:36" ht="14.75" x14ac:dyDescent="0.75">
      <c r="A294" s="207">
        <v>955</v>
      </c>
      <c r="B294" s="3">
        <v>45062</v>
      </c>
      <c r="C294" s="3" t="str">
        <f t="shared" si="21"/>
        <v>5/16/23</v>
      </c>
      <c r="D294" s="3" t="s">
        <v>539</v>
      </c>
      <c r="E294" s="22">
        <f>30-19+16</f>
        <v>27</v>
      </c>
      <c r="G294" s="22" t="s">
        <v>390</v>
      </c>
      <c r="AC294">
        <v>0</v>
      </c>
      <c r="AD294" s="47"/>
      <c r="AF294" s="47"/>
      <c r="AI294" s="10"/>
    </row>
    <row r="295" spans="1:36" ht="14.75" x14ac:dyDescent="0.75">
      <c r="A295" s="207">
        <v>955</v>
      </c>
      <c r="B295" s="3">
        <v>45105</v>
      </c>
      <c r="C295" s="3" t="str">
        <f t="shared" si="21"/>
        <v>6/28/23</v>
      </c>
      <c r="D295" s="3" t="s">
        <v>539</v>
      </c>
      <c r="E295" s="22">
        <f>31-16+28</f>
        <v>43</v>
      </c>
      <c r="G295" s="22" t="s">
        <v>390</v>
      </c>
      <c r="AC295">
        <v>0</v>
      </c>
      <c r="AD295" s="47"/>
      <c r="AF295" s="47"/>
      <c r="AI295" s="10"/>
    </row>
    <row r="296" spans="1:36" s="205" customFormat="1" ht="14.75" x14ac:dyDescent="0.75">
      <c r="A296" s="200">
        <v>956</v>
      </c>
      <c r="B296" s="201">
        <v>44762</v>
      </c>
      <c r="C296" s="3" t="str">
        <f t="shared" si="21"/>
        <v>7/20/22</v>
      </c>
      <c r="D296" s="3" t="s">
        <v>539</v>
      </c>
      <c r="E296" s="200">
        <v>0</v>
      </c>
      <c r="F296" s="200"/>
      <c r="G296" s="200" t="s">
        <v>539</v>
      </c>
      <c r="H296" s="200"/>
      <c r="I296" s="200"/>
      <c r="J296" s="200"/>
      <c r="K296" s="200"/>
      <c r="L296" s="200"/>
      <c r="M296" s="204"/>
      <c r="N296" s="204"/>
      <c r="O296" s="204"/>
      <c r="P296" s="204"/>
      <c r="Q296" s="204"/>
      <c r="R296" s="204"/>
      <c r="S296" s="204"/>
      <c r="T296" s="204"/>
      <c r="U296" s="204"/>
      <c r="V296" s="204"/>
      <c r="W296" s="200"/>
      <c r="X296" s="200"/>
      <c r="AC296" s="205">
        <v>1</v>
      </c>
      <c r="AD296" s="204"/>
      <c r="AF296" s="204"/>
      <c r="AI296" s="206"/>
    </row>
    <row r="297" spans="1:36" ht="14.75" x14ac:dyDescent="0.75">
      <c r="A297" s="207">
        <v>956</v>
      </c>
      <c r="B297" s="3">
        <v>44784</v>
      </c>
      <c r="C297" s="3" t="str">
        <f t="shared" si="21"/>
        <v>8/11/22</v>
      </c>
      <c r="D297" s="3" t="s">
        <v>539</v>
      </c>
      <c r="E297" s="22">
        <f>31-20+11</f>
        <v>22</v>
      </c>
      <c r="G297" s="22" t="s">
        <v>539</v>
      </c>
      <c r="AC297">
        <v>0</v>
      </c>
      <c r="AD297" s="47"/>
      <c r="AF297" s="47"/>
      <c r="AI297" s="10"/>
    </row>
    <row r="298" spans="1:36" ht="14.75" x14ac:dyDescent="0.75">
      <c r="A298" s="207">
        <v>956</v>
      </c>
      <c r="B298" s="3">
        <v>44845</v>
      </c>
      <c r="C298" s="3" t="str">
        <f t="shared" si="21"/>
        <v>10/11/22</v>
      </c>
      <c r="D298" s="3" t="s">
        <v>539</v>
      </c>
      <c r="E298" s="22">
        <f>31-11+30+11</f>
        <v>61</v>
      </c>
      <c r="G298" s="22" t="s">
        <v>390</v>
      </c>
      <c r="AC298">
        <v>0</v>
      </c>
      <c r="AD298" s="47"/>
      <c r="AF298" s="47"/>
      <c r="AI298" s="10"/>
    </row>
    <row r="299" spans="1:36" s="173" customFormat="1" ht="14.75" x14ac:dyDescent="0.75">
      <c r="A299" s="209">
        <v>956</v>
      </c>
      <c r="B299" s="199">
        <v>44880</v>
      </c>
      <c r="C299" s="3" t="str">
        <f t="shared" si="21"/>
        <v>11/15/22</v>
      </c>
      <c r="D299" s="3" t="s">
        <v>539</v>
      </c>
      <c r="E299" s="198">
        <f>31-11+15</f>
        <v>35</v>
      </c>
      <c r="F299" s="198"/>
      <c r="G299" s="198" t="s">
        <v>390</v>
      </c>
      <c r="H299" s="198"/>
      <c r="I299" s="198"/>
      <c r="J299" s="198"/>
      <c r="K299" s="198"/>
      <c r="L299" s="198"/>
      <c r="M299" s="210"/>
      <c r="N299" s="210"/>
      <c r="O299" s="210"/>
      <c r="P299" s="210"/>
      <c r="Q299" s="210"/>
      <c r="R299" s="210"/>
      <c r="S299" s="210"/>
      <c r="T299" s="210"/>
      <c r="U299" s="210"/>
      <c r="V299" s="210"/>
      <c r="W299" s="198"/>
      <c r="X299" s="198"/>
      <c r="AC299" s="173">
        <v>0</v>
      </c>
      <c r="AD299" s="210"/>
      <c r="AF299" s="210"/>
      <c r="AI299" s="211"/>
    </row>
    <row r="300" spans="1:36" ht="14.75" x14ac:dyDescent="0.75">
      <c r="A300" s="22">
        <v>957</v>
      </c>
      <c r="B300" s="3">
        <v>44621</v>
      </c>
      <c r="C300" s="3" t="str">
        <f t="shared" si="21"/>
        <v>3/1/22</v>
      </c>
      <c r="D300" s="3" t="s">
        <v>539</v>
      </c>
      <c r="E300" s="22">
        <v>0</v>
      </c>
      <c r="G300" s="22" t="s">
        <v>539</v>
      </c>
      <c r="AC300" t="s">
        <v>363</v>
      </c>
      <c r="AD300" s="47"/>
      <c r="AF300" s="47"/>
      <c r="AI300" s="10"/>
      <c r="AJ300" t="s">
        <v>1299</v>
      </c>
    </row>
    <row r="301" spans="1:36" ht="14.75" x14ac:dyDescent="0.75">
      <c r="A301" s="22">
        <v>957</v>
      </c>
      <c r="B301" s="3">
        <v>44656</v>
      </c>
      <c r="C301" s="3" t="str">
        <f t="shared" si="21"/>
        <v>4/5/22</v>
      </c>
      <c r="D301" s="3" t="s">
        <v>539</v>
      </c>
      <c r="E301" s="22">
        <f>30+5</f>
        <v>35</v>
      </c>
      <c r="G301" s="22" t="s">
        <v>539</v>
      </c>
      <c r="AC301">
        <v>0</v>
      </c>
      <c r="AD301" s="47"/>
      <c r="AF301" s="47"/>
      <c r="AI301" s="10"/>
      <c r="AJ301" t="s">
        <v>1300</v>
      </c>
    </row>
    <row r="302" spans="1:36" ht="14.75" x14ac:dyDescent="0.75">
      <c r="A302" s="22">
        <v>957</v>
      </c>
      <c r="B302" s="3">
        <v>44694</v>
      </c>
      <c r="C302" s="3" t="str">
        <f t="shared" si="21"/>
        <v>5/13/22</v>
      </c>
      <c r="D302" s="3" t="s">
        <v>539</v>
      </c>
      <c r="E302" s="22">
        <f>30-5+13</f>
        <v>38</v>
      </c>
      <c r="G302" s="22" t="s">
        <v>539</v>
      </c>
      <c r="AC302">
        <v>15</v>
      </c>
      <c r="AD302" s="47"/>
      <c r="AF302" s="47"/>
      <c r="AI302" s="10"/>
      <c r="AJ302" t="s">
        <v>1301</v>
      </c>
    </row>
    <row r="303" spans="1:36" ht="14.75" x14ac:dyDescent="0.75">
      <c r="A303" s="22">
        <v>957</v>
      </c>
      <c r="B303" s="3">
        <v>44715</v>
      </c>
      <c r="C303" s="3" t="str">
        <f t="shared" si="21"/>
        <v>6/3/22</v>
      </c>
      <c r="D303" s="3" t="s">
        <v>539</v>
      </c>
      <c r="E303" s="22">
        <f>31-13+3</f>
        <v>21</v>
      </c>
      <c r="G303" s="22" t="s">
        <v>539</v>
      </c>
      <c r="AD303" s="47"/>
      <c r="AF303" s="47"/>
      <c r="AI303" s="10"/>
      <c r="AJ303" t="s">
        <v>1302</v>
      </c>
    </row>
    <row r="304" spans="1:36" ht="14.75" x14ac:dyDescent="0.75">
      <c r="A304" s="22">
        <v>957</v>
      </c>
      <c r="B304" s="3">
        <v>44762</v>
      </c>
      <c r="C304" s="3" t="str">
        <f t="shared" si="21"/>
        <v>7/20/22</v>
      </c>
      <c r="D304" s="3" t="s">
        <v>539</v>
      </c>
      <c r="E304" s="56">
        <f>30-3+20</f>
        <v>47</v>
      </c>
      <c r="F304" s="56"/>
      <c r="G304" s="22" t="s">
        <v>539</v>
      </c>
      <c r="H304" s="47">
        <f>M304+R304+520</f>
        <v>924.8</v>
      </c>
      <c r="L304" s="22">
        <f t="shared" si="16"/>
        <v>924.8</v>
      </c>
      <c r="M304" s="47">
        <v>400.7</v>
      </c>
      <c r="Q304" s="47">
        <f t="shared" si="22"/>
        <v>400.7</v>
      </c>
      <c r="R304" s="47">
        <v>4.0999999999999996</v>
      </c>
      <c r="V304" s="47">
        <f t="shared" si="23"/>
        <v>4.0999999999999996</v>
      </c>
      <c r="W304" s="22" t="s">
        <v>1283</v>
      </c>
      <c r="X304" s="22">
        <v>0</v>
      </c>
      <c r="Y304">
        <v>1</v>
      </c>
      <c r="Z304">
        <v>0</v>
      </c>
      <c r="AA304">
        <v>1.7</v>
      </c>
      <c r="AB304" t="str">
        <f t="shared" si="24"/>
        <v>No</v>
      </c>
      <c r="AC304">
        <v>8</v>
      </c>
      <c r="AD304" s="47">
        <f>Q304-Q291</f>
        <v>400.7</v>
      </c>
      <c r="AE304">
        <f>AD304/E304</f>
        <v>8.5255319148936159</v>
      </c>
      <c r="AF304" s="47">
        <f>V304-V291</f>
        <v>4.0999999999999996</v>
      </c>
      <c r="AG304">
        <f>(V304-V291)/E304</f>
        <v>8.7234042553191476E-2</v>
      </c>
      <c r="AH304">
        <f t="shared" si="17"/>
        <v>0.4433391003460207</v>
      </c>
      <c r="AI304" s="10">
        <f>(AH304/E304)</f>
        <v>9.4327468158727813E-3</v>
      </c>
    </row>
    <row r="305" spans="1:35" ht="14.75" x14ac:dyDescent="0.75">
      <c r="A305" s="22">
        <v>957</v>
      </c>
      <c r="B305" s="3">
        <v>44784</v>
      </c>
      <c r="C305" s="3" t="str">
        <f t="shared" si="21"/>
        <v>8/11/22</v>
      </c>
      <c r="D305" s="3" t="s">
        <v>539</v>
      </c>
      <c r="E305" s="22">
        <f>31-20+11</f>
        <v>22</v>
      </c>
      <c r="G305" s="22" t="s">
        <v>539</v>
      </c>
      <c r="L305" s="22">
        <f t="shared" si="16"/>
        <v>0</v>
      </c>
      <c r="Q305" s="47">
        <f t="shared" si="22"/>
        <v>0</v>
      </c>
      <c r="V305" s="47">
        <f t="shared" si="23"/>
        <v>0</v>
      </c>
      <c r="AB305" t="str">
        <f t="shared" si="24"/>
        <v>No</v>
      </c>
      <c r="AC305">
        <v>6</v>
      </c>
      <c r="AD305" s="47">
        <f>Q305-Q304</f>
        <v>-400.7</v>
      </c>
      <c r="AE305">
        <f>AD305/E305</f>
        <v>-18.213636363636365</v>
      </c>
      <c r="AF305" s="47">
        <f>V305-V304</f>
        <v>-4.0999999999999996</v>
      </c>
      <c r="AG305">
        <f>(V305-V304)/E305</f>
        <v>-0.18636363636363634</v>
      </c>
      <c r="AH305" t="e">
        <f t="shared" si="17"/>
        <v>#DIV/0!</v>
      </c>
      <c r="AI305" s="10" t="e">
        <f>(AH305/E305)</f>
        <v>#DIV/0!</v>
      </c>
    </row>
    <row r="306" spans="1:35" ht="14.75" x14ac:dyDescent="0.75">
      <c r="A306" s="22">
        <v>957</v>
      </c>
      <c r="B306" s="3">
        <v>44845</v>
      </c>
      <c r="C306" s="3" t="str">
        <f t="shared" si="21"/>
        <v>10/11/22</v>
      </c>
      <c r="D306" s="3" t="s">
        <v>539</v>
      </c>
      <c r="E306" s="22">
        <f>31-11+30+11</f>
        <v>61</v>
      </c>
      <c r="G306" s="22" t="s">
        <v>539</v>
      </c>
      <c r="AC306">
        <v>25</v>
      </c>
      <c r="AD306" s="47"/>
      <c r="AF306" s="47"/>
      <c r="AI306" s="10"/>
    </row>
    <row r="307" spans="1:35" ht="14.75" x14ac:dyDescent="0.75">
      <c r="A307" s="207">
        <v>957</v>
      </c>
      <c r="B307" s="3">
        <v>44937</v>
      </c>
      <c r="C307" s="3" t="str">
        <f t="shared" si="21"/>
        <v>1/11/23</v>
      </c>
      <c r="D307" s="3" t="s">
        <v>539</v>
      </c>
      <c r="E307" s="22">
        <f>31-11+30+31+11</f>
        <v>92</v>
      </c>
      <c r="G307" s="22" t="s">
        <v>390</v>
      </c>
      <c r="AC307">
        <v>0</v>
      </c>
      <c r="AD307" s="47"/>
      <c r="AF307" s="47"/>
      <c r="AI307" s="10"/>
    </row>
    <row r="308" spans="1:35" ht="14.75" x14ac:dyDescent="0.75">
      <c r="A308" s="22">
        <v>957</v>
      </c>
      <c r="B308" s="3">
        <v>45057</v>
      </c>
      <c r="C308" s="3" t="str">
        <f t="shared" si="21"/>
        <v>5/11/23</v>
      </c>
      <c r="D308" s="3" t="s">
        <v>539</v>
      </c>
      <c r="E308" s="22">
        <f>31-11+28+31+30+11</f>
        <v>120</v>
      </c>
      <c r="G308" s="22" t="s">
        <v>390</v>
      </c>
      <c r="AC308">
        <v>0</v>
      </c>
      <c r="AD308" s="47"/>
      <c r="AF308" s="47"/>
      <c r="AI308" s="10"/>
    </row>
    <row r="309" spans="1:35" ht="14.75" x14ac:dyDescent="0.75">
      <c r="A309" s="207">
        <v>957</v>
      </c>
      <c r="B309" s="3">
        <v>45097</v>
      </c>
      <c r="C309" s="3" t="str">
        <f t="shared" si="21"/>
        <v>6/20/23</v>
      </c>
      <c r="D309" s="3" t="s">
        <v>539</v>
      </c>
      <c r="E309" s="22">
        <f>31-11+20</f>
        <v>40</v>
      </c>
      <c r="G309" s="22" t="s">
        <v>390</v>
      </c>
      <c r="AC309">
        <v>0</v>
      </c>
      <c r="AD309" s="47"/>
      <c r="AF309" s="47"/>
      <c r="AI309" s="10"/>
    </row>
    <row r="310" spans="1:35" ht="14.75" x14ac:dyDescent="0.75">
      <c r="A310" s="22">
        <v>957</v>
      </c>
      <c r="B310" s="3">
        <v>45161</v>
      </c>
      <c r="C310" s="3" t="str">
        <f t="shared" si="21"/>
        <v>8/23/23</v>
      </c>
      <c r="D310" s="3" t="s">
        <v>539</v>
      </c>
      <c r="E310" s="22">
        <f>B310-B309</f>
        <v>64</v>
      </c>
      <c r="G310" s="22" t="s">
        <v>390</v>
      </c>
      <c r="AD310" s="47"/>
      <c r="AF310" s="47"/>
      <c r="AI310" s="10"/>
    </row>
    <row r="311" spans="1:35" s="205" customFormat="1" ht="14.75" x14ac:dyDescent="0.75">
      <c r="A311" s="200">
        <v>958</v>
      </c>
      <c r="B311" s="201">
        <v>44768</v>
      </c>
      <c r="C311" s="3" t="str">
        <f t="shared" si="21"/>
        <v>7/26/22</v>
      </c>
      <c r="D311" s="3" t="s">
        <v>539</v>
      </c>
      <c r="E311" s="200">
        <v>0</v>
      </c>
      <c r="F311" s="200"/>
      <c r="G311" s="200" t="s">
        <v>539</v>
      </c>
      <c r="H311" s="200"/>
      <c r="I311" s="200"/>
      <c r="J311" s="200"/>
      <c r="K311" s="200"/>
      <c r="L311" s="200">
        <f t="shared" si="16"/>
        <v>0</v>
      </c>
      <c r="M311" s="204"/>
      <c r="N311" s="204"/>
      <c r="O311" s="204"/>
      <c r="P311" s="204"/>
      <c r="Q311" s="204">
        <f t="shared" si="22"/>
        <v>0</v>
      </c>
      <c r="R311" s="204"/>
      <c r="S311" s="204"/>
      <c r="T311" s="204"/>
      <c r="U311" s="204"/>
      <c r="V311" s="204">
        <f t="shared" si="23"/>
        <v>0</v>
      </c>
      <c r="W311" s="200"/>
      <c r="X311" s="200"/>
      <c r="AB311" s="205" t="str">
        <f t="shared" si="24"/>
        <v>No</v>
      </c>
      <c r="AC311" s="205">
        <v>283</v>
      </c>
      <c r="AD311" s="204">
        <f>Q311-Q305</f>
        <v>0</v>
      </c>
      <c r="AE311" s="205" t="e">
        <f>AD311/E311</f>
        <v>#DIV/0!</v>
      </c>
      <c r="AF311" s="204">
        <f>V311-V305</f>
        <v>0</v>
      </c>
      <c r="AG311" s="205" t="e">
        <f>(V311-V305)/E311</f>
        <v>#DIV/0!</v>
      </c>
      <c r="AH311" s="205" t="e">
        <f t="shared" si="17"/>
        <v>#DIV/0!</v>
      </c>
      <c r="AI311" s="206" t="e">
        <f>(AH311/E311)</f>
        <v>#DIV/0!</v>
      </c>
    </row>
    <row r="312" spans="1:35" ht="14.75" x14ac:dyDescent="0.75">
      <c r="A312" s="22">
        <v>958</v>
      </c>
      <c r="B312" s="3">
        <v>44769</v>
      </c>
      <c r="C312" s="3" t="str">
        <f t="shared" si="21"/>
        <v>7/27/22</v>
      </c>
      <c r="D312" s="3" t="s">
        <v>539</v>
      </c>
      <c r="E312" s="22">
        <v>1</v>
      </c>
      <c r="G312" s="22" t="s">
        <v>539</v>
      </c>
      <c r="L312" s="22">
        <f t="shared" si="16"/>
        <v>0</v>
      </c>
      <c r="Q312" s="47">
        <f t="shared" si="22"/>
        <v>0</v>
      </c>
      <c r="V312" s="47">
        <f t="shared" si="23"/>
        <v>0</v>
      </c>
      <c r="AB312" t="str">
        <f t="shared" si="24"/>
        <v>No</v>
      </c>
      <c r="AC312">
        <v>0</v>
      </c>
      <c r="AD312" s="47">
        <f t="shared" si="18"/>
        <v>0</v>
      </c>
      <c r="AE312">
        <f>AD312/E312</f>
        <v>0</v>
      </c>
      <c r="AF312" s="47">
        <f t="shared" si="19"/>
        <v>0</v>
      </c>
      <c r="AG312">
        <f>(V312-V311)/E312</f>
        <v>0</v>
      </c>
      <c r="AH312" t="e">
        <f t="shared" si="17"/>
        <v>#DIV/0!</v>
      </c>
      <c r="AI312" s="10" t="e">
        <f>(AH312/E312)</f>
        <v>#DIV/0!</v>
      </c>
    </row>
    <row r="313" spans="1:35" ht="14.75" x14ac:dyDescent="0.75">
      <c r="A313" s="22">
        <v>958</v>
      </c>
      <c r="B313" s="3">
        <v>44789</v>
      </c>
      <c r="C313" s="3" t="str">
        <f t="shared" si="21"/>
        <v>8/16/22</v>
      </c>
      <c r="D313" s="3" t="s">
        <v>539</v>
      </c>
      <c r="E313" s="22">
        <f>31-27+16</f>
        <v>20</v>
      </c>
      <c r="G313" s="22" t="s">
        <v>539</v>
      </c>
      <c r="L313" s="22">
        <f t="shared" si="16"/>
        <v>0</v>
      </c>
      <c r="Q313" s="47">
        <f t="shared" si="22"/>
        <v>0</v>
      </c>
      <c r="V313" s="47">
        <f t="shared" si="23"/>
        <v>0</v>
      </c>
      <c r="AB313" t="str">
        <f t="shared" ref="AB313:AB458" si="25">IF(AA313&gt;4.999, "Yes", "No")</f>
        <v>No</v>
      </c>
      <c r="AC313">
        <v>75</v>
      </c>
      <c r="AD313" s="47">
        <f t="shared" si="18"/>
        <v>0</v>
      </c>
      <c r="AE313">
        <f>AD313/E313</f>
        <v>0</v>
      </c>
      <c r="AF313" s="47">
        <f t="shared" si="19"/>
        <v>0</v>
      </c>
      <c r="AG313">
        <f>(V313-V312)/E313</f>
        <v>0</v>
      </c>
      <c r="AH313" t="e">
        <f t="shared" si="17"/>
        <v>#DIV/0!</v>
      </c>
      <c r="AI313" s="10" t="e">
        <f>(AH313/E313)</f>
        <v>#DIV/0!</v>
      </c>
    </row>
    <row r="314" spans="1:35" ht="14.75" x14ac:dyDescent="0.75">
      <c r="A314" s="22">
        <v>958</v>
      </c>
      <c r="B314" s="3">
        <v>44831</v>
      </c>
      <c r="C314" s="3" t="str">
        <f t="shared" si="21"/>
        <v>9/27/22</v>
      </c>
      <c r="D314" s="3" t="s">
        <v>539</v>
      </c>
      <c r="E314" s="22">
        <f>31-16+27</f>
        <v>42</v>
      </c>
      <c r="G314" s="22" t="s">
        <v>539</v>
      </c>
      <c r="AC314">
        <v>0</v>
      </c>
      <c r="AD314" s="47"/>
      <c r="AF314" s="47"/>
      <c r="AI314" s="10"/>
    </row>
    <row r="315" spans="1:35" ht="14.75" x14ac:dyDescent="0.75">
      <c r="A315" s="22">
        <v>958</v>
      </c>
      <c r="B315" s="3">
        <v>44867</v>
      </c>
      <c r="C315" s="3" t="str">
        <f t="shared" si="21"/>
        <v>11/2/22</v>
      </c>
      <c r="D315" s="3" t="s">
        <v>539</v>
      </c>
      <c r="E315" s="22">
        <f>30-27+31+2</f>
        <v>36</v>
      </c>
      <c r="G315" s="22" t="s">
        <v>390</v>
      </c>
      <c r="AC315">
        <v>0</v>
      </c>
      <c r="AD315" s="47"/>
      <c r="AF315" s="47"/>
      <c r="AI315" s="10"/>
    </row>
    <row r="316" spans="1:35" ht="14.75" x14ac:dyDescent="0.75">
      <c r="A316" s="22">
        <v>958</v>
      </c>
      <c r="B316" s="3">
        <v>44874</v>
      </c>
      <c r="C316" s="3" t="str">
        <f t="shared" si="21"/>
        <v>11/9/22</v>
      </c>
      <c r="D316" s="3" t="s">
        <v>539</v>
      </c>
      <c r="E316" s="22">
        <f>7</f>
        <v>7</v>
      </c>
      <c r="G316" s="22" t="s">
        <v>390</v>
      </c>
      <c r="AC316">
        <v>0</v>
      </c>
      <c r="AD316" s="47"/>
      <c r="AF316" s="47"/>
      <c r="AI316" s="10"/>
    </row>
    <row r="317" spans="1:35" ht="14.75" x14ac:dyDescent="0.75">
      <c r="A317" s="22">
        <v>958</v>
      </c>
      <c r="B317" s="3">
        <v>45260</v>
      </c>
      <c r="C317" s="3" t="str">
        <f t="shared" si="21"/>
        <v>11/30/23</v>
      </c>
      <c r="D317" s="3" t="s">
        <v>539</v>
      </c>
      <c r="E317" s="22">
        <v>21</v>
      </c>
      <c r="G317" s="22" t="s">
        <v>539</v>
      </c>
      <c r="AC317">
        <v>5</v>
      </c>
      <c r="AD317" s="47"/>
      <c r="AF317" s="47"/>
      <c r="AI317" s="10"/>
    </row>
    <row r="318" spans="1:35" ht="14.75" x14ac:dyDescent="0.75">
      <c r="A318" s="22">
        <v>958</v>
      </c>
      <c r="B318" s="3">
        <v>44943</v>
      </c>
      <c r="C318" s="3" t="str">
        <f t="shared" si="21"/>
        <v>1/17/23</v>
      </c>
      <c r="D318" s="3" t="s">
        <v>539</v>
      </c>
      <c r="E318" s="22">
        <f>31+17</f>
        <v>48</v>
      </c>
      <c r="G318" s="22" t="s">
        <v>539</v>
      </c>
      <c r="AC318">
        <v>0</v>
      </c>
      <c r="AD318" s="47"/>
      <c r="AF318" s="47"/>
      <c r="AI318" s="10"/>
    </row>
    <row r="319" spans="1:35" ht="14.75" x14ac:dyDescent="0.75">
      <c r="A319" s="207">
        <v>958</v>
      </c>
      <c r="B319" s="3">
        <v>44985</v>
      </c>
      <c r="C319" s="3" t="str">
        <f t="shared" si="21"/>
        <v>2/28/23</v>
      </c>
      <c r="D319" s="3" t="s">
        <v>539</v>
      </c>
      <c r="E319" s="22">
        <f>31-17+28</f>
        <v>42</v>
      </c>
      <c r="G319" s="22" t="s">
        <v>390</v>
      </c>
      <c r="AC319">
        <v>0</v>
      </c>
      <c r="AD319" s="47"/>
      <c r="AF319" s="47"/>
      <c r="AI319" s="10"/>
    </row>
    <row r="320" spans="1:35" ht="14.75" x14ac:dyDescent="0.75">
      <c r="A320" s="207">
        <v>958</v>
      </c>
      <c r="B320" s="3">
        <v>45035</v>
      </c>
      <c r="C320" s="3" t="str">
        <f t="shared" si="21"/>
        <v>4/19/23</v>
      </c>
      <c r="D320" s="3" t="s">
        <v>539</v>
      </c>
      <c r="E320" s="22">
        <f>31+19</f>
        <v>50</v>
      </c>
      <c r="G320" s="22" t="s">
        <v>390</v>
      </c>
      <c r="AC320">
        <v>0</v>
      </c>
      <c r="AD320" s="47"/>
      <c r="AF320" s="47"/>
      <c r="AI320" s="10"/>
    </row>
    <row r="321" spans="1:35" ht="14.75" x14ac:dyDescent="0.75">
      <c r="A321" s="207">
        <v>958</v>
      </c>
      <c r="B321" s="3">
        <v>45062</v>
      </c>
      <c r="C321" s="3" t="str">
        <f t="shared" si="21"/>
        <v>5/16/23</v>
      </c>
      <c r="D321" s="3" t="s">
        <v>539</v>
      </c>
      <c r="E321" s="22">
        <f>30-19+16</f>
        <v>27</v>
      </c>
      <c r="G321" s="22" t="s">
        <v>390</v>
      </c>
      <c r="AC321">
        <v>0</v>
      </c>
      <c r="AD321" s="47"/>
      <c r="AF321" s="47"/>
      <c r="AI321" s="10"/>
    </row>
    <row r="322" spans="1:35" ht="14.75" x14ac:dyDescent="0.75">
      <c r="A322" s="207">
        <v>958</v>
      </c>
      <c r="B322" s="3">
        <v>45105</v>
      </c>
      <c r="C322" s="3" t="str">
        <f t="shared" si="21"/>
        <v>6/28/23</v>
      </c>
      <c r="D322" s="3" t="s">
        <v>539</v>
      </c>
      <c r="E322" s="22">
        <f>31-16+28</f>
        <v>43</v>
      </c>
      <c r="G322" s="22" t="s">
        <v>390</v>
      </c>
      <c r="AC322">
        <v>0</v>
      </c>
      <c r="AD322" s="47"/>
      <c r="AF322" s="47"/>
      <c r="AI322" s="10"/>
    </row>
    <row r="323" spans="1:35" s="205" customFormat="1" ht="14.75" x14ac:dyDescent="0.75">
      <c r="A323" s="200">
        <v>959</v>
      </c>
      <c r="B323" s="201">
        <v>44769</v>
      </c>
      <c r="C323" s="3" t="str">
        <f t="shared" ref="C323:C386" si="26">TEXT(B323,"M/D/YY")</f>
        <v>7/27/22</v>
      </c>
      <c r="D323" s="3" t="s">
        <v>539</v>
      </c>
      <c r="E323" s="200">
        <v>0</v>
      </c>
      <c r="F323" s="200"/>
      <c r="G323" s="200" t="s">
        <v>539</v>
      </c>
      <c r="H323" s="200"/>
      <c r="I323" s="200"/>
      <c r="J323" s="200"/>
      <c r="K323" s="200"/>
      <c r="L323" s="200">
        <f t="shared" si="16"/>
        <v>0</v>
      </c>
      <c r="M323" s="204"/>
      <c r="N323" s="204"/>
      <c r="O323" s="204"/>
      <c r="P323" s="204"/>
      <c r="Q323" s="204">
        <f t="shared" si="22"/>
        <v>0</v>
      </c>
      <c r="R323" s="204"/>
      <c r="S323" s="204"/>
      <c r="T323" s="204"/>
      <c r="U323" s="204"/>
      <c r="V323" s="204">
        <f t="shared" si="23"/>
        <v>0</v>
      </c>
      <c r="W323" s="200"/>
      <c r="X323" s="200"/>
      <c r="AB323" s="205" t="str">
        <f t="shared" si="25"/>
        <v>No</v>
      </c>
      <c r="AC323" s="205">
        <v>7</v>
      </c>
      <c r="AD323" s="204">
        <f>Q323-Q313</f>
        <v>0</v>
      </c>
      <c r="AE323" s="205" t="e">
        <f>AD323/E323</f>
        <v>#DIV/0!</v>
      </c>
      <c r="AF323" s="204">
        <f>V323-V313</f>
        <v>0</v>
      </c>
      <c r="AG323" s="205" t="e">
        <f>(V323-V313)/E323</f>
        <v>#DIV/0!</v>
      </c>
      <c r="AH323" s="205" t="e">
        <f t="shared" si="17"/>
        <v>#DIV/0!</v>
      </c>
      <c r="AI323" s="206" t="e">
        <f>(AH323/E323)</f>
        <v>#DIV/0!</v>
      </c>
    </row>
    <row r="324" spans="1:35" ht="14.75" x14ac:dyDescent="0.75">
      <c r="A324" s="22">
        <v>959</v>
      </c>
      <c r="B324" s="3">
        <v>44789</v>
      </c>
      <c r="C324" s="3" t="str">
        <f t="shared" si="26"/>
        <v>8/16/22</v>
      </c>
      <c r="D324" s="3" t="s">
        <v>539</v>
      </c>
      <c r="E324" s="22">
        <f>31-27+16</f>
        <v>20</v>
      </c>
      <c r="G324" s="22" t="s">
        <v>539</v>
      </c>
      <c r="L324" s="22">
        <f t="shared" si="16"/>
        <v>0</v>
      </c>
      <c r="Q324" s="47">
        <f t="shared" si="22"/>
        <v>0</v>
      </c>
      <c r="V324" s="47">
        <f t="shared" si="23"/>
        <v>0</v>
      </c>
      <c r="AB324" t="str">
        <f t="shared" si="25"/>
        <v>No</v>
      </c>
      <c r="AC324">
        <v>2</v>
      </c>
      <c r="AD324" s="47">
        <f t="shared" si="18"/>
        <v>0</v>
      </c>
      <c r="AE324">
        <f>AD324/E324</f>
        <v>0</v>
      </c>
      <c r="AF324" s="47">
        <f t="shared" si="19"/>
        <v>0</v>
      </c>
      <c r="AG324">
        <f>(V324-V323)/E324</f>
        <v>0</v>
      </c>
      <c r="AH324" t="e">
        <f t="shared" ref="AH324:AH458" si="27">100*(V324/(L324))</f>
        <v>#DIV/0!</v>
      </c>
      <c r="AI324" s="10" t="e">
        <f>(AH324/E324)</f>
        <v>#DIV/0!</v>
      </c>
    </row>
    <row r="325" spans="1:35" ht="14.75" x14ac:dyDescent="0.75">
      <c r="A325" s="22">
        <v>959</v>
      </c>
      <c r="B325" s="3">
        <v>44839</v>
      </c>
      <c r="C325" s="3" t="str">
        <f t="shared" si="26"/>
        <v>10/5/22</v>
      </c>
      <c r="D325" s="3" t="s">
        <v>539</v>
      </c>
      <c r="E325" s="22">
        <f>31-16+30+5</f>
        <v>50</v>
      </c>
      <c r="G325" s="22" t="s">
        <v>539</v>
      </c>
      <c r="AC325">
        <v>0</v>
      </c>
      <c r="AD325" s="47"/>
      <c r="AF325" s="47"/>
      <c r="AI325" s="10"/>
    </row>
    <row r="326" spans="1:35" ht="14.75" x14ac:dyDescent="0.75">
      <c r="A326" s="207">
        <v>959</v>
      </c>
      <c r="B326" s="3">
        <v>44867</v>
      </c>
      <c r="C326" s="3" t="str">
        <f t="shared" si="26"/>
        <v>11/2/22</v>
      </c>
      <c r="D326" s="3" t="s">
        <v>539</v>
      </c>
      <c r="E326" s="22">
        <f>31-5+2</f>
        <v>28</v>
      </c>
      <c r="G326" s="22" t="s">
        <v>390</v>
      </c>
      <c r="AC326">
        <v>0</v>
      </c>
      <c r="AD326" s="47"/>
      <c r="AF326" s="47"/>
      <c r="AI326" s="10"/>
    </row>
    <row r="327" spans="1:35" ht="14.75" x14ac:dyDescent="0.75">
      <c r="A327" s="207">
        <v>959</v>
      </c>
      <c r="B327" s="3">
        <v>44895</v>
      </c>
      <c r="C327" s="3" t="str">
        <f t="shared" si="26"/>
        <v>11/30/22</v>
      </c>
      <c r="D327" s="3" t="s">
        <v>539</v>
      </c>
      <c r="E327" s="22">
        <f>28</f>
        <v>28</v>
      </c>
      <c r="G327" s="22" t="s">
        <v>390</v>
      </c>
      <c r="AC327">
        <v>0</v>
      </c>
      <c r="AD327" s="47"/>
      <c r="AF327" s="47"/>
      <c r="AI327" s="10"/>
    </row>
    <row r="328" spans="1:35" ht="14.75" x14ac:dyDescent="0.75">
      <c r="A328" s="207">
        <v>959</v>
      </c>
      <c r="B328" s="3">
        <v>44943</v>
      </c>
      <c r="C328" s="3" t="str">
        <f t="shared" si="26"/>
        <v>1/17/23</v>
      </c>
      <c r="D328" s="3" t="s">
        <v>539</v>
      </c>
      <c r="E328" s="22">
        <f>31+17</f>
        <v>48</v>
      </c>
      <c r="G328" s="22" t="s">
        <v>390</v>
      </c>
      <c r="AC328">
        <v>0</v>
      </c>
      <c r="AD328" s="47"/>
      <c r="AF328" s="47"/>
      <c r="AI328" s="10"/>
    </row>
    <row r="329" spans="1:35" ht="14.75" x14ac:dyDescent="0.75">
      <c r="A329" s="207">
        <v>959</v>
      </c>
      <c r="B329" s="3">
        <v>44985</v>
      </c>
      <c r="C329" s="3" t="str">
        <f t="shared" si="26"/>
        <v>2/28/23</v>
      </c>
      <c r="D329" s="3" t="s">
        <v>539</v>
      </c>
      <c r="E329" s="22">
        <f>31-17+28</f>
        <v>42</v>
      </c>
      <c r="G329" s="22" t="s">
        <v>390</v>
      </c>
      <c r="AC329">
        <v>0</v>
      </c>
      <c r="AD329" s="47"/>
      <c r="AF329" s="47"/>
      <c r="AI329" s="10"/>
    </row>
    <row r="330" spans="1:35" ht="14.75" x14ac:dyDescent="0.75">
      <c r="A330" s="207">
        <v>959</v>
      </c>
      <c r="B330" s="3">
        <v>45062</v>
      </c>
      <c r="C330" s="3" t="str">
        <f t="shared" si="26"/>
        <v>5/16/23</v>
      </c>
      <c r="D330" s="3" t="s">
        <v>539</v>
      </c>
      <c r="E330" s="22">
        <f>31+30+16</f>
        <v>77</v>
      </c>
      <c r="G330" s="22" t="s">
        <v>390</v>
      </c>
      <c r="AC330">
        <v>0</v>
      </c>
      <c r="AD330" s="47"/>
      <c r="AF330" s="47"/>
      <c r="AI330" s="10"/>
    </row>
    <row r="331" spans="1:35" ht="14.75" x14ac:dyDescent="0.75">
      <c r="A331" s="207">
        <v>959</v>
      </c>
      <c r="B331" s="3">
        <v>45105</v>
      </c>
      <c r="C331" s="3" t="str">
        <f t="shared" si="26"/>
        <v>6/28/23</v>
      </c>
      <c r="D331" s="3" t="s">
        <v>539</v>
      </c>
      <c r="E331" s="22">
        <f>31-16+28</f>
        <v>43</v>
      </c>
      <c r="G331" s="22" t="s">
        <v>390</v>
      </c>
      <c r="AC331">
        <v>0</v>
      </c>
      <c r="AD331" s="47"/>
      <c r="AF331" s="47"/>
      <c r="AI331" s="10"/>
    </row>
    <row r="332" spans="1:35" ht="14.75" x14ac:dyDescent="0.75">
      <c r="A332" s="207">
        <v>959</v>
      </c>
      <c r="B332" s="3">
        <v>45167</v>
      </c>
      <c r="C332" s="3" t="str">
        <f t="shared" si="26"/>
        <v>8/29/23</v>
      </c>
      <c r="D332" s="3" t="s">
        <v>539</v>
      </c>
      <c r="E332" s="22">
        <f>29+31+30-28</f>
        <v>62</v>
      </c>
      <c r="G332" s="22" t="s">
        <v>390</v>
      </c>
      <c r="AC332">
        <v>0</v>
      </c>
      <c r="AD332" s="47"/>
      <c r="AF332" s="47"/>
      <c r="AI332" s="10"/>
    </row>
    <row r="333" spans="1:35" s="205" customFormat="1" ht="14.75" x14ac:dyDescent="0.75">
      <c r="A333" s="200">
        <v>960</v>
      </c>
      <c r="B333" s="201">
        <v>44769</v>
      </c>
      <c r="C333" s="3" t="str">
        <f t="shared" si="26"/>
        <v>7/27/22</v>
      </c>
      <c r="D333" s="3" t="s">
        <v>539</v>
      </c>
      <c r="E333" s="200">
        <v>0</v>
      </c>
      <c r="F333" s="200"/>
      <c r="G333" s="200" t="s">
        <v>539</v>
      </c>
      <c r="H333" s="200"/>
      <c r="I333" s="200"/>
      <c r="J333" s="200"/>
      <c r="K333" s="200"/>
      <c r="L333" s="200">
        <f t="shared" si="16"/>
        <v>0</v>
      </c>
      <c r="M333" s="204"/>
      <c r="N333" s="204"/>
      <c r="O333" s="204"/>
      <c r="P333" s="204"/>
      <c r="Q333" s="204">
        <f t="shared" si="22"/>
        <v>0</v>
      </c>
      <c r="R333" s="204"/>
      <c r="S333" s="204"/>
      <c r="T333" s="204"/>
      <c r="U333" s="204"/>
      <c r="V333" s="204">
        <f t="shared" si="23"/>
        <v>0</v>
      </c>
      <c r="W333" s="200"/>
      <c r="X333" s="200"/>
      <c r="AB333" s="205" t="str">
        <f t="shared" si="25"/>
        <v>No</v>
      </c>
      <c r="AC333" s="205" t="s">
        <v>363</v>
      </c>
      <c r="AD333" s="204">
        <f>Q333-Q324</f>
        <v>0</v>
      </c>
      <c r="AE333" s="205" t="e">
        <f>AD333/E333</f>
        <v>#DIV/0!</v>
      </c>
      <c r="AF333" s="204">
        <f>V333-V324</f>
        <v>0</v>
      </c>
      <c r="AG333" s="205" t="e">
        <f>(V333-V324)/E333</f>
        <v>#DIV/0!</v>
      </c>
      <c r="AH333" s="205" t="e">
        <f t="shared" si="27"/>
        <v>#DIV/0!</v>
      </c>
      <c r="AI333" s="206" t="e">
        <f>(AH333/E333)</f>
        <v>#DIV/0!</v>
      </c>
    </row>
    <row r="334" spans="1:35" ht="14.75" x14ac:dyDescent="0.75">
      <c r="A334" s="22">
        <v>960</v>
      </c>
      <c r="B334" s="3">
        <v>44789</v>
      </c>
      <c r="C334" s="3" t="str">
        <f t="shared" si="26"/>
        <v>8/16/22</v>
      </c>
      <c r="D334" s="3" t="s">
        <v>539</v>
      </c>
      <c r="E334" s="22">
        <f>31-27+16</f>
        <v>20</v>
      </c>
      <c r="G334" s="22" t="s">
        <v>539</v>
      </c>
      <c r="L334" s="22">
        <f t="shared" si="16"/>
        <v>0</v>
      </c>
      <c r="Q334" s="47">
        <f t="shared" si="22"/>
        <v>0</v>
      </c>
      <c r="V334" s="47">
        <f t="shared" si="23"/>
        <v>0</v>
      </c>
      <c r="AB334" t="str">
        <f t="shared" si="25"/>
        <v>No</v>
      </c>
      <c r="AC334">
        <v>8</v>
      </c>
      <c r="AD334" s="47">
        <f t="shared" ref="AD334:AD448" si="28">Q334-Q333</f>
        <v>0</v>
      </c>
      <c r="AE334">
        <f>AD334/E334</f>
        <v>0</v>
      </c>
      <c r="AF334" s="47">
        <f t="shared" ref="AF334:AF448" si="29">V334-V333</f>
        <v>0</v>
      </c>
      <c r="AG334">
        <f>(V334-V333)/E334</f>
        <v>0</v>
      </c>
      <c r="AH334" t="e">
        <f t="shared" si="27"/>
        <v>#DIV/0!</v>
      </c>
      <c r="AI334" s="10" t="e">
        <f>(AH334/E334)</f>
        <v>#DIV/0!</v>
      </c>
    </row>
    <row r="335" spans="1:35" ht="14.75" x14ac:dyDescent="0.75">
      <c r="A335" s="22">
        <v>960</v>
      </c>
      <c r="B335" s="3">
        <v>44831</v>
      </c>
      <c r="C335" s="3" t="str">
        <f t="shared" si="26"/>
        <v>9/27/22</v>
      </c>
      <c r="D335" s="3" t="s">
        <v>539</v>
      </c>
      <c r="E335" s="22">
        <f>31-16+27</f>
        <v>42</v>
      </c>
      <c r="G335" s="22" t="s">
        <v>539</v>
      </c>
      <c r="AC335">
        <v>0</v>
      </c>
      <c r="AD335" s="47"/>
      <c r="AF335" s="47"/>
      <c r="AI335" s="10"/>
    </row>
    <row r="336" spans="1:35" ht="14.75" x14ac:dyDescent="0.75">
      <c r="A336" s="207">
        <v>960</v>
      </c>
      <c r="B336" s="3">
        <v>44867</v>
      </c>
      <c r="C336" s="3" t="str">
        <f t="shared" si="26"/>
        <v>11/2/22</v>
      </c>
      <c r="D336" s="3" t="s">
        <v>539</v>
      </c>
      <c r="E336" s="22">
        <f>30-27+31+2</f>
        <v>36</v>
      </c>
      <c r="G336" s="22" t="s">
        <v>390</v>
      </c>
      <c r="AC336">
        <v>0</v>
      </c>
      <c r="AD336" s="47"/>
      <c r="AF336" s="47"/>
      <c r="AI336" s="10"/>
    </row>
    <row r="337" spans="1:35" ht="14.75" x14ac:dyDescent="0.75">
      <c r="A337" s="207">
        <v>960</v>
      </c>
      <c r="B337" s="3">
        <v>44874</v>
      </c>
      <c r="C337" s="3" t="str">
        <f t="shared" si="26"/>
        <v>11/9/22</v>
      </c>
      <c r="D337" s="3" t="s">
        <v>539</v>
      </c>
      <c r="E337" s="22">
        <v>7</v>
      </c>
      <c r="G337" s="22" t="s">
        <v>390</v>
      </c>
      <c r="AC337">
        <v>0</v>
      </c>
      <c r="AD337" s="47"/>
      <c r="AF337" s="47"/>
      <c r="AI337" s="10"/>
    </row>
    <row r="338" spans="1:35" ht="14.75" x14ac:dyDescent="0.75">
      <c r="A338" s="207">
        <v>960</v>
      </c>
      <c r="B338" s="3">
        <v>44895</v>
      </c>
      <c r="C338" s="3" t="str">
        <f t="shared" si="26"/>
        <v>11/30/22</v>
      </c>
      <c r="D338" s="3" t="s">
        <v>539</v>
      </c>
      <c r="E338" s="22">
        <v>21</v>
      </c>
      <c r="G338" s="22" t="s">
        <v>390</v>
      </c>
      <c r="AC338">
        <v>0</v>
      </c>
      <c r="AD338" s="47"/>
      <c r="AF338" s="47"/>
      <c r="AI338" s="10"/>
    </row>
    <row r="339" spans="1:35" ht="14.75" x14ac:dyDescent="0.75">
      <c r="A339" s="207">
        <v>960</v>
      </c>
      <c r="B339" s="3">
        <v>44943</v>
      </c>
      <c r="C339" s="3" t="str">
        <f t="shared" si="26"/>
        <v>1/17/23</v>
      </c>
      <c r="D339" s="3" t="s">
        <v>539</v>
      </c>
      <c r="E339" s="22">
        <f>31+17</f>
        <v>48</v>
      </c>
      <c r="G339" s="22" t="s">
        <v>390</v>
      </c>
      <c r="AC339">
        <v>0</v>
      </c>
      <c r="AD339" s="47"/>
      <c r="AF339" s="47"/>
      <c r="AI339" s="10"/>
    </row>
    <row r="340" spans="1:35" ht="14.75" x14ac:dyDescent="0.75">
      <c r="A340" s="207">
        <v>960</v>
      </c>
      <c r="B340" s="3">
        <v>44985</v>
      </c>
      <c r="C340" s="3" t="str">
        <f t="shared" si="26"/>
        <v>2/28/23</v>
      </c>
      <c r="D340" s="3" t="s">
        <v>539</v>
      </c>
      <c r="E340" s="22">
        <f>31-17+28</f>
        <v>42</v>
      </c>
      <c r="G340" s="22" t="s">
        <v>390</v>
      </c>
      <c r="AC340">
        <v>0</v>
      </c>
      <c r="AD340" s="47"/>
      <c r="AF340" s="47"/>
      <c r="AI340" s="10"/>
    </row>
    <row r="341" spans="1:35" ht="14.75" x14ac:dyDescent="0.75">
      <c r="A341" s="207">
        <v>960</v>
      </c>
      <c r="B341" s="3">
        <v>45035</v>
      </c>
      <c r="C341" s="3" t="str">
        <f t="shared" si="26"/>
        <v>4/19/23</v>
      </c>
      <c r="D341" s="3" t="s">
        <v>539</v>
      </c>
      <c r="E341" s="22">
        <f>31+19</f>
        <v>50</v>
      </c>
      <c r="G341" s="22" t="s">
        <v>390</v>
      </c>
      <c r="AC341">
        <v>0</v>
      </c>
      <c r="AD341" s="47"/>
      <c r="AF341" s="47"/>
      <c r="AI341" s="10"/>
    </row>
    <row r="342" spans="1:35" ht="14.75" x14ac:dyDescent="0.75">
      <c r="A342" s="207">
        <v>960</v>
      </c>
      <c r="B342" s="3">
        <v>45062</v>
      </c>
      <c r="C342" s="3" t="str">
        <f t="shared" si="26"/>
        <v>5/16/23</v>
      </c>
      <c r="D342" s="3" t="s">
        <v>539</v>
      </c>
      <c r="E342" s="22">
        <f>30-19+16</f>
        <v>27</v>
      </c>
      <c r="G342" s="22" t="s">
        <v>390</v>
      </c>
      <c r="AC342">
        <v>0</v>
      </c>
      <c r="AD342" s="47"/>
      <c r="AF342" s="47"/>
      <c r="AI342" s="10"/>
    </row>
    <row r="343" spans="1:35" ht="14.75" x14ac:dyDescent="0.75">
      <c r="A343" s="207">
        <v>960</v>
      </c>
      <c r="B343" s="3">
        <v>45105</v>
      </c>
      <c r="C343" s="3" t="str">
        <f t="shared" si="26"/>
        <v>6/28/23</v>
      </c>
      <c r="D343" s="3" t="s">
        <v>539</v>
      </c>
      <c r="E343" s="22">
        <f>31-16+28</f>
        <v>43</v>
      </c>
      <c r="G343" s="22" t="s">
        <v>390</v>
      </c>
      <c r="AC343">
        <v>0</v>
      </c>
      <c r="AD343" s="47"/>
      <c r="AF343" s="47"/>
      <c r="AI343" s="10"/>
    </row>
    <row r="344" spans="1:35" ht="14.75" x14ac:dyDescent="0.75">
      <c r="A344" s="207">
        <v>960</v>
      </c>
      <c r="B344" s="3">
        <v>45167</v>
      </c>
      <c r="C344" s="3" t="str">
        <f t="shared" si="26"/>
        <v>8/29/23</v>
      </c>
      <c r="D344" s="3" t="s">
        <v>539</v>
      </c>
      <c r="E344" s="22">
        <f>29+31+30-28</f>
        <v>62</v>
      </c>
      <c r="G344" s="22" t="s">
        <v>390</v>
      </c>
      <c r="AC344">
        <v>0</v>
      </c>
      <c r="AD344" s="47"/>
      <c r="AF344" s="47"/>
      <c r="AI344" s="10"/>
    </row>
    <row r="345" spans="1:35" s="205" customFormat="1" ht="14.75" x14ac:dyDescent="0.75">
      <c r="A345" s="200">
        <v>962</v>
      </c>
      <c r="B345" s="201">
        <v>44831</v>
      </c>
      <c r="C345" s="3" t="str">
        <f t="shared" si="26"/>
        <v>9/27/22</v>
      </c>
      <c r="D345" s="3" t="s">
        <v>539</v>
      </c>
      <c r="E345" s="200">
        <v>0</v>
      </c>
      <c r="F345" s="200"/>
      <c r="G345" s="200" t="s">
        <v>539</v>
      </c>
      <c r="H345" s="200"/>
      <c r="I345" s="200"/>
      <c r="J345" s="200"/>
      <c r="K345" s="200"/>
      <c r="L345" s="200"/>
      <c r="M345" s="204"/>
      <c r="N345" s="204"/>
      <c r="O345" s="204"/>
      <c r="P345" s="204"/>
      <c r="Q345" s="204"/>
      <c r="R345" s="204"/>
      <c r="S345" s="204"/>
      <c r="T345" s="204"/>
      <c r="U345" s="204"/>
      <c r="V345" s="204"/>
      <c r="W345" s="200"/>
      <c r="X345" s="200"/>
      <c r="AC345" s="205">
        <v>13</v>
      </c>
      <c r="AD345" s="204"/>
      <c r="AF345" s="204"/>
      <c r="AI345" s="206"/>
    </row>
    <row r="346" spans="1:35" ht="14.75" x14ac:dyDescent="0.75">
      <c r="A346" s="22">
        <v>962</v>
      </c>
      <c r="B346" s="3">
        <v>44867</v>
      </c>
      <c r="C346" s="3" t="str">
        <f t="shared" si="26"/>
        <v>11/2/22</v>
      </c>
      <c r="D346" s="3" t="s">
        <v>539</v>
      </c>
      <c r="E346" s="22">
        <f>30-27+31+2</f>
        <v>36</v>
      </c>
      <c r="G346" s="22" t="s">
        <v>539</v>
      </c>
      <c r="AC346">
        <v>0</v>
      </c>
      <c r="AD346" s="47"/>
      <c r="AF346" s="47"/>
      <c r="AI346" s="10"/>
    </row>
    <row r="347" spans="1:35" ht="14.75" x14ac:dyDescent="0.75">
      <c r="A347" s="207">
        <v>962</v>
      </c>
      <c r="B347" s="3">
        <v>44895</v>
      </c>
      <c r="C347" s="3" t="str">
        <f t="shared" si="26"/>
        <v>11/30/22</v>
      </c>
      <c r="D347" s="3" t="s">
        <v>539</v>
      </c>
      <c r="E347" s="22">
        <v>28</v>
      </c>
      <c r="G347" s="22" t="s">
        <v>390</v>
      </c>
      <c r="AC347">
        <v>0</v>
      </c>
      <c r="AD347" s="47"/>
      <c r="AF347" s="47"/>
      <c r="AI347" s="10"/>
    </row>
    <row r="348" spans="1:35" ht="14.75" x14ac:dyDescent="0.75">
      <c r="A348" s="207">
        <v>962</v>
      </c>
      <c r="B348" s="3">
        <v>44943</v>
      </c>
      <c r="C348" s="3" t="str">
        <f t="shared" si="26"/>
        <v>1/17/23</v>
      </c>
      <c r="D348" s="3" t="s">
        <v>539</v>
      </c>
      <c r="E348" s="22">
        <f>31+17</f>
        <v>48</v>
      </c>
      <c r="G348" s="22" t="s">
        <v>390</v>
      </c>
      <c r="AC348">
        <v>0</v>
      </c>
      <c r="AD348" s="47"/>
      <c r="AF348" s="47"/>
      <c r="AI348" s="10"/>
    </row>
    <row r="349" spans="1:35" ht="14.75" x14ac:dyDescent="0.75">
      <c r="A349" s="207">
        <v>962</v>
      </c>
      <c r="B349" s="3">
        <v>44985</v>
      </c>
      <c r="C349" s="3" t="str">
        <f t="shared" si="26"/>
        <v>2/28/23</v>
      </c>
      <c r="D349" s="3" t="s">
        <v>539</v>
      </c>
      <c r="E349" s="22">
        <f>31-17+28</f>
        <v>42</v>
      </c>
      <c r="G349" s="22" t="s">
        <v>390</v>
      </c>
      <c r="AC349">
        <v>0</v>
      </c>
      <c r="AD349" s="47"/>
      <c r="AF349" s="47"/>
      <c r="AI349" s="10"/>
    </row>
    <row r="350" spans="1:35" ht="14.75" x14ac:dyDescent="0.75">
      <c r="A350" s="207">
        <v>962</v>
      </c>
      <c r="B350" s="3">
        <v>45035</v>
      </c>
      <c r="C350" s="3" t="str">
        <f t="shared" si="26"/>
        <v>4/19/23</v>
      </c>
      <c r="D350" s="3" t="s">
        <v>539</v>
      </c>
      <c r="E350" s="22">
        <f>31+19</f>
        <v>50</v>
      </c>
      <c r="G350" s="22" t="s">
        <v>390</v>
      </c>
      <c r="AC350">
        <v>0</v>
      </c>
      <c r="AD350" s="47"/>
      <c r="AF350" s="47"/>
      <c r="AI350" s="10"/>
    </row>
    <row r="351" spans="1:35" ht="14.75" x14ac:dyDescent="0.75">
      <c r="A351" s="207">
        <v>962</v>
      </c>
      <c r="B351" s="3">
        <v>45062</v>
      </c>
      <c r="C351" s="3" t="str">
        <f t="shared" si="26"/>
        <v>5/16/23</v>
      </c>
      <c r="D351" s="3" t="s">
        <v>539</v>
      </c>
      <c r="E351" s="22">
        <f>30-19+16</f>
        <v>27</v>
      </c>
      <c r="G351" s="22" t="s">
        <v>390</v>
      </c>
      <c r="AC351">
        <v>0</v>
      </c>
      <c r="AD351" s="47"/>
      <c r="AF351" s="47"/>
      <c r="AI351" s="10"/>
    </row>
    <row r="352" spans="1:35" ht="14.75" x14ac:dyDescent="0.75">
      <c r="A352" s="207">
        <v>962</v>
      </c>
      <c r="B352" s="3">
        <v>45105</v>
      </c>
      <c r="C352" s="3" t="str">
        <f t="shared" si="26"/>
        <v>6/28/23</v>
      </c>
      <c r="D352" s="3" t="s">
        <v>539</v>
      </c>
      <c r="E352" s="22">
        <f>31-16+28</f>
        <v>43</v>
      </c>
      <c r="G352" s="22" t="s">
        <v>390</v>
      </c>
      <c r="AC352">
        <v>0</v>
      </c>
      <c r="AD352" s="47"/>
      <c r="AF352" s="47"/>
      <c r="AI352" s="10"/>
    </row>
    <row r="353" spans="1:35" s="205" customFormat="1" ht="14.75" x14ac:dyDescent="0.75">
      <c r="A353" s="200">
        <v>963</v>
      </c>
      <c r="B353" s="201">
        <v>44831</v>
      </c>
      <c r="C353" s="3" t="str">
        <f t="shared" si="26"/>
        <v>9/27/22</v>
      </c>
      <c r="D353" s="3" t="s">
        <v>539</v>
      </c>
      <c r="E353" s="200">
        <v>0</v>
      </c>
      <c r="F353" s="200"/>
      <c r="G353" s="200" t="s">
        <v>539</v>
      </c>
      <c r="H353" s="200"/>
      <c r="I353" s="200"/>
      <c r="J353" s="200"/>
      <c r="K353" s="200"/>
      <c r="L353" s="200"/>
      <c r="M353" s="204"/>
      <c r="N353" s="204"/>
      <c r="O353" s="204"/>
      <c r="P353" s="204"/>
      <c r="Q353" s="204"/>
      <c r="R353" s="204"/>
      <c r="S353" s="204"/>
      <c r="T353" s="204"/>
      <c r="U353" s="204"/>
      <c r="V353" s="204"/>
      <c r="W353" s="200"/>
      <c r="X353" s="200"/>
      <c r="AC353" s="205">
        <v>8</v>
      </c>
      <c r="AD353" s="204"/>
      <c r="AF353" s="204"/>
      <c r="AI353" s="206"/>
    </row>
    <row r="354" spans="1:35" ht="14.75" x14ac:dyDescent="0.75">
      <c r="A354" s="22">
        <v>963</v>
      </c>
      <c r="B354" s="3">
        <v>44867</v>
      </c>
      <c r="C354" s="3" t="str">
        <f t="shared" si="26"/>
        <v>11/2/22</v>
      </c>
      <c r="D354" s="3" t="s">
        <v>539</v>
      </c>
      <c r="E354" s="22">
        <f>30-27+31+2</f>
        <v>36</v>
      </c>
      <c r="G354" s="22" t="s">
        <v>539</v>
      </c>
      <c r="AC354">
        <v>0</v>
      </c>
      <c r="AD354" s="47"/>
      <c r="AF354" s="47"/>
      <c r="AI354" s="10"/>
    </row>
    <row r="355" spans="1:35" ht="14.75" x14ac:dyDescent="0.75">
      <c r="A355" s="22">
        <v>963</v>
      </c>
      <c r="B355" s="3">
        <v>44895</v>
      </c>
      <c r="C355" s="3" t="str">
        <f t="shared" si="26"/>
        <v>11/30/22</v>
      </c>
      <c r="D355" s="3" t="s">
        <v>539</v>
      </c>
      <c r="E355" s="22">
        <v>28</v>
      </c>
      <c r="G355" s="22" t="s">
        <v>539</v>
      </c>
      <c r="AC355">
        <v>9</v>
      </c>
      <c r="AD355" s="47"/>
      <c r="AF355" s="47"/>
      <c r="AI355" s="10"/>
    </row>
    <row r="356" spans="1:35" ht="14.75" x14ac:dyDescent="0.75">
      <c r="A356" s="22">
        <v>963</v>
      </c>
      <c r="B356" s="3">
        <v>44943</v>
      </c>
      <c r="C356" s="3" t="str">
        <f t="shared" si="26"/>
        <v>1/17/23</v>
      </c>
      <c r="D356" s="3" t="s">
        <v>539</v>
      </c>
      <c r="E356" s="22">
        <f>31+17</f>
        <v>48</v>
      </c>
      <c r="G356" s="22" t="s">
        <v>539</v>
      </c>
      <c r="AC356">
        <v>0</v>
      </c>
      <c r="AD356" s="47"/>
      <c r="AF356" s="47"/>
      <c r="AI356" s="10"/>
    </row>
    <row r="357" spans="1:35" ht="14.75" x14ac:dyDescent="0.75">
      <c r="A357" s="207">
        <v>963</v>
      </c>
      <c r="B357" s="3">
        <v>44985</v>
      </c>
      <c r="C357" s="3" t="str">
        <f t="shared" si="26"/>
        <v>2/28/23</v>
      </c>
      <c r="D357" s="3" t="s">
        <v>539</v>
      </c>
      <c r="E357" s="22">
        <f>31-17+28</f>
        <v>42</v>
      </c>
      <c r="G357" s="22" t="s">
        <v>390</v>
      </c>
      <c r="AC357">
        <v>0</v>
      </c>
      <c r="AD357" s="47"/>
      <c r="AF357" s="47"/>
      <c r="AI357" s="10"/>
    </row>
    <row r="358" spans="1:35" ht="14.75" x14ac:dyDescent="0.75">
      <c r="A358" s="207">
        <v>963</v>
      </c>
      <c r="B358" s="3">
        <v>45035</v>
      </c>
      <c r="C358" s="3" t="str">
        <f t="shared" si="26"/>
        <v>4/19/23</v>
      </c>
      <c r="D358" s="3" t="s">
        <v>539</v>
      </c>
      <c r="E358" s="22">
        <f>31+19</f>
        <v>50</v>
      </c>
      <c r="G358" s="22" t="s">
        <v>390</v>
      </c>
      <c r="AC358">
        <v>0</v>
      </c>
      <c r="AD358" s="47"/>
      <c r="AF358" s="47"/>
      <c r="AI358" s="10"/>
    </row>
    <row r="359" spans="1:35" ht="14.75" x14ac:dyDescent="0.75">
      <c r="A359" s="207">
        <v>963</v>
      </c>
      <c r="B359" s="3">
        <v>45062</v>
      </c>
      <c r="C359" s="3" t="str">
        <f t="shared" si="26"/>
        <v>5/16/23</v>
      </c>
      <c r="D359" s="3" t="s">
        <v>539</v>
      </c>
      <c r="E359" s="22">
        <f>30-19+16</f>
        <v>27</v>
      </c>
      <c r="G359" s="22" t="s">
        <v>390</v>
      </c>
      <c r="AC359">
        <v>0</v>
      </c>
      <c r="AD359" s="47"/>
      <c r="AF359" s="47"/>
      <c r="AI359" s="10"/>
    </row>
    <row r="360" spans="1:35" ht="14.75" x14ac:dyDescent="0.75">
      <c r="A360" s="207">
        <v>963</v>
      </c>
      <c r="B360" s="3">
        <v>45105</v>
      </c>
      <c r="C360" s="3" t="str">
        <f t="shared" si="26"/>
        <v>6/28/23</v>
      </c>
      <c r="D360" s="3" t="s">
        <v>539</v>
      </c>
      <c r="E360" s="22">
        <f>31-16+28</f>
        <v>43</v>
      </c>
      <c r="G360" s="22" t="s">
        <v>390</v>
      </c>
      <c r="AC360">
        <v>0</v>
      </c>
      <c r="AD360" s="47"/>
      <c r="AF360" s="47"/>
      <c r="AI360" s="10"/>
    </row>
    <row r="361" spans="1:35" s="205" customFormat="1" ht="14.75" x14ac:dyDescent="0.75">
      <c r="A361" s="200">
        <v>966</v>
      </c>
      <c r="B361" s="201">
        <v>45008</v>
      </c>
      <c r="C361" s="3" t="str">
        <f t="shared" si="26"/>
        <v>3/23/23</v>
      </c>
      <c r="D361" s="3" t="s">
        <v>539</v>
      </c>
      <c r="E361" s="200">
        <v>0</v>
      </c>
      <c r="F361" s="200"/>
      <c r="G361" s="200" t="s">
        <v>539</v>
      </c>
      <c r="H361" s="200"/>
      <c r="I361" s="200"/>
      <c r="J361" s="200"/>
      <c r="K361" s="200"/>
      <c r="L361" s="200"/>
      <c r="M361" s="204"/>
      <c r="N361" s="204"/>
      <c r="O361" s="204"/>
      <c r="P361" s="204"/>
      <c r="Q361" s="204"/>
      <c r="R361" s="204"/>
      <c r="S361" s="204"/>
      <c r="T361" s="204"/>
      <c r="U361" s="204"/>
      <c r="V361" s="204"/>
      <c r="W361" s="200"/>
      <c r="X361" s="200"/>
      <c r="AC361" s="205">
        <v>37</v>
      </c>
      <c r="AD361" s="204"/>
      <c r="AF361" s="204"/>
      <c r="AI361" s="206"/>
    </row>
    <row r="362" spans="1:35" ht="14.75" x14ac:dyDescent="0.75">
      <c r="A362" s="22">
        <v>966</v>
      </c>
      <c r="B362" s="3">
        <v>45042</v>
      </c>
      <c r="C362" s="3" t="str">
        <f t="shared" si="26"/>
        <v>4/26/23</v>
      </c>
      <c r="D362" s="3" t="s">
        <v>539</v>
      </c>
      <c r="E362" s="22">
        <f>31-23+26</f>
        <v>34</v>
      </c>
      <c r="G362" s="22" t="s">
        <v>539</v>
      </c>
      <c r="AC362">
        <v>0</v>
      </c>
      <c r="AD362" s="47"/>
      <c r="AF362" s="47"/>
      <c r="AI362" s="10"/>
    </row>
    <row r="363" spans="1:35" ht="14.75" x14ac:dyDescent="0.75">
      <c r="A363" s="22">
        <v>966</v>
      </c>
      <c r="B363" s="3">
        <v>45134</v>
      </c>
      <c r="C363" s="3" t="str">
        <f t="shared" si="26"/>
        <v>7/27/23</v>
      </c>
      <c r="D363" s="3" t="s">
        <v>539</v>
      </c>
      <c r="E363" s="22">
        <f>30-26+31+30+27</f>
        <v>92</v>
      </c>
      <c r="G363" s="22" t="s">
        <v>390</v>
      </c>
      <c r="AC363">
        <v>0</v>
      </c>
      <c r="AD363" s="47"/>
      <c r="AF363" s="47"/>
      <c r="AI363" s="10"/>
    </row>
    <row r="364" spans="1:35" s="205" customFormat="1" ht="14.75" x14ac:dyDescent="0.75">
      <c r="A364" s="200">
        <v>967</v>
      </c>
      <c r="B364" s="201">
        <v>45008</v>
      </c>
      <c r="C364" s="3" t="str">
        <f t="shared" si="26"/>
        <v>3/23/23</v>
      </c>
      <c r="D364" s="3" t="s">
        <v>539</v>
      </c>
      <c r="E364" s="200">
        <v>0</v>
      </c>
      <c r="F364" s="200"/>
      <c r="G364" s="200" t="s">
        <v>539</v>
      </c>
      <c r="H364" s="200"/>
      <c r="I364" s="200"/>
      <c r="J364" s="200"/>
      <c r="K364" s="200"/>
      <c r="L364" s="200"/>
      <c r="M364" s="204"/>
      <c r="N364" s="204"/>
      <c r="O364" s="204"/>
      <c r="P364" s="204"/>
      <c r="Q364" s="204"/>
      <c r="R364" s="204"/>
      <c r="S364" s="204"/>
      <c r="T364" s="204"/>
      <c r="U364" s="204"/>
      <c r="V364" s="204"/>
      <c r="W364" s="200"/>
      <c r="X364" s="200"/>
      <c r="AC364" s="205">
        <v>4</v>
      </c>
      <c r="AD364" s="204"/>
      <c r="AF364" s="204"/>
      <c r="AI364" s="206"/>
    </row>
    <row r="365" spans="1:35" ht="14.75" x14ac:dyDescent="0.75">
      <c r="A365" s="22">
        <v>967</v>
      </c>
      <c r="B365" s="3">
        <v>45042</v>
      </c>
      <c r="C365" s="3" t="str">
        <f t="shared" si="26"/>
        <v>4/26/23</v>
      </c>
      <c r="D365" s="3" t="s">
        <v>539</v>
      </c>
      <c r="E365" s="22">
        <f>B365-B364</f>
        <v>34</v>
      </c>
      <c r="G365" s="22" t="s">
        <v>539</v>
      </c>
      <c r="AC365">
        <v>10</v>
      </c>
      <c r="AD365" s="47"/>
      <c r="AF365" s="47"/>
      <c r="AI365" s="10"/>
    </row>
    <row r="366" spans="1:35" ht="14.75" x14ac:dyDescent="0.75">
      <c r="A366" s="22">
        <v>967</v>
      </c>
      <c r="B366" s="3">
        <v>45092</v>
      </c>
      <c r="C366" s="3" t="str">
        <f t="shared" si="26"/>
        <v>6/15/23</v>
      </c>
      <c r="D366" s="3" t="s">
        <v>539</v>
      </c>
      <c r="E366" s="22">
        <f>30-26+31+15</f>
        <v>50</v>
      </c>
      <c r="G366" s="22" t="s">
        <v>539</v>
      </c>
      <c r="AC366">
        <v>0</v>
      </c>
      <c r="AD366" s="47"/>
      <c r="AF366" s="47"/>
      <c r="AI366" s="10"/>
    </row>
    <row r="367" spans="1:35" ht="14.75" x14ac:dyDescent="0.75">
      <c r="A367" s="22">
        <v>967</v>
      </c>
      <c r="B367" s="3">
        <v>45134</v>
      </c>
      <c r="C367" s="3" t="str">
        <f t="shared" si="26"/>
        <v>7/27/23</v>
      </c>
      <c r="D367" s="3" t="s">
        <v>539</v>
      </c>
      <c r="E367" s="22">
        <f>B367-B366</f>
        <v>42</v>
      </c>
      <c r="G367" s="22" t="s">
        <v>539</v>
      </c>
      <c r="AC367">
        <v>6</v>
      </c>
      <c r="AD367" s="47"/>
      <c r="AF367" s="47"/>
      <c r="AI367" s="10"/>
    </row>
    <row r="368" spans="1:35" s="205" customFormat="1" ht="14.75" x14ac:dyDescent="0.75">
      <c r="A368" s="200">
        <v>969</v>
      </c>
      <c r="B368" s="201">
        <v>44722</v>
      </c>
      <c r="C368" s="3" t="str">
        <f t="shared" si="26"/>
        <v>6/10/22</v>
      </c>
      <c r="D368" s="3" t="s">
        <v>539</v>
      </c>
      <c r="E368" s="200">
        <v>0</v>
      </c>
      <c r="F368" s="200"/>
      <c r="G368" s="200" t="s">
        <v>539</v>
      </c>
      <c r="H368" s="200"/>
      <c r="I368" s="200"/>
      <c r="J368" s="200"/>
      <c r="K368" s="200"/>
      <c r="L368" s="200">
        <f t="shared" si="16"/>
        <v>0</v>
      </c>
      <c r="M368" s="204"/>
      <c r="N368" s="204"/>
      <c r="O368" s="204"/>
      <c r="P368" s="204"/>
      <c r="Q368" s="204">
        <f t="shared" si="22"/>
        <v>0</v>
      </c>
      <c r="R368" s="204"/>
      <c r="S368" s="204"/>
      <c r="T368" s="204"/>
      <c r="U368" s="204"/>
      <c r="V368" s="204">
        <f t="shared" si="23"/>
        <v>0</v>
      </c>
      <c r="W368" s="200"/>
      <c r="X368" s="200"/>
      <c r="AB368" s="205" t="str">
        <f t="shared" si="25"/>
        <v>No</v>
      </c>
      <c r="AC368" s="205">
        <f>TreatmentUsed!E889</f>
        <v>1</v>
      </c>
      <c r="AD368" s="204">
        <f>Q368-Q334</f>
        <v>0</v>
      </c>
      <c r="AE368" s="205" t="e">
        <f>AD368/E368</f>
        <v>#DIV/0!</v>
      </c>
      <c r="AF368" s="204">
        <f>V368-V334</f>
        <v>0</v>
      </c>
      <c r="AG368" s="205" t="e">
        <f>(V368-V334)/E368</f>
        <v>#DIV/0!</v>
      </c>
      <c r="AH368" s="205" t="e">
        <f t="shared" si="27"/>
        <v>#DIV/0!</v>
      </c>
      <c r="AI368" s="206" t="e">
        <f>(AH368/E368)</f>
        <v>#DIV/0!</v>
      </c>
    </row>
    <row r="369" spans="1:36" ht="14.75" x14ac:dyDescent="0.75">
      <c r="A369" s="22">
        <v>969</v>
      </c>
      <c r="B369" s="3">
        <v>44748</v>
      </c>
      <c r="C369" s="3" t="str">
        <f t="shared" si="26"/>
        <v>7/6/22</v>
      </c>
      <c r="D369" s="3" t="s">
        <v>539</v>
      </c>
      <c r="E369" s="22">
        <f>30-10+6</f>
        <v>26</v>
      </c>
      <c r="G369" s="22" t="s">
        <v>539</v>
      </c>
      <c r="L369" s="22">
        <f t="shared" si="16"/>
        <v>0</v>
      </c>
      <c r="Q369" s="47">
        <f t="shared" si="22"/>
        <v>0</v>
      </c>
      <c r="V369" s="47">
        <f t="shared" si="23"/>
        <v>0</v>
      </c>
      <c r="AB369" t="str">
        <f t="shared" si="25"/>
        <v>No</v>
      </c>
      <c r="AC369">
        <v>0</v>
      </c>
      <c r="AD369" s="47">
        <f t="shared" si="28"/>
        <v>0</v>
      </c>
      <c r="AE369">
        <f>AD369/E369</f>
        <v>0</v>
      </c>
      <c r="AF369" s="47">
        <f t="shared" si="29"/>
        <v>0</v>
      </c>
      <c r="AG369">
        <f>(V369-V368)/E369</f>
        <v>0</v>
      </c>
      <c r="AH369" t="e">
        <f t="shared" si="27"/>
        <v>#DIV/0!</v>
      </c>
      <c r="AI369" s="10" t="e">
        <f>(AH369/E369)</f>
        <v>#DIV/0!</v>
      </c>
    </row>
    <row r="370" spans="1:36" ht="14.75" x14ac:dyDescent="0.75">
      <c r="A370" s="71">
        <v>969</v>
      </c>
      <c r="B370" s="72">
        <v>44768</v>
      </c>
      <c r="C370" s="3" t="str">
        <f t="shared" si="26"/>
        <v>7/26/22</v>
      </c>
      <c r="D370" s="3" t="s">
        <v>539</v>
      </c>
      <c r="E370" s="22">
        <v>20</v>
      </c>
      <c r="G370" s="22" t="s">
        <v>539</v>
      </c>
      <c r="L370" s="22">
        <f t="shared" si="16"/>
        <v>0</v>
      </c>
      <c r="Q370" s="47">
        <f t="shared" si="22"/>
        <v>0</v>
      </c>
      <c r="V370" s="47">
        <f t="shared" si="23"/>
        <v>0</v>
      </c>
      <c r="AB370" t="str">
        <f t="shared" si="25"/>
        <v>No</v>
      </c>
      <c r="AC370">
        <v>0</v>
      </c>
      <c r="AD370" s="47">
        <f t="shared" si="28"/>
        <v>0</v>
      </c>
      <c r="AE370">
        <f>AD370/E370</f>
        <v>0</v>
      </c>
      <c r="AF370" s="47">
        <f t="shared" si="29"/>
        <v>0</v>
      </c>
      <c r="AG370">
        <f>(V370-V369)/E370</f>
        <v>0</v>
      </c>
      <c r="AH370" t="e">
        <f t="shared" si="27"/>
        <v>#DIV/0!</v>
      </c>
      <c r="AI370" s="10" t="e">
        <f>(AH370/E370)</f>
        <v>#DIV/0!</v>
      </c>
    </row>
    <row r="371" spans="1:36" ht="14.75" x14ac:dyDescent="0.75">
      <c r="A371" s="22">
        <v>969</v>
      </c>
      <c r="B371" s="3">
        <v>44790</v>
      </c>
      <c r="C371" s="3" t="str">
        <f t="shared" si="26"/>
        <v>8/17/22</v>
      </c>
      <c r="D371" s="3" t="s">
        <v>539</v>
      </c>
      <c r="E371" s="22">
        <f>31-26+17</f>
        <v>22</v>
      </c>
      <c r="G371" s="22" t="s">
        <v>390</v>
      </c>
      <c r="L371" s="22">
        <f t="shared" si="16"/>
        <v>0</v>
      </c>
      <c r="Q371" s="47">
        <f t="shared" si="22"/>
        <v>0</v>
      </c>
      <c r="V371" s="47">
        <f t="shared" si="23"/>
        <v>0</v>
      </c>
      <c r="AB371" t="str">
        <f t="shared" si="25"/>
        <v>No</v>
      </c>
      <c r="AC371">
        <v>0</v>
      </c>
      <c r="AD371" s="47">
        <f t="shared" si="28"/>
        <v>0</v>
      </c>
      <c r="AE371">
        <f>AD371/E371</f>
        <v>0</v>
      </c>
      <c r="AF371" s="47">
        <f t="shared" si="29"/>
        <v>0</v>
      </c>
      <c r="AG371">
        <f>(V371-V370)/E371</f>
        <v>0</v>
      </c>
      <c r="AH371" t="e">
        <f t="shared" si="27"/>
        <v>#DIV/0!</v>
      </c>
      <c r="AI371" s="10" t="e">
        <f>(AH371/E371)</f>
        <v>#DIV/0!</v>
      </c>
    </row>
    <row r="372" spans="1:36" ht="14.75" x14ac:dyDescent="0.75">
      <c r="A372" s="22">
        <v>969</v>
      </c>
      <c r="B372" s="3">
        <v>44838</v>
      </c>
      <c r="C372" s="3" t="str">
        <f t="shared" si="26"/>
        <v>10/4/22</v>
      </c>
      <c r="D372" s="3" t="s">
        <v>539</v>
      </c>
      <c r="E372" s="22">
        <f>31-17+30+4</f>
        <v>48</v>
      </c>
      <c r="G372" s="22" t="s">
        <v>390</v>
      </c>
      <c r="AC372">
        <v>0</v>
      </c>
      <c r="AD372" s="47"/>
      <c r="AF372" s="47"/>
      <c r="AI372" s="10"/>
    </row>
    <row r="373" spans="1:36" ht="14.75" x14ac:dyDescent="0.75">
      <c r="A373" s="22">
        <v>969</v>
      </c>
      <c r="B373" s="3">
        <v>44875</v>
      </c>
      <c r="C373" s="3" t="str">
        <f t="shared" si="26"/>
        <v>11/10/22</v>
      </c>
      <c r="D373" s="3" t="s">
        <v>539</v>
      </c>
      <c r="E373" s="22">
        <f>31-4+10</f>
        <v>37</v>
      </c>
      <c r="G373" s="22" t="s">
        <v>390</v>
      </c>
      <c r="AC373">
        <v>0</v>
      </c>
      <c r="AD373" s="47"/>
      <c r="AF373" s="47"/>
      <c r="AI373" s="10"/>
    </row>
    <row r="374" spans="1:36" ht="14.75" x14ac:dyDescent="0.75">
      <c r="A374" s="22">
        <v>969</v>
      </c>
      <c r="B374" s="3">
        <v>44950</v>
      </c>
      <c r="C374" s="3" t="str">
        <f t="shared" si="26"/>
        <v>1/24/23</v>
      </c>
      <c r="D374" s="3" t="s">
        <v>539</v>
      </c>
      <c r="E374" s="22">
        <f>30-10+31+24</f>
        <v>75</v>
      </c>
      <c r="G374" s="22" t="s">
        <v>390</v>
      </c>
      <c r="AC374">
        <v>0</v>
      </c>
      <c r="AD374" s="47"/>
      <c r="AF374" s="47"/>
      <c r="AI374" s="10"/>
    </row>
    <row r="375" spans="1:36" ht="14.75" x14ac:dyDescent="0.75">
      <c r="A375" s="22">
        <v>969</v>
      </c>
      <c r="B375" s="3">
        <v>44986</v>
      </c>
      <c r="C375" s="3" t="str">
        <f t="shared" si="26"/>
        <v>3/1/23</v>
      </c>
      <c r="D375" s="3" t="s">
        <v>539</v>
      </c>
      <c r="E375" s="22">
        <f>31-24+28+1</f>
        <v>36</v>
      </c>
      <c r="G375" s="22" t="s">
        <v>390</v>
      </c>
      <c r="AC375">
        <v>0</v>
      </c>
      <c r="AD375" s="47"/>
      <c r="AF375" s="47"/>
      <c r="AI375" s="10"/>
    </row>
    <row r="376" spans="1:36" ht="14.75" x14ac:dyDescent="0.75">
      <c r="A376" s="22">
        <v>969</v>
      </c>
      <c r="B376" s="3">
        <v>45035</v>
      </c>
      <c r="C376" s="3" t="str">
        <f t="shared" si="26"/>
        <v>4/19/23</v>
      </c>
      <c r="D376" s="3" t="s">
        <v>539</v>
      </c>
      <c r="E376" s="22">
        <f>31-1+19</f>
        <v>49</v>
      </c>
      <c r="G376" s="22" t="s">
        <v>539</v>
      </c>
      <c r="AC376">
        <v>6</v>
      </c>
      <c r="AD376" s="47"/>
      <c r="AF376" s="47"/>
      <c r="AI376" s="10"/>
    </row>
    <row r="377" spans="1:36" ht="14.75" x14ac:dyDescent="0.75">
      <c r="A377" s="207">
        <v>969</v>
      </c>
      <c r="B377" s="3">
        <v>45069</v>
      </c>
      <c r="C377" s="3" t="str">
        <f t="shared" si="26"/>
        <v>5/23/23</v>
      </c>
      <c r="D377" s="3" t="s">
        <v>539</v>
      </c>
      <c r="E377" s="22">
        <f>31-1+30+23</f>
        <v>83</v>
      </c>
      <c r="G377" s="22" t="s">
        <v>390</v>
      </c>
      <c r="AC377">
        <v>0</v>
      </c>
      <c r="AD377" s="47"/>
      <c r="AF377" s="47"/>
      <c r="AI377" s="10"/>
    </row>
    <row r="378" spans="1:36" ht="14.75" x14ac:dyDescent="0.75">
      <c r="A378" s="207">
        <v>969</v>
      </c>
      <c r="B378" s="3">
        <v>45113</v>
      </c>
      <c r="C378" s="3" t="str">
        <f t="shared" si="26"/>
        <v>7/6/23</v>
      </c>
      <c r="D378" s="3" t="s">
        <v>539</v>
      </c>
      <c r="E378" s="22">
        <f>31-23+30+6</f>
        <v>44</v>
      </c>
      <c r="G378" s="22" t="s">
        <v>390</v>
      </c>
      <c r="AC378">
        <v>0</v>
      </c>
      <c r="AD378" s="47"/>
      <c r="AF378" s="47"/>
      <c r="AI378" s="10"/>
    </row>
    <row r="379" spans="1:36" ht="14.75" x14ac:dyDescent="0.75">
      <c r="A379" s="207">
        <v>969</v>
      </c>
      <c r="B379" s="3">
        <v>45167</v>
      </c>
      <c r="C379" s="3" t="str">
        <f t="shared" si="26"/>
        <v>8/29/23</v>
      </c>
      <c r="D379" s="3" t="s">
        <v>539</v>
      </c>
      <c r="E379" s="22">
        <f>29+31-6</f>
        <v>54</v>
      </c>
      <c r="G379" s="22" t="s">
        <v>390</v>
      </c>
      <c r="AC379">
        <v>0</v>
      </c>
      <c r="AD379" s="47"/>
      <c r="AF379" s="47"/>
      <c r="AI379" s="10"/>
    </row>
    <row r="380" spans="1:36" ht="14.75" x14ac:dyDescent="0.75">
      <c r="A380" s="189">
        <v>970</v>
      </c>
      <c r="B380" s="190">
        <v>44742</v>
      </c>
      <c r="C380" s="3" t="str">
        <f t="shared" si="26"/>
        <v>6/30/22</v>
      </c>
      <c r="D380" s="3" t="s">
        <v>539</v>
      </c>
      <c r="E380" s="189">
        <v>0</v>
      </c>
      <c r="F380" s="189"/>
      <c r="G380" s="189" t="s">
        <v>539</v>
      </c>
      <c r="H380" s="189"/>
      <c r="I380" s="189"/>
      <c r="J380" s="189"/>
      <c r="K380" s="189"/>
      <c r="L380" s="189">
        <f t="shared" si="16"/>
        <v>0</v>
      </c>
      <c r="M380" s="212"/>
      <c r="N380" s="212"/>
      <c r="O380" s="212"/>
      <c r="P380" s="212"/>
      <c r="Q380" s="212">
        <f t="shared" si="22"/>
        <v>0</v>
      </c>
      <c r="R380" s="212"/>
      <c r="S380" s="212"/>
      <c r="T380" s="212"/>
      <c r="U380" s="212"/>
      <c r="V380" s="212">
        <f t="shared" si="23"/>
        <v>0</v>
      </c>
      <c r="W380" s="189"/>
      <c r="X380" s="189"/>
      <c r="Y380" s="213"/>
      <c r="Z380" s="213"/>
      <c r="AA380" s="213"/>
      <c r="AB380" s="213" t="str">
        <f t="shared" si="25"/>
        <v>No</v>
      </c>
      <c r="AC380" s="213">
        <f>TreatmentUsed!E1057</f>
        <v>29</v>
      </c>
      <c r="AD380" s="212">
        <f>Q380-Q371</f>
        <v>0</v>
      </c>
      <c r="AE380" s="213" t="e">
        <f>AD380/E380</f>
        <v>#DIV/0!</v>
      </c>
      <c r="AF380" s="212">
        <f>V380-V371</f>
        <v>0</v>
      </c>
      <c r="AG380" s="213" t="e">
        <f>(V380-V371)/E380</f>
        <v>#DIV/0!</v>
      </c>
      <c r="AH380" s="213" t="e">
        <f t="shared" si="27"/>
        <v>#DIV/0!</v>
      </c>
      <c r="AI380" s="214" t="e">
        <f>(AH380/E380)</f>
        <v>#DIV/0!</v>
      </c>
      <c r="AJ380" s="213"/>
    </row>
    <row r="381" spans="1:36" ht="14.75" x14ac:dyDescent="0.75">
      <c r="A381" s="22">
        <v>970</v>
      </c>
      <c r="B381" s="3">
        <v>44757</v>
      </c>
      <c r="C381" s="3" t="str">
        <f t="shared" si="26"/>
        <v>7/15/22</v>
      </c>
      <c r="D381" s="3" t="s">
        <v>539</v>
      </c>
      <c r="E381" s="22">
        <v>15</v>
      </c>
      <c r="G381" s="22" t="s">
        <v>539</v>
      </c>
      <c r="L381" s="22">
        <f t="shared" si="16"/>
        <v>0</v>
      </c>
      <c r="Q381" s="47">
        <f t="shared" si="22"/>
        <v>0</v>
      </c>
      <c r="V381" s="47">
        <f t="shared" si="23"/>
        <v>0</v>
      </c>
      <c r="AB381" t="str">
        <f t="shared" si="25"/>
        <v>No</v>
      </c>
      <c r="AC381">
        <v>9</v>
      </c>
      <c r="AD381" s="47">
        <f t="shared" si="28"/>
        <v>0</v>
      </c>
      <c r="AE381">
        <f>AD381/E381</f>
        <v>0</v>
      </c>
      <c r="AF381" s="47">
        <f t="shared" si="29"/>
        <v>0</v>
      </c>
      <c r="AG381">
        <f>(V381-V380)/E381</f>
        <v>0</v>
      </c>
      <c r="AH381" t="e">
        <f t="shared" si="27"/>
        <v>#DIV/0!</v>
      </c>
      <c r="AI381" s="10" t="e">
        <f>(AH381/E381)</f>
        <v>#DIV/0!</v>
      </c>
    </row>
    <row r="382" spans="1:36" ht="14.75" x14ac:dyDescent="0.75">
      <c r="A382" s="207">
        <v>970</v>
      </c>
      <c r="B382" s="3">
        <v>44783</v>
      </c>
      <c r="C382" s="3" t="str">
        <f t="shared" si="26"/>
        <v>8/10/22</v>
      </c>
      <c r="D382" s="3" t="s">
        <v>539</v>
      </c>
      <c r="E382" s="22">
        <f>31-15+10</f>
        <v>26</v>
      </c>
      <c r="G382" s="22" t="s">
        <v>539</v>
      </c>
      <c r="L382" s="22">
        <f t="shared" si="16"/>
        <v>0</v>
      </c>
      <c r="Q382" s="47">
        <f t="shared" si="22"/>
        <v>0</v>
      </c>
      <c r="V382" s="47">
        <f t="shared" si="23"/>
        <v>0</v>
      </c>
      <c r="AB382" t="str">
        <f t="shared" si="25"/>
        <v>No</v>
      </c>
      <c r="AC382">
        <v>0</v>
      </c>
      <c r="AD382" s="47">
        <f t="shared" si="28"/>
        <v>0</v>
      </c>
      <c r="AE382">
        <f>AD382/E382</f>
        <v>0</v>
      </c>
      <c r="AF382" s="47">
        <f t="shared" si="29"/>
        <v>0</v>
      </c>
      <c r="AG382">
        <f>(V382-V381)/E382</f>
        <v>0</v>
      </c>
      <c r="AH382" t="e">
        <f t="shared" si="27"/>
        <v>#DIV/0!</v>
      </c>
      <c r="AI382" s="10" t="e">
        <f>(AH382/E382)</f>
        <v>#DIV/0!</v>
      </c>
    </row>
    <row r="383" spans="1:36" ht="14.75" x14ac:dyDescent="0.75">
      <c r="A383" s="207">
        <v>970</v>
      </c>
      <c r="B383" s="3">
        <v>44825</v>
      </c>
      <c r="C383" s="3" t="str">
        <f t="shared" si="26"/>
        <v>9/21/22</v>
      </c>
      <c r="D383" s="3" t="s">
        <v>539</v>
      </c>
      <c r="E383" s="22">
        <f>31-10+21</f>
        <v>42</v>
      </c>
      <c r="G383" s="22" t="s">
        <v>390</v>
      </c>
      <c r="AC383">
        <v>0</v>
      </c>
      <c r="AD383" s="47"/>
      <c r="AF383" s="47"/>
      <c r="AI383" s="10"/>
    </row>
    <row r="384" spans="1:36" ht="14.75" x14ac:dyDescent="0.75">
      <c r="A384" s="207">
        <v>970</v>
      </c>
      <c r="B384" s="3">
        <v>44845</v>
      </c>
      <c r="C384" s="3" t="str">
        <f t="shared" si="26"/>
        <v>10/11/22</v>
      </c>
      <c r="D384" s="3" t="s">
        <v>539</v>
      </c>
      <c r="E384" s="22">
        <f>30-21+11</f>
        <v>20</v>
      </c>
      <c r="G384" s="22" t="s">
        <v>390</v>
      </c>
      <c r="AC384">
        <v>0</v>
      </c>
      <c r="AD384" s="47"/>
      <c r="AF384" s="47"/>
      <c r="AI384" s="10"/>
    </row>
    <row r="385" spans="1:36" ht="14.75" x14ac:dyDescent="0.75">
      <c r="A385" s="207">
        <v>970</v>
      </c>
      <c r="B385" s="3">
        <v>44873</v>
      </c>
      <c r="C385" s="3" t="str">
        <f t="shared" si="26"/>
        <v>11/8/22</v>
      </c>
      <c r="D385" s="3" t="s">
        <v>539</v>
      </c>
      <c r="E385" s="22">
        <f>31-11+8</f>
        <v>28</v>
      </c>
      <c r="G385" s="22" t="s">
        <v>390</v>
      </c>
      <c r="AC385">
        <v>0</v>
      </c>
      <c r="AD385" s="47"/>
      <c r="AF385" s="47"/>
      <c r="AI385" s="10"/>
    </row>
    <row r="386" spans="1:36" ht="14.75" x14ac:dyDescent="0.75">
      <c r="A386" s="207">
        <v>970</v>
      </c>
      <c r="B386" s="3">
        <v>44936</v>
      </c>
      <c r="C386" s="3" t="str">
        <f t="shared" si="26"/>
        <v>1/10/23</v>
      </c>
      <c r="D386" s="3" t="s">
        <v>539</v>
      </c>
      <c r="E386" s="22">
        <f>30-8+31+10</f>
        <v>63</v>
      </c>
      <c r="G386" s="198" t="s">
        <v>390</v>
      </c>
      <c r="H386" s="198"/>
      <c r="I386" s="198"/>
      <c r="J386" s="198"/>
      <c r="K386" s="198"/>
      <c r="L386" s="198"/>
      <c r="M386" s="210"/>
      <c r="N386" s="210"/>
      <c r="O386" s="210"/>
      <c r="P386" s="210"/>
      <c r="Q386" s="210"/>
      <c r="R386" s="210"/>
      <c r="S386" s="210"/>
      <c r="T386" s="210"/>
      <c r="U386" s="210"/>
      <c r="V386" s="210"/>
      <c r="W386" s="198"/>
      <c r="X386" s="198"/>
      <c r="Y386" s="173"/>
      <c r="Z386" s="173"/>
      <c r="AA386" s="173"/>
      <c r="AB386" s="173"/>
      <c r="AC386" s="173">
        <v>0</v>
      </c>
      <c r="AD386" s="210"/>
      <c r="AE386" s="173"/>
      <c r="AF386" s="210"/>
      <c r="AG386" s="173"/>
      <c r="AH386" s="173"/>
      <c r="AI386" s="211"/>
      <c r="AJ386" s="173"/>
    </row>
    <row r="387" spans="1:36" ht="14.75" x14ac:dyDescent="0.75">
      <c r="A387" s="200">
        <v>971</v>
      </c>
      <c r="B387" s="201">
        <v>44742</v>
      </c>
      <c r="C387" s="3" t="str">
        <f t="shared" ref="C387:C450" si="30">TEXT(B387,"M/D/YY")</f>
        <v>6/30/22</v>
      </c>
      <c r="D387" s="3" t="s">
        <v>539</v>
      </c>
      <c r="E387" s="200">
        <v>0</v>
      </c>
      <c r="F387" s="315"/>
      <c r="G387" s="22" t="s">
        <v>539</v>
      </c>
      <c r="L387" s="22">
        <f t="shared" ref="L387:L479" si="31">SUM(H387:K387)</f>
        <v>0</v>
      </c>
      <c r="Q387" s="47">
        <f t="shared" ref="Q387:Q471" si="32">SUM(M387:P387)</f>
        <v>0</v>
      </c>
      <c r="V387" s="47">
        <f t="shared" ref="V387:V480" si="33">SUM(R387:U387)</f>
        <v>0</v>
      </c>
      <c r="AB387" t="str">
        <f t="shared" si="25"/>
        <v>No</v>
      </c>
      <c r="AC387">
        <f>TreatmentUsed!E1069</f>
        <v>3</v>
      </c>
      <c r="AD387" s="47">
        <f>Q387-Q382</f>
        <v>0</v>
      </c>
      <c r="AE387" t="e">
        <f>AD387/E387</f>
        <v>#DIV/0!</v>
      </c>
      <c r="AF387" s="47">
        <f>V387-V382</f>
        <v>0</v>
      </c>
      <c r="AG387" t="e">
        <f>(V387-V382)/E387</f>
        <v>#DIV/0!</v>
      </c>
      <c r="AH387" t="e">
        <f t="shared" si="27"/>
        <v>#DIV/0!</v>
      </c>
      <c r="AI387" s="10" t="e">
        <f>(AH387/E387)</f>
        <v>#DIV/0!</v>
      </c>
    </row>
    <row r="388" spans="1:36" s="205" customFormat="1" ht="14.75" x14ac:dyDescent="0.75">
      <c r="A388" s="202">
        <v>972</v>
      </c>
      <c r="B388" s="203">
        <v>44742</v>
      </c>
      <c r="C388" s="3" t="str">
        <f t="shared" si="30"/>
        <v>6/30/22</v>
      </c>
      <c r="D388" s="3" t="s">
        <v>539</v>
      </c>
      <c r="E388" s="202">
        <v>0</v>
      </c>
      <c r="F388" s="315"/>
      <c r="G388" s="200" t="s">
        <v>539</v>
      </c>
      <c r="H388" s="200"/>
      <c r="I388" s="200"/>
      <c r="J388" s="200"/>
      <c r="K388" s="200"/>
      <c r="L388" s="200">
        <f t="shared" si="31"/>
        <v>0</v>
      </c>
      <c r="M388" s="204"/>
      <c r="N388" s="204"/>
      <c r="O388" s="204"/>
      <c r="P388" s="204"/>
      <c r="Q388" s="204">
        <f t="shared" si="32"/>
        <v>0</v>
      </c>
      <c r="R388" s="204"/>
      <c r="S388" s="204"/>
      <c r="T388" s="204"/>
      <c r="U388" s="204"/>
      <c r="V388" s="204">
        <f t="shared" si="33"/>
        <v>0</v>
      </c>
      <c r="W388" s="200"/>
      <c r="X388" s="200"/>
      <c r="AB388" s="205" t="str">
        <f t="shared" si="25"/>
        <v>No</v>
      </c>
      <c r="AC388" s="205">
        <f>TreatmentUsed!E1076</f>
        <v>5</v>
      </c>
      <c r="AD388" s="204">
        <f t="shared" si="28"/>
        <v>0</v>
      </c>
      <c r="AE388" s="205" t="e">
        <f>AD388/E388</f>
        <v>#DIV/0!</v>
      </c>
      <c r="AF388" s="204">
        <f t="shared" si="29"/>
        <v>0</v>
      </c>
      <c r="AG388" s="205" t="e">
        <f>(V388-V387)/E388</f>
        <v>#DIV/0!</v>
      </c>
      <c r="AH388" s="205" t="e">
        <f t="shared" si="27"/>
        <v>#DIV/0!</v>
      </c>
      <c r="AI388" s="206" t="e">
        <f>(AH388/E388)</f>
        <v>#DIV/0!</v>
      </c>
    </row>
    <row r="389" spans="1:36" ht="14.75" x14ac:dyDescent="0.75">
      <c r="A389" s="22">
        <v>973</v>
      </c>
      <c r="B389" s="3">
        <v>44743</v>
      </c>
      <c r="C389" s="3" t="str">
        <f t="shared" si="30"/>
        <v>7/1/22</v>
      </c>
      <c r="D389" s="3" t="s">
        <v>539</v>
      </c>
      <c r="E389" s="22">
        <v>0</v>
      </c>
      <c r="G389" s="189" t="s">
        <v>539</v>
      </c>
      <c r="H389" s="189"/>
      <c r="I389" s="189"/>
      <c r="J389" s="189"/>
      <c r="K389" s="189"/>
      <c r="L389" s="189"/>
      <c r="M389" s="212"/>
      <c r="N389" s="212"/>
      <c r="O389" s="212"/>
      <c r="P389" s="212"/>
      <c r="Q389" s="212"/>
      <c r="R389" s="212"/>
      <c r="S389" s="212"/>
      <c r="T389" s="212"/>
      <c r="U389" s="212"/>
      <c r="V389" s="212"/>
      <c r="W389" s="189"/>
      <c r="X389" s="189"/>
      <c r="Y389" s="213"/>
      <c r="Z389" s="213"/>
      <c r="AA389" s="213"/>
      <c r="AB389" s="213"/>
      <c r="AC389" s="213">
        <v>3</v>
      </c>
      <c r="AD389" s="212"/>
      <c r="AE389" s="213"/>
      <c r="AF389" s="212"/>
      <c r="AG389" s="213"/>
      <c r="AH389" s="213"/>
      <c r="AI389" s="214"/>
      <c r="AJ389" s="213"/>
    </row>
    <row r="390" spans="1:36" ht="14.75" x14ac:dyDescent="0.75">
      <c r="A390" s="22">
        <v>973</v>
      </c>
      <c r="B390" s="3">
        <v>44762</v>
      </c>
      <c r="C390" s="3" t="str">
        <f t="shared" si="30"/>
        <v>7/20/22</v>
      </c>
      <c r="D390" s="3" t="s">
        <v>539</v>
      </c>
      <c r="E390" s="22">
        <v>19</v>
      </c>
      <c r="G390" s="22" t="s">
        <v>539</v>
      </c>
      <c r="AC390">
        <v>2</v>
      </c>
      <c r="AD390" s="47"/>
      <c r="AF390" s="47"/>
      <c r="AI390" s="10"/>
    </row>
    <row r="391" spans="1:36" ht="14.75" x14ac:dyDescent="0.75">
      <c r="A391" s="207">
        <v>973</v>
      </c>
      <c r="B391" s="3">
        <v>44784</v>
      </c>
      <c r="C391" s="3" t="str">
        <f t="shared" si="30"/>
        <v>8/11/22</v>
      </c>
      <c r="D391" s="3" t="s">
        <v>539</v>
      </c>
      <c r="E391" s="22">
        <f>31-20+11</f>
        <v>22</v>
      </c>
      <c r="G391" s="22" t="s">
        <v>539</v>
      </c>
      <c r="AC391">
        <v>0</v>
      </c>
      <c r="AD391" s="47"/>
      <c r="AF391" s="47"/>
      <c r="AI391" s="10"/>
    </row>
    <row r="392" spans="1:36" ht="14.75" x14ac:dyDescent="0.75">
      <c r="A392" s="207">
        <v>973</v>
      </c>
      <c r="B392" s="3">
        <v>44845</v>
      </c>
      <c r="C392" s="3" t="str">
        <f t="shared" si="30"/>
        <v>10/11/22</v>
      </c>
      <c r="D392" s="3" t="s">
        <v>539</v>
      </c>
      <c r="E392" s="22">
        <f>31-11+30+11</f>
        <v>61</v>
      </c>
      <c r="G392" s="22" t="s">
        <v>390</v>
      </c>
      <c r="AC392">
        <v>0</v>
      </c>
      <c r="AD392" s="47"/>
      <c r="AF392" s="47"/>
      <c r="AI392" s="10"/>
    </row>
    <row r="393" spans="1:36" ht="14.75" x14ac:dyDescent="0.75">
      <c r="A393" s="207">
        <v>973</v>
      </c>
      <c r="B393" s="3">
        <v>44880</v>
      </c>
      <c r="C393" s="3" t="str">
        <f t="shared" si="30"/>
        <v>11/15/22</v>
      </c>
      <c r="D393" s="3" t="s">
        <v>539</v>
      </c>
      <c r="E393" s="22">
        <f>31-11+15</f>
        <v>35</v>
      </c>
      <c r="G393" s="22" t="s">
        <v>390</v>
      </c>
      <c r="AC393">
        <v>0</v>
      </c>
      <c r="AD393" s="47"/>
      <c r="AF393" s="47"/>
      <c r="AI393" s="10"/>
    </row>
    <row r="394" spans="1:36" ht="14.75" x14ac:dyDescent="0.75">
      <c r="A394" s="207">
        <v>973</v>
      </c>
      <c r="B394" s="3">
        <v>44980</v>
      </c>
      <c r="C394" s="3" t="str">
        <f t="shared" si="30"/>
        <v>2/23/23</v>
      </c>
      <c r="D394" s="3" t="s">
        <v>539</v>
      </c>
      <c r="E394" s="22">
        <f>30-15+31+31+23</f>
        <v>100</v>
      </c>
      <c r="G394" s="22" t="s">
        <v>390</v>
      </c>
      <c r="AC394">
        <v>0</v>
      </c>
      <c r="AD394" s="47"/>
      <c r="AF394" s="47"/>
      <c r="AI394" s="10"/>
    </row>
    <row r="395" spans="1:36" ht="14.75" x14ac:dyDescent="0.75">
      <c r="A395" s="198">
        <v>973</v>
      </c>
      <c r="B395" s="199">
        <v>45104</v>
      </c>
      <c r="C395" s="3" t="str">
        <f t="shared" si="30"/>
        <v>6/27/23</v>
      </c>
      <c r="D395" s="3" t="s">
        <v>539</v>
      </c>
      <c r="E395" s="198">
        <f>28-23+31+30+31+27</f>
        <v>124</v>
      </c>
      <c r="F395" s="198"/>
      <c r="G395" s="198" t="s">
        <v>539</v>
      </c>
      <c r="H395" s="198"/>
      <c r="I395" s="198"/>
      <c r="J395" s="198"/>
      <c r="K395" s="198"/>
      <c r="L395" s="198"/>
      <c r="M395" s="210"/>
      <c r="N395" s="210"/>
      <c r="O395" s="210"/>
      <c r="P395" s="210"/>
      <c r="Q395" s="210"/>
      <c r="R395" s="210"/>
      <c r="S395" s="210"/>
      <c r="T395" s="210"/>
      <c r="U395" s="210"/>
      <c r="V395" s="210"/>
      <c r="W395" s="198"/>
      <c r="X395" s="198"/>
      <c r="Y395" s="173"/>
      <c r="Z395" s="173"/>
      <c r="AA395" s="173"/>
      <c r="AB395" s="173"/>
      <c r="AC395" s="173">
        <v>70</v>
      </c>
      <c r="AD395" s="210"/>
      <c r="AE395" s="173"/>
      <c r="AF395" s="210"/>
      <c r="AG395" s="173"/>
      <c r="AH395" s="173"/>
      <c r="AI395" s="211"/>
      <c r="AJ395" s="173"/>
    </row>
    <row r="396" spans="1:36" ht="14.75" x14ac:dyDescent="0.75">
      <c r="A396" s="22">
        <v>974</v>
      </c>
      <c r="B396" s="3">
        <v>44743</v>
      </c>
      <c r="C396" s="3" t="str">
        <f t="shared" si="30"/>
        <v>7/1/22</v>
      </c>
      <c r="D396" s="3" t="s">
        <v>539</v>
      </c>
      <c r="E396" s="22">
        <v>0</v>
      </c>
      <c r="G396" s="22" t="s">
        <v>539</v>
      </c>
      <c r="L396" s="22">
        <f t="shared" si="31"/>
        <v>0</v>
      </c>
      <c r="Q396" s="47">
        <f t="shared" si="32"/>
        <v>0</v>
      </c>
      <c r="V396" s="47">
        <f t="shared" si="33"/>
        <v>0</v>
      </c>
      <c r="AB396" t="str">
        <f t="shared" si="25"/>
        <v>No</v>
      </c>
      <c r="AC396">
        <v>42</v>
      </c>
      <c r="AD396" s="47">
        <f>Q396-Q388</f>
        <v>0</v>
      </c>
      <c r="AE396" t="e">
        <f>AD396/E396</f>
        <v>#DIV/0!</v>
      </c>
      <c r="AF396" s="47">
        <f>V396-V388</f>
        <v>0</v>
      </c>
      <c r="AG396" t="e">
        <f>(V396-V388)/E396</f>
        <v>#DIV/0!</v>
      </c>
      <c r="AH396" t="e">
        <f t="shared" si="27"/>
        <v>#DIV/0!</v>
      </c>
      <c r="AI396" s="10" t="e">
        <f>(AH396/E396)</f>
        <v>#DIV/0!</v>
      </c>
    </row>
    <row r="397" spans="1:36" ht="14.75" x14ac:dyDescent="0.75">
      <c r="A397" s="207">
        <v>974</v>
      </c>
      <c r="B397" s="3">
        <v>44762</v>
      </c>
      <c r="C397" s="3" t="str">
        <f t="shared" si="30"/>
        <v>7/20/22</v>
      </c>
      <c r="D397" s="3" t="s">
        <v>539</v>
      </c>
      <c r="E397" s="22">
        <v>19</v>
      </c>
      <c r="G397" s="22" t="s">
        <v>539</v>
      </c>
      <c r="L397" s="22">
        <f t="shared" si="31"/>
        <v>0</v>
      </c>
      <c r="Q397" s="47">
        <f t="shared" si="32"/>
        <v>0</v>
      </c>
      <c r="V397" s="47">
        <f t="shared" si="33"/>
        <v>0</v>
      </c>
      <c r="AB397" t="str">
        <f t="shared" si="25"/>
        <v>No</v>
      </c>
      <c r="AC397">
        <v>0</v>
      </c>
      <c r="AD397" s="47">
        <f t="shared" si="28"/>
        <v>0</v>
      </c>
      <c r="AE397">
        <f>AD397/E397</f>
        <v>0</v>
      </c>
      <c r="AF397" s="47">
        <f t="shared" si="29"/>
        <v>0</v>
      </c>
      <c r="AG397">
        <f>(V397-V396)/E397</f>
        <v>0</v>
      </c>
      <c r="AH397" t="e">
        <f t="shared" si="27"/>
        <v>#DIV/0!</v>
      </c>
      <c r="AI397" s="10" t="e">
        <f>(AH397/E397)</f>
        <v>#DIV/0!</v>
      </c>
    </row>
    <row r="398" spans="1:36" ht="14.75" x14ac:dyDescent="0.75">
      <c r="A398" s="207">
        <v>974</v>
      </c>
      <c r="B398" s="3">
        <v>44784</v>
      </c>
      <c r="C398" s="3" t="str">
        <f t="shared" si="30"/>
        <v>8/11/22</v>
      </c>
      <c r="D398" s="3" t="s">
        <v>539</v>
      </c>
      <c r="E398" s="22">
        <f>31-20+11</f>
        <v>22</v>
      </c>
      <c r="G398" s="22" t="s">
        <v>539</v>
      </c>
      <c r="AC398">
        <v>0</v>
      </c>
      <c r="AD398" s="47"/>
      <c r="AF398" s="47"/>
      <c r="AI398" s="10"/>
    </row>
    <row r="399" spans="1:36" ht="14.75" x14ac:dyDescent="0.75">
      <c r="A399" s="22">
        <v>974</v>
      </c>
      <c r="B399" s="3">
        <v>44826</v>
      </c>
      <c r="C399" s="3" t="str">
        <f t="shared" si="30"/>
        <v>9/22/22</v>
      </c>
      <c r="D399" s="3" t="s">
        <v>539</v>
      </c>
      <c r="E399" s="22">
        <f>31-11+22</f>
        <v>42</v>
      </c>
      <c r="G399" s="22" t="s">
        <v>390</v>
      </c>
      <c r="AC399">
        <v>0</v>
      </c>
      <c r="AD399" s="47"/>
      <c r="AF399" s="47"/>
      <c r="AI399" s="10"/>
    </row>
    <row r="400" spans="1:36" ht="14.75" x14ac:dyDescent="0.75">
      <c r="A400" s="207">
        <v>974</v>
      </c>
      <c r="B400" s="3">
        <v>44845</v>
      </c>
      <c r="C400" s="3" t="str">
        <f t="shared" si="30"/>
        <v>10/11/22</v>
      </c>
      <c r="D400" s="3" t="s">
        <v>539</v>
      </c>
      <c r="E400" s="22">
        <f>30-22+11</f>
        <v>19</v>
      </c>
      <c r="G400" s="22" t="s">
        <v>390</v>
      </c>
      <c r="AC400">
        <v>0</v>
      </c>
      <c r="AD400" s="47"/>
      <c r="AF400" s="47"/>
      <c r="AI400" s="10"/>
    </row>
    <row r="401" spans="1:36" ht="14.75" x14ac:dyDescent="0.75">
      <c r="A401" s="22">
        <v>974</v>
      </c>
      <c r="B401" s="3">
        <v>44880</v>
      </c>
      <c r="C401" s="3" t="str">
        <f t="shared" si="30"/>
        <v>11/15/22</v>
      </c>
      <c r="D401" s="3" t="s">
        <v>539</v>
      </c>
      <c r="E401" s="22">
        <f>31-11+15</f>
        <v>35</v>
      </c>
      <c r="G401" s="22" t="s">
        <v>390</v>
      </c>
      <c r="AC401">
        <v>0</v>
      </c>
      <c r="AD401" s="47"/>
      <c r="AF401" s="47"/>
      <c r="AI401" s="10"/>
    </row>
    <row r="402" spans="1:36" ht="14.75" x14ac:dyDescent="0.75">
      <c r="A402" s="207">
        <v>974</v>
      </c>
      <c r="B402" s="3">
        <v>44937</v>
      </c>
      <c r="C402" s="3" t="str">
        <f t="shared" si="30"/>
        <v>1/11/23</v>
      </c>
      <c r="D402" s="3" t="s">
        <v>539</v>
      </c>
      <c r="E402" s="22">
        <f>30-15+31+11</f>
        <v>57</v>
      </c>
      <c r="G402" s="22" t="s">
        <v>390</v>
      </c>
      <c r="AC402">
        <v>0</v>
      </c>
      <c r="AD402" s="47"/>
      <c r="AF402" s="47"/>
      <c r="AI402" s="10"/>
    </row>
    <row r="403" spans="1:36" ht="14.75" x14ac:dyDescent="0.75">
      <c r="A403" s="207">
        <v>974</v>
      </c>
      <c r="B403" s="3">
        <v>44980</v>
      </c>
      <c r="C403" s="3" t="str">
        <f t="shared" si="30"/>
        <v>2/23/23</v>
      </c>
      <c r="D403" s="3" t="s">
        <v>539</v>
      </c>
      <c r="E403" s="22">
        <f>31-11+23</f>
        <v>43</v>
      </c>
      <c r="G403" s="22" t="s">
        <v>390</v>
      </c>
      <c r="AC403">
        <v>0</v>
      </c>
      <c r="AD403" s="47"/>
      <c r="AF403" s="47"/>
      <c r="AI403" s="10"/>
    </row>
    <row r="404" spans="1:36" ht="14.75" x14ac:dyDescent="0.75">
      <c r="A404" s="207">
        <v>974</v>
      </c>
      <c r="B404" s="3">
        <v>45064</v>
      </c>
      <c r="C404" s="3" t="str">
        <f t="shared" si="30"/>
        <v>5/18/23</v>
      </c>
      <c r="D404" s="3" t="s">
        <v>539</v>
      </c>
      <c r="E404" s="22">
        <f>28-23+31+30+18</f>
        <v>84</v>
      </c>
      <c r="G404" s="22" t="s">
        <v>390</v>
      </c>
      <c r="AC404">
        <v>0</v>
      </c>
      <c r="AD404" s="47"/>
      <c r="AF404" s="47"/>
      <c r="AI404" s="10"/>
    </row>
    <row r="405" spans="1:36" ht="14.75" x14ac:dyDescent="0.75">
      <c r="A405" s="209">
        <v>974</v>
      </c>
      <c r="B405" s="199">
        <v>45104</v>
      </c>
      <c r="C405" s="3" t="str">
        <f t="shared" si="30"/>
        <v>6/27/23</v>
      </c>
      <c r="D405" s="3" t="s">
        <v>539</v>
      </c>
      <c r="E405" s="198">
        <f>31-18+27</f>
        <v>40</v>
      </c>
      <c r="F405" s="309"/>
      <c r="G405" s="22" t="s">
        <v>390</v>
      </c>
      <c r="H405" s="198"/>
      <c r="I405" s="198"/>
      <c r="J405" s="198"/>
      <c r="K405" s="198"/>
      <c r="L405" s="198"/>
      <c r="M405" s="210"/>
      <c r="N405" s="210"/>
      <c r="O405" s="210"/>
      <c r="P405" s="210"/>
      <c r="Q405" s="210"/>
      <c r="R405" s="210"/>
      <c r="S405" s="210"/>
      <c r="T405" s="210"/>
      <c r="U405" s="210"/>
      <c r="V405" s="210"/>
      <c r="W405" s="198"/>
      <c r="X405" s="198"/>
      <c r="Y405" s="173"/>
      <c r="Z405" s="173"/>
      <c r="AA405" s="173"/>
      <c r="AB405" s="173"/>
      <c r="AC405" s="173">
        <v>0</v>
      </c>
      <c r="AD405" s="210"/>
      <c r="AE405" s="173"/>
      <c r="AF405" s="210"/>
      <c r="AG405" s="173"/>
      <c r="AH405" s="173"/>
      <c r="AI405" s="211"/>
      <c r="AJ405" s="173"/>
    </row>
    <row r="406" spans="1:36" ht="14.75" x14ac:dyDescent="0.75">
      <c r="A406" s="22">
        <v>975</v>
      </c>
      <c r="B406" s="3">
        <v>45008</v>
      </c>
      <c r="C406" s="3" t="str">
        <f t="shared" si="30"/>
        <v>3/23/23</v>
      </c>
      <c r="D406" s="3" t="s">
        <v>539</v>
      </c>
      <c r="E406" s="22">
        <v>0</v>
      </c>
      <c r="G406" s="200" t="s">
        <v>539</v>
      </c>
      <c r="AD406" s="47"/>
      <c r="AF406" s="47"/>
      <c r="AI406" s="10"/>
    </row>
    <row r="407" spans="1:36" ht="14.75" x14ac:dyDescent="0.75">
      <c r="A407" s="22">
        <v>975</v>
      </c>
      <c r="B407" s="3">
        <v>45042</v>
      </c>
      <c r="C407" s="3" t="str">
        <f t="shared" si="30"/>
        <v>4/26/23</v>
      </c>
      <c r="D407" s="3" t="s">
        <v>539</v>
      </c>
      <c r="G407" s="22" t="s">
        <v>539</v>
      </c>
      <c r="AD407" s="47"/>
      <c r="AF407" s="47"/>
      <c r="AI407" s="10"/>
    </row>
    <row r="408" spans="1:36" s="205" customFormat="1" ht="14.75" x14ac:dyDescent="0.75">
      <c r="A408" s="200">
        <v>976</v>
      </c>
      <c r="B408" s="201">
        <v>45008</v>
      </c>
      <c r="C408" s="3" t="str">
        <f t="shared" si="30"/>
        <v>3/23/23</v>
      </c>
      <c r="D408" s="3" t="s">
        <v>539</v>
      </c>
      <c r="E408" s="200">
        <v>0</v>
      </c>
      <c r="F408" s="200"/>
      <c r="G408" s="200" t="s">
        <v>539</v>
      </c>
      <c r="H408" s="200"/>
      <c r="I408" s="200"/>
      <c r="J408" s="200"/>
      <c r="K408" s="200"/>
      <c r="L408" s="200"/>
      <c r="M408" s="204"/>
      <c r="N408" s="204"/>
      <c r="O408" s="204"/>
      <c r="P408" s="204"/>
      <c r="Q408" s="204"/>
      <c r="R408" s="204"/>
      <c r="S408" s="204"/>
      <c r="T408" s="204"/>
      <c r="U408" s="204"/>
      <c r="V408" s="204"/>
      <c r="W408" s="200"/>
      <c r="X408" s="200"/>
      <c r="AC408" s="205">
        <v>23</v>
      </c>
      <c r="AD408" s="204"/>
      <c r="AF408" s="204"/>
      <c r="AI408" s="206"/>
    </row>
    <row r="409" spans="1:36" ht="14.75" x14ac:dyDescent="0.75">
      <c r="A409" s="22">
        <v>976</v>
      </c>
      <c r="B409" s="3">
        <v>45055</v>
      </c>
      <c r="C409" s="3" t="str">
        <f t="shared" si="30"/>
        <v>5/9/23</v>
      </c>
      <c r="D409" s="3" t="s">
        <v>539</v>
      </c>
      <c r="E409" s="22">
        <f>31-23+30+9</f>
        <v>47</v>
      </c>
      <c r="G409" s="22" t="s">
        <v>539</v>
      </c>
      <c r="AC409">
        <v>13</v>
      </c>
      <c r="AD409" s="47"/>
      <c r="AF409" s="47"/>
      <c r="AI409" s="10"/>
    </row>
    <row r="410" spans="1:36" ht="14.75" x14ac:dyDescent="0.75">
      <c r="A410" s="22">
        <v>976</v>
      </c>
      <c r="B410" s="3">
        <v>45092</v>
      </c>
      <c r="C410" s="3" t="str">
        <f t="shared" si="30"/>
        <v>6/15/23</v>
      </c>
      <c r="D410" s="3" t="s">
        <v>539</v>
      </c>
      <c r="E410" s="22">
        <f>31-9+15</f>
        <v>37</v>
      </c>
      <c r="G410" s="22" t="s">
        <v>539</v>
      </c>
      <c r="AC410">
        <v>0</v>
      </c>
      <c r="AD410" s="47"/>
      <c r="AF410" s="47"/>
      <c r="AI410" s="10"/>
    </row>
    <row r="411" spans="1:36" ht="14.75" x14ac:dyDescent="0.75">
      <c r="A411" s="22">
        <v>976</v>
      </c>
      <c r="B411" s="3">
        <v>45118</v>
      </c>
      <c r="C411" s="3" t="str">
        <f t="shared" si="30"/>
        <v>7/11/23</v>
      </c>
      <c r="D411" s="3" t="s">
        <v>539</v>
      </c>
      <c r="E411" s="22">
        <f>30-15+11</f>
        <v>26</v>
      </c>
      <c r="G411" s="22" t="s">
        <v>390</v>
      </c>
      <c r="AC411">
        <v>0</v>
      </c>
      <c r="AD411" s="47"/>
      <c r="AF411" s="47"/>
      <c r="AI411" s="10"/>
    </row>
    <row r="412" spans="1:36" s="205" customFormat="1" ht="14.75" x14ac:dyDescent="0.75">
      <c r="A412" s="200">
        <v>977</v>
      </c>
      <c r="B412" s="201">
        <v>45008</v>
      </c>
      <c r="C412" s="3" t="str">
        <f t="shared" si="30"/>
        <v>3/23/23</v>
      </c>
      <c r="D412" s="3" t="s">
        <v>539</v>
      </c>
      <c r="E412" s="200">
        <v>0</v>
      </c>
      <c r="F412" s="200"/>
      <c r="G412" s="200" t="s">
        <v>539</v>
      </c>
      <c r="H412" s="200"/>
      <c r="I412" s="200"/>
      <c r="J412" s="200"/>
      <c r="K412" s="200"/>
      <c r="L412" s="200"/>
      <c r="M412" s="204"/>
      <c r="N412" s="204"/>
      <c r="O412" s="204"/>
      <c r="P412" s="204"/>
      <c r="Q412" s="204"/>
      <c r="R412" s="204"/>
      <c r="S412" s="204"/>
      <c r="T412" s="204"/>
      <c r="U412" s="204"/>
      <c r="V412" s="204"/>
      <c r="W412" s="200"/>
      <c r="X412" s="200"/>
      <c r="AC412" s="205">
        <v>27</v>
      </c>
      <c r="AD412" s="204"/>
      <c r="AF412" s="204"/>
      <c r="AI412" s="206"/>
    </row>
    <row r="413" spans="1:36" ht="14.75" x14ac:dyDescent="0.75">
      <c r="A413" s="22">
        <v>977</v>
      </c>
      <c r="B413" s="3">
        <v>45055</v>
      </c>
      <c r="C413" s="3" t="str">
        <f t="shared" si="30"/>
        <v>5/9/23</v>
      </c>
      <c r="D413" s="3" t="s">
        <v>539</v>
      </c>
      <c r="E413" s="22">
        <f>31-23+30+9</f>
        <v>47</v>
      </c>
      <c r="G413" s="22" t="s">
        <v>539</v>
      </c>
      <c r="AC413">
        <v>0</v>
      </c>
      <c r="AD413" s="47"/>
      <c r="AF413" s="47"/>
      <c r="AI413" s="10"/>
    </row>
    <row r="414" spans="1:36" ht="14.75" x14ac:dyDescent="0.75">
      <c r="A414" s="22">
        <v>977</v>
      </c>
      <c r="B414" s="3">
        <v>45092</v>
      </c>
      <c r="C414" s="3" t="str">
        <f t="shared" si="30"/>
        <v>6/15/23</v>
      </c>
      <c r="D414" s="3" t="s">
        <v>539</v>
      </c>
      <c r="E414" s="22">
        <f>31-9+15</f>
        <v>37</v>
      </c>
      <c r="G414" s="22" t="s">
        <v>390</v>
      </c>
      <c r="AC414">
        <v>0</v>
      </c>
      <c r="AD414" s="47"/>
      <c r="AF414" s="47"/>
      <c r="AI414" s="10"/>
    </row>
    <row r="415" spans="1:36" ht="14.75" x14ac:dyDescent="0.75">
      <c r="A415" s="22">
        <v>977</v>
      </c>
      <c r="B415" s="3">
        <v>45118</v>
      </c>
      <c r="C415" s="3" t="str">
        <f t="shared" si="30"/>
        <v>7/11/23</v>
      </c>
      <c r="D415" s="3" t="s">
        <v>539</v>
      </c>
      <c r="E415" s="22">
        <f>30-15+11</f>
        <v>26</v>
      </c>
      <c r="G415" s="22" t="s">
        <v>390</v>
      </c>
      <c r="AC415">
        <v>0</v>
      </c>
      <c r="AD415" s="47"/>
      <c r="AF415" s="47"/>
      <c r="AI415" s="10"/>
    </row>
    <row r="416" spans="1:36" s="205" customFormat="1" ht="14.75" x14ac:dyDescent="0.75">
      <c r="A416" s="200">
        <v>978</v>
      </c>
      <c r="B416" s="201">
        <v>45008</v>
      </c>
      <c r="C416" s="3" t="str">
        <f t="shared" si="30"/>
        <v>3/23/23</v>
      </c>
      <c r="D416" s="3" t="s">
        <v>539</v>
      </c>
      <c r="E416" s="200">
        <v>0</v>
      </c>
      <c r="F416" s="200"/>
      <c r="G416" s="200" t="s">
        <v>539</v>
      </c>
      <c r="H416" s="200"/>
      <c r="I416" s="200"/>
      <c r="J416" s="200"/>
      <c r="K416" s="200"/>
      <c r="L416" s="200"/>
      <c r="M416" s="204"/>
      <c r="N416" s="204"/>
      <c r="O416" s="204"/>
      <c r="P416" s="204"/>
      <c r="Q416" s="204"/>
      <c r="R416" s="204"/>
      <c r="S416" s="204"/>
      <c r="T416" s="204"/>
      <c r="U416" s="204"/>
      <c r="V416" s="204"/>
      <c r="W416" s="200"/>
      <c r="X416" s="200"/>
      <c r="AC416" s="205">
        <v>21</v>
      </c>
      <c r="AD416" s="204"/>
      <c r="AF416" s="204"/>
      <c r="AI416" s="206"/>
    </row>
    <row r="417" spans="1:35" ht="14.75" x14ac:dyDescent="0.75">
      <c r="A417" s="22">
        <v>978</v>
      </c>
      <c r="B417" s="3">
        <v>45055</v>
      </c>
      <c r="C417" s="3" t="str">
        <f t="shared" si="30"/>
        <v>5/9/23</v>
      </c>
      <c r="D417" s="3" t="s">
        <v>539</v>
      </c>
      <c r="E417" s="22">
        <f>31-23+30+9</f>
        <v>47</v>
      </c>
      <c r="G417" s="22" t="s">
        <v>539</v>
      </c>
      <c r="AC417">
        <v>13</v>
      </c>
      <c r="AD417" s="47"/>
      <c r="AF417" s="47"/>
      <c r="AI417" s="10"/>
    </row>
    <row r="418" spans="1:35" ht="14.75" x14ac:dyDescent="0.75">
      <c r="A418" s="22">
        <v>978</v>
      </c>
      <c r="B418" s="3">
        <v>45092</v>
      </c>
      <c r="C418" s="3" t="str">
        <f t="shared" si="30"/>
        <v>6/15/23</v>
      </c>
      <c r="D418" s="3" t="s">
        <v>539</v>
      </c>
      <c r="E418" s="22">
        <f>31-9+15</f>
        <v>37</v>
      </c>
      <c r="G418" s="22" t="s">
        <v>539</v>
      </c>
      <c r="AC418">
        <v>0</v>
      </c>
      <c r="AD418" s="47"/>
      <c r="AF418" s="47"/>
      <c r="AI418" s="10"/>
    </row>
    <row r="419" spans="1:35" ht="14.75" x14ac:dyDescent="0.75">
      <c r="A419" s="22">
        <v>978</v>
      </c>
      <c r="B419" s="3">
        <v>45118</v>
      </c>
      <c r="C419" s="3" t="str">
        <f t="shared" si="30"/>
        <v>7/11/23</v>
      </c>
      <c r="D419" s="3" t="s">
        <v>539</v>
      </c>
      <c r="E419" s="22">
        <f>30-15+11</f>
        <v>26</v>
      </c>
      <c r="G419" s="22" t="s">
        <v>390</v>
      </c>
      <c r="AC419">
        <v>0</v>
      </c>
      <c r="AD419" s="47"/>
      <c r="AF419" s="47"/>
      <c r="AI419" s="10"/>
    </row>
    <row r="420" spans="1:35" s="205" customFormat="1" ht="14.75" x14ac:dyDescent="0.75">
      <c r="A420" s="200">
        <v>979</v>
      </c>
      <c r="B420" s="201">
        <v>45008</v>
      </c>
      <c r="C420" s="3" t="str">
        <f t="shared" si="30"/>
        <v>3/23/23</v>
      </c>
      <c r="D420" s="3" t="s">
        <v>539</v>
      </c>
      <c r="E420" s="200">
        <v>0</v>
      </c>
      <c r="F420" s="200"/>
      <c r="G420" s="200" t="s">
        <v>539</v>
      </c>
      <c r="H420" s="200"/>
      <c r="I420" s="200"/>
      <c r="J420" s="200"/>
      <c r="K420" s="200"/>
      <c r="L420" s="200"/>
      <c r="M420" s="204"/>
      <c r="N420" s="204"/>
      <c r="O420" s="204"/>
      <c r="P420" s="204"/>
      <c r="Q420" s="204"/>
      <c r="R420" s="204"/>
      <c r="S420" s="204"/>
      <c r="T420" s="204"/>
      <c r="U420" s="204"/>
      <c r="V420" s="204"/>
      <c r="W420" s="200"/>
      <c r="X420" s="200"/>
      <c r="AC420" s="205">
        <v>5</v>
      </c>
      <c r="AD420" s="204"/>
      <c r="AF420" s="204"/>
      <c r="AI420" s="206"/>
    </row>
    <row r="421" spans="1:35" ht="14.75" x14ac:dyDescent="0.75">
      <c r="A421" s="22">
        <v>979</v>
      </c>
      <c r="B421" s="3">
        <v>45055</v>
      </c>
      <c r="C421" s="3" t="str">
        <f t="shared" si="30"/>
        <v>5/9/23</v>
      </c>
      <c r="D421" s="3" t="s">
        <v>539</v>
      </c>
      <c r="E421" s="22">
        <f>31-23+30+9</f>
        <v>47</v>
      </c>
      <c r="G421" s="22" t="s">
        <v>539</v>
      </c>
      <c r="AC421">
        <v>21</v>
      </c>
      <c r="AD421" s="47"/>
      <c r="AF421" s="47"/>
      <c r="AI421" s="10"/>
    </row>
    <row r="422" spans="1:35" ht="14.75" x14ac:dyDescent="0.75">
      <c r="A422" s="22">
        <v>979</v>
      </c>
      <c r="B422" s="3">
        <v>45092</v>
      </c>
      <c r="C422" s="3" t="str">
        <f t="shared" si="30"/>
        <v>6/15/23</v>
      </c>
      <c r="D422" s="3" t="s">
        <v>539</v>
      </c>
      <c r="E422" s="22">
        <f>31-9+15</f>
        <v>37</v>
      </c>
      <c r="G422" s="22" t="s">
        <v>539</v>
      </c>
      <c r="AC422">
        <v>0</v>
      </c>
      <c r="AD422" s="47"/>
      <c r="AF422" s="47"/>
      <c r="AI422" s="10"/>
    </row>
    <row r="423" spans="1:35" ht="14.75" x14ac:dyDescent="0.75">
      <c r="A423" s="22">
        <v>979</v>
      </c>
      <c r="B423" s="3">
        <v>45118</v>
      </c>
      <c r="C423" s="3" t="str">
        <f t="shared" si="30"/>
        <v>7/11/23</v>
      </c>
      <c r="D423" s="3" t="s">
        <v>539</v>
      </c>
      <c r="E423" s="22">
        <f>30-15+11</f>
        <v>26</v>
      </c>
      <c r="G423" s="22" t="s">
        <v>390</v>
      </c>
      <c r="AC423">
        <v>0</v>
      </c>
      <c r="AD423" s="47"/>
      <c r="AF423" s="47"/>
      <c r="AI423" s="10"/>
    </row>
    <row r="424" spans="1:35" s="205" customFormat="1" ht="14.75" x14ac:dyDescent="0.75">
      <c r="A424" s="200">
        <v>980</v>
      </c>
      <c r="B424" s="201">
        <v>45008</v>
      </c>
      <c r="C424" s="3" t="str">
        <f t="shared" si="30"/>
        <v>3/23/23</v>
      </c>
      <c r="D424" s="3" t="s">
        <v>539</v>
      </c>
      <c r="E424" s="200">
        <v>0</v>
      </c>
      <c r="F424" s="200"/>
      <c r="G424" s="200" t="s">
        <v>539</v>
      </c>
      <c r="H424" s="200"/>
      <c r="I424" s="200"/>
      <c r="J424" s="200"/>
      <c r="K424" s="200"/>
      <c r="L424" s="200"/>
      <c r="M424" s="204"/>
      <c r="N424" s="204"/>
      <c r="O424" s="204"/>
      <c r="P424" s="204"/>
      <c r="Q424" s="204"/>
      <c r="R424" s="204"/>
      <c r="S424" s="204"/>
      <c r="T424" s="204"/>
      <c r="U424" s="204"/>
      <c r="V424" s="204"/>
      <c r="W424" s="200"/>
      <c r="X424" s="200"/>
      <c r="AC424" s="205">
        <v>3</v>
      </c>
      <c r="AD424" s="204"/>
      <c r="AF424" s="204"/>
      <c r="AI424" s="206"/>
    </row>
    <row r="425" spans="1:35" ht="14.75" x14ac:dyDescent="0.75">
      <c r="A425" s="22">
        <v>980</v>
      </c>
      <c r="B425" s="3">
        <v>45134</v>
      </c>
      <c r="C425" s="3" t="str">
        <f t="shared" si="30"/>
        <v>7/27/23</v>
      </c>
      <c r="D425" s="3" t="s">
        <v>539</v>
      </c>
      <c r="E425" s="22">
        <f>31-23+30+31+30+27</f>
        <v>126</v>
      </c>
      <c r="G425" s="22" t="s">
        <v>390</v>
      </c>
      <c r="AC425">
        <v>0</v>
      </c>
      <c r="AD425" s="47"/>
      <c r="AF425" s="47"/>
      <c r="AI425" s="10"/>
    </row>
    <row r="426" spans="1:35" s="205" customFormat="1" ht="14.75" x14ac:dyDescent="0.75">
      <c r="A426" s="200">
        <v>981</v>
      </c>
      <c r="B426" s="201">
        <v>45027</v>
      </c>
      <c r="C426" s="3" t="str">
        <f t="shared" si="30"/>
        <v>4/11/23</v>
      </c>
      <c r="D426" s="3" t="s">
        <v>539</v>
      </c>
      <c r="E426" s="200">
        <v>0</v>
      </c>
      <c r="F426" s="200"/>
      <c r="G426" s="200" t="s">
        <v>539</v>
      </c>
      <c r="H426" s="200"/>
      <c r="I426" s="200"/>
      <c r="J426" s="200"/>
      <c r="K426" s="200"/>
      <c r="L426" s="200"/>
      <c r="M426" s="204"/>
      <c r="N426" s="204"/>
      <c r="O426" s="204"/>
      <c r="P426" s="204"/>
      <c r="Q426" s="204"/>
      <c r="R426" s="204"/>
      <c r="S426" s="204"/>
      <c r="T426" s="204"/>
      <c r="U426" s="204"/>
      <c r="V426" s="204"/>
      <c r="W426" s="200"/>
      <c r="X426" s="200"/>
      <c r="AC426" s="205">
        <v>26</v>
      </c>
      <c r="AD426" s="204"/>
      <c r="AF426" s="204"/>
      <c r="AI426" s="206"/>
    </row>
    <row r="427" spans="1:35" ht="14.75" x14ac:dyDescent="0.75">
      <c r="A427" s="22">
        <v>981</v>
      </c>
      <c r="B427" s="3">
        <v>45055</v>
      </c>
      <c r="C427" s="3" t="str">
        <f t="shared" si="30"/>
        <v>5/9/23</v>
      </c>
      <c r="D427" s="3" t="s">
        <v>539</v>
      </c>
      <c r="E427" s="22">
        <f>30-11+9</f>
        <v>28</v>
      </c>
      <c r="G427" s="22" t="s">
        <v>539</v>
      </c>
      <c r="AC427">
        <v>5</v>
      </c>
      <c r="AD427" s="47"/>
      <c r="AF427" s="47"/>
      <c r="AI427" s="10"/>
    </row>
    <row r="428" spans="1:35" ht="14.75" x14ac:dyDescent="0.75">
      <c r="A428" s="22">
        <v>981</v>
      </c>
      <c r="B428" s="3">
        <v>45092</v>
      </c>
      <c r="C428" s="3" t="str">
        <f t="shared" si="30"/>
        <v>6/15/23</v>
      </c>
      <c r="D428" s="3" t="s">
        <v>539</v>
      </c>
      <c r="E428" s="22">
        <f>31-9+15</f>
        <v>37</v>
      </c>
      <c r="G428" s="22" t="s">
        <v>539</v>
      </c>
      <c r="AC428">
        <v>0</v>
      </c>
      <c r="AD428" s="47"/>
      <c r="AF428" s="47"/>
      <c r="AI428" s="10"/>
    </row>
    <row r="429" spans="1:35" ht="14.75" x14ac:dyDescent="0.75">
      <c r="A429" s="22">
        <v>981</v>
      </c>
      <c r="B429" s="3">
        <v>45134</v>
      </c>
      <c r="C429" s="3" t="str">
        <f t="shared" si="30"/>
        <v>7/27/23</v>
      </c>
      <c r="D429" s="3" t="s">
        <v>539</v>
      </c>
      <c r="E429" s="22">
        <f>30-15+27</f>
        <v>42</v>
      </c>
      <c r="G429" s="22" t="s">
        <v>390</v>
      </c>
      <c r="AC429">
        <v>0</v>
      </c>
      <c r="AD429" s="47"/>
      <c r="AF429" s="47"/>
      <c r="AI429" s="10"/>
    </row>
    <row r="430" spans="1:35" s="205" customFormat="1" ht="14.75" x14ac:dyDescent="0.75">
      <c r="A430" s="200">
        <v>982</v>
      </c>
      <c r="B430" s="201">
        <v>45007</v>
      </c>
      <c r="C430" s="3" t="str">
        <f t="shared" si="30"/>
        <v>3/22/23</v>
      </c>
      <c r="D430" s="3" t="s">
        <v>539</v>
      </c>
      <c r="E430" s="200">
        <v>0</v>
      </c>
      <c r="F430" s="200"/>
      <c r="G430" s="200" t="s">
        <v>539</v>
      </c>
      <c r="H430" s="200"/>
      <c r="I430" s="200"/>
      <c r="J430" s="200"/>
      <c r="K430" s="200"/>
      <c r="L430" s="200"/>
      <c r="M430" s="204"/>
      <c r="N430" s="204"/>
      <c r="O430" s="204"/>
      <c r="P430" s="204"/>
      <c r="Q430" s="204"/>
      <c r="R430" s="204"/>
      <c r="S430" s="204"/>
      <c r="T430" s="204"/>
      <c r="U430" s="204"/>
      <c r="V430" s="204"/>
      <c r="W430" s="200"/>
      <c r="X430" s="200"/>
      <c r="AC430" s="205" t="s">
        <v>1303</v>
      </c>
      <c r="AD430" s="204"/>
      <c r="AF430" s="204"/>
      <c r="AI430" s="206"/>
    </row>
    <row r="431" spans="1:35" ht="14.75" x14ac:dyDescent="0.75">
      <c r="A431" s="22">
        <v>982</v>
      </c>
      <c r="B431" s="3">
        <v>45041</v>
      </c>
      <c r="C431" s="3" t="str">
        <f t="shared" si="30"/>
        <v>4/25/23</v>
      </c>
      <c r="D431" s="3" t="s">
        <v>539</v>
      </c>
      <c r="E431" s="22">
        <f>B431-B430</f>
        <v>34</v>
      </c>
      <c r="G431" s="22" t="s">
        <v>539</v>
      </c>
      <c r="AC431">
        <v>28</v>
      </c>
      <c r="AD431" s="47"/>
      <c r="AF431" s="47"/>
      <c r="AI431" s="10"/>
    </row>
    <row r="432" spans="1:35" ht="14.75" x14ac:dyDescent="0.75">
      <c r="A432" s="22">
        <v>982</v>
      </c>
      <c r="B432" s="3">
        <v>45055</v>
      </c>
      <c r="C432" s="3" t="str">
        <f t="shared" si="30"/>
        <v>5/9/23</v>
      </c>
      <c r="D432" s="3" t="s">
        <v>539</v>
      </c>
      <c r="E432" s="22">
        <f>B432-B431</f>
        <v>14</v>
      </c>
      <c r="G432" s="22" t="s">
        <v>539</v>
      </c>
      <c r="AC432">
        <v>15</v>
      </c>
      <c r="AD432" s="47"/>
      <c r="AF432" s="47"/>
      <c r="AI432" s="10"/>
    </row>
    <row r="433" spans="1:35" ht="14.75" x14ac:dyDescent="0.75">
      <c r="A433" s="22">
        <v>982</v>
      </c>
      <c r="B433" s="3">
        <v>45091</v>
      </c>
      <c r="C433" s="3" t="str">
        <f t="shared" si="30"/>
        <v>6/14/23</v>
      </c>
      <c r="D433" s="3" t="s">
        <v>539</v>
      </c>
      <c r="E433" s="22">
        <f>B433-B432</f>
        <v>36</v>
      </c>
      <c r="G433" s="22" t="s">
        <v>539</v>
      </c>
      <c r="AC433">
        <v>2</v>
      </c>
      <c r="AD433" s="47"/>
      <c r="AF433" s="47"/>
      <c r="AI433" s="10"/>
    </row>
    <row r="434" spans="1:35" ht="14.75" x14ac:dyDescent="0.75">
      <c r="A434" s="22">
        <v>982</v>
      </c>
      <c r="B434" s="3">
        <v>45133</v>
      </c>
      <c r="C434" s="3" t="str">
        <f t="shared" si="30"/>
        <v>7/26/23</v>
      </c>
      <c r="D434" s="3" t="s">
        <v>539</v>
      </c>
      <c r="E434" s="22">
        <f>B434-B433</f>
        <v>42</v>
      </c>
      <c r="G434" s="22" t="s">
        <v>539</v>
      </c>
      <c r="AC434">
        <v>10</v>
      </c>
      <c r="AD434" s="47"/>
      <c r="AF434" s="47"/>
      <c r="AI434" s="10"/>
    </row>
    <row r="435" spans="1:35" s="205" customFormat="1" ht="14.75" x14ac:dyDescent="0.75">
      <c r="A435" s="200">
        <v>983</v>
      </c>
      <c r="B435" s="201">
        <v>45007</v>
      </c>
      <c r="C435" s="3" t="str">
        <f t="shared" si="30"/>
        <v>3/22/23</v>
      </c>
      <c r="D435" s="3" t="s">
        <v>539</v>
      </c>
      <c r="E435" s="200">
        <v>0</v>
      </c>
      <c r="F435" s="200"/>
      <c r="G435" s="200" t="s">
        <v>539</v>
      </c>
      <c r="H435" s="200"/>
      <c r="I435" s="200"/>
      <c r="J435" s="200"/>
      <c r="K435" s="200"/>
      <c r="L435" s="200"/>
      <c r="M435" s="204"/>
      <c r="N435" s="204"/>
      <c r="O435" s="204"/>
      <c r="P435" s="204"/>
      <c r="Q435" s="204"/>
      <c r="R435" s="204"/>
      <c r="S435" s="204"/>
      <c r="T435" s="204"/>
      <c r="U435" s="204"/>
      <c r="V435" s="204"/>
      <c r="W435" s="200"/>
      <c r="X435" s="200"/>
      <c r="AC435" s="205">
        <v>120</v>
      </c>
      <c r="AD435" s="204"/>
      <c r="AF435" s="204"/>
      <c r="AI435" s="206"/>
    </row>
    <row r="436" spans="1:35" ht="14.75" x14ac:dyDescent="0.75">
      <c r="A436" s="22">
        <v>983</v>
      </c>
      <c r="B436" s="3">
        <v>45042</v>
      </c>
      <c r="C436" s="3" t="str">
        <f t="shared" si="30"/>
        <v>4/26/23</v>
      </c>
      <c r="D436" s="3" t="s">
        <v>539</v>
      </c>
      <c r="E436" s="22">
        <f>31-22+26</f>
        <v>35</v>
      </c>
      <c r="G436" s="22" t="s">
        <v>539</v>
      </c>
      <c r="AC436">
        <v>23</v>
      </c>
      <c r="AD436" s="47"/>
      <c r="AF436" s="47"/>
      <c r="AI436" s="10"/>
    </row>
    <row r="437" spans="1:35" ht="14.75" x14ac:dyDescent="0.75">
      <c r="A437" s="22">
        <v>983</v>
      </c>
      <c r="B437" s="3">
        <v>45091</v>
      </c>
      <c r="C437" s="3" t="str">
        <f t="shared" si="30"/>
        <v>6/14/23</v>
      </c>
      <c r="D437" s="3" t="s">
        <v>539</v>
      </c>
      <c r="E437" s="22">
        <f>30-26+31+14</f>
        <v>49</v>
      </c>
      <c r="G437" s="22" t="s">
        <v>539</v>
      </c>
      <c r="AC437">
        <v>0</v>
      </c>
      <c r="AD437" s="47"/>
      <c r="AF437" s="47"/>
      <c r="AI437" s="10"/>
    </row>
    <row r="438" spans="1:35" ht="14.75" x14ac:dyDescent="0.75">
      <c r="A438" s="22">
        <v>983</v>
      </c>
      <c r="B438" s="3">
        <v>45133</v>
      </c>
      <c r="C438" s="3" t="str">
        <f t="shared" si="30"/>
        <v>7/26/23</v>
      </c>
      <c r="D438" s="3" t="s">
        <v>539</v>
      </c>
      <c r="E438" s="22">
        <f>30-14+26</f>
        <v>42</v>
      </c>
      <c r="G438" s="22" t="s">
        <v>390</v>
      </c>
      <c r="AC438">
        <v>0</v>
      </c>
      <c r="AD438" s="47"/>
      <c r="AF438" s="47"/>
      <c r="AI438" s="10"/>
    </row>
    <row r="439" spans="1:35" s="205" customFormat="1" ht="14.75" x14ac:dyDescent="0.75">
      <c r="A439" s="200">
        <v>999</v>
      </c>
      <c r="B439" s="201">
        <v>45008</v>
      </c>
      <c r="C439" s="3" t="str">
        <f t="shared" si="30"/>
        <v>3/23/23</v>
      </c>
      <c r="D439" s="3" t="s">
        <v>539</v>
      </c>
      <c r="E439" s="200"/>
      <c r="F439" s="200"/>
      <c r="G439" s="200"/>
      <c r="H439" s="200"/>
      <c r="I439" s="200"/>
      <c r="J439" s="200"/>
      <c r="K439" s="200"/>
      <c r="L439" s="200"/>
      <c r="M439" s="204"/>
      <c r="N439" s="204"/>
      <c r="O439" s="204"/>
      <c r="P439" s="204"/>
      <c r="Q439" s="204"/>
      <c r="R439" s="204"/>
      <c r="S439" s="204"/>
      <c r="T439" s="204"/>
      <c r="U439" s="204"/>
      <c r="V439" s="204"/>
      <c r="W439" s="200"/>
      <c r="X439" s="200"/>
      <c r="AC439" s="205">
        <v>6</v>
      </c>
      <c r="AD439" s="204"/>
      <c r="AF439" s="204"/>
      <c r="AI439" s="206"/>
    </row>
    <row r="440" spans="1:35" ht="14.75" x14ac:dyDescent="0.75">
      <c r="A440" s="22">
        <v>999</v>
      </c>
      <c r="B440" s="3">
        <v>45042</v>
      </c>
      <c r="C440" s="3" t="str">
        <f t="shared" si="30"/>
        <v>4/26/23</v>
      </c>
      <c r="D440" s="3" t="s">
        <v>539</v>
      </c>
      <c r="AC440">
        <v>3</v>
      </c>
      <c r="AD440" s="47"/>
      <c r="AF440" s="47"/>
      <c r="AI440" s="10"/>
    </row>
    <row r="441" spans="1:35" s="205" customFormat="1" ht="14.75" x14ac:dyDescent="0.75">
      <c r="A441" s="200">
        <v>1000</v>
      </c>
      <c r="B441" s="201">
        <v>45021</v>
      </c>
      <c r="C441" s="3" t="str">
        <f t="shared" si="30"/>
        <v>4/5/23</v>
      </c>
      <c r="D441" s="3" t="s">
        <v>539</v>
      </c>
      <c r="E441" s="200">
        <v>0</v>
      </c>
      <c r="F441" s="200"/>
      <c r="G441" s="200" t="s">
        <v>539</v>
      </c>
      <c r="H441" s="200"/>
      <c r="I441" s="200"/>
      <c r="J441" s="200"/>
      <c r="K441" s="200"/>
      <c r="L441" s="200"/>
      <c r="M441" s="204"/>
      <c r="N441" s="204"/>
      <c r="O441" s="204"/>
      <c r="P441" s="204"/>
      <c r="Q441" s="204"/>
      <c r="R441" s="204"/>
      <c r="S441" s="204"/>
      <c r="T441" s="204"/>
      <c r="U441" s="204"/>
      <c r="V441" s="204"/>
      <c r="W441" s="200"/>
      <c r="X441" s="200"/>
      <c r="AC441" s="205">
        <v>17</v>
      </c>
      <c r="AD441" s="204"/>
      <c r="AF441" s="204"/>
      <c r="AI441" s="206"/>
    </row>
    <row r="442" spans="1:35" ht="14.75" x14ac:dyDescent="0.75">
      <c r="A442" s="22">
        <v>1000</v>
      </c>
      <c r="B442" s="3">
        <v>45055</v>
      </c>
      <c r="C442" s="3" t="str">
        <f t="shared" si="30"/>
        <v>5/9/23</v>
      </c>
      <c r="D442" s="3" t="s">
        <v>539</v>
      </c>
      <c r="E442" s="22">
        <f>30-5+9</f>
        <v>34</v>
      </c>
      <c r="G442" s="22" t="s">
        <v>539</v>
      </c>
      <c r="AC442">
        <v>56</v>
      </c>
      <c r="AD442" s="47"/>
      <c r="AF442" s="47"/>
      <c r="AI442" s="10"/>
    </row>
    <row r="443" spans="1:35" ht="14.75" x14ac:dyDescent="0.75">
      <c r="A443" s="22">
        <v>1000</v>
      </c>
      <c r="B443" s="3">
        <v>45092</v>
      </c>
      <c r="C443" s="3" t="str">
        <f t="shared" si="30"/>
        <v>6/15/23</v>
      </c>
      <c r="D443" s="3" t="s">
        <v>539</v>
      </c>
      <c r="E443" s="22">
        <f>B443-B442</f>
        <v>37</v>
      </c>
      <c r="G443" s="22" t="s">
        <v>539</v>
      </c>
      <c r="AC443">
        <v>34</v>
      </c>
      <c r="AD443" s="47"/>
      <c r="AF443" s="47"/>
      <c r="AI443" s="10"/>
    </row>
    <row r="444" spans="1:35" ht="14.75" x14ac:dyDescent="0.75">
      <c r="A444" s="22">
        <v>1000</v>
      </c>
      <c r="B444" s="3">
        <v>45118</v>
      </c>
      <c r="C444" s="3" t="str">
        <f t="shared" si="30"/>
        <v>7/11/23</v>
      </c>
      <c r="D444" s="3" t="s">
        <v>539</v>
      </c>
      <c r="E444" s="22">
        <f>30-15+11</f>
        <v>26</v>
      </c>
      <c r="G444" s="22" t="s">
        <v>539</v>
      </c>
      <c r="AC444">
        <v>0</v>
      </c>
      <c r="AD444" s="47"/>
      <c r="AF444" s="47"/>
      <c r="AI444" s="10"/>
    </row>
    <row r="445" spans="1:35" ht="14.75" x14ac:dyDescent="0.75">
      <c r="A445" s="22">
        <v>1000</v>
      </c>
      <c r="B445" s="3">
        <v>45168</v>
      </c>
      <c r="C445" s="3" t="str">
        <f t="shared" si="30"/>
        <v>8/30/23</v>
      </c>
      <c r="D445" s="3" t="s">
        <v>539</v>
      </c>
      <c r="E445" s="22">
        <f>B445-B444</f>
        <v>50</v>
      </c>
      <c r="G445" s="22" t="s">
        <v>390</v>
      </c>
      <c r="AD445" s="47"/>
      <c r="AF445" s="47"/>
      <c r="AI445" s="10"/>
    </row>
    <row r="446" spans="1:35" s="205" customFormat="1" ht="14.75" x14ac:dyDescent="0.75">
      <c r="A446" s="200">
        <v>3338</v>
      </c>
      <c r="B446" s="201">
        <v>44699</v>
      </c>
      <c r="C446" s="3" t="str">
        <f t="shared" si="30"/>
        <v>5/18/22</v>
      </c>
      <c r="D446" s="3" t="s">
        <v>539</v>
      </c>
      <c r="E446" s="200">
        <v>0</v>
      </c>
      <c r="F446" s="200"/>
      <c r="G446" s="200" t="s">
        <v>539</v>
      </c>
      <c r="H446" s="200"/>
      <c r="I446" s="200"/>
      <c r="J446" s="200"/>
      <c r="K446" s="200"/>
      <c r="L446" s="200">
        <f t="shared" si="31"/>
        <v>0</v>
      </c>
      <c r="M446" s="204"/>
      <c r="N446" s="204"/>
      <c r="O446" s="204"/>
      <c r="P446" s="204"/>
      <c r="Q446" s="204">
        <f t="shared" si="32"/>
        <v>0</v>
      </c>
      <c r="R446" s="204"/>
      <c r="S446" s="204"/>
      <c r="T446" s="204"/>
      <c r="U446" s="204"/>
      <c r="V446" s="204">
        <f t="shared" si="33"/>
        <v>0</v>
      </c>
      <c r="W446" s="204"/>
      <c r="X446" s="200"/>
      <c r="Y446" s="200"/>
      <c r="AB446" s="205" t="str">
        <f t="shared" si="25"/>
        <v>No</v>
      </c>
      <c r="AC446" s="205">
        <v>8</v>
      </c>
      <c r="AD446" s="204">
        <f>Q446-Q397</f>
        <v>0</v>
      </c>
      <c r="AE446" s="205" t="e">
        <f>AD446/E446</f>
        <v>#DIV/0!</v>
      </c>
      <c r="AF446" s="204">
        <f>V446-V397</f>
        <v>0</v>
      </c>
      <c r="AG446" s="205" t="e">
        <f>(V446-V397)/E446</f>
        <v>#DIV/0!</v>
      </c>
      <c r="AH446" s="205" t="e">
        <f t="shared" si="27"/>
        <v>#DIV/0!</v>
      </c>
      <c r="AI446" s="206" t="e">
        <f>(AH446/E446)</f>
        <v>#DIV/0!</v>
      </c>
    </row>
    <row r="447" spans="1:35" ht="14.75" x14ac:dyDescent="0.75">
      <c r="A447" s="22">
        <v>3338</v>
      </c>
      <c r="B447" s="3">
        <v>44761</v>
      </c>
      <c r="C447" s="3" t="str">
        <f t="shared" si="30"/>
        <v>7/19/22</v>
      </c>
      <c r="D447" s="3" t="s">
        <v>539</v>
      </c>
      <c r="E447" s="22">
        <f>31-18+30+19</f>
        <v>62</v>
      </c>
      <c r="G447" s="22" t="s">
        <v>539</v>
      </c>
      <c r="L447" s="22">
        <f t="shared" si="31"/>
        <v>0</v>
      </c>
      <c r="Q447" s="47">
        <f t="shared" si="32"/>
        <v>0</v>
      </c>
      <c r="V447" s="47">
        <f t="shared" si="33"/>
        <v>0</v>
      </c>
      <c r="AB447" t="str">
        <f t="shared" si="25"/>
        <v>No</v>
      </c>
      <c r="AC447">
        <v>1</v>
      </c>
      <c r="AD447" s="47">
        <f t="shared" si="28"/>
        <v>0</v>
      </c>
      <c r="AE447">
        <f>AD447/E447</f>
        <v>0</v>
      </c>
      <c r="AF447" s="47">
        <f t="shared" si="29"/>
        <v>0</v>
      </c>
      <c r="AG447">
        <f>(V447-V446)/E447</f>
        <v>0</v>
      </c>
      <c r="AH447" t="e">
        <f t="shared" si="27"/>
        <v>#DIV/0!</v>
      </c>
      <c r="AI447" s="10" t="e">
        <f>(AH447/E447)</f>
        <v>#DIV/0!</v>
      </c>
    </row>
    <row r="448" spans="1:35" ht="14.75" x14ac:dyDescent="0.75">
      <c r="A448" s="22">
        <v>3338</v>
      </c>
      <c r="B448" s="3">
        <v>44783</v>
      </c>
      <c r="C448" s="3" t="str">
        <f t="shared" si="30"/>
        <v>8/10/22</v>
      </c>
      <c r="D448" s="3" t="s">
        <v>539</v>
      </c>
      <c r="E448" s="22">
        <f>31-19+10</f>
        <v>22</v>
      </c>
      <c r="G448" s="22" t="s">
        <v>539</v>
      </c>
      <c r="L448" s="22">
        <f t="shared" si="31"/>
        <v>0</v>
      </c>
      <c r="Q448" s="47">
        <f t="shared" si="32"/>
        <v>0</v>
      </c>
      <c r="V448" s="47">
        <f t="shared" si="33"/>
        <v>0</v>
      </c>
      <c r="AB448" t="str">
        <f t="shared" si="25"/>
        <v>No</v>
      </c>
      <c r="AC448">
        <v>1</v>
      </c>
      <c r="AD448" s="47">
        <f t="shared" si="28"/>
        <v>0</v>
      </c>
      <c r="AE448">
        <f>AD448/E448</f>
        <v>0</v>
      </c>
      <c r="AF448" s="47">
        <f t="shared" si="29"/>
        <v>0</v>
      </c>
      <c r="AG448">
        <f>(V448-V447)/E448</f>
        <v>0</v>
      </c>
      <c r="AH448" t="e">
        <f t="shared" si="27"/>
        <v>#DIV/0!</v>
      </c>
      <c r="AI448" s="10" t="e">
        <f>(AH448/E448)</f>
        <v>#DIV/0!</v>
      </c>
    </row>
    <row r="449" spans="1:36" ht="14.75" x14ac:dyDescent="0.75">
      <c r="A449" s="22">
        <v>3338</v>
      </c>
      <c r="B449" s="3">
        <v>44825</v>
      </c>
      <c r="C449" s="3" t="str">
        <f t="shared" si="30"/>
        <v>9/21/22</v>
      </c>
      <c r="D449" s="3" t="s">
        <v>539</v>
      </c>
      <c r="E449" s="22">
        <f>31-22+21</f>
        <v>30</v>
      </c>
      <c r="G449" s="22" t="s">
        <v>539</v>
      </c>
      <c r="AC449">
        <v>0</v>
      </c>
      <c r="AD449" s="47"/>
      <c r="AF449" s="47"/>
      <c r="AI449" s="10"/>
    </row>
    <row r="450" spans="1:36" ht="14.75" x14ac:dyDescent="0.75">
      <c r="A450" s="22">
        <v>3338</v>
      </c>
      <c r="B450" s="3">
        <v>44854</v>
      </c>
      <c r="C450" s="3" t="str">
        <f t="shared" si="30"/>
        <v>10/20/22</v>
      </c>
      <c r="D450" s="3" t="s">
        <v>539</v>
      </c>
      <c r="E450" s="22">
        <f>30-21+20</f>
        <v>29</v>
      </c>
      <c r="G450" s="22" t="s">
        <v>390</v>
      </c>
      <c r="AC450">
        <v>0</v>
      </c>
      <c r="AD450" s="47"/>
      <c r="AF450" s="47"/>
      <c r="AI450" s="10"/>
    </row>
    <row r="451" spans="1:36" ht="14.75" x14ac:dyDescent="0.75">
      <c r="A451" s="22">
        <v>3338</v>
      </c>
      <c r="B451" s="3">
        <v>44880</v>
      </c>
      <c r="C451" s="3" t="str">
        <f t="shared" ref="C451:C514" si="34">TEXT(B451,"M/D/YY")</f>
        <v>11/15/22</v>
      </c>
      <c r="D451" s="3" t="s">
        <v>539</v>
      </c>
      <c r="E451" s="22">
        <f>31-20+15</f>
        <v>26</v>
      </c>
      <c r="G451" s="22" t="s">
        <v>390</v>
      </c>
      <c r="AC451">
        <v>0</v>
      </c>
      <c r="AD451" s="47"/>
      <c r="AF451" s="47"/>
      <c r="AI451" s="10"/>
    </row>
    <row r="452" spans="1:36" ht="14.75" x14ac:dyDescent="0.75">
      <c r="A452" s="22">
        <v>3338</v>
      </c>
      <c r="B452" s="3">
        <v>44938</v>
      </c>
      <c r="C452" s="3" t="str">
        <f t="shared" si="34"/>
        <v>1/12/23</v>
      </c>
      <c r="D452" s="3" t="s">
        <v>539</v>
      </c>
      <c r="E452" s="22">
        <f>30-15+31+12</f>
        <v>58</v>
      </c>
      <c r="G452" s="22" t="s">
        <v>390</v>
      </c>
      <c r="AC452">
        <v>0</v>
      </c>
      <c r="AD452" s="47"/>
      <c r="AF452" s="47"/>
      <c r="AI452" s="10"/>
    </row>
    <row r="453" spans="1:36" ht="14.75" x14ac:dyDescent="0.75">
      <c r="A453" s="22">
        <v>3338</v>
      </c>
      <c r="B453" s="3">
        <v>44980</v>
      </c>
      <c r="C453" s="3" t="str">
        <f t="shared" si="34"/>
        <v>2/23/23</v>
      </c>
      <c r="D453" s="3" t="s">
        <v>539</v>
      </c>
      <c r="E453" s="22">
        <f>31-12+23</f>
        <v>42</v>
      </c>
      <c r="G453" s="22" t="s">
        <v>390</v>
      </c>
      <c r="AC453">
        <v>0</v>
      </c>
      <c r="AD453" s="47"/>
      <c r="AF453" s="47"/>
      <c r="AI453" s="10"/>
    </row>
    <row r="454" spans="1:36" ht="14.75" x14ac:dyDescent="0.75">
      <c r="A454" s="22">
        <v>3338</v>
      </c>
      <c r="B454" s="3">
        <v>45028</v>
      </c>
      <c r="C454" s="3" t="str">
        <f t="shared" si="34"/>
        <v>4/12/23</v>
      </c>
      <c r="D454" s="3" t="s">
        <v>539</v>
      </c>
      <c r="E454" s="22">
        <f>28-23+31+12</f>
        <v>48</v>
      </c>
      <c r="G454" s="22" t="s">
        <v>390</v>
      </c>
      <c r="AC454">
        <v>0</v>
      </c>
      <c r="AD454" s="47"/>
      <c r="AF454" s="47"/>
      <c r="AI454" s="10"/>
    </row>
    <row r="455" spans="1:36" ht="14.75" x14ac:dyDescent="0.75">
      <c r="A455" s="22">
        <v>3338</v>
      </c>
      <c r="B455" s="3">
        <v>45063</v>
      </c>
      <c r="C455" s="3" t="str">
        <f t="shared" si="34"/>
        <v>5/17/23</v>
      </c>
      <c r="D455" s="3" t="s">
        <v>539</v>
      </c>
      <c r="E455" s="22">
        <f>30-12+17</f>
        <v>35</v>
      </c>
      <c r="G455" s="22" t="s">
        <v>390</v>
      </c>
      <c r="AC455">
        <v>0</v>
      </c>
      <c r="AD455" s="47"/>
      <c r="AF455" s="47"/>
      <c r="AI455" s="10"/>
    </row>
    <row r="456" spans="1:36" ht="14.75" x14ac:dyDescent="0.75">
      <c r="A456" s="22">
        <v>3338</v>
      </c>
      <c r="B456" s="3">
        <v>45097</v>
      </c>
      <c r="C456" s="3" t="str">
        <f t="shared" si="34"/>
        <v>6/20/23</v>
      </c>
      <c r="D456" s="3" t="s">
        <v>539</v>
      </c>
      <c r="E456" s="22">
        <f>31-17+20</f>
        <v>34</v>
      </c>
      <c r="G456" s="22" t="s">
        <v>390</v>
      </c>
      <c r="AC456">
        <v>0</v>
      </c>
      <c r="AD456" s="47"/>
      <c r="AF456" s="47"/>
      <c r="AI456" s="10"/>
    </row>
    <row r="457" spans="1:36" ht="14.75" x14ac:dyDescent="0.75">
      <c r="A457" s="22">
        <v>3338</v>
      </c>
      <c r="B457" s="3">
        <v>45161</v>
      </c>
      <c r="C457" s="3" t="str">
        <f t="shared" si="34"/>
        <v>8/23/23</v>
      </c>
      <c r="D457" s="3" t="s">
        <v>539</v>
      </c>
      <c r="E457" s="22">
        <f>30-20+31+23</f>
        <v>64</v>
      </c>
      <c r="F457" s="309"/>
      <c r="G457" s="22" t="s">
        <v>390</v>
      </c>
      <c r="AC457">
        <v>0</v>
      </c>
      <c r="AD457" s="47"/>
      <c r="AF457" s="47"/>
      <c r="AI457" s="10"/>
    </row>
    <row r="458" spans="1:36" ht="14.75" x14ac:dyDescent="0.75">
      <c r="A458" s="200">
        <v>3339</v>
      </c>
      <c r="B458" s="201">
        <v>44699</v>
      </c>
      <c r="C458" s="3" t="str">
        <f t="shared" si="34"/>
        <v>5/18/22</v>
      </c>
      <c r="D458" s="3" t="s">
        <v>539</v>
      </c>
      <c r="E458" s="200">
        <v>0</v>
      </c>
      <c r="G458" s="189" t="s">
        <v>539</v>
      </c>
      <c r="H458" s="189"/>
      <c r="I458" s="189"/>
      <c r="J458" s="189"/>
      <c r="K458" s="189"/>
      <c r="L458" s="189">
        <f t="shared" si="31"/>
        <v>0</v>
      </c>
      <c r="M458" s="212"/>
      <c r="N458" s="212"/>
      <c r="O458" s="212"/>
      <c r="P458" s="212"/>
      <c r="Q458" s="212">
        <f t="shared" si="32"/>
        <v>0</v>
      </c>
      <c r="R458" s="212"/>
      <c r="S458" s="212"/>
      <c r="T458" s="212"/>
      <c r="U458" s="212"/>
      <c r="V458" s="212">
        <f t="shared" si="33"/>
        <v>0</v>
      </c>
      <c r="W458" s="189"/>
      <c r="X458" s="189"/>
      <c r="Y458" s="213"/>
      <c r="Z458" s="213"/>
      <c r="AA458" s="213"/>
      <c r="AB458" s="213" t="str">
        <f t="shared" si="25"/>
        <v>No</v>
      </c>
      <c r="AC458" s="213">
        <f>TreatmentUsed!E495</f>
        <v>8</v>
      </c>
      <c r="AD458" s="212">
        <f>Q458-Q448</f>
        <v>0</v>
      </c>
      <c r="AE458" s="213" t="e">
        <f>AD458/E458</f>
        <v>#DIV/0!</v>
      </c>
      <c r="AF458" s="212">
        <f>V458-V448</f>
        <v>0</v>
      </c>
      <c r="AG458" s="213" t="e">
        <f>(V458-V448)/E458</f>
        <v>#DIV/0!</v>
      </c>
      <c r="AH458" s="213" t="e">
        <f t="shared" si="27"/>
        <v>#DIV/0!</v>
      </c>
      <c r="AI458" s="214" t="e">
        <f>(AH458/E458)</f>
        <v>#DIV/0!</v>
      </c>
      <c r="AJ458" s="213"/>
    </row>
    <row r="459" spans="1:36" ht="14.75" x14ac:dyDescent="0.75">
      <c r="A459" s="22">
        <v>3339</v>
      </c>
      <c r="B459" s="3">
        <v>44825</v>
      </c>
      <c r="C459" s="3" t="str">
        <f t="shared" si="34"/>
        <v>9/21/22</v>
      </c>
      <c r="D459" s="3" t="s">
        <v>539</v>
      </c>
      <c r="E459" s="22">
        <f>31-18+30+31+31+21</f>
        <v>126</v>
      </c>
      <c r="G459" s="22" t="s">
        <v>539</v>
      </c>
      <c r="AC459">
        <v>11</v>
      </c>
      <c r="AD459" s="47"/>
      <c r="AF459" s="47"/>
      <c r="AI459" s="10"/>
    </row>
    <row r="460" spans="1:36" ht="14.75" x14ac:dyDescent="0.75">
      <c r="A460" s="22">
        <v>3339</v>
      </c>
      <c r="B460" s="3">
        <v>44854</v>
      </c>
      <c r="C460" s="3" t="str">
        <f t="shared" si="34"/>
        <v>10/20/22</v>
      </c>
      <c r="D460" s="3" t="s">
        <v>539</v>
      </c>
      <c r="E460" s="22">
        <f>30-21+20</f>
        <v>29</v>
      </c>
      <c r="G460" s="22" t="s">
        <v>539</v>
      </c>
      <c r="AC460">
        <v>3</v>
      </c>
      <c r="AD460" s="47"/>
      <c r="AF460" s="47"/>
      <c r="AI460" s="10"/>
    </row>
    <row r="461" spans="1:36" ht="14.75" x14ac:dyDescent="0.75">
      <c r="A461" s="22">
        <v>3339</v>
      </c>
      <c r="B461" s="3">
        <v>44938</v>
      </c>
      <c r="C461" s="3" t="str">
        <f t="shared" si="34"/>
        <v>1/12/23</v>
      </c>
      <c r="D461" s="3" t="s">
        <v>539</v>
      </c>
      <c r="E461" s="22">
        <f>31-20+30+31+12</f>
        <v>84</v>
      </c>
      <c r="G461" s="22" t="s">
        <v>390</v>
      </c>
      <c r="AC461">
        <v>0</v>
      </c>
      <c r="AD461" s="47"/>
      <c r="AF461" s="47"/>
      <c r="AI461" s="10"/>
    </row>
    <row r="462" spans="1:36" ht="14.75" x14ac:dyDescent="0.75">
      <c r="A462" s="22">
        <v>3339</v>
      </c>
      <c r="B462" s="3">
        <v>44980</v>
      </c>
      <c r="C462" s="3" t="str">
        <f t="shared" si="34"/>
        <v>2/23/23</v>
      </c>
      <c r="D462" s="3" t="s">
        <v>539</v>
      </c>
      <c r="E462" s="22">
        <f>31-12+23</f>
        <v>42</v>
      </c>
      <c r="G462" s="22" t="s">
        <v>390</v>
      </c>
      <c r="AC462">
        <v>0</v>
      </c>
      <c r="AD462" s="47"/>
      <c r="AF462" s="47"/>
      <c r="AI462" s="10"/>
    </row>
    <row r="463" spans="1:36" ht="14.75" x14ac:dyDescent="0.75">
      <c r="A463" s="22">
        <v>3339</v>
      </c>
      <c r="B463" s="3">
        <v>45028</v>
      </c>
      <c r="C463" s="3" t="str">
        <f t="shared" si="34"/>
        <v>4/12/23</v>
      </c>
      <c r="D463" s="3" t="s">
        <v>539</v>
      </c>
      <c r="E463" s="22">
        <f>28-23+31+12</f>
        <v>48</v>
      </c>
      <c r="G463" s="22" t="s">
        <v>390</v>
      </c>
      <c r="AC463">
        <v>0</v>
      </c>
      <c r="AD463" s="47"/>
      <c r="AF463" s="47"/>
      <c r="AI463" s="10"/>
    </row>
    <row r="464" spans="1:36" ht="14.75" x14ac:dyDescent="0.75">
      <c r="A464" s="22">
        <v>3339</v>
      </c>
      <c r="B464" s="3">
        <v>45063</v>
      </c>
      <c r="C464" s="3" t="str">
        <f t="shared" si="34"/>
        <v>5/17/23</v>
      </c>
      <c r="D464" s="3" t="s">
        <v>539</v>
      </c>
      <c r="E464" s="22">
        <f>30-12+17</f>
        <v>35</v>
      </c>
      <c r="G464" s="22" t="s">
        <v>390</v>
      </c>
      <c r="AC464">
        <v>0</v>
      </c>
      <c r="AD464" s="47"/>
      <c r="AF464" s="47"/>
      <c r="AI464" s="10"/>
    </row>
    <row r="465" spans="1:36" ht="14.75" x14ac:dyDescent="0.75">
      <c r="A465" s="22">
        <v>3339</v>
      </c>
      <c r="B465" s="3">
        <v>45097</v>
      </c>
      <c r="C465" s="3" t="str">
        <f t="shared" si="34"/>
        <v>6/20/23</v>
      </c>
      <c r="D465" s="3" t="s">
        <v>539</v>
      </c>
      <c r="E465" s="22">
        <f>31-17+20</f>
        <v>34</v>
      </c>
      <c r="G465" s="22" t="s">
        <v>390</v>
      </c>
      <c r="AC465">
        <v>0</v>
      </c>
      <c r="AD465" s="47"/>
      <c r="AF465" s="47"/>
      <c r="AI465" s="10"/>
    </row>
    <row r="466" spans="1:36" ht="14.75" x14ac:dyDescent="0.75">
      <c r="A466" s="22">
        <v>3339</v>
      </c>
      <c r="B466" s="3">
        <v>45161</v>
      </c>
      <c r="C466" s="3" t="str">
        <f t="shared" si="34"/>
        <v>8/23/23</v>
      </c>
      <c r="D466" s="3" t="s">
        <v>539</v>
      </c>
      <c r="E466" s="22">
        <f>30-20+31+23</f>
        <v>64</v>
      </c>
      <c r="G466" s="22" t="s">
        <v>390</v>
      </c>
      <c r="AC466">
        <v>0</v>
      </c>
      <c r="AD466" s="47"/>
      <c r="AF466" s="47"/>
      <c r="AI466" s="10"/>
    </row>
    <row r="467" spans="1:36" s="205" customFormat="1" ht="14.75" x14ac:dyDescent="0.75">
      <c r="A467" s="200">
        <v>3535</v>
      </c>
      <c r="B467" s="201">
        <v>44699</v>
      </c>
      <c r="C467" s="3" t="str">
        <f t="shared" si="34"/>
        <v>5/18/22</v>
      </c>
      <c r="D467" s="3" t="s">
        <v>390</v>
      </c>
      <c r="E467" s="200">
        <v>0</v>
      </c>
      <c r="F467" s="200" t="s">
        <v>1304</v>
      </c>
      <c r="G467" s="200" t="s">
        <v>539</v>
      </c>
      <c r="H467" s="200">
        <f>377.5+33.7+1.7+47.9</f>
        <v>460.79999999999995</v>
      </c>
      <c r="I467" s="200">
        <f>502.7+81.5+3.4+72.4</f>
        <v>660</v>
      </c>
      <c r="J467" s="200">
        <f>268.8+1.1+31.7+30.6</f>
        <v>332.20000000000005</v>
      </c>
      <c r="K467" s="200">
        <f>300.8+3.5+48.9</f>
        <v>353.2</v>
      </c>
      <c r="L467" s="200">
        <f t="shared" si="31"/>
        <v>1806.2</v>
      </c>
      <c r="M467" s="204">
        <v>377.5</v>
      </c>
      <c r="N467" s="204">
        <v>502.7</v>
      </c>
      <c r="O467" s="204">
        <v>268.8</v>
      </c>
      <c r="P467" s="204">
        <v>300.8</v>
      </c>
      <c r="Q467" s="204">
        <f t="shared" si="32"/>
        <v>1449.8</v>
      </c>
      <c r="R467" s="204">
        <f>33.7+1.7</f>
        <v>35.400000000000006</v>
      </c>
      <c r="S467" s="204">
        <f>81.5+3.4</f>
        <v>84.9</v>
      </c>
      <c r="T467" s="204">
        <f>30.6+1.1</f>
        <v>31.700000000000003</v>
      </c>
      <c r="U467" s="204">
        <v>3.5</v>
      </c>
      <c r="V467" s="204">
        <f t="shared" si="33"/>
        <v>155.5</v>
      </c>
      <c r="W467" s="200">
        <v>0</v>
      </c>
      <c r="X467" s="200">
        <v>1</v>
      </c>
      <c r="Y467" s="205">
        <v>1</v>
      </c>
      <c r="Z467" s="205">
        <v>0</v>
      </c>
      <c r="AA467" s="205">
        <v>9.6999999999999993</v>
      </c>
      <c r="AB467" s="205" t="str">
        <f>IF(AA467&gt;4.999, "Yes", "No")</f>
        <v>Yes</v>
      </c>
      <c r="AC467" s="205">
        <f>TreatmentUsed!E469</f>
        <v>19</v>
      </c>
      <c r="AD467" s="204" t="e">
        <f>Q467-#REF!</f>
        <v>#REF!</v>
      </c>
      <c r="AE467" s="205" t="e">
        <f>AD467/E467</f>
        <v>#REF!</v>
      </c>
      <c r="AF467" s="204" t="e">
        <f>V467-#REF!</f>
        <v>#REF!</v>
      </c>
      <c r="AG467" s="205" t="e">
        <f>(V467-#REF!)/E467</f>
        <v>#REF!</v>
      </c>
      <c r="AH467" s="205">
        <f t="shared" ref="AH467" si="35">100*(V467/(L467))</f>
        <v>8.6092348577123232</v>
      </c>
      <c r="AI467" s="206" t="e">
        <f>(AH467/E467)</f>
        <v>#DIV/0!</v>
      </c>
    </row>
    <row r="468" spans="1:36" ht="14.75" x14ac:dyDescent="0.75">
      <c r="A468" s="22">
        <v>3535</v>
      </c>
      <c r="B468" s="3">
        <v>44715</v>
      </c>
      <c r="C468" s="3" t="str">
        <f t="shared" si="34"/>
        <v>6/3/22</v>
      </c>
      <c r="D468" s="3" t="s">
        <v>390</v>
      </c>
      <c r="E468" s="22">
        <f>31-18+3</f>
        <v>16</v>
      </c>
      <c r="G468" s="22" t="s">
        <v>539</v>
      </c>
      <c r="H468" s="22">
        <f>256.6+13.4+1.1+30.8</f>
        <v>301.90000000000003</v>
      </c>
      <c r="I468" s="22">
        <f>419.1+17.5+83.1+77.5</f>
        <v>597.20000000000005</v>
      </c>
      <c r="J468" s="22">
        <f>272.4+40.9+43.6+2.9</f>
        <v>359.79999999999995</v>
      </c>
      <c r="K468" s="22">
        <f>493.6+35.1+62.4</f>
        <v>591.1</v>
      </c>
      <c r="L468" s="22">
        <f t="shared" si="31"/>
        <v>1850</v>
      </c>
      <c r="M468" s="47">
        <v>256.60000000000002</v>
      </c>
      <c r="N468" s="47">
        <v>419.1</v>
      </c>
      <c r="O468" s="47">
        <v>272.39999999999998</v>
      </c>
      <c r="P468" s="47">
        <v>493.6</v>
      </c>
      <c r="Q468" s="47">
        <f t="shared" si="32"/>
        <v>1441.7</v>
      </c>
      <c r="R468" s="47">
        <f>13.4+1.1</f>
        <v>14.5</v>
      </c>
      <c r="S468" s="47">
        <f>17.5+83.1</f>
        <v>100.6</v>
      </c>
      <c r="T468" s="47">
        <f>2.9+40.9</f>
        <v>43.8</v>
      </c>
      <c r="U468" s="47">
        <v>35.1</v>
      </c>
      <c r="V468" s="47">
        <f t="shared" si="33"/>
        <v>193.99999999999997</v>
      </c>
      <c r="W468" s="22">
        <v>0</v>
      </c>
      <c r="X468" s="22">
        <v>0</v>
      </c>
      <c r="Y468">
        <v>1</v>
      </c>
      <c r="Z468">
        <v>0</v>
      </c>
      <c r="AA468">
        <v>14.7</v>
      </c>
      <c r="AB468" t="str">
        <f t="shared" ref="AB468:AB575" si="36">IF(AA468&gt;4.999, "Yes", "No")</f>
        <v>Yes</v>
      </c>
      <c r="AC468">
        <f>TreatmentUsed!E811</f>
        <v>9</v>
      </c>
      <c r="AD468" s="47">
        <f t="shared" ref="AD468:AD575" si="37">Q468-Q467</f>
        <v>-8.0999999999999091</v>
      </c>
      <c r="AE468">
        <f>AD468/E468</f>
        <v>-0.50624999999999432</v>
      </c>
      <c r="AF468" s="47">
        <f t="shared" ref="AF468:AF575" si="38">V468-V467</f>
        <v>38.499999999999972</v>
      </c>
      <c r="AG468">
        <f>(V468-V467)/E468</f>
        <v>2.4062499999999982</v>
      </c>
      <c r="AH468">
        <f t="shared" ref="AH468:AH575" si="39">100*(V468/(L468))</f>
        <v>10.486486486486484</v>
      </c>
      <c r="AI468" s="10">
        <f>(AH468/E468)</f>
        <v>0.65540540540540526</v>
      </c>
    </row>
    <row r="469" spans="1:36" ht="14.75" x14ac:dyDescent="0.75">
      <c r="A469" s="22">
        <v>3535</v>
      </c>
      <c r="B469" s="3">
        <v>44743</v>
      </c>
      <c r="C469" s="3" t="str">
        <f t="shared" si="34"/>
        <v>7/1/22</v>
      </c>
      <c r="D469" s="3" t="s">
        <v>390</v>
      </c>
      <c r="E469" s="22">
        <f>30-3+1</f>
        <v>28</v>
      </c>
      <c r="G469" s="22" t="s">
        <v>539</v>
      </c>
      <c r="H469" s="22">
        <f>291.9+4.7+4.6+47</f>
        <v>348.2</v>
      </c>
      <c r="I469" s="22">
        <f>381.8+119.8+30.2</f>
        <v>531.80000000000007</v>
      </c>
      <c r="J469" s="22">
        <f>220+61.6+26.9</f>
        <v>308.5</v>
      </c>
      <c r="K469" s="22">
        <f>336.1+27.5+94.3</f>
        <v>457.90000000000003</v>
      </c>
      <c r="L469" s="22">
        <f t="shared" si="31"/>
        <v>1646.4</v>
      </c>
      <c r="M469" s="47">
        <v>291.89999999999998</v>
      </c>
      <c r="N469" s="47">
        <v>381.9</v>
      </c>
      <c r="O469" s="47">
        <v>220</v>
      </c>
      <c r="P469" s="47">
        <v>336.1</v>
      </c>
      <c r="Q469" s="47">
        <f t="shared" si="32"/>
        <v>1229.9000000000001</v>
      </c>
      <c r="R469" s="47">
        <f>4.7+4.6</f>
        <v>9.3000000000000007</v>
      </c>
      <c r="S469" s="47">
        <v>119.8</v>
      </c>
      <c r="T469" s="47">
        <v>62.4</v>
      </c>
      <c r="U469" s="47">
        <v>27.5</v>
      </c>
      <c r="V469" s="47">
        <f t="shared" si="33"/>
        <v>219</v>
      </c>
      <c r="W469" s="22">
        <v>0</v>
      </c>
      <c r="X469" s="22">
        <v>1</v>
      </c>
      <c r="Y469">
        <v>1</v>
      </c>
      <c r="Z469">
        <v>1</v>
      </c>
      <c r="AA469">
        <v>0.9</v>
      </c>
      <c r="AB469" t="str">
        <f t="shared" si="36"/>
        <v>No</v>
      </c>
      <c r="AC469">
        <f>TreatmentUsed!E1087</f>
        <v>9</v>
      </c>
      <c r="AD469" s="47">
        <f t="shared" si="37"/>
        <v>-211.79999999999995</v>
      </c>
      <c r="AE469">
        <f>AD469/E469</f>
        <v>-7.5642857142857123</v>
      </c>
      <c r="AF469" s="47">
        <f t="shared" si="38"/>
        <v>25.000000000000028</v>
      </c>
      <c r="AG469">
        <f>(V469-V468)/E469</f>
        <v>0.8928571428571439</v>
      </c>
      <c r="AH469">
        <f t="shared" si="39"/>
        <v>13.301749271137025</v>
      </c>
      <c r="AI469" s="10">
        <f>(AH469/E469)</f>
        <v>0.47506247396917944</v>
      </c>
    </row>
    <row r="470" spans="1:36" ht="14.75" x14ac:dyDescent="0.75">
      <c r="A470" s="22">
        <v>3535</v>
      </c>
      <c r="B470" s="3">
        <v>44762</v>
      </c>
      <c r="C470" s="3" t="str">
        <f t="shared" si="34"/>
        <v>7/20/22</v>
      </c>
      <c r="D470" s="3" t="s">
        <v>390</v>
      </c>
      <c r="E470" s="22">
        <f>20-1</f>
        <v>19</v>
      </c>
      <c r="G470" s="22" t="s">
        <v>539</v>
      </c>
      <c r="H470" s="22">
        <f>423.4+16.6+65.4+44.6</f>
        <v>550</v>
      </c>
      <c r="I470" s="22">
        <f>498.7+19+148.9+91</f>
        <v>757.6</v>
      </c>
      <c r="J470" s="22">
        <f>231.4+76.5+41.6+7.1</f>
        <v>356.6</v>
      </c>
      <c r="K470" s="22">
        <f>278.9+4+31.3+1.4</f>
        <v>315.59999999999997</v>
      </c>
      <c r="L470" s="22">
        <f t="shared" si="31"/>
        <v>1979.7999999999997</v>
      </c>
      <c r="M470" s="47">
        <v>423.4</v>
      </c>
      <c r="N470" s="47">
        <v>498.7</v>
      </c>
      <c r="O470" s="47">
        <v>231.4</v>
      </c>
      <c r="P470" s="47">
        <v>278.89999999999998</v>
      </c>
      <c r="Q470" s="47">
        <f t="shared" si="32"/>
        <v>1432.4</v>
      </c>
      <c r="R470" s="47">
        <f>16.6+65.5</f>
        <v>82.1</v>
      </c>
      <c r="S470" s="47">
        <f>19+148.9</f>
        <v>167.9</v>
      </c>
      <c r="T470" s="47">
        <f>7.1+76.5</f>
        <v>83.6</v>
      </c>
      <c r="U470" s="47">
        <v>4</v>
      </c>
      <c r="V470" s="47">
        <f t="shared" si="33"/>
        <v>337.6</v>
      </c>
      <c r="W470" s="22">
        <v>0</v>
      </c>
      <c r="X470" s="22">
        <v>2</v>
      </c>
      <c r="Y470">
        <v>3</v>
      </c>
      <c r="Z470">
        <v>1</v>
      </c>
      <c r="AA470">
        <v>4.5</v>
      </c>
      <c r="AB470" t="str">
        <f t="shared" si="36"/>
        <v>No</v>
      </c>
      <c r="AC470">
        <v>19</v>
      </c>
      <c r="AD470" s="47">
        <f t="shared" si="37"/>
        <v>202.5</v>
      </c>
      <c r="AE470">
        <f>AD470/E470</f>
        <v>10.657894736842104</v>
      </c>
      <c r="AF470" s="47">
        <f t="shared" si="38"/>
        <v>118.60000000000002</v>
      </c>
      <c r="AG470">
        <f>(V470-V469)/E470</f>
        <v>6.2421052631578959</v>
      </c>
      <c r="AH470">
        <f t="shared" si="39"/>
        <v>17.052227497727046</v>
      </c>
      <c r="AI470" s="10">
        <f>(AH470/E470)</f>
        <v>0.89748565777510769</v>
      </c>
    </row>
    <row r="471" spans="1:36" ht="14.75" x14ac:dyDescent="0.75">
      <c r="A471" s="22">
        <v>3535</v>
      </c>
      <c r="B471" s="3">
        <v>44784</v>
      </c>
      <c r="C471" s="3" t="str">
        <f t="shared" si="34"/>
        <v>8/11/22</v>
      </c>
      <c r="D471" s="3" t="s">
        <v>390</v>
      </c>
      <c r="E471" s="22">
        <f>31-20+11</f>
        <v>22</v>
      </c>
      <c r="G471" s="22" t="s">
        <v>539</v>
      </c>
      <c r="H471" s="22">
        <f>487.2+6.2+106.1+42.4</f>
        <v>641.9</v>
      </c>
      <c r="I471" s="22">
        <f>593+37.2+222.2+75.5</f>
        <v>927.90000000000009</v>
      </c>
      <c r="J471" s="22">
        <f>282.1+120.5+18.7</f>
        <v>421.3</v>
      </c>
      <c r="K471" s="22">
        <f>288.8+10.1+69.2+9.1</f>
        <v>377.20000000000005</v>
      </c>
      <c r="L471" s="22">
        <f t="shared" si="31"/>
        <v>2368.3000000000002</v>
      </c>
      <c r="M471" s="47">
        <v>487.2</v>
      </c>
      <c r="N471" s="47">
        <v>593</v>
      </c>
      <c r="O471" s="47">
        <v>282.10000000000002</v>
      </c>
      <c r="P471" s="47">
        <v>288.8</v>
      </c>
      <c r="Q471" s="47">
        <f t="shared" si="32"/>
        <v>1651.1000000000001</v>
      </c>
      <c r="R471" s="47">
        <f>6.2+106.1</f>
        <v>112.3</v>
      </c>
      <c r="S471" s="47">
        <f>37.2+222.2</f>
        <v>259.39999999999998</v>
      </c>
      <c r="T471" s="47">
        <f>18.7+120.5</f>
        <v>139.19999999999999</v>
      </c>
      <c r="U471" s="47">
        <v>10.1</v>
      </c>
      <c r="V471" s="47">
        <f t="shared" si="33"/>
        <v>521</v>
      </c>
      <c r="W471" s="22">
        <v>0</v>
      </c>
      <c r="X471" s="22">
        <v>1</v>
      </c>
      <c r="Y471">
        <v>3</v>
      </c>
      <c r="Z471">
        <v>2</v>
      </c>
      <c r="AA471">
        <v>6.1</v>
      </c>
      <c r="AB471" t="str">
        <f t="shared" si="36"/>
        <v>Yes</v>
      </c>
      <c r="AC471">
        <v>20</v>
      </c>
      <c r="AD471" s="47">
        <f t="shared" si="37"/>
        <v>218.70000000000005</v>
      </c>
      <c r="AE471">
        <f>AD471/E471</f>
        <v>9.9409090909090931</v>
      </c>
      <c r="AF471" s="47">
        <f t="shared" si="38"/>
        <v>183.39999999999998</v>
      </c>
      <c r="AG471">
        <f>(V471-V470)/E471</f>
        <v>8.336363636363636</v>
      </c>
      <c r="AH471">
        <f t="shared" si="39"/>
        <v>21.99890216611071</v>
      </c>
      <c r="AI471" s="10">
        <f>(AH471/E471)</f>
        <v>0.99995009845957772</v>
      </c>
    </row>
    <row r="472" spans="1:36" ht="14.75" x14ac:dyDescent="0.75">
      <c r="A472" s="22">
        <v>3535</v>
      </c>
      <c r="B472" s="3">
        <v>44826</v>
      </c>
      <c r="C472" s="3" t="str">
        <f t="shared" si="34"/>
        <v>9/22/22</v>
      </c>
      <c r="D472" s="3" t="s">
        <v>390</v>
      </c>
      <c r="E472" s="22">
        <f>22+31-11</f>
        <v>42</v>
      </c>
      <c r="G472" s="22" t="s">
        <v>539</v>
      </c>
      <c r="H472" s="22">
        <f>490.4+90.4+50.8</f>
        <v>631.59999999999991</v>
      </c>
      <c r="I472" s="22">
        <f>417.8+313+50.7</f>
        <v>781.5</v>
      </c>
      <c r="J472" s="22">
        <f>174.5+120.5+173.8</f>
        <v>468.8</v>
      </c>
      <c r="K472" s="22">
        <f>140.9+100.9</f>
        <v>241.8</v>
      </c>
      <c r="L472" s="22">
        <f t="shared" si="31"/>
        <v>2123.6999999999998</v>
      </c>
      <c r="M472" s="47">
        <v>490.4</v>
      </c>
      <c r="N472" s="47">
        <v>417.8</v>
      </c>
      <c r="O472" s="47">
        <v>174.5</v>
      </c>
      <c r="P472" s="47">
        <v>140.9</v>
      </c>
      <c r="Q472" s="47">
        <f>SUM(N472:P472)</f>
        <v>733.19999999999993</v>
      </c>
      <c r="R472" s="47">
        <v>0</v>
      </c>
      <c r="S472" s="47">
        <v>50.7</v>
      </c>
      <c r="T472" s="47">
        <v>120.5</v>
      </c>
      <c r="U472" s="47">
        <v>0</v>
      </c>
      <c r="V472" s="47">
        <f t="shared" si="33"/>
        <v>171.2</v>
      </c>
      <c r="W472" s="22">
        <v>0</v>
      </c>
      <c r="X472" s="22">
        <v>1</v>
      </c>
      <c r="Y472">
        <v>2</v>
      </c>
      <c r="Z472">
        <v>4</v>
      </c>
      <c r="AA472">
        <v>10.3</v>
      </c>
      <c r="AB472" t="str">
        <f t="shared" si="36"/>
        <v>Yes</v>
      </c>
      <c r="AC472">
        <v>35</v>
      </c>
      <c r="AD472" s="47">
        <f t="shared" si="37"/>
        <v>-917.9000000000002</v>
      </c>
      <c r="AE472">
        <f>AD472/E472</f>
        <v>-21.854761904761908</v>
      </c>
      <c r="AF472" s="47">
        <f t="shared" si="38"/>
        <v>-349.8</v>
      </c>
      <c r="AG472">
        <f>(V472-V471)/E472</f>
        <v>-8.3285714285714292</v>
      </c>
      <c r="AH472">
        <f t="shared" si="39"/>
        <v>8.0614022696237697</v>
      </c>
      <c r="AI472" s="10">
        <f>(AH472/E472)</f>
        <v>0.19193814927675643</v>
      </c>
    </row>
    <row r="473" spans="1:36" ht="14.75" x14ac:dyDescent="0.75">
      <c r="A473" s="22">
        <v>3535</v>
      </c>
      <c r="B473" s="3">
        <v>44845</v>
      </c>
      <c r="C473" s="3" t="str">
        <f t="shared" si="34"/>
        <v>10/11/22</v>
      </c>
      <c r="D473" s="3" t="s">
        <v>390</v>
      </c>
      <c r="E473" s="22">
        <f>30-22+11</f>
        <v>19</v>
      </c>
      <c r="G473" s="22" t="s">
        <v>539</v>
      </c>
      <c r="H473" s="22">
        <f>280.6+95</f>
        <v>375.6</v>
      </c>
      <c r="I473" s="22">
        <f>337.8+342.3</f>
        <v>680.1</v>
      </c>
      <c r="J473" s="22">
        <f>52.4+183.8</f>
        <v>236.20000000000002</v>
      </c>
      <c r="K473" s="22">
        <f>159.3+46</f>
        <v>205.3</v>
      </c>
      <c r="L473" s="22">
        <f t="shared" si="31"/>
        <v>1497.2</v>
      </c>
      <c r="M473" s="47">
        <v>280.60000000000002</v>
      </c>
      <c r="N473" s="47">
        <v>337.8</v>
      </c>
      <c r="O473" s="47">
        <v>52.4</v>
      </c>
      <c r="P473" s="47">
        <v>159.30000000000001</v>
      </c>
      <c r="Q473" s="47">
        <f t="shared" ref="Q473:Q480" si="40">SUM(M473:P473)</f>
        <v>830.10000000000014</v>
      </c>
      <c r="R473" s="47">
        <v>0</v>
      </c>
      <c r="S473" s="47">
        <v>0</v>
      </c>
      <c r="T473" s="47">
        <v>0</v>
      </c>
      <c r="U473" s="47">
        <v>0</v>
      </c>
      <c r="V473" s="47">
        <f t="shared" si="33"/>
        <v>0</v>
      </c>
      <c r="W473" s="22">
        <v>0</v>
      </c>
      <c r="X473" s="22">
        <v>0</v>
      </c>
      <c r="Y473">
        <v>0</v>
      </c>
      <c r="Z473">
        <v>6</v>
      </c>
      <c r="AA473">
        <v>0</v>
      </c>
      <c r="AB473" t="str">
        <f t="shared" si="36"/>
        <v>No</v>
      </c>
      <c r="AC473">
        <v>14</v>
      </c>
      <c r="AD473" s="47">
        <f t="shared" si="37"/>
        <v>96.900000000000205</v>
      </c>
      <c r="AE473">
        <f>AD473/E473</f>
        <v>5.1000000000000112</v>
      </c>
      <c r="AF473" s="47">
        <f t="shared" si="38"/>
        <v>-171.2</v>
      </c>
      <c r="AG473">
        <f>(V473-V472)/E473</f>
        <v>-9.0105263157894733</v>
      </c>
      <c r="AH473">
        <f t="shared" si="39"/>
        <v>0</v>
      </c>
      <c r="AI473" s="10">
        <f>(AH473/E473)</f>
        <v>0</v>
      </c>
    </row>
    <row r="474" spans="1:36" ht="14.75" x14ac:dyDescent="0.75">
      <c r="A474" s="22">
        <v>3535</v>
      </c>
      <c r="B474" s="3">
        <v>44880</v>
      </c>
      <c r="C474" s="3" t="str">
        <f t="shared" si="34"/>
        <v>11/15/22</v>
      </c>
      <c r="D474" s="3" t="s">
        <v>390</v>
      </c>
      <c r="E474" s="22">
        <f>31-11+15</f>
        <v>35</v>
      </c>
      <c r="G474" s="22" t="s">
        <v>539</v>
      </c>
      <c r="H474" s="22">
        <f>18.7+441.3+192.9</f>
        <v>652.9</v>
      </c>
      <c r="I474" s="22">
        <f>111.2+232.9+415.2</f>
        <v>759.3</v>
      </c>
      <c r="J474" s="22">
        <f>97.3+23.9+506.9</f>
        <v>628.09999999999991</v>
      </c>
      <c r="K474" s="22">
        <f>5.2+106.7+396.2</f>
        <v>508.1</v>
      </c>
      <c r="L474" s="22">
        <f t="shared" si="31"/>
        <v>2548.3999999999996</v>
      </c>
      <c r="M474" s="47">
        <v>18.7</v>
      </c>
      <c r="N474" s="47">
        <v>111.2</v>
      </c>
      <c r="O474" s="47">
        <v>97.2</v>
      </c>
      <c r="P474" s="47">
        <v>5.2</v>
      </c>
      <c r="Q474" s="47">
        <f t="shared" si="40"/>
        <v>232.3</v>
      </c>
      <c r="R474" s="47">
        <v>441.3</v>
      </c>
      <c r="S474" s="47">
        <v>232.9</v>
      </c>
      <c r="T474" s="47">
        <v>23.9</v>
      </c>
      <c r="U474" s="47">
        <v>106.7</v>
      </c>
      <c r="V474" s="47">
        <f t="shared" si="33"/>
        <v>804.80000000000007</v>
      </c>
      <c r="W474" s="22">
        <v>0</v>
      </c>
      <c r="X474" s="22">
        <v>1</v>
      </c>
      <c r="Y474">
        <v>1</v>
      </c>
      <c r="Z474">
        <v>6</v>
      </c>
      <c r="AA474">
        <v>28.6</v>
      </c>
      <c r="AB474" t="str">
        <f t="shared" si="36"/>
        <v>Yes</v>
      </c>
      <c r="AC474">
        <v>10</v>
      </c>
      <c r="AD474" s="47">
        <f t="shared" si="37"/>
        <v>-597.80000000000018</v>
      </c>
      <c r="AE474">
        <f>AD474/E474</f>
        <v>-17.080000000000005</v>
      </c>
      <c r="AF474" s="47">
        <f t="shared" si="38"/>
        <v>804.80000000000007</v>
      </c>
      <c r="AG474">
        <f>(V474-V473)/E474</f>
        <v>22.994285714285716</v>
      </c>
      <c r="AH474">
        <f t="shared" si="39"/>
        <v>31.58059959190081</v>
      </c>
      <c r="AI474" s="10">
        <f>(AH474/E474)</f>
        <v>0.90230284548288031</v>
      </c>
    </row>
    <row r="475" spans="1:36" ht="14.75" x14ac:dyDescent="0.75">
      <c r="A475" s="22">
        <v>3535</v>
      </c>
      <c r="B475" s="3">
        <v>44937</v>
      </c>
      <c r="C475" s="3" t="str">
        <f t="shared" si="34"/>
        <v>1/11/23</v>
      </c>
      <c r="D475" s="3" t="s">
        <v>539</v>
      </c>
      <c r="E475" s="22">
        <f>30-15+31+11</f>
        <v>57</v>
      </c>
      <c r="G475" s="22" t="s">
        <v>539</v>
      </c>
      <c r="AC475">
        <v>2</v>
      </c>
      <c r="AD475" s="47"/>
      <c r="AF475" s="47"/>
      <c r="AI475" s="10"/>
    </row>
    <row r="476" spans="1:36" ht="14.75" x14ac:dyDescent="0.75">
      <c r="A476" s="207">
        <v>3535</v>
      </c>
      <c r="B476" s="3">
        <v>44980</v>
      </c>
      <c r="C476" s="3" t="str">
        <f t="shared" si="34"/>
        <v>2/23/23</v>
      </c>
      <c r="D476" s="3" t="s">
        <v>539</v>
      </c>
      <c r="E476" s="22">
        <f>31-11+23</f>
        <v>43</v>
      </c>
      <c r="G476" s="22" t="s">
        <v>539</v>
      </c>
      <c r="AC476">
        <v>0</v>
      </c>
      <c r="AD476" s="47"/>
      <c r="AF476" s="47"/>
      <c r="AI476" s="10"/>
    </row>
    <row r="477" spans="1:36" ht="14.75" x14ac:dyDescent="0.75">
      <c r="A477" s="207">
        <v>3535</v>
      </c>
      <c r="B477" s="3">
        <v>45064</v>
      </c>
      <c r="C477" s="3" t="str">
        <f t="shared" si="34"/>
        <v>5/18/23</v>
      </c>
      <c r="D477" s="3" t="s">
        <v>539</v>
      </c>
      <c r="E477" s="22">
        <f>28-23+31+30+18</f>
        <v>84</v>
      </c>
      <c r="G477" s="22" t="s">
        <v>390</v>
      </c>
      <c r="L477" s="22">
        <f t="shared" si="31"/>
        <v>0</v>
      </c>
      <c r="Q477" s="47">
        <f t="shared" si="40"/>
        <v>0</v>
      </c>
      <c r="V477" s="47">
        <f t="shared" si="33"/>
        <v>0</v>
      </c>
      <c r="AB477" t="str">
        <f t="shared" si="36"/>
        <v>No</v>
      </c>
      <c r="AC477">
        <v>0</v>
      </c>
      <c r="AD477" s="47">
        <f>Q477-Q474</f>
        <v>-232.3</v>
      </c>
      <c r="AE477">
        <f>AD477/E477</f>
        <v>-2.7654761904761904</v>
      </c>
      <c r="AF477" s="47">
        <f>V477-V474</f>
        <v>-804.80000000000007</v>
      </c>
      <c r="AG477">
        <f>(V477-V474)/E477</f>
        <v>-9.5809523809523824</v>
      </c>
      <c r="AH477" t="e">
        <f>100*(V477/(L477))</f>
        <v>#DIV/0!</v>
      </c>
      <c r="AI477" s="10" t="e">
        <f>(AH477/E477)</f>
        <v>#DIV/0!</v>
      </c>
    </row>
    <row r="478" spans="1:36" ht="14.75" x14ac:dyDescent="0.75">
      <c r="A478" s="207">
        <v>3535</v>
      </c>
      <c r="B478" s="3">
        <v>45104</v>
      </c>
      <c r="C478" s="3" t="str">
        <f t="shared" si="34"/>
        <v>6/27/23</v>
      </c>
      <c r="D478" s="3" t="s">
        <v>539</v>
      </c>
      <c r="E478" s="198">
        <f>31-18+27</f>
        <v>40</v>
      </c>
      <c r="F478" s="198"/>
      <c r="G478" s="198" t="s">
        <v>390</v>
      </c>
      <c r="H478" s="198"/>
      <c r="I478" s="198"/>
      <c r="J478" s="198"/>
      <c r="K478" s="198"/>
      <c r="L478" s="198"/>
      <c r="M478" s="210"/>
      <c r="N478" s="210"/>
      <c r="O478" s="210"/>
      <c r="P478" s="210"/>
      <c r="Q478" s="210"/>
      <c r="R478" s="210"/>
      <c r="S478" s="210"/>
      <c r="T478" s="210"/>
      <c r="U478" s="210"/>
      <c r="V478" s="210"/>
      <c r="W478" s="198"/>
      <c r="X478" s="198"/>
      <c r="Y478" s="173"/>
      <c r="Z478" s="173"/>
      <c r="AA478" s="173"/>
      <c r="AB478" s="173"/>
      <c r="AC478" s="173">
        <v>0</v>
      </c>
      <c r="AD478" s="210"/>
      <c r="AE478" s="173"/>
      <c r="AF478" s="210"/>
      <c r="AG478" s="173"/>
      <c r="AH478" s="173"/>
      <c r="AI478" s="211"/>
      <c r="AJ478" s="173"/>
    </row>
    <row r="479" spans="1:36" ht="14.75" x14ac:dyDescent="0.75">
      <c r="A479" s="193">
        <v>3881</v>
      </c>
      <c r="B479" s="190">
        <v>44656</v>
      </c>
      <c r="C479" s="3" t="str">
        <f t="shared" si="34"/>
        <v>4/5/22</v>
      </c>
      <c r="D479" s="3" t="s">
        <v>390</v>
      </c>
      <c r="E479" s="22">
        <v>0</v>
      </c>
      <c r="G479" s="22" t="s">
        <v>539</v>
      </c>
      <c r="H479" s="22">
        <f>M479+R479+7.1+1482</f>
        <v>1796.5</v>
      </c>
      <c r="I479" s="22">
        <f>N479+555.1</f>
        <v>1000.6</v>
      </c>
      <c r="J479" s="22">
        <f>O479+282.9</f>
        <v>956</v>
      </c>
      <c r="K479" s="22">
        <f>P479+327.2</f>
        <v>999.7</v>
      </c>
      <c r="L479" s="22">
        <f t="shared" si="31"/>
        <v>4752.8</v>
      </c>
      <c r="M479" s="47">
        <v>287.8</v>
      </c>
      <c r="N479" s="47">
        <v>445.5</v>
      </c>
      <c r="O479" s="47">
        <v>673.1</v>
      </c>
      <c r="P479" s="47">
        <v>672.5</v>
      </c>
      <c r="Q479" s="47">
        <f t="shared" si="40"/>
        <v>2078.9</v>
      </c>
      <c r="R479" s="47">
        <v>19.600000000000001</v>
      </c>
      <c r="S479" s="47">
        <v>0</v>
      </c>
      <c r="T479" s="47">
        <v>0</v>
      </c>
      <c r="U479" s="47">
        <v>0</v>
      </c>
      <c r="V479" s="47">
        <f t="shared" si="33"/>
        <v>19.600000000000001</v>
      </c>
      <c r="W479" s="22">
        <v>0</v>
      </c>
      <c r="X479" s="22">
        <v>1</v>
      </c>
      <c r="Y479">
        <v>1</v>
      </c>
      <c r="Z479">
        <v>0</v>
      </c>
      <c r="AA479">
        <v>8.1300000000000008</v>
      </c>
      <c r="AB479" t="str">
        <f t="shared" si="36"/>
        <v>Yes</v>
      </c>
      <c r="AC479">
        <f>TreatmentUsed!E134</f>
        <v>21</v>
      </c>
      <c r="AD479" s="47">
        <f t="shared" ref="AD479:AD489" si="41">Q479-Q477</f>
        <v>2078.9</v>
      </c>
      <c r="AE479" t="e">
        <f>AD479/E479</f>
        <v>#DIV/0!</v>
      </c>
      <c r="AF479" s="47">
        <f t="shared" ref="AF479:AF489" si="42">V479-V477</f>
        <v>19.600000000000001</v>
      </c>
      <c r="AG479" t="e">
        <f>(V479-V477)/E479</f>
        <v>#DIV/0!</v>
      </c>
      <c r="AH479">
        <f t="shared" si="39"/>
        <v>0.41238848678673623</v>
      </c>
      <c r="AI479" s="10" t="e">
        <f>(AH479/E479)</f>
        <v>#DIV/0!</v>
      </c>
    </row>
    <row r="480" spans="1:36" ht="14.75" x14ac:dyDescent="0.75">
      <c r="A480" s="57">
        <v>3881</v>
      </c>
      <c r="B480" s="3">
        <v>44670</v>
      </c>
      <c r="C480" s="3" t="str">
        <f t="shared" si="34"/>
        <v>4/19/22</v>
      </c>
      <c r="D480" s="3" t="s">
        <v>390</v>
      </c>
      <c r="E480" s="22">
        <f>31+30-19+3</f>
        <v>45</v>
      </c>
      <c r="G480" s="22" t="s">
        <v>539</v>
      </c>
      <c r="H480" s="22">
        <f>M480+R480+36.1+1280.8</f>
        <v>1611.9</v>
      </c>
      <c r="I480" s="22">
        <f>N480+432.8</f>
        <v>1287.3</v>
      </c>
      <c r="J480" s="22">
        <f>O480+T480+425.7</f>
        <v>1398.2</v>
      </c>
      <c r="K480" s="22">
        <f>P480+U480+619.6</f>
        <v>2004.1</v>
      </c>
      <c r="L480" s="22">
        <f t="shared" ref="L480:L554" si="43">SUM(H480:K480)</f>
        <v>6301.5</v>
      </c>
      <c r="M480" s="47">
        <v>291.10000000000002</v>
      </c>
      <c r="N480" s="47">
        <v>854.5</v>
      </c>
      <c r="O480" s="47">
        <v>970.2</v>
      </c>
      <c r="P480" s="47">
        <v>1379.2</v>
      </c>
      <c r="Q480" s="47">
        <f t="shared" si="40"/>
        <v>3495</v>
      </c>
      <c r="R480" s="47">
        <v>3.9</v>
      </c>
      <c r="S480" s="47">
        <v>0</v>
      </c>
      <c r="T480" s="47">
        <v>2.2999999999999998</v>
      </c>
      <c r="U480" s="47">
        <v>5.3</v>
      </c>
      <c r="V480" s="47">
        <f t="shared" si="33"/>
        <v>11.5</v>
      </c>
      <c r="W480" s="22">
        <v>0</v>
      </c>
      <c r="X480" s="22">
        <v>2</v>
      </c>
      <c r="Y480">
        <v>2</v>
      </c>
      <c r="Z480">
        <v>1</v>
      </c>
      <c r="AA480">
        <v>1.1399999999999999</v>
      </c>
      <c r="AB480" t="str">
        <f t="shared" si="36"/>
        <v>No</v>
      </c>
      <c r="AC480">
        <v>10</v>
      </c>
      <c r="AD480" s="47">
        <f t="shared" si="41"/>
        <v>3495</v>
      </c>
      <c r="AE480">
        <f>AD480/E480</f>
        <v>77.666666666666671</v>
      </c>
      <c r="AF480" s="47">
        <f t="shared" si="42"/>
        <v>11.5</v>
      </c>
      <c r="AG480">
        <f>(V480-V479)/E480</f>
        <v>-0.18000000000000002</v>
      </c>
      <c r="AH480">
        <f>100*(V480/(L480))</f>
        <v>0.18249623105609777</v>
      </c>
      <c r="AI480" s="10">
        <f>(AH480/E480)</f>
        <v>4.0554718012466174E-3</v>
      </c>
    </row>
    <row r="481" spans="1:36" ht="14.75" x14ac:dyDescent="0.75">
      <c r="A481" s="71">
        <v>3881</v>
      </c>
      <c r="B481" s="72">
        <v>44715</v>
      </c>
      <c r="C481" s="3" t="str">
        <f t="shared" si="34"/>
        <v>6/3/22</v>
      </c>
      <c r="D481" s="3" t="s">
        <v>539</v>
      </c>
      <c r="E481" s="71">
        <f>30-19+31+3</f>
        <v>45</v>
      </c>
      <c r="F481" s="71"/>
      <c r="G481" s="71" t="s">
        <v>539</v>
      </c>
      <c r="AC481">
        <v>8</v>
      </c>
      <c r="AD481" s="47">
        <f t="shared" si="41"/>
        <v>-2078.9</v>
      </c>
      <c r="AE481">
        <f>AD481/E481</f>
        <v>-46.19777777777778</v>
      </c>
      <c r="AF481" s="47">
        <f t="shared" si="42"/>
        <v>-19.600000000000001</v>
      </c>
      <c r="AG481">
        <f>(V481-V480)/E481</f>
        <v>-0.25555555555555554</v>
      </c>
      <c r="AI481" s="10"/>
    </row>
    <row r="482" spans="1:36" ht="14.75" x14ac:dyDescent="0.75">
      <c r="A482" s="57">
        <v>3881</v>
      </c>
      <c r="B482" s="3">
        <v>44762</v>
      </c>
      <c r="C482" s="3" t="str">
        <f t="shared" si="34"/>
        <v>7/20/22</v>
      </c>
      <c r="D482" s="3" t="s">
        <v>390</v>
      </c>
      <c r="E482" s="22">
        <f>30-3+20</f>
        <v>47</v>
      </c>
      <c r="G482" s="22" t="s">
        <v>539</v>
      </c>
      <c r="H482" s="22">
        <f>M482+R482+2032.6</f>
        <v>2322.7999999999997</v>
      </c>
      <c r="I482" s="22">
        <f>N482+S482+1004.8</f>
        <v>1752.1</v>
      </c>
      <c r="J482" s="22">
        <f>O482+T482+551.3</f>
        <v>1273</v>
      </c>
      <c r="K482" s="22">
        <f>P482+U482+938.3</f>
        <v>1836.6</v>
      </c>
      <c r="L482" s="22">
        <f t="shared" si="43"/>
        <v>7184.5</v>
      </c>
      <c r="M482" s="47">
        <v>244.8</v>
      </c>
      <c r="N482" s="47">
        <v>737.6</v>
      </c>
      <c r="O482" s="47">
        <v>720</v>
      </c>
      <c r="P482" s="47">
        <v>896.9</v>
      </c>
      <c r="Q482" s="47">
        <f t="shared" ref="Q482:Q560" si="44">SUM(M482:P482)</f>
        <v>2599.3000000000002</v>
      </c>
      <c r="R482" s="47">
        <v>45.4</v>
      </c>
      <c r="S482" s="47">
        <v>9.6999999999999993</v>
      </c>
      <c r="T482" s="47">
        <v>1.7</v>
      </c>
      <c r="U482" s="47">
        <v>1.4</v>
      </c>
      <c r="V482" s="47">
        <f t="shared" ref="V482:V560" si="45">SUM(R482:U482)</f>
        <v>58.199999999999996</v>
      </c>
      <c r="W482" s="22">
        <v>0</v>
      </c>
      <c r="X482" s="22">
        <v>3</v>
      </c>
      <c r="Y482">
        <v>3</v>
      </c>
      <c r="Z482">
        <v>2</v>
      </c>
      <c r="AA482">
        <v>87.7</v>
      </c>
      <c r="AB482" t="str">
        <f t="shared" si="36"/>
        <v>Yes</v>
      </c>
      <c r="AC482">
        <v>0</v>
      </c>
      <c r="AD482" s="47">
        <f t="shared" si="41"/>
        <v>-895.69999999999982</v>
      </c>
      <c r="AE482">
        <f>AD482/E482</f>
        <v>-19.057446808510633</v>
      </c>
      <c r="AF482" s="47">
        <f t="shared" si="42"/>
        <v>46.699999999999996</v>
      </c>
      <c r="AG482">
        <f>(V482-V480)/E482</f>
        <v>0.99361702127659568</v>
      </c>
      <c r="AH482">
        <f>100*(V482/(L482))</f>
        <v>0.81007724963463001</v>
      </c>
      <c r="AI482" s="10">
        <f>(AH482/E482)</f>
        <v>1.7235686162438937E-2</v>
      </c>
    </row>
    <row r="483" spans="1:36" ht="14.75" x14ac:dyDescent="0.75">
      <c r="A483" s="57">
        <v>3881</v>
      </c>
      <c r="B483" s="3">
        <v>44784</v>
      </c>
      <c r="C483" s="3" t="str">
        <f t="shared" si="34"/>
        <v>8/11/22</v>
      </c>
      <c r="D483" s="3" t="s">
        <v>390</v>
      </c>
      <c r="E483" s="22">
        <f>31-20+11</f>
        <v>22</v>
      </c>
      <c r="G483" s="22" t="s">
        <v>539</v>
      </c>
      <c r="H483" s="22">
        <f>M483+R483+22.6+1010.2</f>
        <v>1476.1000000000001</v>
      </c>
      <c r="I483" s="22">
        <f>913.9+N483+S483</f>
        <v>1311.6</v>
      </c>
      <c r="J483" s="22">
        <f>635.9+O483+T483</f>
        <v>1363.1999999999998</v>
      </c>
      <c r="K483" s="22">
        <f>962+P483+U483</f>
        <v>1505</v>
      </c>
      <c r="L483" s="22">
        <f t="shared" si="43"/>
        <v>5655.9</v>
      </c>
      <c r="M483" s="47">
        <v>433.7</v>
      </c>
      <c r="N483" s="47">
        <v>394.6</v>
      </c>
      <c r="O483" s="47">
        <v>724.2</v>
      </c>
      <c r="P483" s="47">
        <v>537.20000000000005</v>
      </c>
      <c r="Q483" s="47">
        <f t="shared" si="44"/>
        <v>2089.6999999999998</v>
      </c>
      <c r="R483" s="47">
        <v>9.6</v>
      </c>
      <c r="S483" s="47">
        <v>3.1</v>
      </c>
      <c r="T483" s="47">
        <v>3.1</v>
      </c>
      <c r="U483" s="47">
        <v>5.8</v>
      </c>
      <c r="V483" s="47">
        <f t="shared" si="45"/>
        <v>21.599999999999998</v>
      </c>
      <c r="W483" s="22">
        <v>0</v>
      </c>
      <c r="X483" s="22">
        <v>0</v>
      </c>
      <c r="Y483">
        <v>2</v>
      </c>
      <c r="Z483">
        <v>2</v>
      </c>
      <c r="AA483">
        <v>32.299999999999997</v>
      </c>
      <c r="AB483" t="str">
        <f t="shared" si="36"/>
        <v>Yes</v>
      </c>
      <c r="AC483">
        <v>5</v>
      </c>
      <c r="AD483" s="47">
        <f t="shared" si="41"/>
        <v>2089.6999999999998</v>
      </c>
      <c r="AE483">
        <f>AD483/E483</f>
        <v>94.986363636363635</v>
      </c>
      <c r="AF483" s="47">
        <f t="shared" si="42"/>
        <v>21.599999999999998</v>
      </c>
      <c r="AG483">
        <f>(V483-V482)/E483</f>
        <v>-1.6636363636363634</v>
      </c>
      <c r="AH483">
        <f>100*(V483/(L483))</f>
        <v>0.38190208454887814</v>
      </c>
      <c r="AI483" s="10">
        <f>(AH483/E483)</f>
        <v>1.7359185661312643E-2</v>
      </c>
      <c r="AJ483" t="s">
        <v>1305</v>
      </c>
    </row>
    <row r="484" spans="1:36" ht="14.75" x14ac:dyDescent="0.75">
      <c r="A484" s="207">
        <v>3881</v>
      </c>
      <c r="B484" s="3">
        <v>44845</v>
      </c>
      <c r="C484" s="3" t="str">
        <f t="shared" si="34"/>
        <v>10/11/22</v>
      </c>
      <c r="D484" s="3" t="s">
        <v>390</v>
      </c>
      <c r="E484" s="22">
        <f>31-11+11+30</f>
        <v>61</v>
      </c>
      <c r="G484" s="22" t="s">
        <v>390</v>
      </c>
      <c r="H484" s="22">
        <f>M484+R484+115.7+1338.2</f>
        <v>1610.2</v>
      </c>
      <c r="I484" s="22">
        <f>1090.4+N484+S484</f>
        <v>1296.7</v>
      </c>
      <c r="J484" s="22">
        <f>207.8+O484+T484</f>
        <v>607</v>
      </c>
      <c r="K484" s="22">
        <f>P484+U484+856</f>
        <v>1297.2</v>
      </c>
      <c r="L484" s="22">
        <f t="shared" si="43"/>
        <v>4811.1000000000004</v>
      </c>
      <c r="M484" s="47">
        <v>148.4</v>
      </c>
      <c r="N484" s="47">
        <v>205.3</v>
      </c>
      <c r="O484" s="47">
        <v>395.9</v>
      </c>
      <c r="P484" s="47">
        <v>428.7</v>
      </c>
      <c r="Q484" s="47">
        <f t="shared" si="44"/>
        <v>1178.3</v>
      </c>
      <c r="R484" s="47">
        <v>7.9</v>
      </c>
      <c r="S484" s="47">
        <v>1</v>
      </c>
      <c r="T484" s="47">
        <v>3.3</v>
      </c>
      <c r="U484" s="47">
        <v>12.5</v>
      </c>
      <c r="V484" s="47">
        <f t="shared" si="45"/>
        <v>24.7</v>
      </c>
      <c r="W484" s="22">
        <v>0</v>
      </c>
      <c r="X484" s="22">
        <v>4</v>
      </c>
      <c r="Y484">
        <v>5</v>
      </c>
      <c r="Z484">
        <v>2</v>
      </c>
      <c r="AA484">
        <v>37.799999999999997</v>
      </c>
      <c r="AB484" t="str">
        <f t="shared" ref="AB484:AB489" si="46">IF(AA484&gt;4.999, "Yes", "No")</f>
        <v>Yes</v>
      </c>
      <c r="AC484">
        <v>0</v>
      </c>
      <c r="AD484" s="47">
        <f t="shared" si="41"/>
        <v>-1421.0000000000002</v>
      </c>
      <c r="AE484">
        <f>AD484/E484</f>
        <v>-23.295081967213118</v>
      </c>
      <c r="AF484" s="47">
        <f t="shared" si="42"/>
        <v>-33.5</v>
      </c>
      <c r="AG484">
        <f>(V484-V483)/E484</f>
        <v>5.0819672131147561E-2</v>
      </c>
      <c r="AH484">
        <f>100*(V484/(L484))</f>
        <v>0.51339610484088871</v>
      </c>
      <c r="AI484" s="10"/>
    </row>
    <row r="485" spans="1:36" ht="14.75" x14ac:dyDescent="0.75">
      <c r="A485" s="207">
        <v>3881</v>
      </c>
      <c r="B485" s="3">
        <v>44880</v>
      </c>
      <c r="C485" s="3" t="str">
        <f t="shared" si="34"/>
        <v>11/15/22</v>
      </c>
      <c r="D485" s="3" t="s">
        <v>390</v>
      </c>
      <c r="E485" s="22">
        <f>31-11+15</f>
        <v>35</v>
      </c>
      <c r="G485" s="22" t="s">
        <v>539</v>
      </c>
      <c r="H485" s="22">
        <f>M485+R485+112+1974.7</f>
        <v>2200.9</v>
      </c>
      <c r="I485" s="22">
        <f>N485+S485+1097.4</f>
        <v>1569.1000000000001</v>
      </c>
      <c r="J485" s="22">
        <f>633.9+O485+T485</f>
        <v>1219.1999999999998</v>
      </c>
      <c r="K485" s="22">
        <f>P485+U485+1259.3</f>
        <v>1790.6</v>
      </c>
      <c r="L485" s="22">
        <f t="shared" si="43"/>
        <v>6779.7999999999993</v>
      </c>
      <c r="M485" s="47">
        <v>106.2</v>
      </c>
      <c r="N485" s="47">
        <v>463.3</v>
      </c>
      <c r="O485" s="47">
        <v>579.20000000000005</v>
      </c>
      <c r="P485" s="47">
        <v>516.5</v>
      </c>
      <c r="Q485" s="47">
        <f t="shared" si="44"/>
        <v>1665.2</v>
      </c>
      <c r="R485" s="47">
        <v>8</v>
      </c>
      <c r="S485" s="47">
        <v>8.4</v>
      </c>
      <c r="T485" s="47">
        <v>6.1</v>
      </c>
      <c r="U485" s="47">
        <v>14.8</v>
      </c>
      <c r="V485" s="47">
        <f t="shared" si="45"/>
        <v>37.299999999999997</v>
      </c>
      <c r="W485" s="22">
        <v>0</v>
      </c>
      <c r="X485" s="22">
        <v>4</v>
      </c>
      <c r="Y485">
        <v>4</v>
      </c>
      <c r="Z485">
        <v>6</v>
      </c>
      <c r="AA485">
        <v>41.5</v>
      </c>
      <c r="AB485" t="str">
        <f t="shared" si="46"/>
        <v>Yes</v>
      </c>
      <c r="AC485">
        <v>0</v>
      </c>
      <c r="AD485" s="47">
        <f t="shared" si="41"/>
        <v>-424.49999999999977</v>
      </c>
      <c r="AE485">
        <f>AD485/E485</f>
        <v>-12.128571428571423</v>
      </c>
      <c r="AF485" s="47">
        <f t="shared" si="42"/>
        <v>15.7</v>
      </c>
      <c r="AG485">
        <f>(V485-V484)/E485</f>
        <v>0.35999999999999993</v>
      </c>
      <c r="AH485">
        <f>100*(V485/(L485))</f>
        <v>0.5501637216437063</v>
      </c>
      <c r="AI485" s="10"/>
    </row>
    <row r="486" spans="1:36" ht="14.75" x14ac:dyDescent="0.75">
      <c r="A486" s="207">
        <v>3881</v>
      </c>
      <c r="B486" s="3">
        <v>44937</v>
      </c>
      <c r="C486" s="3" t="str">
        <f t="shared" si="34"/>
        <v>1/11/23</v>
      </c>
      <c r="D486" s="3" t="s">
        <v>390</v>
      </c>
      <c r="E486" s="22">
        <f>30-15+31+11</f>
        <v>57</v>
      </c>
      <c r="G486" s="22" t="s">
        <v>390</v>
      </c>
      <c r="H486" s="22">
        <f>M486+2304.9</f>
        <v>2388.7000000000003</v>
      </c>
      <c r="I486" s="22">
        <f>N486+1129.4</f>
        <v>1659</v>
      </c>
      <c r="J486" s="22">
        <f>O486+1013.9</f>
        <v>1629.5</v>
      </c>
      <c r="K486" s="22">
        <f>P486+1054.7</f>
        <v>1281.1000000000001</v>
      </c>
      <c r="L486" s="22">
        <f>SUM(H486:K486)</f>
        <v>6958.3000000000011</v>
      </c>
      <c r="M486" s="47">
        <v>83.8</v>
      </c>
      <c r="N486" s="47">
        <v>529.6</v>
      </c>
      <c r="O486" s="47">
        <v>615.6</v>
      </c>
      <c r="P486" s="47">
        <v>226.4</v>
      </c>
      <c r="Q486" s="47">
        <f>SUM(M486:P486)</f>
        <v>1455.4</v>
      </c>
      <c r="R486" s="47">
        <v>0</v>
      </c>
      <c r="S486" s="47">
        <v>0</v>
      </c>
      <c r="T486" s="47">
        <v>0</v>
      </c>
      <c r="U486" s="47">
        <v>0</v>
      </c>
      <c r="V486" s="47">
        <f>SUM(R486:U486)</f>
        <v>0</v>
      </c>
      <c r="W486" s="22">
        <v>0</v>
      </c>
      <c r="X486" s="22">
        <v>0</v>
      </c>
      <c r="Y486">
        <v>0</v>
      </c>
      <c r="Z486">
        <v>6</v>
      </c>
      <c r="AA486">
        <v>0</v>
      </c>
      <c r="AB486" t="str">
        <f t="shared" si="46"/>
        <v>No</v>
      </c>
      <c r="AC486">
        <v>0</v>
      </c>
      <c r="AD486" s="47">
        <f t="shared" si="41"/>
        <v>277.10000000000014</v>
      </c>
      <c r="AE486">
        <f>AD486/E486</f>
        <v>4.8614035087719323</v>
      </c>
      <c r="AF486" s="47">
        <f t="shared" si="42"/>
        <v>-24.7</v>
      </c>
      <c r="AG486">
        <f>(V486-V485)/E486</f>
        <v>-0.65438596491228063</v>
      </c>
      <c r="AI486" s="10"/>
    </row>
    <row r="487" spans="1:36" ht="14.75" x14ac:dyDescent="0.75">
      <c r="A487" s="22">
        <v>3881</v>
      </c>
      <c r="B487" s="3">
        <v>45057</v>
      </c>
      <c r="C487" s="3" t="str">
        <f t="shared" si="34"/>
        <v>5/11/23</v>
      </c>
      <c r="D487" s="3" t="s">
        <v>390</v>
      </c>
      <c r="E487" s="22">
        <f>31-11+28+31+30+11</f>
        <v>120</v>
      </c>
      <c r="G487" s="22" t="s">
        <v>539</v>
      </c>
      <c r="H487" s="22">
        <f>M487+R487+2279.1</f>
        <v>2403.6999999999998</v>
      </c>
      <c r="I487" s="22">
        <f>N487+S487+1199.1</f>
        <v>1289.3999999999999</v>
      </c>
      <c r="J487" s="22">
        <f>O487+T487+1513.2</f>
        <v>1908.4</v>
      </c>
      <c r="K487" s="22">
        <f>P487+U487+1586.6</f>
        <v>1964.1</v>
      </c>
      <c r="L487" s="22">
        <f>SUM(H487:K487)</f>
        <v>7565.6</v>
      </c>
      <c r="M487" s="47">
        <v>121.7</v>
      </c>
      <c r="N487" s="47">
        <v>85.5</v>
      </c>
      <c r="O487" s="47">
        <v>384.4</v>
      </c>
      <c r="P487" s="47">
        <v>372</v>
      </c>
      <c r="Q487" s="47">
        <f>SUM(M487:P487)</f>
        <v>963.59999999999991</v>
      </c>
      <c r="R487" s="47">
        <v>2.9</v>
      </c>
      <c r="S487" s="47">
        <v>4.8</v>
      </c>
      <c r="T487" s="47">
        <v>10.8</v>
      </c>
      <c r="U487" s="47">
        <v>5.5</v>
      </c>
      <c r="V487" s="47">
        <f>SUM(R487:U487)</f>
        <v>24</v>
      </c>
      <c r="W487" s="22">
        <v>0</v>
      </c>
      <c r="X487" s="22">
        <v>1</v>
      </c>
      <c r="Y487">
        <v>1</v>
      </c>
      <c r="Z487">
        <v>6</v>
      </c>
      <c r="AA487">
        <v>3.7</v>
      </c>
      <c r="AB487" t="str">
        <f t="shared" si="46"/>
        <v>No</v>
      </c>
      <c r="AC487">
        <v>13</v>
      </c>
      <c r="AD487" s="47">
        <f t="shared" si="41"/>
        <v>-701.60000000000014</v>
      </c>
      <c r="AE487">
        <f>AD487/E487</f>
        <v>-5.8466666666666676</v>
      </c>
      <c r="AF487" s="47">
        <f t="shared" si="42"/>
        <v>-13.299999999999997</v>
      </c>
      <c r="AG487">
        <f>(V487-V486)/E487</f>
        <v>0.2</v>
      </c>
      <c r="AI487" s="10"/>
    </row>
    <row r="488" spans="1:36" ht="14.75" x14ac:dyDescent="0.75">
      <c r="A488" s="22">
        <v>3881</v>
      </c>
      <c r="B488" s="3">
        <v>45097</v>
      </c>
      <c r="C488" s="3" t="str">
        <f t="shared" si="34"/>
        <v>6/20/23</v>
      </c>
      <c r="D488" s="3" t="s">
        <v>390</v>
      </c>
      <c r="E488" s="22">
        <f>31-31+20</f>
        <v>20</v>
      </c>
      <c r="G488" s="22" t="s">
        <v>539</v>
      </c>
      <c r="H488" s="22">
        <f>R488+M488+3053.1</f>
        <v>3104.2</v>
      </c>
      <c r="I488" s="22">
        <f>N488+1398.7</f>
        <v>1478</v>
      </c>
      <c r="J488" s="22">
        <v>1822.7</v>
      </c>
      <c r="K488" s="22">
        <f>P488+U488+1951.6</f>
        <v>2244.6</v>
      </c>
      <c r="L488" s="22">
        <f>SUM(H488:K488)</f>
        <v>8649.5</v>
      </c>
      <c r="M488" s="47">
        <v>42.3</v>
      </c>
      <c r="N488" s="47">
        <v>79.3</v>
      </c>
      <c r="O488" s="47">
        <v>234.2</v>
      </c>
      <c r="P488" s="47">
        <v>285</v>
      </c>
      <c r="Q488" s="47">
        <f>SUM(M488:P488)</f>
        <v>640.79999999999995</v>
      </c>
      <c r="R488" s="47">
        <v>8.8000000000000007</v>
      </c>
      <c r="S488" s="47">
        <v>0</v>
      </c>
      <c r="T488" s="47">
        <v>18.600000000000001</v>
      </c>
      <c r="U488" s="47">
        <v>8</v>
      </c>
      <c r="V488" s="47">
        <f>SUM(R488:U488)</f>
        <v>35.400000000000006</v>
      </c>
      <c r="W488" s="22">
        <v>0</v>
      </c>
      <c r="X488" s="22">
        <v>2</v>
      </c>
      <c r="Y488">
        <v>2</v>
      </c>
      <c r="Z488">
        <v>7</v>
      </c>
      <c r="AA488">
        <v>3.4</v>
      </c>
      <c r="AB488" t="str">
        <f t="shared" si="46"/>
        <v>No</v>
      </c>
      <c r="AC488">
        <v>39</v>
      </c>
      <c r="AD488" s="47">
        <f t="shared" si="41"/>
        <v>-814.60000000000014</v>
      </c>
      <c r="AE488">
        <f>AD488/E488</f>
        <v>-40.730000000000004</v>
      </c>
      <c r="AF488" s="47">
        <f t="shared" si="42"/>
        <v>35.400000000000006</v>
      </c>
      <c r="AG488">
        <f>(V488-V487)/E488</f>
        <v>0.57000000000000028</v>
      </c>
      <c r="AI488" s="10"/>
    </row>
    <row r="489" spans="1:36" s="173" customFormat="1" ht="15" customHeight="1" x14ac:dyDescent="0.75">
      <c r="A489" s="22">
        <v>3881</v>
      </c>
      <c r="B489" s="3">
        <v>45161</v>
      </c>
      <c r="C489" s="3" t="str">
        <f t="shared" si="34"/>
        <v>8/23/23</v>
      </c>
      <c r="D489" s="3" t="s">
        <v>390</v>
      </c>
      <c r="E489" s="22">
        <f>30-20+31+23</f>
        <v>64</v>
      </c>
      <c r="F489" s="309"/>
      <c r="G489" s="198" t="s">
        <v>539</v>
      </c>
      <c r="H489" s="198">
        <v>1584.5</v>
      </c>
      <c r="I489" s="198">
        <v>1276.5</v>
      </c>
      <c r="J489" s="198">
        <v>1785.1</v>
      </c>
      <c r="K489" s="198">
        <v>1680.4</v>
      </c>
      <c r="L489" s="198">
        <f>SUM(H489:K489)</f>
        <v>6326.5</v>
      </c>
      <c r="M489" s="210">
        <v>0</v>
      </c>
      <c r="N489" s="210">
        <v>0</v>
      </c>
      <c r="O489" s="210">
        <v>0</v>
      </c>
      <c r="P489" s="210">
        <v>0</v>
      </c>
      <c r="Q489" s="210">
        <f>SUM(M489:P489)</f>
        <v>0</v>
      </c>
      <c r="R489" s="210">
        <v>0</v>
      </c>
      <c r="S489" s="210">
        <v>0</v>
      </c>
      <c r="T489" s="210">
        <v>0</v>
      </c>
      <c r="U489" s="210">
        <v>0</v>
      </c>
      <c r="V489" s="210">
        <f>SUM(R489:U489)</f>
        <v>0</v>
      </c>
      <c r="W489" s="198">
        <v>0</v>
      </c>
      <c r="X489" s="198">
        <v>0</v>
      </c>
      <c r="Y489" s="173">
        <v>0</v>
      </c>
      <c r="Z489" s="173">
        <v>9</v>
      </c>
      <c r="AA489" s="173">
        <v>0</v>
      </c>
      <c r="AB489" s="173" t="str">
        <f t="shared" si="46"/>
        <v>No</v>
      </c>
      <c r="AC489" s="173">
        <v>0</v>
      </c>
      <c r="AD489" s="210">
        <f t="shared" si="41"/>
        <v>-963.59999999999991</v>
      </c>
      <c r="AE489" s="173">
        <f>AD489/E489</f>
        <v>-15.056249999999999</v>
      </c>
      <c r="AF489" s="210">
        <f t="shared" si="42"/>
        <v>-24</v>
      </c>
      <c r="AG489" s="173">
        <f>(V489-V488)/E489</f>
        <v>-0.55312500000000009</v>
      </c>
    </row>
    <row r="490" spans="1:36" ht="14.75" x14ac:dyDescent="0.75">
      <c r="A490" s="194">
        <v>3882</v>
      </c>
      <c r="B490" s="190">
        <v>44656</v>
      </c>
      <c r="C490" s="3" t="str">
        <f t="shared" si="34"/>
        <v>4/5/22</v>
      </c>
      <c r="D490" s="3" t="s">
        <v>539</v>
      </c>
      <c r="E490" s="189">
        <v>0</v>
      </c>
      <c r="G490" s="22" t="s">
        <v>539</v>
      </c>
      <c r="L490" s="22">
        <f t="shared" si="43"/>
        <v>0</v>
      </c>
      <c r="Q490" s="47">
        <f t="shared" si="44"/>
        <v>0</v>
      </c>
      <c r="V490" s="47">
        <f t="shared" si="45"/>
        <v>0</v>
      </c>
      <c r="AB490" t="str">
        <f t="shared" si="36"/>
        <v>No</v>
      </c>
      <c r="AC490">
        <f>TreatmentUsed!E135</f>
        <v>2</v>
      </c>
      <c r="AD490" s="47">
        <f>Q490-Q483</f>
        <v>-2089.6999999999998</v>
      </c>
      <c r="AE490" t="e">
        <f>AD490/E490</f>
        <v>#DIV/0!</v>
      </c>
      <c r="AF490" s="47">
        <f>V490-V483</f>
        <v>-21.599999999999998</v>
      </c>
      <c r="AG490" t="e">
        <f>(V490-V485)/E490</f>
        <v>#DIV/0!</v>
      </c>
      <c r="AH490" t="e">
        <f t="shared" ref="AH490:AH529" si="47">100*(V490/(L490))</f>
        <v>#DIV/0!</v>
      </c>
      <c r="AI490" s="10" t="e">
        <f>(AH490/E490)</f>
        <v>#DIV/0!</v>
      </c>
    </row>
    <row r="491" spans="1:36" ht="14.75" x14ac:dyDescent="0.75">
      <c r="A491" s="114">
        <v>3882</v>
      </c>
      <c r="B491" s="3">
        <v>44670</v>
      </c>
      <c r="C491" s="3" t="str">
        <f t="shared" si="34"/>
        <v>4/19/22</v>
      </c>
      <c r="D491" s="3" t="s">
        <v>539</v>
      </c>
      <c r="E491" s="22">
        <f>19-5</f>
        <v>14</v>
      </c>
      <c r="G491" s="22" t="s">
        <v>539</v>
      </c>
      <c r="L491" s="22">
        <f t="shared" si="43"/>
        <v>0</v>
      </c>
      <c r="Q491" s="47">
        <f t="shared" si="44"/>
        <v>0</v>
      </c>
      <c r="V491" s="47">
        <f t="shared" si="45"/>
        <v>0</v>
      </c>
      <c r="AB491" t="str">
        <f t="shared" si="36"/>
        <v>No</v>
      </c>
      <c r="AC491">
        <f>TreatmentUsed!E294</f>
        <v>19</v>
      </c>
      <c r="AD491" s="47">
        <f t="shared" si="37"/>
        <v>0</v>
      </c>
      <c r="AE491">
        <f>AD491/E491</f>
        <v>0</v>
      </c>
      <c r="AF491" s="47">
        <f t="shared" si="38"/>
        <v>0</v>
      </c>
      <c r="AG491">
        <f>(V491-V490)/E491</f>
        <v>0</v>
      </c>
      <c r="AH491" t="e">
        <f t="shared" si="47"/>
        <v>#DIV/0!</v>
      </c>
      <c r="AI491" s="10" t="e">
        <f>(AH491/E491)</f>
        <v>#DIV/0!</v>
      </c>
    </row>
    <row r="492" spans="1:36" ht="14.75" x14ac:dyDescent="0.75">
      <c r="A492" s="114">
        <v>3882</v>
      </c>
      <c r="B492" s="3">
        <v>44715</v>
      </c>
      <c r="C492" s="3" t="str">
        <f t="shared" si="34"/>
        <v>6/3/22</v>
      </c>
      <c r="D492" s="3" t="s">
        <v>539</v>
      </c>
      <c r="E492" s="22">
        <f>31+30-19+3</f>
        <v>45</v>
      </c>
      <c r="G492" s="22" t="s">
        <v>539</v>
      </c>
      <c r="L492" s="22">
        <f t="shared" si="43"/>
        <v>0</v>
      </c>
      <c r="Q492" s="47">
        <f t="shared" si="44"/>
        <v>0</v>
      </c>
      <c r="V492" s="47">
        <f t="shared" si="45"/>
        <v>0</v>
      </c>
      <c r="AB492" t="str">
        <f t="shared" si="36"/>
        <v>No</v>
      </c>
      <c r="AC492">
        <f>TreatmentUsed!E787</f>
        <v>2</v>
      </c>
      <c r="AD492" s="47">
        <f t="shared" si="37"/>
        <v>0</v>
      </c>
      <c r="AE492">
        <f>AD492/E492</f>
        <v>0</v>
      </c>
      <c r="AF492" s="47">
        <f t="shared" si="38"/>
        <v>0</v>
      </c>
      <c r="AG492">
        <f>(V492-V491)/E492</f>
        <v>0</v>
      </c>
      <c r="AH492" t="e">
        <f t="shared" si="47"/>
        <v>#DIV/0!</v>
      </c>
      <c r="AI492" s="10" t="e">
        <f>(AH492/E492)</f>
        <v>#DIV/0!</v>
      </c>
    </row>
    <row r="493" spans="1:36" ht="14.75" x14ac:dyDescent="0.75">
      <c r="A493" s="207">
        <v>3882</v>
      </c>
      <c r="B493" s="3">
        <v>44784</v>
      </c>
      <c r="C493" s="3" t="str">
        <f t="shared" si="34"/>
        <v>8/11/22</v>
      </c>
      <c r="D493" s="3" t="s">
        <v>539</v>
      </c>
      <c r="E493" s="22">
        <f>30-3+31+11</f>
        <v>69</v>
      </c>
      <c r="G493" s="22" t="s">
        <v>390</v>
      </c>
      <c r="L493" s="22">
        <f t="shared" si="43"/>
        <v>0</v>
      </c>
      <c r="Q493" s="47">
        <f t="shared" si="44"/>
        <v>0</v>
      </c>
      <c r="V493" s="47">
        <f t="shared" si="45"/>
        <v>0</v>
      </c>
      <c r="AB493" t="str">
        <f t="shared" si="36"/>
        <v>No</v>
      </c>
      <c r="AC493">
        <v>0</v>
      </c>
      <c r="AD493" s="47">
        <f t="shared" si="37"/>
        <v>0</v>
      </c>
      <c r="AE493">
        <f>AD493/E493</f>
        <v>0</v>
      </c>
      <c r="AF493" s="47">
        <f t="shared" si="38"/>
        <v>0</v>
      </c>
      <c r="AG493">
        <f>(V493-V492)/E493</f>
        <v>0</v>
      </c>
      <c r="AH493" t="e">
        <f t="shared" si="47"/>
        <v>#DIV/0!</v>
      </c>
      <c r="AI493" s="10" t="e">
        <f>(AH493/E493)</f>
        <v>#DIV/0!</v>
      </c>
    </row>
    <row r="494" spans="1:36" ht="14.75" x14ac:dyDescent="0.75">
      <c r="A494" s="207">
        <v>3882</v>
      </c>
      <c r="B494" s="3">
        <v>44845</v>
      </c>
      <c r="C494" s="3" t="str">
        <f t="shared" si="34"/>
        <v>10/11/22</v>
      </c>
      <c r="D494" s="3" t="s">
        <v>539</v>
      </c>
      <c r="E494" s="22">
        <f>31-11+30+11</f>
        <v>61</v>
      </c>
      <c r="G494" s="22" t="s">
        <v>390</v>
      </c>
      <c r="AC494">
        <v>0</v>
      </c>
      <c r="AD494" s="47"/>
      <c r="AF494" s="47"/>
      <c r="AI494" s="10"/>
    </row>
    <row r="495" spans="1:36" ht="14.75" x14ac:dyDescent="0.75">
      <c r="A495" s="22" t="s">
        <v>1306</v>
      </c>
      <c r="B495" s="3">
        <v>44880</v>
      </c>
      <c r="C495" s="3" t="str">
        <f t="shared" si="34"/>
        <v>11/15/22</v>
      </c>
      <c r="D495" s="3" t="s">
        <v>539</v>
      </c>
      <c r="E495" s="22">
        <f>31-11+15</f>
        <v>35</v>
      </c>
      <c r="G495" s="22" t="s">
        <v>390</v>
      </c>
      <c r="AC495">
        <v>0</v>
      </c>
      <c r="AD495" s="47"/>
      <c r="AF495" s="47"/>
      <c r="AI495" s="10"/>
    </row>
    <row r="496" spans="1:36" ht="14.75" x14ac:dyDescent="0.75">
      <c r="A496" s="22" t="s">
        <v>1306</v>
      </c>
      <c r="B496" s="3">
        <v>44937</v>
      </c>
      <c r="C496" s="3" t="str">
        <f t="shared" si="34"/>
        <v>1/11/23</v>
      </c>
      <c r="D496" s="3" t="s">
        <v>539</v>
      </c>
      <c r="E496" s="22">
        <f>30-15+31+11</f>
        <v>57</v>
      </c>
      <c r="G496" s="22" t="s">
        <v>390</v>
      </c>
      <c r="AC496">
        <v>0</v>
      </c>
      <c r="AD496" s="47"/>
      <c r="AF496" s="47"/>
      <c r="AI496" s="10"/>
    </row>
    <row r="497" spans="1:36" ht="14.75" x14ac:dyDescent="0.75">
      <c r="A497" s="22" t="s">
        <v>1306</v>
      </c>
      <c r="B497" s="3">
        <v>45057</v>
      </c>
      <c r="C497" s="3" t="str">
        <f t="shared" si="34"/>
        <v>5/11/23</v>
      </c>
      <c r="D497" s="3" t="s">
        <v>539</v>
      </c>
      <c r="E497" s="22">
        <f>31-11+28+31+30+11</f>
        <v>120</v>
      </c>
      <c r="G497" s="22" t="s">
        <v>539</v>
      </c>
      <c r="AC497">
        <v>10</v>
      </c>
      <c r="AD497" s="47"/>
      <c r="AF497" s="47"/>
      <c r="AI497" s="10"/>
    </row>
    <row r="498" spans="1:36" ht="14.75" x14ac:dyDescent="0.75">
      <c r="A498" s="22" t="s">
        <v>1306</v>
      </c>
      <c r="B498" s="3">
        <v>45161</v>
      </c>
      <c r="C498" s="3" t="str">
        <f t="shared" si="34"/>
        <v>8/23/23</v>
      </c>
      <c r="D498" s="3" t="s">
        <v>539</v>
      </c>
      <c r="E498" s="22">
        <f>B498-B497</f>
        <v>104</v>
      </c>
      <c r="G498" s="22" t="s">
        <v>390</v>
      </c>
      <c r="AD498" s="47"/>
      <c r="AF498" s="47"/>
      <c r="AI498" s="10"/>
    </row>
    <row r="499" spans="1:36" s="205" customFormat="1" ht="14.75" x14ac:dyDescent="0.75">
      <c r="A499" s="200">
        <v>3883</v>
      </c>
      <c r="B499" s="201">
        <v>44656</v>
      </c>
      <c r="C499" s="3" t="str">
        <f t="shared" si="34"/>
        <v>4/5/22</v>
      </c>
      <c r="D499" s="3" t="s">
        <v>539</v>
      </c>
      <c r="E499" s="200">
        <v>0</v>
      </c>
      <c r="F499" s="200"/>
      <c r="G499" s="200" t="s">
        <v>539</v>
      </c>
      <c r="H499" s="200"/>
      <c r="I499" s="200"/>
      <c r="J499" s="200"/>
      <c r="K499" s="200"/>
      <c r="L499" s="200">
        <f t="shared" si="43"/>
        <v>0</v>
      </c>
      <c r="M499" s="204"/>
      <c r="N499" s="204"/>
      <c r="O499" s="204"/>
      <c r="P499" s="204"/>
      <c r="Q499" s="204">
        <f t="shared" si="44"/>
        <v>0</v>
      </c>
      <c r="R499" s="204"/>
      <c r="S499" s="204"/>
      <c r="T499" s="204"/>
      <c r="U499" s="204"/>
      <c r="V499" s="204">
        <f t="shared" si="45"/>
        <v>0</v>
      </c>
      <c r="W499" s="200"/>
      <c r="X499" s="200"/>
      <c r="AB499" s="205" t="str">
        <f t="shared" si="36"/>
        <v>No</v>
      </c>
      <c r="AC499" s="205">
        <f>TreatmentUsed!E133</f>
        <v>19</v>
      </c>
      <c r="AD499" s="204">
        <f>Q499-Q493</f>
        <v>0</v>
      </c>
      <c r="AE499" s="205" t="e">
        <f>AD499/E499</f>
        <v>#DIV/0!</v>
      </c>
      <c r="AF499" s="204">
        <f>V499-V493</f>
        <v>0</v>
      </c>
      <c r="AG499" s="205" t="e">
        <f>(V499-V493)/E499</f>
        <v>#DIV/0!</v>
      </c>
      <c r="AH499" s="205" t="e">
        <f t="shared" si="47"/>
        <v>#DIV/0!</v>
      </c>
      <c r="AI499" s="206" t="e">
        <f>(AH499/E499)</f>
        <v>#DIV/0!</v>
      </c>
      <c r="AJ499" s="205" t="s">
        <v>1307</v>
      </c>
    </row>
    <row r="500" spans="1:36" ht="14.75" x14ac:dyDescent="0.75">
      <c r="A500" s="22">
        <v>3883</v>
      </c>
      <c r="B500" s="3">
        <v>44670</v>
      </c>
      <c r="C500" s="3" t="str">
        <f t="shared" si="34"/>
        <v>4/19/22</v>
      </c>
      <c r="D500" s="3" t="s">
        <v>539</v>
      </c>
      <c r="E500" s="22">
        <f>19-5</f>
        <v>14</v>
      </c>
      <c r="G500" s="22" t="s">
        <v>539</v>
      </c>
      <c r="L500" s="22">
        <f t="shared" si="43"/>
        <v>0</v>
      </c>
      <c r="Q500" s="47">
        <f t="shared" si="44"/>
        <v>0</v>
      </c>
      <c r="V500" s="47">
        <f t="shared" si="45"/>
        <v>0</v>
      </c>
      <c r="AB500" t="str">
        <f t="shared" si="36"/>
        <v>No</v>
      </c>
      <c r="AC500">
        <f>TreatmentUsed!E295</f>
        <v>13</v>
      </c>
      <c r="AD500" s="47">
        <f t="shared" si="37"/>
        <v>0</v>
      </c>
      <c r="AE500">
        <f>AD500/E500</f>
        <v>0</v>
      </c>
      <c r="AF500" s="47">
        <f t="shared" si="38"/>
        <v>0</v>
      </c>
      <c r="AG500">
        <f>(V500-V499)/E500</f>
        <v>0</v>
      </c>
      <c r="AH500" t="e">
        <f t="shared" si="47"/>
        <v>#DIV/0!</v>
      </c>
      <c r="AI500" s="10" t="e">
        <f>(AH500/E500)</f>
        <v>#DIV/0!</v>
      </c>
    </row>
    <row r="501" spans="1:36" ht="14.75" x14ac:dyDescent="0.75">
      <c r="A501" s="207">
        <v>3883</v>
      </c>
      <c r="B501" s="3">
        <v>44694</v>
      </c>
      <c r="C501" s="3" t="str">
        <f t="shared" si="34"/>
        <v>5/13/22</v>
      </c>
      <c r="D501" s="3" t="s">
        <v>539</v>
      </c>
      <c r="E501" s="22">
        <f>13+30-19</f>
        <v>24</v>
      </c>
      <c r="G501" s="22" t="s">
        <v>539</v>
      </c>
      <c r="L501" s="22">
        <f t="shared" si="43"/>
        <v>0</v>
      </c>
      <c r="Q501" s="47">
        <f t="shared" si="44"/>
        <v>0</v>
      </c>
      <c r="V501" s="47">
        <f t="shared" si="45"/>
        <v>0</v>
      </c>
      <c r="AB501" t="str">
        <f t="shared" si="36"/>
        <v>No</v>
      </c>
      <c r="AC501">
        <v>0</v>
      </c>
      <c r="AD501" s="47">
        <f t="shared" si="37"/>
        <v>0</v>
      </c>
      <c r="AE501">
        <f>AD501/E501</f>
        <v>0</v>
      </c>
      <c r="AF501" s="47">
        <f t="shared" si="38"/>
        <v>0</v>
      </c>
      <c r="AG501">
        <f>(V501-V500)/E501</f>
        <v>0</v>
      </c>
      <c r="AH501" t="e">
        <f t="shared" si="47"/>
        <v>#DIV/0!</v>
      </c>
      <c r="AI501" s="10" t="e">
        <f>(AH501/E501)</f>
        <v>#DIV/0!</v>
      </c>
    </row>
    <row r="502" spans="1:36" ht="14.75" x14ac:dyDescent="0.75">
      <c r="A502" s="207">
        <v>3883</v>
      </c>
      <c r="B502" s="3">
        <v>44784</v>
      </c>
      <c r="C502" s="3" t="str">
        <f t="shared" si="34"/>
        <v>8/11/22</v>
      </c>
      <c r="D502" s="3" t="s">
        <v>539</v>
      </c>
      <c r="E502" s="22">
        <f>11+31+30+31-13</f>
        <v>90</v>
      </c>
      <c r="G502" s="22" t="s">
        <v>390</v>
      </c>
      <c r="L502" s="22">
        <f t="shared" si="43"/>
        <v>0</v>
      </c>
      <c r="Q502" s="47">
        <f t="shared" si="44"/>
        <v>0</v>
      </c>
      <c r="V502" s="47">
        <f t="shared" si="45"/>
        <v>0</v>
      </c>
      <c r="AB502" t="str">
        <f t="shared" si="36"/>
        <v>No</v>
      </c>
      <c r="AC502">
        <v>0</v>
      </c>
      <c r="AD502" s="47">
        <f t="shared" si="37"/>
        <v>0</v>
      </c>
      <c r="AE502">
        <f>AD502/E502</f>
        <v>0</v>
      </c>
      <c r="AF502" s="47">
        <f t="shared" si="38"/>
        <v>0</v>
      </c>
      <c r="AG502">
        <f>(V502-V501)/E502</f>
        <v>0</v>
      </c>
      <c r="AH502" t="e">
        <f t="shared" si="47"/>
        <v>#DIV/0!</v>
      </c>
      <c r="AI502" s="10" t="e">
        <f>(AH502/E502)</f>
        <v>#DIV/0!</v>
      </c>
    </row>
    <row r="503" spans="1:36" ht="14.75" x14ac:dyDescent="0.75">
      <c r="A503" s="207">
        <v>3883</v>
      </c>
      <c r="B503" s="3">
        <v>44845</v>
      </c>
      <c r="C503" s="3" t="str">
        <f t="shared" si="34"/>
        <v>10/11/22</v>
      </c>
      <c r="D503" s="3" t="s">
        <v>539</v>
      </c>
      <c r="E503" s="22">
        <f>11+31+30-11</f>
        <v>61</v>
      </c>
      <c r="G503" s="22" t="s">
        <v>390</v>
      </c>
      <c r="L503" s="22">
        <f t="shared" si="43"/>
        <v>0</v>
      </c>
      <c r="Q503" s="47">
        <f t="shared" si="44"/>
        <v>0</v>
      </c>
      <c r="V503" s="47">
        <f t="shared" si="45"/>
        <v>0</v>
      </c>
      <c r="AB503" t="str">
        <f t="shared" si="36"/>
        <v>No</v>
      </c>
      <c r="AC503">
        <v>0</v>
      </c>
      <c r="AD503" s="47">
        <f t="shared" si="37"/>
        <v>0</v>
      </c>
      <c r="AE503">
        <f>AD503/E503</f>
        <v>0</v>
      </c>
      <c r="AF503" s="47">
        <f t="shared" si="38"/>
        <v>0</v>
      </c>
      <c r="AG503">
        <f>(V503-V502)/E503</f>
        <v>0</v>
      </c>
      <c r="AH503" t="e">
        <f t="shared" si="47"/>
        <v>#DIV/0!</v>
      </c>
      <c r="AI503" s="10" t="e">
        <f>(AH503/E503)</f>
        <v>#DIV/0!</v>
      </c>
    </row>
    <row r="504" spans="1:36" ht="14.75" x14ac:dyDescent="0.75">
      <c r="A504" s="207">
        <v>3883</v>
      </c>
      <c r="B504" s="3">
        <v>44880</v>
      </c>
      <c r="C504" s="3" t="str">
        <f t="shared" si="34"/>
        <v>11/15/22</v>
      </c>
      <c r="D504" s="3" t="s">
        <v>539</v>
      </c>
      <c r="E504" s="22">
        <f>15+31-11</f>
        <v>35</v>
      </c>
      <c r="F504" s="309"/>
      <c r="G504" s="198" t="s">
        <v>390</v>
      </c>
      <c r="H504" s="198"/>
      <c r="I504" s="198"/>
      <c r="J504" s="198"/>
      <c r="K504" s="198"/>
      <c r="L504" s="198">
        <f t="shared" si="43"/>
        <v>0</v>
      </c>
      <c r="M504" s="210"/>
      <c r="N504" s="210"/>
      <c r="O504" s="210"/>
      <c r="P504" s="210"/>
      <c r="Q504" s="210">
        <f t="shared" si="44"/>
        <v>0</v>
      </c>
      <c r="R504" s="210"/>
      <c r="S504" s="210"/>
      <c r="T504" s="210"/>
      <c r="U504" s="210"/>
      <c r="V504" s="210">
        <f t="shared" si="45"/>
        <v>0</v>
      </c>
      <c r="W504" s="198"/>
      <c r="X504" s="198"/>
      <c r="Y504" s="173"/>
      <c r="Z504" s="173"/>
      <c r="AA504" s="173"/>
      <c r="AB504" s="173" t="str">
        <f t="shared" si="36"/>
        <v>No</v>
      </c>
      <c r="AC504" s="173">
        <v>0</v>
      </c>
      <c r="AD504" s="210">
        <f t="shared" si="37"/>
        <v>0</v>
      </c>
      <c r="AE504" s="173">
        <f>AD504/E504</f>
        <v>0</v>
      </c>
      <c r="AF504" s="210">
        <f t="shared" si="38"/>
        <v>0</v>
      </c>
      <c r="AG504" s="173">
        <f>(V504-V503)/E504</f>
        <v>0</v>
      </c>
      <c r="AH504" s="173" t="e">
        <f t="shared" si="47"/>
        <v>#DIV/0!</v>
      </c>
      <c r="AI504" s="211" t="e">
        <f>(AH504/E504)</f>
        <v>#DIV/0!</v>
      </c>
      <c r="AJ504" s="173"/>
    </row>
    <row r="505" spans="1:36" ht="14.75" x14ac:dyDescent="0.75">
      <c r="A505" s="189">
        <v>3884</v>
      </c>
      <c r="B505" s="190">
        <v>44641</v>
      </c>
      <c r="C505" s="3" t="str">
        <f t="shared" si="34"/>
        <v>3/21/22</v>
      </c>
      <c r="D505" s="3" t="s">
        <v>539</v>
      </c>
      <c r="E505" s="189">
        <v>0</v>
      </c>
      <c r="G505" s="22" t="s">
        <v>539</v>
      </c>
      <c r="L505" s="22">
        <f t="shared" si="43"/>
        <v>0</v>
      </c>
      <c r="Q505" s="47">
        <f t="shared" si="44"/>
        <v>0</v>
      </c>
      <c r="V505" s="47">
        <f t="shared" si="45"/>
        <v>0</v>
      </c>
      <c r="AB505" t="str">
        <f t="shared" si="36"/>
        <v>No</v>
      </c>
      <c r="AC505">
        <f>TreatmentUsed!E74</f>
        <v>62</v>
      </c>
      <c r="AD505" s="47">
        <f t="shared" si="37"/>
        <v>0</v>
      </c>
      <c r="AE505" t="e">
        <f>AD505/E505</f>
        <v>#DIV/0!</v>
      </c>
      <c r="AF505" s="47">
        <f t="shared" si="38"/>
        <v>0</v>
      </c>
      <c r="AG505" t="e">
        <f>(V505-V504)/E505</f>
        <v>#DIV/0!</v>
      </c>
      <c r="AH505" t="e">
        <f t="shared" si="47"/>
        <v>#DIV/0!</v>
      </c>
      <c r="AI505" s="10" t="e">
        <f>(AH505/E505)</f>
        <v>#DIV/0!</v>
      </c>
      <c r="AJ505" t="s">
        <v>1308</v>
      </c>
    </row>
    <row r="506" spans="1:36" ht="14.75" x14ac:dyDescent="0.75">
      <c r="A506" s="22">
        <v>3884</v>
      </c>
      <c r="B506" s="3">
        <v>44642</v>
      </c>
      <c r="C506" s="3" t="str">
        <f t="shared" si="34"/>
        <v>3/22/22</v>
      </c>
      <c r="D506" s="3" t="s">
        <v>539</v>
      </c>
      <c r="E506" s="22">
        <v>1</v>
      </c>
      <c r="G506" s="22" t="s">
        <v>539</v>
      </c>
      <c r="L506" s="22">
        <f t="shared" si="43"/>
        <v>0</v>
      </c>
      <c r="Q506" s="47">
        <f t="shared" si="44"/>
        <v>0</v>
      </c>
      <c r="V506" s="47">
        <f t="shared" si="45"/>
        <v>0</v>
      </c>
      <c r="AB506" t="str">
        <f t="shared" si="36"/>
        <v>No</v>
      </c>
      <c r="AC506">
        <f>TreatmentUsed!E80</f>
        <v>96</v>
      </c>
      <c r="AD506" s="47">
        <f t="shared" si="37"/>
        <v>0</v>
      </c>
      <c r="AE506">
        <f>AD506/E506</f>
        <v>0</v>
      </c>
      <c r="AF506" s="47">
        <f t="shared" si="38"/>
        <v>0</v>
      </c>
      <c r="AG506">
        <f>(V506-V505)/E506</f>
        <v>0</v>
      </c>
      <c r="AH506" t="e">
        <f t="shared" si="47"/>
        <v>#DIV/0!</v>
      </c>
      <c r="AI506" s="10" t="e">
        <f>(AH506/E506)</f>
        <v>#DIV/0!</v>
      </c>
      <c r="AJ506" t="s">
        <v>1308</v>
      </c>
    </row>
    <row r="507" spans="1:36" ht="14.75" x14ac:dyDescent="0.75">
      <c r="A507" s="22">
        <v>3884</v>
      </c>
      <c r="B507" s="3">
        <v>44670</v>
      </c>
      <c r="C507" s="3" t="str">
        <f t="shared" si="34"/>
        <v>4/19/22</v>
      </c>
      <c r="D507" s="3" t="s">
        <v>539</v>
      </c>
      <c r="E507" s="22">
        <f>31-22+19</f>
        <v>28</v>
      </c>
      <c r="G507" s="22" t="s">
        <v>539</v>
      </c>
      <c r="L507" s="22">
        <f t="shared" si="43"/>
        <v>0</v>
      </c>
      <c r="Q507" s="47">
        <f t="shared" si="44"/>
        <v>0</v>
      </c>
      <c r="V507" s="47">
        <f t="shared" si="45"/>
        <v>0</v>
      </c>
      <c r="AB507" t="str">
        <f t="shared" si="36"/>
        <v>No</v>
      </c>
      <c r="AC507">
        <f>TreatmentUsed!E316</f>
        <v>21</v>
      </c>
      <c r="AD507" s="47">
        <f t="shared" si="37"/>
        <v>0</v>
      </c>
      <c r="AE507">
        <f>AD507/E507</f>
        <v>0</v>
      </c>
      <c r="AF507" s="47">
        <f t="shared" si="38"/>
        <v>0</v>
      </c>
      <c r="AG507">
        <f>(V507-V506)/E507</f>
        <v>0</v>
      </c>
      <c r="AH507" t="e">
        <f t="shared" si="47"/>
        <v>#DIV/0!</v>
      </c>
      <c r="AI507" s="10" t="e">
        <f>(AH507/E507)</f>
        <v>#DIV/0!</v>
      </c>
    </row>
    <row r="508" spans="1:36" ht="14.75" x14ac:dyDescent="0.75">
      <c r="A508" s="22">
        <v>3884</v>
      </c>
      <c r="B508" s="3">
        <v>44694</v>
      </c>
      <c r="C508" s="3" t="str">
        <f t="shared" si="34"/>
        <v>5/13/22</v>
      </c>
      <c r="D508" s="3" t="s">
        <v>539</v>
      </c>
      <c r="E508" s="22">
        <f>13+30-19</f>
        <v>24</v>
      </c>
      <c r="G508" s="22" t="s">
        <v>539</v>
      </c>
      <c r="L508" s="22">
        <f t="shared" si="43"/>
        <v>0</v>
      </c>
      <c r="Q508" s="47">
        <f t="shared" si="44"/>
        <v>0</v>
      </c>
      <c r="V508" s="47">
        <f t="shared" si="45"/>
        <v>0</v>
      </c>
      <c r="AB508" t="str">
        <f t="shared" si="36"/>
        <v>No</v>
      </c>
      <c r="AC508">
        <f>TreatmentUsed!E420</f>
        <v>7</v>
      </c>
      <c r="AD508" s="47">
        <f t="shared" si="37"/>
        <v>0</v>
      </c>
      <c r="AE508">
        <f>AD508/E508</f>
        <v>0</v>
      </c>
      <c r="AF508" s="47">
        <f t="shared" si="38"/>
        <v>0</v>
      </c>
      <c r="AG508">
        <f>(V508-V507)/E508</f>
        <v>0</v>
      </c>
      <c r="AH508" t="e">
        <f t="shared" si="47"/>
        <v>#DIV/0!</v>
      </c>
      <c r="AI508" s="10" t="e">
        <f>(AH508/E508)</f>
        <v>#DIV/0!</v>
      </c>
    </row>
    <row r="509" spans="1:36" ht="14.75" x14ac:dyDescent="0.75">
      <c r="A509" s="22">
        <v>3884</v>
      </c>
      <c r="B509" s="3">
        <v>44715</v>
      </c>
      <c r="C509" s="3" t="str">
        <f t="shared" si="34"/>
        <v>6/3/22</v>
      </c>
      <c r="D509" s="3" t="s">
        <v>539</v>
      </c>
      <c r="E509" s="22">
        <f>3+31-13</f>
        <v>21</v>
      </c>
      <c r="G509" s="22" t="s">
        <v>539</v>
      </c>
      <c r="L509" s="22">
        <f t="shared" si="43"/>
        <v>0</v>
      </c>
      <c r="Q509" s="47">
        <f t="shared" si="44"/>
        <v>0</v>
      </c>
      <c r="V509" s="47">
        <f t="shared" si="45"/>
        <v>0</v>
      </c>
      <c r="AB509" t="str">
        <f t="shared" si="36"/>
        <v>No</v>
      </c>
      <c r="AC509">
        <f>TreatmentUsed!E837</f>
        <v>21</v>
      </c>
      <c r="AD509" s="47">
        <f t="shared" si="37"/>
        <v>0</v>
      </c>
      <c r="AE509">
        <f>AD509/E509</f>
        <v>0</v>
      </c>
      <c r="AF509" s="47">
        <f t="shared" si="38"/>
        <v>0</v>
      </c>
      <c r="AG509">
        <f>(V509-V508)/E509</f>
        <v>0</v>
      </c>
      <c r="AH509" t="e">
        <f t="shared" si="47"/>
        <v>#DIV/0!</v>
      </c>
      <c r="AI509" s="10" t="e">
        <f>(AH509/E509)</f>
        <v>#DIV/0!</v>
      </c>
    </row>
    <row r="510" spans="1:36" ht="14.75" x14ac:dyDescent="0.75">
      <c r="A510" s="22">
        <v>3884</v>
      </c>
      <c r="B510" s="3">
        <v>44740</v>
      </c>
      <c r="C510" s="3" t="str">
        <f t="shared" si="34"/>
        <v>6/28/22</v>
      </c>
      <c r="D510" s="3" t="s">
        <v>539</v>
      </c>
      <c r="E510" s="22">
        <f>28-3</f>
        <v>25</v>
      </c>
      <c r="G510" s="22" t="s">
        <v>539</v>
      </c>
      <c r="L510" s="22">
        <f t="shared" si="43"/>
        <v>0</v>
      </c>
      <c r="Q510" s="47">
        <f t="shared" si="44"/>
        <v>0</v>
      </c>
      <c r="V510" s="47">
        <f t="shared" si="45"/>
        <v>0</v>
      </c>
      <c r="AB510" t="str">
        <f t="shared" si="36"/>
        <v>No</v>
      </c>
      <c r="AC510">
        <f>TreatmentUsed!E1050</f>
        <v>7</v>
      </c>
      <c r="AD510" s="47">
        <f t="shared" si="37"/>
        <v>0</v>
      </c>
      <c r="AE510">
        <f>AD510/E510</f>
        <v>0</v>
      </c>
      <c r="AF510" s="47">
        <f t="shared" si="38"/>
        <v>0</v>
      </c>
      <c r="AG510">
        <f>(V510-V509)/E510</f>
        <v>0</v>
      </c>
      <c r="AH510" t="e">
        <f t="shared" si="47"/>
        <v>#DIV/0!</v>
      </c>
      <c r="AI510" s="10" t="e">
        <f>(AH510/E510)</f>
        <v>#DIV/0!</v>
      </c>
    </row>
    <row r="511" spans="1:36" ht="14.75" x14ac:dyDescent="0.75">
      <c r="A511" s="207">
        <v>3884</v>
      </c>
      <c r="B511" s="3">
        <v>44761</v>
      </c>
      <c r="C511" s="3" t="str">
        <f t="shared" si="34"/>
        <v>7/19/22</v>
      </c>
      <c r="D511" s="3" t="s">
        <v>539</v>
      </c>
      <c r="E511" s="22">
        <f>19+30-28</f>
        <v>21</v>
      </c>
      <c r="G511" s="22" t="s">
        <v>539</v>
      </c>
      <c r="L511" s="22">
        <f t="shared" si="43"/>
        <v>0</v>
      </c>
      <c r="Q511" s="47">
        <f t="shared" si="44"/>
        <v>0</v>
      </c>
      <c r="V511" s="47">
        <f t="shared" si="45"/>
        <v>0</v>
      </c>
      <c r="AB511" t="str">
        <f t="shared" si="36"/>
        <v>No</v>
      </c>
      <c r="AC511">
        <v>0</v>
      </c>
      <c r="AD511" s="47">
        <f t="shared" si="37"/>
        <v>0</v>
      </c>
      <c r="AE511">
        <f>AD511/E511</f>
        <v>0</v>
      </c>
      <c r="AF511" s="47">
        <f t="shared" si="38"/>
        <v>0</v>
      </c>
      <c r="AG511">
        <f>(V511-V510)/E511</f>
        <v>0</v>
      </c>
      <c r="AH511" t="e">
        <f t="shared" si="47"/>
        <v>#DIV/0!</v>
      </c>
      <c r="AI511" s="10" t="e">
        <f>(AH511/E511)</f>
        <v>#DIV/0!</v>
      </c>
    </row>
    <row r="512" spans="1:36" ht="14.75" x14ac:dyDescent="0.75">
      <c r="A512" s="22">
        <v>3884</v>
      </c>
      <c r="B512" s="3">
        <v>44791</v>
      </c>
      <c r="C512" s="3" t="str">
        <f t="shared" si="34"/>
        <v>8/18/22</v>
      </c>
      <c r="D512" s="3" t="s">
        <v>539</v>
      </c>
      <c r="E512" s="22">
        <f>18+31-19</f>
        <v>30</v>
      </c>
      <c r="G512" s="22" t="s">
        <v>539</v>
      </c>
      <c r="L512" s="22">
        <f t="shared" si="43"/>
        <v>0</v>
      </c>
      <c r="Q512" s="47">
        <f t="shared" si="44"/>
        <v>0</v>
      </c>
      <c r="V512" s="47">
        <f t="shared" si="45"/>
        <v>0</v>
      </c>
      <c r="AB512" t="str">
        <f t="shared" si="36"/>
        <v>No</v>
      </c>
      <c r="AC512">
        <v>6</v>
      </c>
      <c r="AD512" s="47">
        <f t="shared" si="37"/>
        <v>0</v>
      </c>
      <c r="AE512">
        <f>AD512/E512</f>
        <v>0</v>
      </c>
      <c r="AF512" s="47">
        <f t="shared" si="38"/>
        <v>0</v>
      </c>
      <c r="AG512">
        <f>(V512-V511)/E512</f>
        <v>0</v>
      </c>
      <c r="AH512" t="e">
        <f t="shared" si="47"/>
        <v>#DIV/0!</v>
      </c>
      <c r="AI512" s="10" t="e">
        <f>(AH512/E512)</f>
        <v>#DIV/0!</v>
      </c>
    </row>
    <row r="513" spans="1:36" ht="14.75" x14ac:dyDescent="0.75">
      <c r="A513" s="22">
        <v>3884</v>
      </c>
      <c r="B513" s="3">
        <v>44824</v>
      </c>
      <c r="C513" s="3" t="str">
        <f t="shared" si="34"/>
        <v>9/20/22</v>
      </c>
      <c r="D513" s="3" t="s">
        <v>539</v>
      </c>
      <c r="E513" s="22">
        <f>20+30-18</f>
        <v>32</v>
      </c>
      <c r="G513" s="22" t="s">
        <v>539</v>
      </c>
      <c r="L513" s="22">
        <f t="shared" si="43"/>
        <v>0</v>
      </c>
      <c r="Q513" s="47">
        <f t="shared" si="44"/>
        <v>0</v>
      </c>
      <c r="V513" s="47">
        <f t="shared" si="45"/>
        <v>0</v>
      </c>
      <c r="AB513" t="str">
        <f t="shared" si="36"/>
        <v>No</v>
      </c>
      <c r="AC513">
        <v>5</v>
      </c>
      <c r="AD513" s="47">
        <f t="shared" si="37"/>
        <v>0</v>
      </c>
      <c r="AE513">
        <f>AD513/E513</f>
        <v>0</v>
      </c>
      <c r="AF513" s="47">
        <f t="shared" si="38"/>
        <v>0</v>
      </c>
      <c r="AG513">
        <f>(V513-V512)/E513</f>
        <v>0</v>
      </c>
      <c r="AH513" t="e">
        <f t="shared" si="47"/>
        <v>#DIV/0!</v>
      </c>
      <c r="AI513" s="10" t="e">
        <f>(AH513/E513)</f>
        <v>#DIV/0!</v>
      </c>
    </row>
    <row r="514" spans="1:36" ht="14.75" x14ac:dyDescent="0.75">
      <c r="A514" s="207">
        <v>3884</v>
      </c>
      <c r="B514" s="3">
        <v>44854</v>
      </c>
      <c r="C514" s="3" t="str">
        <f t="shared" si="34"/>
        <v>10/20/22</v>
      </c>
      <c r="D514" s="3" t="s">
        <v>539</v>
      </c>
      <c r="E514" s="22">
        <f>20+31-20</f>
        <v>31</v>
      </c>
      <c r="G514" s="22" t="s">
        <v>539</v>
      </c>
      <c r="L514" s="22">
        <f t="shared" si="43"/>
        <v>0</v>
      </c>
      <c r="Q514" s="47">
        <f t="shared" si="44"/>
        <v>0</v>
      </c>
      <c r="V514" s="47">
        <f t="shared" si="45"/>
        <v>0</v>
      </c>
      <c r="AB514" t="str">
        <f t="shared" si="36"/>
        <v>No</v>
      </c>
      <c r="AC514">
        <v>0</v>
      </c>
      <c r="AD514" s="47">
        <f t="shared" si="37"/>
        <v>0</v>
      </c>
      <c r="AE514">
        <f>AD514/E514</f>
        <v>0</v>
      </c>
      <c r="AF514" s="47">
        <f t="shared" si="38"/>
        <v>0</v>
      </c>
      <c r="AG514">
        <f>(V514-V513)/E514</f>
        <v>0</v>
      </c>
      <c r="AH514" t="e">
        <f t="shared" si="47"/>
        <v>#DIV/0!</v>
      </c>
      <c r="AI514" s="10" t="e">
        <f>(AH514/E514)</f>
        <v>#DIV/0!</v>
      </c>
    </row>
    <row r="515" spans="1:36" ht="14.75" x14ac:dyDescent="0.75">
      <c r="A515" s="207">
        <v>3884</v>
      </c>
      <c r="B515" s="3">
        <v>44936</v>
      </c>
      <c r="C515" s="3" t="str">
        <f t="shared" ref="C515:C578" si="48">TEXT(B515,"M/D/YY")</f>
        <v>1/10/23</v>
      </c>
      <c r="D515" s="3" t="s">
        <v>539</v>
      </c>
      <c r="E515" s="22">
        <f>31-20+30+31+10</f>
        <v>82</v>
      </c>
      <c r="G515" s="22" t="s">
        <v>390</v>
      </c>
      <c r="AC515">
        <v>0</v>
      </c>
      <c r="AD515" s="47"/>
      <c r="AF515" s="47"/>
      <c r="AI515" s="10"/>
    </row>
    <row r="516" spans="1:36" ht="14.75" x14ac:dyDescent="0.75">
      <c r="A516" s="207">
        <v>3884</v>
      </c>
      <c r="B516" s="3">
        <v>44978</v>
      </c>
      <c r="C516" s="3" t="str">
        <f t="shared" si="48"/>
        <v>2/21/23</v>
      </c>
      <c r="D516" s="3" t="s">
        <v>539</v>
      </c>
      <c r="E516" s="22">
        <f>31-10+21</f>
        <v>42</v>
      </c>
      <c r="G516" s="22" t="s">
        <v>390</v>
      </c>
      <c r="AC516">
        <v>0</v>
      </c>
      <c r="AD516" s="47"/>
      <c r="AF516" s="47"/>
      <c r="AI516" s="10"/>
    </row>
    <row r="517" spans="1:36" ht="14.75" x14ac:dyDescent="0.75">
      <c r="A517" s="22">
        <v>3884</v>
      </c>
      <c r="B517" s="3">
        <v>45057</v>
      </c>
      <c r="C517" s="3" t="str">
        <f t="shared" si="48"/>
        <v>5/11/23</v>
      </c>
      <c r="D517" s="3" t="s">
        <v>539</v>
      </c>
      <c r="E517" s="22">
        <f>28-21+31+30+11</f>
        <v>79</v>
      </c>
      <c r="G517" s="22" t="s">
        <v>539</v>
      </c>
      <c r="AC517">
        <v>5</v>
      </c>
      <c r="AD517" s="47"/>
      <c r="AF517" s="47"/>
      <c r="AI517" s="10"/>
    </row>
    <row r="518" spans="1:36" ht="14.75" x14ac:dyDescent="0.75">
      <c r="A518" s="207">
        <v>3884</v>
      </c>
      <c r="B518" s="3">
        <v>45104</v>
      </c>
      <c r="C518" s="3" t="str">
        <f t="shared" si="48"/>
        <v>6/27/23</v>
      </c>
      <c r="D518" s="3" t="s">
        <v>539</v>
      </c>
      <c r="E518" s="22">
        <f>31-11+27</f>
        <v>47</v>
      </c>
      <c r="G518" s="22" t="s">
        <v>539</v>
      </c>
      <c r="AC518">
        <v>9</v>
      </c>
      <c r="AD518" s="47"/>
      <c r="AF518" s="47"/>
      <c r="AI518" s="10"/>
    </row>
    <row r="519" spans="1:36" ht="14.75" x14ac:dyDescent="0.75">
      <c r="A519" s="207">
        <v>3884</v>
      </c>
      <c r="B519" s="3">
        <v>45161</v>
      </c>
      <c r="C519" s="3" t="str">
        <f t="shared" si="48"/>
        <v>8/23/23</v>
      </c>
      <c r="D519" s="3" t="s">
        <v>539</v>
      </c>
      <c r="E519" s="22">
        <f>30-27+31+23</f>
        <v>57</v>
      </c>
      <c r="F519" s="309"/>
      <c r="G519" s="198" t="s">
        <v>390</v>
      </c>
      <c r="H519" s="198"/>
      <c r="I519" s="198"/>
      <c r="J519" s="198"/>
      <c r="K519" s="198"/>
      <c r="L519" s="198"/>
      <c r="M519" s="210"/>
      <c r="N519" s="210"/>
      <c r="O519" s="210"/>
      <c r="P519" s="210"/>
      <c r="Q519" s="210"/>
      <c r="R519" s="210"/>
      <c r="S519" s="210"/>
      <c r="T519" s="210"/>
      <c r="U519" s="210"/>
      <c r="V519" s="210"/>
      <c r="W519" s="198"/>
      <c r="X519" s="198"/>
      <c r="Y519" s="173"/>
      <c r="Z519" s="173"/>
      <c r="AA519" s="173"/>
      <c r="AB519" s="173"/>
      <c r="AC519" s="173">
        <v>0</v>
      </c>
      <c r="AD519" s="210"/>
      <c r="AE519" s="173"/>
      <c r="AF519" s="210"/>
      <c r="AG519" s="173"/>
      <c r="AH519" s="173"/>
      <c r="AI519" s="211"/>
      <c r="AJ519" s="173"/>
    </row>
    <row r="520" spans="1:36" ht="14.75" x14ac:dyDescent="0.75">
      <c r="A520" s="189">
        <v>3988</v>
      </c>
      <c r="B520" s="190">
        <v>44706</v>
      </c>
      <c r="C520" s="3" t="str">
        <f t="shared" si="48"/>
        <v>5/25/22</v>
      </c>
      <c r="D520" s="3" t="s">
        <v>390</v>
      </c>
      <c r="E520" s="189">
        <v>0</v>
      </c>
      <c r="G520" s="22" t="s">
        <v>539</v>
      </c>
      <c r="H520" s="22">
        <f>R520+M520+294.2</f>
        <v>1205.6000000000001</v>
      </c>
      <c r="I520" s="22">
        <f>N520+S520+564.7</f>
        <v>1612.2</v>
      </c>
      <c r="J520" s="22">
        <f>O520+T520+582.7</f>
        <v>1121.4000000000001</v>
      </c>
      <c r="K520" s="22">
        <f>P520+U520+213.1</f>
        <v>711.19999999999993</v>
      </c>
      <c r="L520" s="22">
        <f t="shared" si="43"/>
        <v>4650.4000000000005</v>
      </c>
      <c r="M520" s="47">
        <v>907.7</v>
      </c>
      <c r="N520" s="47">
        <v>1041.9000000000001</v>
      </c>
      <c r="O520" s="47">
        <v>531.6</v>
      </c>
      <c r="P520" s="47">
        <v>492.7</v>
      </c>
      <c r="Q520" s="47">
        <f t="shared" si="44"/>
        <v>2973.9</v>
      </c>
      <c r="R520" s="47">
        <v>3.7</v>
      </c>
      <c r="S520" s="47">
        <v>5.6</v>
      </c>
      <c r="T520" s="47">
        <v>7.1</v>
      </c>
      <c r="U520" s="47">
        <v>5.4</v>
      </c>
      <c r="V520" s="47">
        <f t="shared" si="45"/>
        <v>21.799999999999997</v>
      </c>
      <c r="W520" s="22">
        <v>0</v>
      </c>
      <c r="X520" s="22">
        <v>0</v>
      </c>
      <c r="Y520">
        <v>10</v>
      </c>
      <c r="Z520">
        <v>0</v>
      </c>
      <c r="AA520">
        <v>5.6</v>
      </c>
      <c r="AB520" t="str">
        <f t="shared" si="36"/>
        <v>Yes</v>
      </c>
      <c r="AC520">
        <f>TreatmentUsed!E611</f>
        <v>27</v>
      </c>
      <c r="AD520" s="47">
        <f>Q520-Q514</f>
        <v>2973.9</v>
      </c>
      <c r="AE520" t="e">
        <f>AD520/E520</f>
        <v>#DIV/0!</v>
      </c>
      <c r="AF520" s="47">
        <f>V520-V514</f>
        <v>21.799999999999997</v>
      </c>
      <c r="AG520" t="e">
        <f>(V520-V514)/E520</f>
        <v>#DIV/0!</v>
      </c>
      <c r="AH520">
        <f t="shared" si="47"/>
        <v>0.46877687940822282</v>
      </c>
      <c r="AI520" s="10" t="e">
        <f>(AH520/E520)</f>
        <v>#DIV/0!</v>
      </c>
      <c r="AJ520" t="s">
        <v>1309</v>
      </c>
    </row>
    <row r="521" spans="1:36" ht="14.75" x14ac:dyDescent="0.75">
      <c r="A521" s="22">
        <v>3988</v>
      </c>
      <c r="B521" s="3">
        <v>44748</v>
      </c>
      <c r="C521" s="3" t="str">
        <f t="shared" si="48"/>
        <v>7/6/22</v>
      </c>
      <c r="D521" s="3" t="s">
        <v>539</v>
      </c>
      <c r="E521" s="22">
        <f>6+30+31-25</f>
        <v>42</v>
      </c>
      <c r="G521" s="22" t="s">
        <v>539</v>
      </c>
      <c r="L521" s="22">
        <f t="shared" si="43"/>
        <v>0</v>
      </c>
      <c r="Q521" s="47">
        <f t="shared" si="44"/>
        <v>0</v>
      </c>
      <c r="V521" s="47">
        <f t="shared" si="45"/>
        <v>0</v>
      </c>
      <c r="Y521">
        <v>2</v>
      </c>
      <c r="Z521">
        <v>8</v>
      </c>
      <c r="AB521" t="str">
        <f t="shared" si="36"/>
        <v>No</v>
      </c>
      <c r="AC521">
        <v>4</v>
      </c>
      <c r="AD521" s="47">
        <f t="shared" si="37"/>
        <v>-2973.9</v>
      </c>
      <c r="AE521">
        <f>AD521/E521</f>
        <v>-70.807142857142864</v>
      </c>
      <c r="AF521" s="47">
        <f t="shared" si="38"/>
        <v>-21.799999999999997</v>
      </c>
      <c r="AG521">
        <f>(V521-V520)/E521</f>
        <v>-0.51904761904761898</v>
      </c>
      <c r="AH521" t="e">
        <f t="shared" si="47"/>
        <v>#DIV/0!</v>
      </c>
      <c r="AI521" s="10" t="e">
        <f>(AH521/E521)</f>
        <v>#DIV/0!</v>
      </c>
    </row>
    <row r="522" spans="1:36" ht="14.75" x14ac:dyDescent="0.75">
      <c r="A522" s="22">
        <v>3988</v>
      </c>
      <c r="B522" s="3">
        <v>44790</v>
      </c>
      <c r="C522" s="3" t="str">
        <f t="shared" si="48"/>
        <v>8/17/22</v>
      </c>
      <c r="D522" s="3" t="s">
        <v>539</v>
      </c>
      <c r="E522" s="22">
        <f>31-6+17</f>
        <v>42</v>
      </c>
      <c r="G522" s="22" t="s">
        <v>539</v>
      </c>
      <c r="X522" s="22">
        <v>1</v>
      </c>
      <c r="Y522">
        <v>5</v>
      </c>
      <c r="Z522">
        <v>6</v>
      </c>
      <c r="AC522">
        <v>9</v>
      </c>
      <c r="AD522" s="47"/>
      <c r="AF522" s="47"/>
      <c r="AI522" s="10"/>
    </row>
    <row r="523" spans="1:36" ht="14.75" x14ac:dyDescent="0.75">
      <c r="A523" s="22">
        <v>3988</v>
      </c>
      <c r="B523" s="3">
        <v>44839</v>
      </c>
      <c r="C523" s="3" t="str">
        <f t="shared" si="48"/>
        <v>10/5/22</v>
      </c>
      <c r="D523" s="3" t="s">
        <v>390</v>
      </c>
      <c r="E523" s="22">
        <f>31-17+30+5</f>
        <v>49</v>
      </c>
      <c r="G523" s="22" t="s">
        <v>539</v>
      </c>
      <c r="H523" s="22">
        <f>M523+522.9</f>
        <v>1501.1999999999998</v>
      </c>
      <c r="I523" s="22">
        <f>N523+617.4</f>
        <v>991.4</v>
      </c>
      <c r="J523" s="22">
        <f>O523+849</f>
        <v>1210.5</v>
      </c>
      <c r="K523" s="22">
        <f>P523+479.5</f>
        <v>823.2</v>
      </c>
      <c r="L523" s="22">
        <f t="shared" si="43"/>
        <v>4526.3</v>
      </c>
      <c r="M523" s="47">
        <v>978.3</v>
      </c>
      <c r="N523" s="47">
        <v>374</v>
      </c>
      <c r="O523" s="47">
        <v>361.5</v>
      </c>
      <c r="P523" s="47">
        <v>343.7</v>
      </c>
      <c r="Q523" s="47">
        <f t="shared" si="44"/>
        <v>2057.5</v>
      </c>
      <c r="R523" s="47">
        <v>0</v>
      </c>
      <c r="S523" s="47">
        <v>0</v>
      </c>
      <c r="T523" s="47">
        <v>0</v>
      </c>
      <c r="U523" s="47">
        <v>0</v>
      </c>
      <c r="V523" s="47">
        <f t="shared" si="45"/>
        <v>0</v>
      </c>
      <c r="W523" s="22">
        <v>0</v>
      </c>
      <c r="X523" s="22">
        <v>0</v>
      </c>
      <c r="Y523">
        <v>0</v>
      </c>
      <c r="Z523">
        <v>12</v>
      </c>
      <c r="AA523">
        <v>0</v>
      </c>
      <c r="AB523" t="str">
        <f t="shared" si="36"/>
        <v>No</v>
      </c>
      <c r="AC523">
        <v>0</v>
      </c>
      <c r="AD523" s="47">
        <f>Q523-Q521</f>
        <v>2057.5</v>
      </c>
      <c r="AE523">
        <f>AD523/E523</f>
        <v>41.989795918367349</v>
      </c>
      <c r="AF523" s="47">
        <f>V523-V521</f>
        <v>0</v>
      </c>
      <c r="AG523">
        <f>(V523-V521)/E523</f>
        <v>0</v>
      </c>
      <c r="AH523">
        <f t="shared" si="47"/>
        <v>0</v>
      </c>
      <c r="AI523" s="10">
        <f>(AH523/E523)</f>
        <v>0</v>
      </c>
    </row>
    <row r="524" spans="1:36" ht="14.75" x14ac:dyDescent="0.75">
      <c r="A524" s="22">
        <v>3988</v>
      </c>
      <c r="B524" s="3">
        <v>44896</v>
      </c>
      <c r="C524" s="3" t="str">
        <f t="shared" si="48"/>
        <v>12/1/22</v>
      </c>
      <c r="D524" s="3" t="s">
        <v>390</v>
      </c>
      <c r="E524" s="22">
        <f>1+31+30-5</f>
        <v>57</v>
      </c>
      <c r="G524" s="22" t="s">
        <v>390</v>
      </c>
      <c r="H524" s="22">
        <f>M524+386</f>
        <v>1208.2</v>
      </c>
      <c r="I524" s="22">
        <f>N524+586.2</f>
        <v>849.2</v>
      </c>
      <c r="J524" s="22">
        <f>O524+513.7</f>
        <v>804</v>
      </c>
      <c r="K524" s="22">
        <f>P524+560.9</f>
        <v>1059.3</v>
      </c>
      <c r="L524" s="22">
        <f t="shared" si="43"/>
        <v>3920.7</v>
      </c>
      <c r="M524" s="47">
        <v>822.2</v>
      </c>
      <c r="N524" s="47">
        <v>263</v>
      </c>
      <c r="O524" s="47">
        <v>290.3</v>
      </c>
      <c r="P524" s="47">
        <v>498.4</v>
      </c>
      <c r="Q524" s="47">
        <f t="shared" si="44"/>
        <v>1873.9</v>
      </c>
      <c r="R524" s="47">
        <v>0</v>
      </c>
      <c r="S524" s="47">
        <v>0</v>
      </c>
      <c r="T524" s="47">
        <v>0</v>
      </c>
      <c r="U524" s="47">
        <v>0</v>
      </c>
      <c r="V524" s="47">
        <f t="shared" si="45"/>
        <v>0</v>
      </c>
      <c r="W524" s="22">
        <v>0</v>
      </c>
      <c r="X524" s="22">
        <v>0</v>
      </c>
      <c r="Y524">
        <v>0</v>
      </c>
      <c r="Z524">
        <v>12</v>
      </c>
      <c r="AA524">
        <v>0</v>
      </c>
      <c r="AB524" t="str">
        <f t="shared" si="36"/>
        <v>No</v>
      </c>
      <c r="AC524">
        <v>0</v>
      </c>
      <c r="AD524" s="47">
        <f t="shared" si="37"/>
        <v>-183.59999999999991</v>
      </c>
      <c r="AE524">
        <f>AD524/E524</f>
        <v>-3.2210526315789458</v>
      </c>
      <c r="AF524" s="47">
        <f t="shared" si="38"/>
        <v>0</v>
      </c>
      <c r="AG524">
        <f>(V524-V523)/E524</f>
        <v>0</v>
      </c>
      <c r="AH524">
        <f t="shared" si="47"/>
        <v>0</v>
      </c>
      <c r="AI524" s="10">
        <f>(AH524/E524)</f>
        <v>0</v>
      </c>
    </row>
    <row r="525" spans="1:36" ht="14.75" x14ac:dyDescent="0.75">
      <c r="A525" s="166">
        <v>3988</v>
      </c>
      <c r="B525" s="167">
        <v>44986</v>
      </c>
      <c r="C525" s="3" t="str">
        <f t="shared" si="48"/>
        <v>3/1/23</v>
      </c>
      <c r="D525" s="3" t="s">
        <v>390</v>
      </c>
      <c r="E525" s="166">
        <f>1+31+28-1</f>
        <v>59</v>
      </c>
      <c r="F525" s="166"/>
      <c r="G525" s="22" t="s">
        <v>539</v>
      </c>
      <c r="H525" s="22">
        <f>M525+R525+452.1</f>
        <v>1410.7</v>
      </c>
      <c r="I525" s="22">
        <f>N525+S525+866.3</f>
        <v>1188.8</v>
      </c>
      <c r="J525" s="22">
        <f>O525+769.6</f>
        <v>1106.0999999999999</v>
      </c>
      <c r="K525" s="22">
        <f>P525+538</f>
        <v>632.5</v>
      </c>
      <c r="L525" s="22">
        <f t="shared" si="43"/>
        <v>4338.1000000000004</v>
      </c>
      <c r="M525" s="47">
        <v>958.1</v>
      </c>
      <c r="N525" s="47">
        <v>315.10000000000002</v>
      </c>
      <c r="O525" s="47">
        <v>336.5</v>
      </c>
      <c r="P525" s="47">
        <v>94.5</v>
      </c>
      <c r="Q525" s="47">
        <f t="shared" si="44"/>
        <v>1704.2</v>
      </c>
      <c r="R525" s="47">
        <v>0.5</v>
      </c>
      <c r="S525" s="47">
        <v>7.4</v>
      </c>
      <c r="T525" s="47">
        <v>0</v>
      </c>
      <c r="U525" s="47">
        <v>0</v>
      </c>
      <c r="V525" s="47">
        <f t="shared" si="45"/>
        <v>7.9</v>
      </c>
      <c r="W525" s="22">
        <v>0</v>
      </c>
      <c r="X525" s="22">
        <v>0</v>
      </c>
      <c r="Y525">
        <v>1</v>
      </c>
      <c r="Z525">
        <v>11</v>
      </c>
      <c r="AA525">
        <v>3.03</v>
      </c>
      <c r="AB525" t="str">
        <f t="shared" si="36"/>
        <v>No</v>
      </c>
      <c r="AC525">
        <v>2</v>
      </c>
      <c r="AD525" s="47">
        <f>Q525-Q524</f>
        <v>-169.70000000000005</v>
      </c>
      <c r="AE525">
        <f>AD525/E525</f>
        <v>-2.8762711864406789</v>
      </c>
      <c r="AF525" s="47">
        <f>V525-V524</f>
        <v>7.9</v>
      </c>
      <c r="AG525">
        <f>(V525-V524)/E525</f>
        <v>0.13389830508474576</v>
      </c>
      <c r="AH525">
        <f t="shared" si="47"/>
        <v>0.18210737419607662</v>
      </c>
      <c r="AI525" s="10"/>
      <c r="AJ525" t="s">
        <v>1310</v>
      </c>
    </row>
    <row r="526" spans="1:36" ht="14.75" x14ac:dyDescent="0.75">
      <c r="A526" s="22">
        <v>3988</v>
      </c>
      <c r="B526" s="3">
        <v>45069</v>
      </c>
      <c r="C526" s="3" t="str">
        <f t="shared" si="48"/>
        <v>5/23/23</v>
      </c>
      <c r="D526" s="3" t="s">
        <v>539</v>
      </c>
      <c r="E526" s="22">
        <f>23+31+30-1</f>
        <v>83</v>
      </c>
      <c r="G526" s="22" t="s">
        <v>539</v>
      </c>
      <c r="L526" s="22">
        <f t="shared" si="43"/>
        <v>0</v>
      </c>
      <c r="Q526" s="47">
        <f t="shared" si="44"/>
        <v>0</v>
      </c>
      <c r="V526" s="47">
        <f t="shared" si="45"/>
        <v>0</v>
      </c>
      <c r="X526" s="22">
        <v>1</v>
      </c>
      <c r="Y526">
        <v>3</v>
      </c>
      <c r="Z526">
        <v>9</v>
      </c>
      <c r="AB526" t="str">
        <f t="shared" si="36"/>
        <v>No</v>
      </c>
      <c r="AC526">
        <v>17</v>
      </c>
      <c r="AD526" s="47"/>
      <c r="AE526">
        <f>AD526/E526</f>
        <v>0</v>
      </c>
      <c r="AF526" s="47"/>
      <c r="AG526">
        <f>(V526-V525)/E526</f>
        <v>-9.5180722891566275E-2</v>
      </c>
      <c r="AH526" t="e">
        <f t="shared" si="47"/>
        <v>#DIV/0!</v>
      </c>
      <c r="AI526" s="10"/>
    </row>
    <row r="527" spans="1:36" ht="14.75" x14ac:dyDescent="0.75">
      <c r="A527" s="22">
        <v>3988</v>
      </c>
      <c r="B527" s="3">
        <v>45167</v>
      </c>
      <c r="C527" s="3" t="str">
        <f t="shared" si="48"/>
        <v>8/29/23</v>
      </c>
      <c r="D527" s="3" t="s">
        <v>539</v>
      </c>
      <c r="G527" s="22" t="s">
        <v>390</v>
      </c>
      <c r="X527" s="22">
        <v>0</v>
      </c>
      <c r="Y527">
        <v>0</v>
      </c>
      <c r="Z527">
        <v>13</v>
      </c>
      <c r="AD527" s="47"/>
      <c r="AF527" s="47"/>
      <c r="AI527" s="10"/>
    </row>
    <row r="528" spans="1:36" ht="14.75" x14ac:dyDescent="0.75">
      <c r="A528" s="191">
        <v>3993</v>
      </c>
      <c r="B528" s="192">
        <v>44706</v>
      </c>
      <c r="C528" s="3" t="str">
        <f t="shared" si="48"/>
        <v>5/25/22</v>
      </c>
      <c r="D528" s="3" t="s">
        <v>539</v>
      </c>
      <c r="E528" s="191">
        <v>0</v>
      </c>
      <c r="F528" s="191"/>
      <c r="G528" s="189" t="s">
        <v>539</v>
      </c>
      <c r="H528" s="189"/>
      <c r="I528" s="189"/>
      <c r="J528" s="189"/>
      <c r="K528" s="189"/>
      <c r="L528" s="189">
        <f t="shared" si="43"/>
        <v>0</v>
      </c>
      <c r="M528" s="212"/>
      <c r="N528" s="212"/>
      <c r="O528" s="212"/>
      <c r="P528" s="212"/>
      <c r="Q528" s="212">
        <f t="shared" si="44"/>
        <v>0</v>
      </c>
      <c r="R528" s="212"/>
      <c r="S528" s="212"/>
      <c r="T528" s="212"/>
      <c r="U528" s="212"/>
      <c r="V528" s="212">
        <f t="shared" si="45"/>
        <v>0</v>
      </c>
      <c r="W528" s="189"/>
      <c r="X528" s="189"/>
      <c r="Y528" s="213"/>
      <c r="Z528" s="213"/>
      <c r="AA528" s="213"/>
      <c r="AB528" s="213" t="str">
        <f t="shared" si="36"/>
        <v>No</v>
      </c>
      <c r="AC528" s="213">
        <f>TreatmentUsed!E624</f>
        <v>24</v>
      </c>
      <c r="AD528" s="212">
        <f>Q528-Q524</f>
        <v>-1873.9</v>
      </c>
      <c r="AE528" s="213" t="e">
        <f>AD528/E528</f>
        <v>#DIV/0!</v>
      </c>
      <c r="AF528" s="212">
        <f>V528-V524</f>
        <v>0</v>
      </c>
      <c r="AG528" s="213" t="e">
        <f>(V528-V526)/E528</f>
        <v>#DIV/0!</v>
      </c>
      <c r="AH528" s="213" t="e">
        <f t="shared" si="47"/>
        <v>#DIV/0!</v>
      </c>
      <c r="AI528" s="214" t="e">
        <f>(AH528/E528)</f>
        <v>#DIV/0!</v>
      </c>
      <c r="AJ528" s="213" t="s">
        <v>1311</v>
      </c>
    </row>
    <row r="529" spans="1:36" ht="14.75" x14ac:dyDescent="0.75">
      <c r="A529" s="22">
        <v>3993</v>
      </c>
      <c r="B529" s="3">
        <v>44722</v>
      </c>
      <c r="C529" s="3" t="str">
        <f t="shared" si="48"/>
        <v>6/10/22</v>
      </c>
      <c r="D529" s="3" t="s">
        <v>539</v>
      </c>
      <c r="E529" s="22">
        <f>10+31-25</f>
        <v>16</v>
      </c>
      <c r="G529" s="22" t="s">
        <v>539</v>
      </c>
      <c r="L529" s="22">
        <f t="shared" si="43"/>
        <v>0</v>
      </c>
      <c r="Q529" s="47">
        <f t="shared" si="44"/>
        <v>0</v>
      </c>
      <c r="V529" s="47">
        <f t="shared" si="45"/>
        <v>0</v>
      </c>
      <c r="AB529" t="str">
        <f t="shared" si="36"/>
        <v>No</v>
      </c>
      <c r="AC529">
        <f>TreatmentUsed!E895</f>
        <v>6</v>
      </c>
      <c r="AD529" s="47">
        <f t="shared" si="37"/>
        <v>0</v>
      </c>
      <c r="AE529">
        <f>AD529/E529</f>
        <v>0</v>
      </c>
      <c r="AF529" s="47">
        <f t="shared" si="38"/>
        <v>0</v>
      </c>
      <c r="AG529">
        <f>(V529-V528)/E529</f>
        <v>0</v>
      </c>
      <c r="AH529" t="e">
        <f t="shared" si="47"/>
        <v>#DIV/0!</v>
      </c>
      <c r="AI529" s="10" t="e">
        <f>(AH529/E529)</f>
        <v>#DIV/0!</v>
      </c>
    </row>
    <row r="530" spans="1:36" ht="14.75" x14ac:dyDescent="0.75">
      <c r="A530" s="22">
        <v>3993</v>
      </c>
      <c r="B530" s="3">
        <v>44748</v>
      </c>
      <c r="C530" s="3" t="str">
        <f t="shared" si="48"/>
        <v>7/6/22</v>
      </c>
      <c r="D530" s="3" t="s">
        <v>539</v>
      </c>
      <c r="E530" s="22">
        <f>6+30-10</f>
        <v>26</v>
      </c>
      <c r="G530" s="22" t="s">
        <v>539</v>
      </c>
      <c r="L530" s="22">
        <f t="shared" si="43"/>
        <v>0</v>
      </c>
      <c r="Q530" s="47">
        <f t="shared" si="44"/>
        <v>0</v>
      </c>
      <c r="V530" s="47">
        <f t="shared" si="45"/>
        <v>0</v>
      </c>
      <c r="AB530" t="str">
        <f t="shared" si="36"/>
        <v>No</v>
      </c>
      <c r="AC530">
        <v>10</v>
      </c>
      <c r="AD530" s="47">
        <f t="shared" si="37"/>
        <v>0</v>
      </c>
      <c r="AE530">
        <f>AD530/E530</f>
        <v>0</v>
      </c>
      <c r="AF530" s="47">
        <f t="shared" si="38"/>
        <v>0</v>
      </c>
      <c r="AG530">
        <f>(V530-V529)/E530</f>
        <v>0</v>
      </c>
      <c r="AH530" t="e">
        <f t="shared" si="39"/>
        <v>#DIV/0!</v>
      </c>
      <c r="AI530" s="10" t="e">
        <f>(AH530/E530)</f>
        <v>#DIV/0!</v>
      </c>
    </row>
    <row r="531" spans="1:36" ht="14.75" x14ac:dyDescent="0.75">
      <c r="A531" s="22">
        <v>3993</v>
      </c>
      <c r="B531" s="3">
        <v>44838</v>
      </c>
      <c r="C531" s="3" t="str">
        <f t="shared" si="48"/>
        <v>10/4/22</v>
      </c>
      <c r="D531" s="3" t="s">
        <v>539</v>
      </c>
      <c r="E531" s="22">
        <f>4+30+31+30-6</f>
        <v>89</v>
      </c>
      <c r="G531" s="22" t="s">
        <v>539</v>
      </c>
      <c r="L531" s="22">
        <f t="shared" si="43"/>
        <v>0</v>
      </c>
      <c r="Q531" s="47">
        <f t="shared" si="44"/>
        <v>0</v>
      </c>
      <c r="V531" s="47">
        <f t="shared" si="45"/>
        <v>0</v>
      </c>
      <c r="AB531" t="str">
        <f t="shared" si="36"/>
        <v>No</v>
      </c>
      <c r="AC531">
        <v>21</v>
      </c>
      <c r="AD531" s="47">
        <f t="shared" si="37"/>
        <v>0</v>
      </c>
      <c r="AE531">
        <f>AD531/E531</f>
        <v>0</v>
      </c>
      <c r="AF531" s="47">
        <f t="shared" si="38"/>
        <v>0</v>
      </c>
      <c r="AG531">
        <f>(V531-V530)/E531</f>
        <v>0</v>
      </c>
      <c r="AH531" t="e">
        <f t="shared" si="39"/>
        <v>#DIV/0!</v>
      </c>
      <c r="AI531" s="10" t="e">
        <f>(AH531/E531)</f>
        <v>#DIV/0!</v>
      </c>
    </row>
    <row r="532" spans="1:36" ht="14.75" x14ac:dyDescent="0.75">
      <c r="A532" s="22">
        <v>3993</v>
      </c>
      <c r="B532" s="3">
        <v>44875</v>
      </c>
      <c r="C532" s="3" t="str">
        <f t="shared" si="48"/>
        <v>11/10/22</v>
      </c>
      <c r="D532" s="3" t="s">
        <v>539</v>
      </c>
      <c r="E532" s="22">
        <f>10+31-4</f>
        <v>37</v>
      </c>
      <c r="G532" s="22" t="s">
        <v>539</v>
      </c>
      <c r="L532" s="22">
        <f t="shared" si="43"/>
        <v>0</v>
      </c>
      <c r="Q532" s="47">
        <f t="shared" si="44"/>
        <v>0</v>
      </c>
      <c r="V532" s="47">
        <f t="shared" si="45"/>
        <v>0</v>
      </c>
      <c r="AB532" t="str">
        <f t="shared" si="36"/>
        <v>No</v>
      </c>
      <c r="AC532">
        <v>7</v>
      </c>
      <c r="AD532" s="47">
        <f t="shared" si="37"/>
        <v>0</v>
      </c>
      <c r="AE532">
        <f>AD532/E532</f>
        <v>0</v>
      </c>
      <c r="AF532" s="47">
        <f t="shared" si="38"/>
        <v>0</v>
      </c>
      <c r="AG532">
        <f>(V532-V531)/E532</f>
        <v>0</v>
      </c>
      <c r="AH532" t="e">
        <f t="shared" si="39"/>
        <v>#DIV/0!</v>
      </c>
      <c r="AI532" s="10" t="e">
        <f>(AH532/E532)</f>
        <v>#DIV/0!</v>
      </c>
    </row>
    <row r="533" spans="1:36" ht="14.75" x14ac:dyDescent="0.75">
      <c r="A533" s="22">
        <v>3993</v>
      </c>
      <c r="B533" s="3">
        <v>44896</v>
      </c>
      <c r="C533" s="3" t="str">
        <f t="shared" si="48"/>
        <v>12/1/22</v>
      </c>
      <c r="D533" s="3" t="s">
        <v>539</v>
      </c>
      <c r="E533" s="22">
        <f>10+30-1</f>
        <v>39</v>
      </c>
      <c r="G533" s="22" t="s">
        <v>539</v>
      </c>
      <c r="L533" s="22">
        <f t="shared" si="43"/>
        <v>0</v>
      </c>
      <c r="Q533" s="47">
        <f t="shared" si="44"/>
        <v>0</v>
      </c>
      <c r="V533" s="47">
        <f t="shared" si="45"/>
        <v>0</v>
      </c>
      <c r="AB533" t="str">
        <f t="shared" si="36"/>
        <v>No</v>
      </c>
      <c r="AC533">
        <v>5</v>
      </c>
      <c r="AD533" s="47">
        <f t="shared" si="37"/>
        <v>0</v>
      </c>
      <c r="AE533">
        <f>AD533/E533</f>
        <v>0</v>
      </c>
      <c r="AF533" s="47">
        <f t="shared" si="38"/>
        <v>0</v>
      </c>
      <c r="AG533">
        <f>(V533-V532)/E533</f>
        <v>0</v>
      </c>
      <c r="AH533" t="e">
        <f t="shared" si="39"/>
        <v>#DIV/0!</v>
      </c>
      <c r="AI533" s="10" t="e">
        <f>(AH533/E533)</f>
        <v>#DIV/0!</v>
      </c>
    </row>
    <row r="534" spans="1:36" ht="14.75" x14ac:dyDescent="0.75">
      <c r="A534" s="22">
        <v>3993</v>
      </c>
      <c r="B534" s="3">
        <v>44950</v>
      </c>
      <c r="C534" s="3" t="str">
        <f t="shared" si="48"/>
        <v>1/24/23</v>
      </c>
      <c r="D534" s="3" t="s">
        <v>539</v>
      </c>
      <c r="E534" s="22">
        <f>31-1+24</f>
        <v>54</v>
      </c>
      <c r="G534" s="22" t="s">
        <v>539</v>
      </c>
      <c r="AC534">
        <v>1</v>
      </c>
      <c r="AD534" s="47"/>
      <c r="AF534" s="47"/>
      <c r="AI534" s="10"/>
    </row>
    <row r="535" spans="1:36" ht="14.75" x14ac:dyDescent="0.75">
      <c r="A535" s="22">
        <v>3993</v>
      </c>
      <c r="B535" s="3">
        <v>44987</v>
      </c>
      <c r="C535" s="3" t="str">
        <f t="shared" si="48"/>
        <v>3/2/23</v>
      </c>
      <c r="D535" s="3" t="s">
        <v>539</v>
      </c>
      <c r="E535" s="22">
        <f>31-24+28+2</f>
        <v>37</v>
      </c>
      <c r="G535" s="22" t="s">
        <v>539</v>
      </c>
      <c r="AC535">
        <v>3</v>
      </c>
      <c r="AD535" s="47"/>
      <c r="AF535" s="47"/>
      <c r="AI535" s="10"/>
    </row>
    <row r="536" spans="1:36" ht="14.75" x14ac:dyDescent="0.75">
      <c r="A536" s="22">
        <v>3993</v>
      </c>
      <c r="B536" s="3">
        <v>45069</v>
      </c>
      <c r="C536" s="3" t="str">
        <f t="shared" si="48"/>
        <v>5/23/23</v>
      </c>
      <c r="D536" s="3" t="s">
        <v>539</v>
      </c>
      <c r="E536" s="22">
        <f>31-2+30+23</f>
        <v>82</v>
      </c>
      <c r="G536" s="22" t="s">
        <v>539</v>
      </c>
      <c r="AC536">
        <v>37</v>
      </c>
      <c r="AD536" s="47"/>
      <c r="AF536" s="47"/>
      <c r="AI536" s="10"/>
    </row>
    <row r="537" spans="1:36" ht="14.75" x14ac:dyDescent="0.75">
      <c r="A537" s="207">
        <v>3993</v>
      </c>
      <c r="B537" s="3">
        <v>45113</v>
      </c>
      <c r="C537" s="3" t="str">
        <f t="shared" si="48"/>
        <v>7/6/23</v>
      </c>
      <c r="D537" s="3" t="s">
        <v>539</v>
      </c>
      <c r="E537" s="22">
        <f>31-23+30+6</f>
        <v>44</v>
      </c>
      <c r="G537" s="22" t="s">
        <v>539</v>
      </c>
      <c r="AC537">
        <v>0</v>
      </c>
      <c r="AD537" s="47"/>
      <c r="AF537" s="47"/>
      <c r="AI537" s="10"/>
    </row>
    <row r="538" spans="1:36" ht="14.75" x14ac:dyDescent="0.75">
      <c r="A538" s="207">
        <v>3993</v>
      </c>
      <c r="B538" s="3">
        <v>45167</v>
      </c>
      <c r="C538" s="3" t="str">
        <f t="shared" si="48"/>
        <v>8/29/23</v>
      </c>
      <c r="D538" s="3" t="s">
        <v>539</v>
      </c>
      <c r="E538" s="22">
        <f>29+31-6</f>
        <v>54</v>
      </c>
      <c r="G538" s="22" t="s">
        <v>390</v>
      </c>
      <c r="AC538">
        <v>0</v>
      </c>
      <c r="AD538" s="47"/>
      <c r="AF538" s="47"/>
      <c r="AI538" s="10"/>
    </row>
    <row r="539" spans="1:36" ht="14.75" x14ac:dyDescent="0.75">
      <c r="A539" s="187">
        <v>4112</v>
      </c>
      <c r="B539" s="188">
        <v>44641</v>
      </c>
      <c r="C539" s="3" t="str">
        <f t="shared" si="48"/>
        <v>3/21/22</v>
      </c>
      <c r="D539" s="3" t="s">
        <v>539</v>
      </c>
      <c r="E539" s="187">
        <v>0</v>
      </c>
      <c r="F539" s="187"/>
      <c r="G539" s="189" t="s">
        <v>539</v>
      </c>
      <c r="H539" s="189"/>
      <c r="I539" s="189"/>
      <c r="J539" s="189"/>
      <c r="K539" s="189"/>
      <c r="L539" s="189">
        <f t="shared" si="43"/>
        <v>0</v>
      </c>
      <c r="M539" s="212"/>
      <c r="N539" s="212"/>
      <c r="O539" s="212"/>
      <c r="P539" s="212"/>
      <c r="Q539" s="212">
        <f t="shared" si="44"/>
        <v>0</v>
      </c>
      <c r="R539" s="212"/>
      <c r="S539" s="212"/>
      <c r="T539" s="212"/>
      <c r="U539" s="212"/>
      <c r="V539" s="212">
        <f t="shared" si="45"/>
        <v>0</v>
      </c>
      <c r="W539" s="189"/>
      <c r="X539" s="189"/>
      <c r="Y539" s="213"/>
      <c r="Z539" s="213"/>
      <c r="AA539" s="213"/>
      <c r="AB539" s="213" t="str">
        <f t="shared" si="36"/>
        <v>No</v>
      </c>
      <c r="AC539" s="213">
        <f>TreatmentUsed!E58</f>
        <v>2</v>
      </c>
      <c r="AD539" s="212">
        <f>Q539-Q533</f>
        <v>0</v>
      </c>
      <c r="AE539" s="213" t="e">
        <f>AD539/E539</f>
        <v>#DIV/0!</v>
      </c>
      <c r="AF539" s="212">
        <f>V539-V533</f>
        <v>0</v>
      </c>
      <c r="AG539" s="213" t="e">
        <f>(V539-V533)/E539</f>
        <v>#DIV/0!</v>
      </c>
      <c r="AH539" s="213" t="e">
        <f t="shared" si="39"/>
        <v>#DIV/0!</v>
      </c>
      <c r="AI539" s="214" t="e">
        <f>(AH539/E539)</f>
        <v>#DIV/0!</v>
      </c>
      <c r="AJ539" s="213"/>
    </row>
    <row r="540" spans="1:36" ht="14.75" x14ac:dyDescent="0.75">
      <c r="A540" s="71">
        <v>4112</v>
      </c>
      <c r="B540" s="72">
        <v>44670</v>
      </c>
      <c r="C540" s="3" t="str">
        <f t="shared" si="48"/>
        <v>4/19/22</v>
      </c>
      <c r="D540" s="3" t="s">
        <v>539</v>
      </c>
      <c r="E540" s="71">
        <f>19+31-21</f>
        <v>29</v>
      </c>
      <c r="F540" s="71"/>
      <c r="G540" s="22" t="s">
        <v>539</v>
      </c>
      <c r="L540" s="22">
        <f t="shared" si="43"/>
        <v>0</v>
      </c>
      <c r="Q540" s="47">
        <f t="shared" si="44"/>
        <v>0</v>
      </c>
      <c r="V540" s="47">
        <f t="shared" si="45"/>
        <v>0</v>
      </c>
      <c r="AB540" t="str">
        <f t="shared" si="36"/>
        <v>No</v>
      </c>
      <c r="AC540">
        <v>0</v>
      </c>
      <c r="AD540" s="47">
        <f t="shared" si="37"/>
        <v>0</v>
      </c>
      <c r="AE540">
        <f>AD540/E540</f>
        <v>0</v>
      </c>
      <c r="AF540" s="47">
        <f t="shared" si="38"/>
        <v>0</v>
      </c>
      <c r="AG540">
        <f>(V540-V539)/E540</f>
        <v>0</v>
      </c>
      <c r="AH540" t="e">
        <f t="shared" si="39"/>
        <v>#DIV/0!</v>
      </c>
      <c r="AI540" s="10" t="e">
        <f>(AH540/E540)</f>
        <v>#DIV/0!</v>
      </c>
    </row>
    <row r="541" spans="1:36" ht="14.75" x14ac:dyDescent="0.75">
      <c r="A541" s="207">
        <v>4112</v>
      </c>
      <c r="B541" s="3">
        <v>44694</v>
      </c>
      <c r="C541" s="3" t="str">
        <f t="shared" si="48"/>
        <v>5/13/22</v>
      </c>
      <c r="D541" s="3" t="s">
        <v>539</v>
      </c>
      <c r="E541" s="22">
        <f>30-19+13</f>
        <v>24</v>
      </c>
      <c r="G541" s="22" t="s">
        <v>539</v>
      </c>
      <c r="AC541">
        <v>0</v>
      </c>
      <c r="AD541" s="47"/>
      <c r="AF541" s="47"/>
      <c r="AI541" s="10"/>
    </row>
    <row r="542" spans="1:36" ht="14.75" x14ac:dyDescent="0.75">
      <c r="A542" s="207">
        <v>4112</v>
      </c>
      <c r="B542" s="3">
        <v>44713</v>
      </c>
      <c r="C542" s="3" t="str">
        <f t="shared" si="48"/>
        <v>6/1/22</v>
      </c>
      <c r="D542" s="3" t="s">
        <v>539</v>
      </c>
      <c r="E542" s="22">
        <f>31-13+1</f>
        <v>19</v>
      </c>
      <c r="G542" s="22" t="s">
        <v>390</v>
      </c>
      <c r="AC542">
        <v>0</v>
      </c>
      <c r="AD542" s="47"/>
      <c r="AF542" s="47"/>
      <c r="AI542" s="10"/>
    </row>
    <row r="543" spans="1:36" ht="14.75" x14ac:dyDescent="0.75">
      <c r="A543" s="207">
        <v>4112</v>
      </c>
      <c r="B543" s="3">
        <v>44742</v>
      </c>
      <c r="C543" s="3" t="str">
        <f t="shared" si="48"/>
        <v>6/30/22</v>
      </c>
      <c r="D543" s="3" t="s">
        <v>539</v>
      </c>
      <c r="E543" s="22">
        <v>29</v>
      </c>
      <c r="G543" s="22" t="s">
        <v>390</v>
      </c>
      <c r="L543" s="22">
        <f t="shared" si="43"/>
        <v>0</v>
      </c>
      <c r="Q543" s="47">
        <f t="shared" si="44"/>
        <v>0</v>
      </c>
      <c r="V543" s="47">
        <f t="shared" si="45"/>
        <v>0</v>
      </c>
      <c r="AB543" t="str">
        <f t="shared" si="36"/>
        <v>No</v>
      </c>
      <c r="AC543">
        <v>0</v>
      </c>
      <c r="AD543" s="47">
        <f>Q543-Q540</f>
        <v>0</v>
      </c>
      <c r="AE543">
        <f>AD543/E543</f>
        <v>0</v>
      </c>
      <c r="AF543" s="47">
        <f>V543-V540</f>
        <v>0</v>
      </c>
      <c r="AG543">
        <f>(V543-V540)/E543</f>
        <v>0</v>
      </c>
      <c r="AH543" t="e">
        <f t="shared" si="39"/>
        <v>#DIV/0!</v>
      </c>
      <c r="AI543" s="10" t="e">
        <f>(AH543/E543)</f>
        <v>#DIV/0!</v>
      </c>
    </row>
    <row r="544" spans="1:36" ht="14.75" x14ac:dyDescent="0.75">
      <c r="A544" s="207">
        <v>4112</v>
      </c>
      <c r="B544" s="3">
        <v>44783</v>
      </c>
      <c r="C544" s="3" t="str">
        <f t="shared" si="48"/>
        <v>8/10/22</v>
      </c>
      <c r="D544" s="3" t="s">
        <v>539</v>
      </c>
      <c r="E544" s="22">
        <f>10+31+30-30</f>
        <v>41</v>
      </c>
      <c r="G544" s="22" t="s">
        <v>390</v>
      </c>
      <c r="L544" s="22">
        <f t="shared" si="43"/>
        <v>0</v>
      </c>
      <c r="Q544" s="47">
        <f t="shared" si="44"/>
        <v>0</v>
      </c>
      <c r="V544" s="47">
        <f t="shared" si="45"/>
        <v>0</v>
      </c>
      <c r="AB544" t="str">
        <f t="shared" si="36"/>
        <v>No</v>
      </c>
      <c r="AC544">
        <v>0</v>
      </c>
      <c r="AD544" s="47">
        <f t="shared" si="37"/>
        <v>0</v>
      </c>
      <c r="AE544">
        <f>AD544/E544</f>
        <v>0</v>
      </c>
      <c r="AF544" s="47">
        <f t="shared" si="38"/>
        <v>0</v>
      </c>
      <c r="AG544">
        <f>(V544-V543)/E544</f>
        <v>0</v>
      </c>
      <c r="AH544" t="e">
        <f t="shared" si="39"/>
        <v>#DIV/0!</v>
      </c>
      <c r="AI544" s="10" t="e">
        <f>(AH544/E544)</f>
        <v>#DIV/0!</v>
      </c>
    </row>
    <row r="545" spans="1:36" ht="14.75" x14ac:dyDescent="0.75">
      <c r="A545" s="22">
        <v>4112</v>
      </c>
      <c r="B545" s="3">
        <v>44845</v>
      </c>
      <c r="C545" s="3" t="str">
        <f t="shared" si="48"/>
        <v>10/11/22</v>
      </c>
      <c r="D545" s="3" t="s">
        <v>539</v>
      </c>
      <c r="E545" s="22">
        <f>31-10+30+11</f>
        <v>62</v>
      </c>
      <c r="G545" s="22" t="s">
        <v>390</v>
      </c>
      <c r="AC545">
        <v>0</v>
      </c>
      <c r="AD545" s="47"/>
      <c r="AF545" s="47"/>
      <c r="AI545" s="10"/>
    </row>
    <row r="546" spans="1:36" ht="14.75" x14ac:dyDescent="0.75">
      <c r="A546" s="207">
        <v>4112</v>
      </c>
      <c r="B546" s="3">
        <v>44873</v>
      </c>
      <c r="C546" s="3" t="str">
        <f t="shared" si="48"/>
        <v>11/8/22</v>
      </c>
      <c r="D546" s="3" t="s">
        <v>539</v>
      </c>
      <c r="E546" s="22">
        <f>31-11+8</f>
        <v>28</v>
      </c>
      <c r="G546" s="22" t="s">
        <v>390</v>
      </c>
      <c r="L546" s="22">
        <f t="shared" si="43"/>
        <v>0</v>
      </c>
      <c r="Q546" s="47">
        <f t="shared" si="44"/>
        <v>0</v>
      </c>
      <c r="V546" s="47">
        <f t="shared" si="45"/>
        <v>0</v>
      </c>
      <c r="AB546" t="str">
        <f t="shared" si="36"/>
        <v>No</v>
      </c>
      <c r="AC546">
        <v>0</v>
      </c>
      <c r="AD546" s="47">
        <f>Q546-Q544</f>
        <v>0</v>
      </c>
      <c r="AE546">
        <f>AD546/E546</f>
        <v>0</v>
      </c>
      <c r="AF546" s="47">
        <f>V546-V544</f>
        <v>0</v>
      </c>
      <c r="AG546">
        <f>(V546-V544)/E546</f>
        <v>0</v>
      </c>
      <c r="AH546" t="e">
        <f t="shared" si="39"/>
        <v>#DIV/0!</v>
      </c>
      <c r="AI546" s="10" t="e">
        <f>(AH546/E546)</f>
        <v>#DIV/0!</v>
      </c>
    </row>
    <row r="547" spans="1:36" ht="14.75" x14ac:dyDescent="0.75">
      <c r="A547" s="207">
        <v>4112</v>
      </c>
      <c r="B547" s="3">
        <v>44936</v>
      </c>
      <c r="C547" s="3" t="str">
        <f t="shared" si="48"/>
        <v>1/10/23</v>
      </c>
      <c r="D547" s="3" t="s">
        <v>539</v>
      </c>
      <c r="E547" s="22">
        <f>30-8+31+10</f>
        <v>63</v>
      </c>
      <c r="G547" s="22" t="s">
        <v>390</v>
      </c>
      <c r="AC547">
        <v>0</v>
      </c>
      <c r="AD547" s="47"/>
      <c r="AF547" s="47"/>
      <c r="AI547" s="10"/>
    </row>
    <row r="548" spans="1:36" ht="14.75" x14ac:dyDescent="0.75">
      <c r="A548" s="207">
        <v>4112</v>
      </c>
      <c r="B548" s="3">
        <v>44973</v>
      </c>
      <c r="C548" s="3" t="str">
        <f t="shared" si="48"/>
        <v>2/16/23</v>
      </c>
      <c r="D548" s="3" t="s">
        <v>539</v>
      </c>
      <c r="E548" s="22">
        <f>31-10+16</f>
        <v>37</v>
      </c>
      <c r="G548" s="22" t="s">
        <v>390</v>
      </c>
      <c r="AC548">
        <v>0</v>
      </c>
      <c r="AD548" s="47"/>
      <c r="AF548" s="47"/>
      <c r="AI548" s="10"/>
    </row>
    <row r="549" spans="1:36" ht="14.75" x14ac:dyDescent="0.75">
      <c r="A549" s="207">
        <v>4112</v>
      </c>
      <c r="B549" s="3">
        <v>45028</v>
      </c>
      <c r="C549" s="3" t="str">
        <f t="shared" si="48"/>
        <v>4/12/23</v>
      </c>
      <c r="D549" s="3" t="s">
        <v>539</v>
      </c>
      <c r="E549" s="22">
        <f>28-16+31+12</f>
        <v>55</v>
      </c>
      <c r="G549" s="22" t="s">
        <v>390</v>
      </c>
      <c r="AC549">
        <v>0</v>
      </c>
      <c r="AD549" s="47"/>
      <c r="AF549" s="47"/>
      <c r="AI549" s="10"/>
    </row>
    <row r="550" spans="1:36" ht="14.75" x14ac:dyDescent="0.75">
      <c r="A550" s="207">
        <v>4112</v>
      </c>
      <c r="B550" s="3">
        <v>45064</v>
      </c>
      <c r="C550" s="3" t="str">
        <f t="shared" si="48"/>
        <v>5/18/23</v>
      </c>
      <c r="D550" s="3" t="s">
        <v>539</v>
      </c>
      <c r="E550" s="22">
        <f>30-12+18</f>
        <v>36</v>
      </c>
      <c r="G550" s="22" t="s">
        <v>390</v>
      </c>
      <c r="AC550">
        <v>0</v>
      </c>
      <c r="AD550" s="47"/>
      <c r="AF550" s="47"/>
      <c r="AI550" s="10"/>
    </row>
    <row r="551" spans="1:36" ht="14.75" x14ac:dyDescent="0.75">
      <c r="A551" s="207">
        <v>4112</v>
      </c>
      <c r="B551" s="3">
        <v>45104</v>
      </c>
      <c r="C551" s="3" t="str">
        <f t="shared" si="48"/>
        <v>6/27/23</v>
      </c>
      <c r="D551" s="3" t="s">
        <v>539</v>
      </c>
      <c r="E551" s="22">
        <f>31-18+27</f>
        <v>40</v>
      </c>
      <c r="G551" s="22" t="s">
        <v>390</v>
      </c>
      <c r="AC551">
        <v>0</v>
      </c>
      <c r="AD551" s="47"/>
      <c r="AF551" s="47"/>
      <c r="AI551" s="10"/>
    </row>
    <row r="552" spans="1:36" ht="14.75" x14ac:dyDescent="0.75">
      <c r="A552" s="207">
        <v>4112</v>
      </c>
      <c r="B552" s="3">
        <v>45162</v>
      </c>
      <c r="C552" s="3" t="str">
        <f t="shared" si="48"/>
        <v>8/24/23</v>
      </c>
      <c r="D552" s="3" t="s">
        <v>539</v>
      </c>
      <c r="E552" s="22">
        <f>30-27+31+24</f>
        <v>58</v>
      </c>
      <c r="G552" s="198" t="s">
        <v>390</v>
      </c>
      <c r="H552" s="198"/>
      <c r="I552" s="198"/>
      <c r="J552" s="198"/>
      <c r="K552" s="198"/>
      <c r="L552" s="198"/>
      <c r="M552" s="210"/>
      <c r="N552" s="210"/>
      <c r="O552" s="210"/>
      <c r="P552" s="210"/>
      <c r="Q552" s="210"/>
      <c r="R552" s="210"/>
      <c r="S552" s="210"/>
      <c r="T552" s="210"/>
      <c r="U552" s="210"/>
      <c r="V552" s="210"/>
      <c r="W552" s="198"/>
      <c r="X552" s="198"/>
      <c r="Y552" s="173"/>
      <c r="Z552" s="173"/>
      <c r="AA552" s="173"/>
      <c r="AB552" s="173"/>
      <c r="AC552" s="173">
        <v>0</v>
      </c>
      <c r="AD552" s="210"/>
      <c r="AE552" s="173"/>
      <c r="AF552" s="210"/>
      <c r="AG552" s="173"/>
      <c r="AH552" s="173"/>
      <c r="AI552" s="211"/>
      <c r="AJ552" s="173"/>
    </row>
    <row r="553" spans="1:36" ht="14.75" x14ac:dyDescent="0.75">
      <c r="A553" s="202">
        <v>4122</v>
      </c>
      <c r="B553" s="203">
        <v>44706</v>
      </c>
      <c r="C553" s="3" t="str">
        <f t="shared" si="48"/>
        <v>5/25/22</v>
      </c>
      <c r="D553" s="3" t="s">
        <v>539</v>
      </c>
      <c r="E553" s="202">
        <v>0</v>
      </c>
      <c r="F553" s="315"/>
      <c r="G553" s="189" t="s">
        <v>539</v>
      </c>
      <c r="L553" s="22">
        <f t="shared" si="43"/>
        <v>0</v>
      </c>
      <c r="Q553" s="47">
        <f t="shared" si="44"/>
        <v>0</v>
      </c>
      <c r="V553" s="47">
        <f t="shared" si="45"/>
        <v>0</v>
      </c>
      <c r="AB553" t="str">
        <f t="shared" si="36"/>
        <v>No</v>
      </c>
      <c r="AC553">
        <f>TreatmentUsed!E582</f>
        <v>19</v>
      </c>
      <c r="AD553" s="47">
        <f>Q553-Q546</f>
        <v>0</v>
      </c>
      <c r="AE553" t="e">
        <f>AD553/E553</f>
        <v>#DIV/0!</v>
      </c>
      <c r="AF553" s="47">
        <f>V553-V546</f>
        <v>0</v>
      </c>
      <c r="AG553" t="e">
        <f>(V553-V546)/E553</f>
        <v>#DIV/0!</v>
      </c>
      <c r="AH553" t="e">
        <f t="shared" si="39"/>
        <v>#DIV/0!</v>
      </c>
      <c r="AI553" s="10" t="e">
        <f>(AH553/E553)</f>
        <v>#DIV/0!</v>
      </c>
    </row>
    <row r="554" spans="1:36" s="213" customFormat="1" ht="14.75" x14ac:dyDescent="0.75">
      <c r="A554" s="71">
        <v>4125</v>
      </c>
      <c r="B554" s="72">
        <v>44706</v>
      </c>
      <c r="C554" s="3" t="str">
        <f t="shared" si="48"/>
        <v>5/25/22</v>
      </c>
      <c r="D554" s="3" t="s">
        <v>539</v>
      </c>
      <c r="E554" s="71">
        <v>0</v>
      </c>
      <c r="F554" s="71"/>
      <c r="G554" s="187" t="s">
        <v>539</v>
      </c>
      <c r="H554" s="189"/>
      <c r="I554" s="189"/>
      <c r="J554" s="189"/>
      <c r="K554" s="189"/>
      <c r="L554" s="189">
        <f t="shared" si="43"/>
        <v>0</v>
      </c>
      <c r="M554" s="212"/>
      <c r="N554" s="212"/>
      <c r="O554" s="212"/>
      <c r="P554" s="212"/>
      <c r="Q554" s="212">
        <f t="shared" si="44"/>
        <v>0</v>
      </c>
      <c r="R554" s="212"/>
      <c r="S554" s="212"/>
      <c r="T554" s="212"/>
      <c r="U554" s="212"/>
      <c r="V554" s="212">
        <f t="shared" si="45"/>
        <v>0</v>
      </c>
      <c r="W554" s="189"/>
      <c r="X554" s="189"/>
      <c r="AB554" s="213" t="str">
        <f t="shared" si="36"/>
        <v>No</v>
      </c>
      <c r="AC554" s="213">
        <f>TreatmentUsed!E592</f>
        <v>2</v>
      </c>
      <c r="AD554" s="212">
        <f t="shared" si="37"/>
        <v>0</v>
      </c>
      <c r="AE554" s="213" t="e">
        <f>AD554/E554</f>
        <v>#DIV/0!</v>
      </c>
      <c r="AF554" s="212">
        <f t="shared" si="38"/>
        <v>0</v>
      </c>
      <c r="AG554" s="213" t="e">
        <f>(V554-V553)/E554</f>
        <v>#DIV/0!</v>
      </c>
      <c r="AH554" s="213" t="e">
        <f t="shared" si="39"/>
        <v>#DIV/0!</v>
      </c>
      <c r="AI554" s="214" t="e">
        <f>(AH554/E554)</f>
        <v>#DIV/0!</v>
      </c>
      <c r="AJ554" s="213" t="s">
        <v>1312</v>
      </c>
    </row>
    <row r="555" spans="1:36" ht="14.75" x14ac:dyDescent="0.75">
      <c r="A555" s="22">
        <v>4125</v>
      </c>
      <c r="B555" s="3">
        <v>44722</v>
      </c>
      <c r="C555" s="3" t="str">
        <f t="shared" si="48"/>
        <v>6/10/22</v>
      </c>
      <c r="D555" s="3" t="s">
        <v>390</v>
      </c>
      <c r="E555" s="22">
        <f>31-25+10</f>
        <v>16</v>
      </c>
      <c r="G555" s="22" t="s">
        <v>539</v>
      </c>
      <c r="H555" s="22">
        <f>M555+203.8</f>
        <v>988.59999999999991</v>
      </c>
      <c r="I555" s="22">
        <f>N555+S555+405</f>
        <v>1287.0999999999999</v>
      </c>
      <c r="J555" s="22">
        <f>O555+394.1</f>
        <v>1211.3000000000002</v>
      </c>
      <c r="K555" s="22">
        <f>P555+389.7</f>
        <v>1130.9000000000001</v>
      </c>
      <c r="L555" s="22">
        <f t="shared" ref="L555:L557" si="49">SUM(H555:K555)</f>
        <v>4617.8999999999996</v>
      </c>
      <c r="M555" s="47">
        <v>784.8</v>
      </c>
      <c r="N555" s="47">
        <v>880.5</v>
      </c>
      <c r="O555" s="47">
        <v>817.2</v>
      </c>
      <c r="P555" s="47">
        <v>741.2</v>
      </c>
      <c r="Q555" s="47">
        <f t="shared" si="44"/>
        <v>3223.7</v>
      </c>
      <c r="R555" s="47">
        <v>0</v>
      </c>
      <c r="S555" s="47">
        <v>1.6</v>
      </c>
      <c r="T555" s="47">
        <v>0</v>
      </c>
      <c r="U555" s="47">
        <v>0</v>
      </c>
      <c r="V555" s="47">
        <f t="shared" si="45"/>
        <v>1.6</v>
      </c>
      <c r="W555" s="22" t="s">
        <v>1283</v>
      </c>
      <c r="X555" s="22">
        <v>3</v>
      </c>
      <c r="Y555">
        <v>3</v>
      </c>
      <c r="Z555">
        <v>0</v>
      </c>
      <c r="AA555">
        <v>1.39</v>
      </c>
      <c r="AB555" t="str">
        <f t="shared" si="36"/>
        <v>No</v>
      </c>
      <c r="AC555">
        <v>0</v>
      </c>
      <c r="AD555" s="47">
        <f t="shared" si="37"/>
        <v>3223.7</v>
      </c>
      <c r="AE555">
        <f>AD555/E555</f>
        <v>201.48124999999999</v>
      </c>
      <c r="AF555" s="47">
        <f t="shared" si="38"/>
        <v>1.6</v>
      </c>
      <c r="AG555">
        <f>(V555-V554)/E555</f>
        <v>0.1</v>
      </c>
      <c r="AH555">
        <f t="shared" si="39"/>
        <v>3.4647783624591269E-2</v>
      </c>
      <c r="AI555" s="10">
        <f>(AH555/E555)</f>
        <v>2.1654864765369543E-3</v>
      </c>
    </row>
    <row r="556" spans="1:36" ht="14.75" x14ac:dyDescent="0.75">
      <c r="A556" s="22">
        <v>4125</v>
      </c>
      <c r="B556" s="72">
        <v>44748</v>
      </c>
      <c r="C556" s="3" t="str">
        <f t="shared" si="48"/>
        <v>7/6/22</v>
      </c>
      <c r="D556" s="3" t="s">
        <v>539</v>
      </c>
      <c r="E556" s="71">
        <f>30-10+6</f>
        <v>26</v>
      </c>
      <c r="F556" s="71"/>
      <c r="G556" s="71" t="s">
        <v>539</v>
      </c>
      <c r="AC556">
        <v>0</v>
      </c>
      <c r="AD556" s="47"/>
      <c r="AF556" s="47"/>
      <c r="AI556" s="10"/>
    </row>
    <row r="557" spans="1:36" ht="14.75" x14ac:dyDescent="0.75">
      <c r="A557" s="22">
        <v>4125</v>
      </c>
      <c r="B557" s="3">
        <v>44768</v>
      </c>
      <c r="C557" s="3" t="str">
        <f t="shared" si="48"/>
        <v>7/26/22</v>
      </c>
      <c r="D557" s="3" t="s">
        <v>390</v>
      </c>
      <c r="E557" s="22">
        <f>20</f>
        <v>20</v>
      </c>
      <c r="G557" s="22" t="s">
        <v>390</v>
      </c>
      <c r="H557" s="22">
        <f>M557+191.9</f>
        <v>887.69999999999993</v>
      </c>
      <c r="I557" s="22">
        <f>N557+272.5</f>
        <v>806.5</v>
      </c>
      <c r="J557" s="22">
        <f>O557+746.7</f>
        <v>1652.7</v>
      </c>
      <c r="K557" s="22">
        <f>P557+266.1</f>
        <v>984.6</v>
      </c>
      <c r="L557" s="22">
        <f t="shared" si="49"/>
        <v>4331.5</v>
      </c>
      <c r="M557" s="47">
        <v>695.8</v>
      </c>
      <c r="N557" s="47">
        <v>534</v>
      </c>
      <c r="O557" s="47">
        <v>906</v>
      </c>
      <c r="P557" s="47">
        <v>718.5</v>
      </c>
      <c r="Q557" s="47">
        <f t="shared" si="44"/>
        <v>2854.3</v>
      </c>
      <c r="R557" s="47">
        <v>0</v>
      </c>
      <c r="S557" s="47">
        <v>0</v>
      </c>
      <c r="T557" s="47">
        <v>0</v>
      </c>
      <c r="U557" s="47">
        <v>0</v>
      </c>
      <c r="V557" s="47">
        <f t="shared" si="45"/>
        <v>0</v>
      </c>
      <c r="W557" s="22" t="s">
        <v>1283</v>
      </c>
      <c r="X557" s="22">
        <v>0</v>
      </c>
      <c r="Y557">
        <v>0</v>
      </c>
      <c r="Z557">
        <v>3</v>
      </c>
      <c r="AA557">
        <v>0</v>
      </c>
      <c r="AB557" t="str">
        <f t="shared" si="36"/>
        <v>No</v>
      </c>
      <c r="AC557">
        <v>0</v>
      </c>
      <c r="AD557" s="47">
        <f>Q557-Q555</f>
        <v>-369.39999999999964</v>
      </c>
      <c r="AE557">
        <f>AD557/E557</f>
        <v>-18.469999999999981</v>
      </c>
      <c r="AF557" s="47">
        <f>V557-V555</f>
        <v>-1.6</v>
      </c>
      <c r="AG557">
        <f>(V557-V555)/E557</f>
        <v>-0.08</v>
      </c>
      <c r="AH557">
        <f t="shared" si="39"/>
        <v>0</v>
      </c>
      <c r="AI557" s="10">
        <f>(AH557/E557)</f>
        <v>0</v>
      </c>
    </row>
    <row r="558" spans="1:36" ht="14.75" x14ac:dyDescent="0.75">
      <c r="A558" s="22">
        <v>4125</v>
      </c>
      <c r="B558" s="3">
        <v>44790</v>
      </c>
      <c r="C558" s="3" t="str">
        <f t="shared" si="48"/>
        <v>8/17/22</v>
      </c>
      <c r="D558" s="3" t="s">
        <v>390</v>
      </c>
      <c r="E558" s="22">
        <f>17+31-26</f>
        <v>22</v>
      </c>
      <c r="G558" s="22" t="s">
        <v>390</v>
      </c>
      <c r="H558" s="22">
        <f>M558+192.1</f>
        <v>909.2</v>
      </c>
      <c r="I558" s="22">
        <f>N558+340.7</f>
        <v>914.09999999999991</v>
      </c>
      <c r="J558" s="22">
        <f>O558+440.9</f>
        <v>1098.1999999999998</v>
      </c>
      <c r="K558" s="22">
        <f>P558+255.1</f>
        <v>783.2</v>
      </c>
      <c r="L558" s="22">
        <f>SUM(H558:K558)</f>
        <v>3704.7</v>
      </c>
      <c r="M558" s="47">
        <v>717.1</v>
      </c>
      <c r="N558" s="47">
        <v>573.4</v>
      </c>
      <c r="O558" s="47">
        <v>657.3</v>
      </c>
      <c r="P558" s="47">
        <v>528.1</v>
      </c>
      <c r="Q558" s="47">
        <f t="shared" si="44"/>
        <v>2475.9</v>
      </c>
      <c r="R558" s="47">
        <v>0</v>
      </c>
      <c r="S558" s="47">
        <v>0</v>
      </c>
      <c r="T558" s="47">
        <v>0</v>
      </c>
      <c r="U558" s="47">
        <v>0</v>
      </c>
      <c r="V558" s="47">
        <f t="shared" si="45"/>
        <v>0</v>
      </c>
      <c r="W558" s="22" t="s">
        <v>1283</v>
      </c>
      <c r="X558" s="22">
        <v>0</v>
      </c>
      <c r="Y558">
        <v>0</v>
      </c>
      <c r="Z558">
        <v>3</v>
      </c>
      <c r="AA558">
        <v>0</v>
      </c>
      <c r="AB558" t="str">
        <f t="shared" si="36"/>
        <v>No</v>
      </c>
      <c r="AC558">
        <v>0</v>
      </c>
      <c r="AD558" s="47">
        <f t="shared" si="37"/>
        <v>-378.40000000000009</v>
      </c>
      <c r="AE558">
        <f>AD558/E558</f>
        <v>-17.200000000000003</v>
      </c>
      <c r="AF558" s="47">
        <f t="shared" si="38"/>
        <v>0</v>
      </c>
      <c r="AG558">
        <f>(V558-V557)/E558</f>
        <v>0</v>
      </c>
      <c r="AH558">
        <f t="shared" si="39"/>
        <v>0</v>
      </c>
      <c r="AI558" s="10">
        <f>(AH558/E558)</f>
        <v>0</v>
      </c>
    </row>
    <row r="559" spans="1:36" ht="14.75" x14ac:dyDescent="0.75">
      <c r="A559" s="22">
        <v>4125</v>
      </c>
      <c r="B559" s="3">
        <v>44838</v>
      </c>
      <c r="C559" s="3" t="str">
        <f t="shared" si="48"/>
        <v>10/4/22</v>
      </c>
      <c r="D559" s="3" t="s">
        <v>390</v>
      </c>
      <c r="E559" s="22">
        <f>4+31+30-17</f>
        <v>48</v>
      </c>
      <c r="G559" s="22" t="s">
        <v>390</v>
      </c>
      <c r="H559" s="22">
        <f>M559+193.8</f>
        <v>765.09999999999991</v>
      </c>
      <c r="I559" s="22">
        <f>N559+366.4</f>
        <v>925.8</v>
      </c>
      <c r="J559" s="22">
        <f>O559+733.4</f>
        <v>1533.1</v>
      </c>
      <c r="K559" s="22">
        <f>P559+424</f>
        <v>1177</v>
      </c>
      <c r="L559" s="22">
        <f>SUM(H559:K559)</f>
        <v>4401</v>
      </c>
      <c r="M559" s="47">
        <v>571.29999999999995</v>
      </c>
      <c r="N559" s="47">
        <v>559.4</v>
      </c>
      <c r="O559" s="47">
        <v>799.7</v>
      </c>
      <c r="P559" s="47">
        <v>753</v>
      </c>
      <c r="Q559" s="47">
        <f t="shared" si="44"/>
        <v>2683.3999999999996</v>
      </c>
      <c r="R559" s="47">
        <v>0</v>
      </c>
      <c r="S559" s="47">
        <v>0</v>
      </c>
      <c r="T559" s="47">
        <v>0</v>
      </c>
      <c r="U559" s="47">
        <v>0</v>
      </c>
      <c r="V559" s="47">
        <f t="shared" si="45"/>
        <v>0</v>
      </c>
      <c r="W559" s="22" t="s">
        <v>1283</v>
      </c>
      <c r="X559" s="22">
        <v>0</v>
      </c>
      <c r="Y559">
        <v>0</v>
      </c>
      <c r="Z559">
        <v>3</v>
      </c>
      <c r="AA559">
        <v>0</v>
      </c>
      <c r="AB559" t="str">
        <f t="shared" si="36"/>
        <v>No</v>
      </c>
      <c r="AC559">
        <v>0</v>
      </c>
      <c r="AD559" s="47">
        <f t="shared" si="37"/>
        <v>207.49999999999955</v>
      </c>
      <c r="AE559">
        <f>AD559/E559</f>
        <v>4.3229166666666572</v>
      </c>
      <c r="AF559" s="47">
        <f t="shared" si="38"/>
        <v>0</v>
      </c>
      <c r="AG559">
        <f>(V559-V558)/E559</f>
        <v>0</v>
      </c>
      <c r="AH559">
        <f t="shared" si="39"/>
        <v>0</v>
      </c>
      <c r="AI559" s="10">
        <f>(AH559/E559)</f>
        <v>0</v>
      </c>
    </row>
    <row r="560" spans="1:36" ht="14.75" x14ac:dyDescent="0.75">
      <c r="A560" s="22">
        <v>4125</v>
      </c>
      <c r="B560" s="3">
        <v>44875</v>
      </c>
      <c r="C560" s="3" t="str">
        <f t="shared" si="48"/>
        <v>11/10/22</v>
      </c>
      <c r="D560" s="3" t="s">
        <v>390</v>
      </c>
      <c r="E560" s="22">
        <f>10+31-4</f>
        <v>37</v>
      </c>
      <c r="G560" s="22" t="s">
        <v>390</v>
      </c>
      <c r="H560" s="22">
        <f>M560+229.6</f>
        <v>922.1</v>
      </c>
      <c r="I560" s="22">
        <f>N560+354.2</f>
        <v>1090.3</v>
      </c>
      <c r="J560" s="22">
        <f>O560+854</f>
        <v>2414.1</v>
      </c>
      <c r="K560" s="22">
        <f>P560+425</f>
        <v>1140.3</v>
      </c>
      <c r="L560" s="22">
        <f>SUM(H560:K560)</f>
        <v>5566.8</v>
      </c>
      <c r="M560" s="47">
        <v>692.5</v>
      </c>
      <c r="N560" s="47">
        <v>736.1</v>
      </c>
      <c r="O560" s="47">
        <v>1560.1</v>
      </c>
      <c r="P560" s="47">
        <v>715.3</v>
      </c>
      <c r="Q560" s="47">
        <f t="shared" si="44"/>
        <v>3704</v>
      </c>
      <c r="R560" s="47">
        <v>0</v>
      </c>
      <c r="S560" s="47">
        <v>0</v>
      </c>
      <c r="T560" s="47">
        <v>0</v>
      </c>
      <c r="U560" s="47">
        <v>0</v>
      </c>
      <c r="V560" s="47">
        <f t="shared" si="45"/>
        <v>0</v>
      </c>
      <c r="W560" s="22" t="s">
        <v>1283</v>
      </c>
      <c r="X560" s="22">
        <v>0</v>
      </c>
      <c r="Y560">
        <v>0</v>
      </c>
      <c r="Z560">
        <v>3</v>
      </c>
      <c r="AA560">
        <v>0</v>
      </c>
      <c r="AB560" t="str">
        <f t="shared" si="36"/>
        <v>No</v>
      </c>
      <c r="AC560">
        <v>0</v>
      </c>
      <c r="AD560" s="47">
        <f t="shared" si="37"/>
        <v>1020.6000000000004</v>
      </c>
      <c r="AE560">
        <f>AD560/E560</f>
        <v>27.583783783783794</v>
      </c>
      <c r="AF560" s="47">
        <f t="shared" si="38"/>
        <v>0</v>
      </c>
      <c r="AG560">
        <f>(V560-V559)/E560</f>
        <v>0</v>
      </c>
      <c r="AH560">
        <f t="shared" si="39"/>
        <v>0</v>
      </c>
      <c r="AI560" s="10">
        <f>(AH560/E560)</f>
        <v>0</v>
      </c>
    </row>
    <row r="561" spans="1:36" ht="14.75" x14ac:dyDescent="0.75">
      <c r="A561" s="22">
        <v>4125</v>
      </c>
      <c r="B561" s="3">
        <v>44950</v>
      </c>
      <c r="C561" s="3" t="str">
        <f t="shared" si="48"/>
        <v>1/24/23</v>
      </c>
      <c r="D561" s="3" t="s">
        <v>390</v>
      </c>
      <c r="E561" s="22">
        <f>30-10+31+24</f>
        <v>75</v>
      </c>
      <c r="G561" s="22" t="s">
        <v>390</v>
      </c>
      <c r="H561" s="22">
        <f>M561+185.1</f>
        <v>764.7</v>
      </c>
      <c r="I561" s="22">
        <f>N561+223.4</f>
        <v>708.2</v>
      </c>
      <c r="J561" s="22">
        <f>O561+466</f>
        <v>1469.2</v>
      </c>
      <c r="K561" s="22">
        <f>P561+371.9</f>
        <v>1243.0999999999999</v>
      </c>
      <c r="L561" s="22">
        <f t="shared" ref="L561:L564" si="50">SUM(H561:K561)</f>
        <v>4185.2000000000007</v>
      </c>
      <c r="M561" s="47">
        <v>579.6</v>
      </c>
      <c r="N561" s="47">
        <v>484.8</v>
      </c>
      <c r="O561" s="47">
        <v>1003.2</v>
      </c>
      <c r="P561" s="47">
        <v>871.2</v>
      </c>
      <c r="Q561" s="47">
        <f t="shared" ref="Q561:Q564" si="51">SUM(M561:P561)</f>
        <v>2938.8</v>
      </c>
      <c r="R561" s="47">
        <v>0</v>
      </c>
      <c r="S561" s="47">
        <v>0</v>
      </c>
      <c r="T561" s="47">
        <v>0</v>
      </c>
      <c r="U561" s="47">
        <v>0</v>
      </c>
      <c r="V561" s="47">
        <f t="shared" ref="V561:V564" si="52">SUM(R561:U561)</f>
        <v>0</v>
      </c>
      <c r="W561" s="22" t="s">
        <v>1283</v>
      </c>
      <c r="X561" s="22">
        <v>0</v>
      </c>
      <c r="Y561">
        <v>0</v>
      </c>
      <c r="Z561">
        <v>3</v>
      </c>
      <c r="AA561">
        <v>0</v>
      </c>
      <c r="AB561" t="str">
        <f t="shared" si="36"/>
        <v>No</v>
      </c>
      <c r="AC561">
        <v>0</v>
      </c>
      <c r="AD561" s="47">
        <f t="shared" si="37"/>
        <v>-765.19999999999982</v>
      </c>
      <c r="AE561">
        <f>AD561/E561</f>
        <v>-10.202666666666664</v>
      </c>
      <c r="AF561" s="47">
        <f t="shared" si="38"/>
        <v>0</v>
      </c>
      <c r="AG561">
        <f>(V561-V560)/E561</f>
        <v>0</v>
      </c>
      <c r="AH561">
        <f t="shared" si="39"/>
        <v>0</v>
      </c>
      <c r="AI561" s="10">
        <f>(AH561/E561)</f>
        <v>0</v>
      </c>
    </row>
    <row r="562" spans="1:36" ht="14.75" x14ac:dyDescent="0.75">
      <c r="A562" s="22">
        <v>4125</v>
      </c>
      <c r="B562" s="3">
        <v>44986</v>
      </c>
      <c r="C562" s="3" t="str">
        <f t="shared" si="48"/>
        <v>3/1/23</v>
      </c>
      <c r="D562" s="3" t="s">
        <v>390</v>
      </c>
      <c r="E562" s="22">
        <f>31-24+1</f>
        <v>8</v>
      </c>
      <c r="G562" s="22" t="s">
        <v>390</v>
      </c>
      <c r="H562" s="22">
        <f>M562+176.2</f>
        <v>636.70000000000005</v>
      </c>
      <c r="I562" s="22">
        <f>337.2+N562</f>
        <v>904</v>
      </c>
      <c r="J562" s="22">
        <f>O562+703.6</f>
        <v>1608.8000000000002</v>
      </c>
      <c r="K562" s="22">
        <f>P562+553.8</f>
        <v>1442.3</v>
      </c>
      <c r="L562" s="22">
        <f t="shared" si="50"/>
        <v>4591.8</v>
      </c>
      <c r="M562" s="47">
        <v>460.5</v>
      </c>
      <c r="N562" s="47">
        <v>566.79999999999995</v>
      </c>
      <c r="O562" s="47">
        <v>905.2</v>
      </c>
      <c r="P562" s="47">
        <v>888.5</v>
      </c>
      <c r="Q562" s="47">
        <f t="shared" si="51"/>
        <v>2821</v>
      </c>
      <c r="R562" s="47">
        <v>0</v>
      </c>
      <c r="S562" s="47">
        <v>0</v>
      </c>
      <c r="T562" s="47">
        <v>0</v>
      </c>
      <c r="U562" s="47">
        <v>0</v>
      </c>
      <c r="V562" s="47">
        <f t="shared" si="52"/>
        <v>0</v>
      </c>
      <c r="W562" s="22" t="s">
        <v>1283</v>
      </c>
      <c r="X562" s="22">
        <v>0</v>
      </c>
      <c r="Y562">
        <v>0</v>
      </c>
      <c r="Z562">
        <v>3</v>
      </c>
      <c r="AA562">
        <v>0</v>
      </c>
      <c r="AB562" t="str">
        <f t="shared" si="36"/>
        <v>No</v>
      </c>
      <c r="AC562">
        <v>0</v>
      </c>
      <c r="AD562" s="47">
        <f t="shared" si="37"/>
        <v>-117.80000000000018</v>
      </c>
      <c r="AE562">
        <f>AD562/E562</f>
        <v>-14.725000000000023</v>
      </c>
      <c r="AF562" s="47">
        <f t="shared" si="38"/>
        <v>0</v>
      </c>
      <c r="AG562">
        <f>(V562-V561)/E562</f>
        <v>0</v>
      </c>
      <c r="AH562">
        <f t="shared" si="39"/>
        <v>0</v>
      </c>
      <c r="AI562" s="10">
        <f>(AH562/E562)</f>
        <v>0</v>
      </c>
    </row>
    <row r="563" spans="1:36" ht="14.75" x14ac:dyDescent="0.75">
      <c r="A563" s="22">
        <v>4125</v>
      </c>
      <c r="B563" s="3">
        <v>45069</v>
      </c>
      <c r="C563" s="3" t="str">
        <f t="shared" si="48"/>
        <v>5/23/23</v>
      </c>
      <c r="D563" s="3" t="s">
        <v>390</v>
      </c>
      <c r="E563" s="22">
        <f>31-1+28+31+30+23</f>
        <v>142</v>
      </c>
      <c r="G563" s="22" t="s">
        <v>539</v>
      </c>
      <c r="H563" s="22">
        <f>M563+496.3+R563</f>
        <v>1543.1</v>
      </c>
      <c r="I563" s="22">
        <f>N563+S563+442.6</f>
        <v>1140.0999999999999</v>
      </c>
      <c r="J563" s="22">
        <f>O563+975.2</f>
        <v>2360.3000000000002</v>
      </c>
      <c r="K563" s="22">
        <f>P563+694.2</f>
        <v>1768.7</v>
      </c>
      <c r="L563" s="22">
        <f t="shared" si="50"/>
        <v>6812.2</v>
      </c>
      <c r="M563" s="47">
        <v>1045.2</v>
      </c>
      <c r="N563" s="47">
        <v>696.9</v>
      </c>
      <c r="O563" s="47">
        <v>1385.1</v>
      </c>
      <c r="P563" s="47">
        <v>1074.5</v>
      </c>
      <c r="Q563" s="47">
        <f t="shared" si="51"/>
        <v>4201.7</v>
      </c>
      <c r="R563" s="47">
        <v>1.6</v>
      </c>
      <c r="S563" s="47">
        <v>0.6</v>
      </c>
      <c r="T563" s="47">
        <v>0</v>
      </c>
      <c r="U563" s="47">
        <v>0</v>
      </c>
      <c r="V563" s="47">
        <f t="shared" si="52"/>
        <v>2.2000000000000002</v>
      </c>
      <c r="W563" s="22" t="s">
        <v>1283</v>
      </c>
      <c r="X563" s="22">
        <v>3</v>
      </c>
      <c r="Y563">
        <v>3</v>
      </c>
      <c r="Z563">
        <v>3</v>
      </c>
      <c r="AA563">
        <v>1.54</v>
      </c>
      <c r="AB563" t="str">
        <f t="shared" si="36"/>
        <v>No</v>
      </c>
      <c r="AC563">
        <v>17</v>
      </c>
      <c r="AD563" s="47">
        <f t="shared" si="37"/>
        <v>1380.6999999999998</v>
      </c>
      <c r="AE563">
        <f>AD563/E563</f>
        <v>9.7232394366197177</v>
      </c>
      <c r="AF563" s="47">
        <f t="shared" si="38"/>
        <v>2.2000000000000002</v>
      </c>
      <c r="AG563">
        <f>(V563-V562)/E563</f>
        <v>1.5492957746478875E-2</v>
      </c>
      <c r="AH563">
        <f t="shared" si="39"/>
        <v>3.2295000146795455E-2</v>
      </c>
      <c r="AI563" s="10">
        <f>(AH563/E563)</f>
        <v>2.2742957849855954E-4</v>
      </c>
    </row>
    <row r="564" spans="1:36" ht="14.75" x14ac:dyDescent="0.75">
      <c r="A564" s="22">
        <v>4125</v>
      </c>
      <c r="B564" s="3">
        <v>45113</v>
      </c>
      <c r="C564" s="3" t="str">
        <f t="shared" si="48"/>
        <v>7/6/23</v>
      </c>
      <c r="D564" s="3" t="s">
        <v>390</v>
      </c>
      <c r="E564" s="22">
        <f>31-23+30+6</f>
        <v>44</v>
      </c>
      <c r="G564" s="22" t="s">
        <v>539</v>
      </c>
      <c r="H564" s="22">
        <f>M564+442.1</f>
        <v>1221.0999999999999</v>
      </c>
      <c r="I564" s="22">
        <f>N564+619.9</f>
        <v>1479.1999999999998</v>
      </c>
      <c r="J564" s="22">
        <f>O564+714.9</f>
        <v>1859</v>
      </c>
      <c r="K564" s="22">
        <f>P564+842</f>
        <v>2169.3000000000002</v>
      </c>
      <c r="L564" s="22">
        <f t="shared" si="50"/>
        <v>6728.5999999999995</v>
      </c>
      <c r="M564" s="47">
        <v>779</v>
      </c>
      <c r="N564" s="47">
        <v>859.3</v>
      </c>
      <c r="O564" s="47">
        <v>1144.0999999999999</v>
      </c>
      <c r="P564" s="47">
        <v>1327.3</v>
      </c>
      <c r="Q564" s="47">
        <f t="shared" si="51"/>
        <v>4109.7</v>
      </c>
      <c r="R564" s="47">
        <v>0</v>
      </c>
      <c r="S564" s="47">
        <v>0</v>
      </c>
      <c r="T564" s="47">
        <v>0</v>
      </c>
      <c r="U564" s="47">
        <v>0</v>
      </c>
      <c r="V564" s="47">
        <f t="shared" si="52"/>
        <v>0</v>
      </c>
      <c r="W564" s="22" t="s">
        <v>1283</v>
      </c>
      <c r="X564" s="22">
        <v>0</v>
      </c>
      <c r="Y564">
        <v>0</v>
      </c>
      <c r="Z564">
        <v>6</v>
      </c>
      <c r="AA564">
        <v>0</v>
      </c>
      <c r="AB564" t="str">
        <f t="shared" si="36"/>
        <v>No</v>
      </c>
      <c r="AC564">
        <v>0</v>
      </c>
      <c r="AD564" s="47">
        <f t="shared" si="37"/>
        <v>-92</v>
      </c>
      <c r="AE564">
        <f>AD564/E564</f>
        <v>-2.0909090909090908</v>
      </c>
      <c r="AF564" s="47">
        <f t="shared" si="38"/>
        <v>-2.2000000000000002</v>
      </c>
      <c r="AG564">
        <f>(V564-V563)/E564</f>
        <v>-0.05</v>
      </c>
      <c r="AH564">
        <f t="shared" si="39"/>
        <v>0</v>
      </c>
      <c r="AI564" s="10">
        <f>(AH564/E564)</f>
        <v>0</v>
      </c>
    </row>
    <row r="565" spans="1:36" ht="14.75" x14ac:dyDescent="0.75">
      <c r="A565" s="22">
        <v>4125</v>
      </c>
      <c r="B565" s="3">
        <v>45167</v>
      </c>
      <c r="C565" s="3" t="str">
        <f t="shared" si="48"/>
        <v>8/29/23</v>
      </c>
      <c r="D565" s="3" t="s">
        <v>539</v>
      </c>
      <c r="G565" s="298"/>
      <c r="AD565" s="47"/>
      <c r="AF565" s="47"/>
      <c r="AI565" s="10"/>
    </row>
    <row r="566" spans="1:36" ht="14.75" x14ac:dyDescent="0.75">
      <c r="A566" s="189">
        <v>4127</v>
      </c>
      <c r="B566" s="190">
        <v>44706</v>
      </c>
      <c r="C566" s="3" t="str">
        <f t="shared" si="48"/>
        <v>5/25/22</v>
      </c>
      <c r="D566" s="3" t="s">
        <v>539</v>
      </c>
      <c r="E566" s="189">
        <v>0</v>
      </c>
      <c r="F566" s="189"/>
      <c r="G566" s="189" t="s">
        <v>539</v>
      </c>
      <c r="H566" s="189"/>
      <c r="I566" s="189"/>
      <c r="J566" s="189"/>
      <c r="K566" s="189"/>
      <c r="L566" s="189">
        <f t="shared" ref="L566:L612" si="53">SUM(H566:K566)</f>
        <v>0</v>
      </c>
      <c r="M566" s="212"/>
      <c r="N566" s="212"/>
      <c r="O566" s="212"/>
      <c r="P566" s="212"/>
      <c r="Q566" s="212">
        <f t="shared" ref="Q566:Q612" si="54">SUM(M566:P566)</f>
        <v>0</v>
      </c>
      <c r="R566" s="212"/>
      <c r="S566" s="212"/>
      <c r="T566" s="212"/>
      <c r="U566" s="212"/>
      <c r="V566" s="212">
        <f t="shared" ref="V566:V612" si="55">SUM(R566:U566)</f>
        <v>0</v>
      </c>
      <c r="W566" s="189"/>
      <c r="X566" s="189"/>
      <c r="Y566" s="213"/>
      <c r="Z566" s="213"/>
      <c r="AA566" s="213"/>
      <c r="AB566" s="213" t="str">
        <f t="shared" si="36"/>
        <v>No</v>
      </c>
      <c r="AC566" s="213">
        <f>TreatmentUsed!E606</f>
        <v>13</v>
      </c>
      <c r="AD566" s="212">
        <f>Q566-Q560</f>
        <v>-3704</v>
      </c>
      <c r="AE566" s="213" t="e">
        <f>AD566/E566</f>
        <v>#DIV/0!</v>
      </c>
      <c r="AF566" s="212">
        <f>V566-V560</f>
        <v>0</v>
      </c>
      <c r="AG566" s="213" t="e">
        <f>(V566-V564)/E566</f>
        <v>#DIV/0!</v>
      </c>
      <c r="AH566" s="213" t="e">
        <f t="shared" si="39"/>
        <v>#DIV/0!</v>
      </c>
      <c r="AI566" s="214" t="e">
        <f>(AH566/E566)</f>
        <v>#DIV/0!</v>
      </c>
      <c r="AJ566" s="213"/>
    </row>
    <row r="567" spans="1:36" ht="14.75" x14ac:dyDescent="0.75">
      <c r="A567" s="22">
        <v>4127</v>
      </c>
      <c r="B567" s="3">
        <v>44722</v>
      </c>
      <c r="C567" s="3" t="str">
        <f t="shared" si="48"/>
        <v>6/10/22</v>
      </c>
      <c r="D567" s="3" t="s">
        <v>539</v>
      </c>
      <c r="E567" s="22">
        <f>31-25+10</f>
        <v>16</v>
      </c>
      <c r="G567" s="22" t="s">
        <v>539</v>
      </c>
      <c r="L567" s="22">
        <f t="shared" si="53"/>
        <v>0</v>
      </c>
      <c r="Q567" s="47">
        <f t="shared" si="54"/>
        <v>0</v>
      </c>
      <c r="V567" s="47">
        <f t="shared" si="55"/>
        <v>0</v>
      </c>
      <c r="AB567" t="str">
        <f t="shared" si="36"/>
        <v>No</v>
      </c>
      <c r="AC567">
        <f>TreatmentUsed!E891</f>
        <v>13</v>
      </c>
      <c r="AD567" s="47">
        <f t="shared" si="37"/>
        <v>0</v>
      </c>
      <c r="AE567">
        <f>AD567/E567</f>
        <v>0</v>
      </c>
      <c r="AF567" s="47">
        <f t="shared" si="38"/>
        <v>0</v>
      </c>
      <c r="AG567">
        <f>(V567-V566)/E567</f>
        <v>0</v>
      </c>
      <c r="AH567" t="e">
        <f t="shared" si="39"/>
        <v>#DIV/0!</v>
      </c>
      <c r="AI567" s="10" t="e">
        <f>(AH567/E567)</f>
        <v>#DIV/0!</v>
      </c>
    </row>
    <row r="568" spans="1:36" ht="14.75" x14ac:dyDescent="0.75">
      <c r="A568" s="207">
        <v>4127</v>
      </c>
      <c r="B568" s="3">
        <v>44748</v>
      </c>
      <c r="C568" s="3" t="str">
        <f t="shared" si="48"/>
        <v>7/6/22</v>
      </c>
      <c r="D568" s="3" t="s">
        <v>539</v>
      </c>
      <c r="E568" s="22">
        <f>6+30-10</f>
        <v>26</v>
      </c>
      <c r="G568" s="22" t="s">
        <v>539</v>
      </c>
      <c r="L568" s="22">
        <f t="shared" si="53"/>
        <v>0</v>
      </c>
      <c r="Q568" s="47">
        <f t="shared" si="54"/>
        <v>0</v>
      </c>
      <c r="V568" s="47">
        <f t="shared" si="55"/>
        <v>0</v>
      </c>
      <c r="AB568" t="str">
        <f t="shared" si="36"/>
        <v>No</v>
      </c>
      <c r="AC568">
        <v>0</v>
      </c>
      <c r="AD568" s="47">
        <f t="shared" si="37"/>
        <v>0</v>
      </c>
      <c r="AE568">
        <f>AD568/E568</f>
        <v>0</v>
      </c>
      <c r="AF568" s="47">
        <f t="shared" si="38"/>
        <v>0</v>
      </c>
      <c r="AG568">
        <f>(V568-V567)/E568</f>
        <v>0</v>
      </c>
      <c r="AH568" t="e">
        <f t="shared" si="39"/>
        <v>#DIV/0!</v>
      </c>
      <c r="AI568" s="10" t="e">
        <f>(AH568/E568)</f>
        <v>#DIV/0!</v>
      </c>
    </row>
    <row r="569" spans="1:36" ht="14.75" x14ac:dyDescent="0.75">
      <c r="A569" s="207">
        <v>4127</v>
      </c>
      <c r="B569" s="3">
        <v>44768</v>
      </c>
      <c r="C569" s="3" t="str">
        <f t="shared" si="48"/>
        <v>7/26/22</v>
      </c>
      <c r="D569" s="3" t="s">
        <v>539</v>
      </c>
      <c r="E569" s="22">
        <f>26+31-6</f>
        <v>51</v>
      </c>
      <c r="G569" s="22" t="s">
        <v>390</v>
      </c>
      <c r="L569" s="22">
        <f t="shared" si="53"/>
        <v>0</v>
      </c>
      <c r="Q569" s="47">
        <f t="shared" si="54"/>
        <v>0</v>
      </c>
      <c r="V569" s="47">
        <f t="shared" si="55"/>
        <v>0</v>
      </c>
      <c r="AB569" t="str">
        <f t="shared" si="36"/>
        <v>No</v>
      </c>
      <c r="AC569">
        <v>0</v>
      </c>
      <c r="AD569" s="47">
        <f t="shared" si="37"/>
        <v>0</v>
      </c>
      <c r="AE569">
        <f>AD569/E569</f>
        <v>0</v>
      </c>
      <c r="AF569" s="47">
        <f t="shared" si="38"/>
        <v>0</v>
      </c>
      <c r="AG569">
        <f>(V569-V568)/E569</f>
        <v>0</v>
      </c>
      <c r="AH569" t="e">
        <f t="shared" si="39"/>
        <v>#DIV/0!</v>
      </c>
      <c r="AI569" s="10" t="e">
        <f>(AH569/E569)</f>
        <v>#DIV/0!</v>
      </c>
    </row>
    <row r="570" spans="1:36" ht="14.75" x14ac:dyDescent="0.75">
      <c r="A570" s="207">
        <v>4127</v>
      </c>
      <c r="B570" s="3">
        <v>44790</v>
      </c>
      <c r="C570" s="3" t="str">
        <f t="shared" si="48"/>
        <v>8/17/22</v>
      </c>
      <c r="D570" s="3" t="s">
        <v>539</v>
      </c>
      <c r="E570" s="22">
        <f>16+31-26</f>
        <v>21</v>
      </c>
      <c r="G570" s="22" t="s">
        <v>390</v>
      </c>
      <c r="L570" s="22">
        <f t="shared" si="53"/>
        <v>0</v>
      </c>
      <c r="Q570" s="47">
        <f t="shared" si="54"/>
        <v>0</v>
      </c>
      <c r="V570" s="47">
        <f t="shared" si="55"/>
        <v>0</v>
      </c>
      <c r="AB570" t="str">
        <f t="shared" si="36"/>
        <v>No</v>
      </c>
      <c r="AC570">
        <v>0</v>
      </c>
      <c r="AD570" s="47">
        <f t="shared" si="37"/>
        <v>0</v>
      </c>
      <c r="AE570">
        <f>AD570/E570</f>
        <v>0</v>
      </c>
      <c r="AF570" s="47">
        <f t="shared" si="38"/>
        <v>0</v>
      </c>
      <c r="AG570">
        <f>(V570-V569)/E570</f>
        <v>0</v>
      </c>
      <c r="AH570" t="e">
        <f t="shared" si="39"/>
        <v>#DIV/0!</v>
      </c>
      <c r="AI570" s="10" t="e">
        <f>(AH570/E570)</f>
        <v>#DIV/0!</v>
      </c>
    </row>
    <row r="571" spans="1:36" ht="14.75" x14ac:dyDescent="0.75">
      <c r="A571" s="22">
        <v>4127</v>
      </c>
      <c r="B571" s="3">
        <v>44838</v>
      </c>
      <c r="C571" s="3" t="str">
        <f t="shared" si="48"/>
        <v>10/4/22</v>
      </c>
      <c r="D571" s="3" t="s">
        <v>539</v>
      </c>
      <c r="E571" s="22">
        <f xml:space="preserve"> 4+30+31-16</f>
        <v>49</v>
      </c>
      <c r="G571" s="22" t="s">
        <v>539</v>
      </c>
      <c r="L571" s="22">
        <f t="shared" si="53"/>
        <v>0</v>
      </c>
      <c r="Q571" s="47">
        <f t="shared" si="54"/>
        <v>0</v>
      </c>
      <c r="V571" s="47">
        <f t="shared" si="55"/>
        <v>0</v>
      </c>
      <c r="AB571" t="str">
        <f t="shared" si="36"/>
        <v>No</v>
      </c>
      <c r="AC571">
        <v>2</v>
      </c>
      <c r="AD571" s="47">
        <f t="shared" si="37"/>
        <v>0</v>
      </c>
      <c r="AE571">
        <f>AD571/E571</f>
        <v>0</v>
      </c>
      <c r="AF571" s="47">
        <f t="shared" si="38"/>
        <v>0</v>
      </c>
      <c r="AG571">
        <f>(V571-V570)/E571</f>
        <v>0</v>
      </c>
      <c r="AH571" t="e">
        <f t="shared" si="39"/>
        <v>#DIV/0!</v>
      </c>
      <c r="AI571" s="10" t="e">
        <f>(AH571/E571)</f>
        <v>#DIV/0!</v>
      </c>
    </row>
    <row r="572" spans="1:36" ht="14.75" x14ac:dyDescent="0.75">
      <c r="A572" s="22">
        <v>4127</v>
      </c>
      <c r="B572" s="3">
        <v>45069</v>
      </c>
      <c r="C572" s="3" t="str">
        <f t="shared" si="48"/>
        <v>5/23/23</v>
      </c>
      <c r="D572" s="3" t="s">
        <v>539</v>
      </c>
      <c r="E572" s="22">
        <f>31-4+30+31+31+28+31+30+23</f>
        <v>231</v>
      </c>
      <c r="F572" s="309"/>
      <c r="G572" s="198" t="s">
        <v>539</v>
      </c>
      <c r="H572" s="198"/>
      <c r="I572" s="198"/>
      <c r="J572" s="198"/>
      <c r="K572" s="198"/>
      <c r="L572" s="198"/>
      <c r="M572" s="210"/>
      <c r="N572" s="210"/>
      <c r="O572" s="210"/>
      <c r="P572" s="210"/>
      <c r="Q572" s="210"/>
      <c r="R572" s="210"/>
      <c r="S572" s="210"/>
      <c r="T572" s="210"/>
      <c r="U572" s="210"/>
      <c r="V572" s="210"/>
      <c r="W572" s="198"/>
      <c r="X572" s="198"/>
      <c r="Y572" s="173"/>
      <c r="Z572" s="173"/>
      <c r="AA572" s="173"/>
      <c r="AB572" s="173"/>
      <c r="AC572" s="173">
        <v>4</v>
      </c>
      <c r="AD572" s="210"/>
      <c r="AE572" s="173"/>
      <c r="AF572" s="210"/>
      <c r="AG572" s="173"/>
      <c r="AH572" s="173"/>
      <c r="AI572" s="211"/>
      <c r="AJ572" s="173"/>
    </row>
    <row r="573" spans="1:36" ht="14.75" x14ac:dyDescent="0.75">
      <c r="A573" s="189">
        <v>4128</v>
      </c>
      <c r="B573" s="190">
        <v>44706</v>
      </c>
      <c r="C573" s="3" t="str">
        <f t="shared" si="48"/>
        <v>5/25/22</v>
      </c>
      <c r="D573" s="3" t="s">
        <v>539</v>
      </c>
      <c r="E573" s="189">
        <v>0</v>
      </c>
      <c r="G573" s="22" t="s">
        <v>539</v>
      </c>
      <c r="L573" s="22">
        <f t="shared" si="53"/>
        <v>0</v>
      </c>
      <c r="Q573" s="47">
        <f t="shared" si="54"/>
        <v>0</v>
      </c>
      <c r="V573" s="47">
        <f t="shared" si="55"/>
        <v>0</v>
      </c>
      <c r="AB573" t="str">
        <f t="shared" si="36"/>
        <v>No</v>
      </c>
      <c r="AC573">
        <f>TreatmentUsed!E622</f>
        <v>9</v>
      </c>
      <c r="AD573" s="47">
        <f>Q573-Q571</f>
        <v>0</v>
      </c>
      <c r="AE573" t="e">
        <f>AD573/E573</f>
        <v>#DIV/0!</v>
      </c>
      <c r="AF573" s="47">
        <f>V573-V571</f>
        <v>0</v>
      </c>
      <c r="AG573" t="e">
        <f>(V573-V571)/E573</f>
        <v>#DIV/0!</v>
      </c>
      <c r="AH573" t="e">
        <f t="shared" si="39"/>
        <v>#DIV/0!</v>
      </c>
      <c r="AI573" s="10" t="e">
        <f>(AH573/E573)</f>
        <v>#DIV/0!</v>
      </c>
    </row>
    <row r="574" spans="1:36" ht="14.75" x14ac:dyDescent="0.75">
      <c r="A574" s="22">
        <v>4128</v>
      </c>
      <c r="B574" s="3">
        <v>44722</v>
      </c>
      <c r="C574" s="3" t="str">
        <f t="shared" si="48"/>
        <v>6/10/22</v>
      </c>
      <c r="D574" s="3" t="s">
        <v>539</v>
      </c>
      <c r="E574" s="22">
        <f>31-25+10</f>
        <v>16</v>
      </c>
      <c r="G574" s="22" t="s">
        <v>539</v>
      </c>
      <c r="L574" s="22">
        <f t="shared" si="53"/>
        <v>0</v>
      </c>
      <c r="Q574" s="47">
        <f t="shared" si="54"/>
        <v>0</v>
      </c>
      <c r="V574" s="47">
        <f t="shared" si="55"/>
        <v>0</v>
      </c>
      <c r="AB574" t="str">
        <f t="shared" si="36"/>
        <v>No</v>
      </c>
      <c r="AC574">
        <v>0</v>
      </c>
      <c r="AD574" s="47">
        <f t="shared" si="37"/>
        <v>0</v>
      </c>
      <c r="AE574">
        <f>AD574/E574</f>
        <v>0</v>
      </c>
      <c r="AF574" s="47">
        <f t="shared" si="38"/>
        <v>0</v>
      </c>
      <c r="AG574">
        <f>(V574-V573)/E574</f>
        <v>0</v>
      </c>
      <c r="AH574" t="e">
        <f t="shared" si="39"/>
        <v>#DIV/0!</v>
      </c>
      <c r="AI574" s="10" t="e">
        <f>(AH574/E574)</f>
        <v>#DIV/0!</v>
      </c>
    </row>
    <row r="575" spans="1:36" ht="14.75" x14ac:dyDescent="0.75">
      <c r="A575" s="189">
        <v>4129</v>
      </c>
      <c r="B575" s="190">
        <v>44706</v>
      </c>
      <c r="C575" s="3" t="str">
        <f t="shared" si="48"/>
        <v>5/25/22</v>
      </c>
      <c r="D575" s="3" t="s">
        <v>539</v>
      </c>
      <c r="E575" s="189">
        <v>0</v>
      </c>
      <c r="F575" s="189"/>
      <c r="G575" s="189" t="s">
        <v>539</v>
      </c>
      <c r="H575" s="189"/>
      <c r="I575" s="189"/>
      <c r="J575" s="189"/>
      <c r="K575" s="189"/>
      <c r="L575" s="189">
        <f t="shared" si="53"/>
        <v>0</v>
      </c>
      <c r="M575" s="212"/>
      <c r="N575" s="212"/>
      <c r="O575" s="212"/>
      <c r="P575" s="212"/>
      <c r="Q575" s="212">
        <f t="shared" si="54"/>
        <v>0</v>
      </c>
      <c r="R575" s="212"/>
      <c r="S575" s="212"/>
      <c r="T575" s="212"/>
      <c r="U575" s="212"/>
      <c r="V575" s="212">
        <f t="shared" si="55"/>
        <v>0</v>
      </c>
      <c r="W575" s="189"/>
      <c r="X575" s="189"/>
      <c r="Y575" s="213"/>
      <c r="Z575" s="213"/>
      <c r="AA575" s="213"/>
      <c r="AB575" s="213" t="str">
        <f t="shared" si="36"/>
        <v>No</v>
      </c>
      <c r="AC575" s="213">
        <f>TreatmentUsed!E608</f>
        <v>7</v>
      </c>
      <c r="AD575" s="212">
        <f t="shared" si="37"/>
        <v>0</v>
      </c>
      <c r="AE575" s="213" t="e">
        <f>AD575/E575</f>
        <v>#DIV/0!</v>
      </c>
      <c r="AF575" s="212">
        <f t="shared" si="38"/>
        <v>0</v>
      </c>
      <c r="AG575" s="213" t="e">
        <f>(V575-V574)/E575</f>
        <v>#DIV/0!</v>
      </c>
      <c r="AH575" s="213" t="e">
        <f t="shared" si="39"/>
        <v>#DIV/0!</v>
      </c>
      <c r="AI575" s="214" t="e">
        <f>(AH575/E575)</f>
        <v>#DIV/0!</v>
      </c>
      <c r="AJ575" s="213"/>
    </row>
    <row r="576" spans="1:36" ht="14.75" x14ac:dyDescent="0.75">
      <c r="A576" s="207">
        <v>4129</v>
      </c>
      <c r="B576" s="3">
        <v>44722</v>
      </c>
      <c r="C576" s="3" t="str">
        <f t="shared" si="48"/>
        <v>6/10/22</v>
      </c>
      <c r="D576" s="3" t="s">
        <v>539</v>
      </c>
      <c r="E576" s="22">
        <f>31-25+10</f>
        <v>16</v>
      </c>
      <c r="G576" s="22" t="s">
        <v>539</v>
      </c>
      <c r="L576" s="22">
        <f t="shared" si="53"/>
        <v>0</v>
      </c>
      <c r="Q576" s="47">
        <f t="shared" si="54"/>
        <v>0</v>
      </c>
      <c r="V576" s="47">
        <f t="shared" si="55"/>
        <v>0</v>
      </c>
      <c r="AB576" t="str">
        <f t="shared" ref="AB576:AB676" si="56">IF(AA576&gt;4.999, "Yes", "No")</f>
        <v>No</v>
      </c>
      <c r="AC576">
        <v>0</v>
      </c>
      <c r="AD576" s="47">
        <f t="shared" ref="AD576:AD676" si="57">Q576-Q575</f>
        <v>0</v>
      </c>
      <c r="AE576">
        <f>AD576/E576</f>
        <v>0</v>
      </c>
      <c r="AF576" s="47">
        <f t="shared" ref="AF576:AF676" si="58">V576-V575</f>
        <v>0</v>
      </c>
      <c r="AG576">
        <f>(V576-V575)/E576</f>
        <v>0</v>
      </c>
      <c r="AH576" t="e">
        <f t="shared" ref="AH576:AH676" si="59">100*(V576/(L576))</f>
        <v>#DIV/0!</v>
      </c>
      <c r="AI576" s="10" t="e">
        <f>(AH576/E576)</f>
        <v>#DIV/0!</v>
      </c>
    </row>
    <row r="577" spans="1:35" ht="14.75" x14ac:dyDescent="0.75">
      <c r="A577" s="207">
        <v>4129</v>
      </c>
      <c r="B577" s="3">
        <v>44875</v>
      </c>
      <c r="C577" s="3" t="str">
        <f t="shared" si="48"/>
        <v>11/10/22</v>
      </c>
      <c r="D577" s="3" t="s">
        <v>539</v>
      </c>
      <c r="E577" s="22">
        <f>10+30+31+31+31+30+31-10</f>
        <v>184</v>
      </c>
      <c r="G577" s="22" t="s">
        <v>390</v>
      </c>
      <c r="L577" s="22">
        <f t="shared" si="53"/>
        <v>0</v>
      </c>
      <c r="Q577" s="47">
        <f t="shared" si="54"/>
        <v>0</v>
      </c>
      <c r="V577" s="47">
        <f t="shared" si="55"/>
        <v>0</v>
      </c>
      <c r="AB577" t="str">
        <f t="shared" si="56"/>
        <v>No</v>
      </c>
      <c r="AC577">
        <v>0</v>
      </c>
      <c r="AD577" s="47">
        <f t="shared" si="57"/>
        <v>0</v>
      </c>
      <c r="AE577">
        <f>AD577/E577</f>
        <v>0</v>
      </c>
      <c r="AF577" s="47">
        <f t="shared" si="58"/>
        <v>0</v>
      </c>
      <c r="AG577">
        <f>(V577-V576)/E577</f>
        <v>0</v>
      </c>
      <c r="AH577" t="e">
        <f t="shared" si="59"/>
        <v>#DIV/0!</v>
      </c>
      <c r="AI577" s="10" t="e">
        <f>(AH577/E577)</f>
        <v>#DIV/0!</v>
      </c>
    </row>
    <row r="578" spans="1:35" ht="14.75" x14ac:dyDescent="0.75">
      <c r="A578" s="22">
        <v>4129</v>
      </c>
      <c r="B578" s="3">
        <v>44896</v>
      </c>
      <c r="C578" s="3" t="str">
        <f t="shared" si="48"/>
        <v>12/1/22</v>
      </c>
      <c r="D578" s="3" t="s">
        <v>539</v>
      </c>
      <c r="E578" s="22">
        <f>30-10+1</f>
        <v>21</v>
      </c>
      <c r="G578" s="22" t="s">
        <v>390</v>
      </c>
      <c r="AC578">
        <v>0</v>
      </c>
      <c r="AD578" s="47"/>
      <c r="AF578" s="47"/>
      <c r="AI578" s="10"/>
    </row>
    <row r="579" spans="1:35" ht="14.75" x14ac:dyDescent="0.75">
      <c r="A579" s="207">
        <v>4129</v>
      </c>
      <c r="B579" s="3">
        <v>44950</v>
      </c>
      <c r="C579" s="3" t="str">
        <f t="shared" ref="C579:C642" si="60">TEXT(B579,"M/D/YY")</f>
        <v>1/24/23</v>
      </c>
      <c r="D579" s="3" t="s">
        <v>539</v>
      </c>
      <c r="E579" s="22">
        <f>30+24</f>
        <v>54</v>
      </c>
      <c r="G579" s="22" t="s">
        <v>390</v>
      </c>
      <c r="AC579">
        <v>0</v>
      </c>
      <c r="AD579" s="47"/>
      <c r="AF579" s="47"/>
      <c r="AI579" s="10"/>
    </row>
    <row r="580" spans="1:35" ht="14.75" x14ac:dyDescent="0.75">
      <c r="A580" s="207">
        <v>4129</v>
      </c>
      <c r="B580" s="3">
        <v>44986</v>
      </c>
      <c r="C580" s="3" t="str">
        <f t="shared" si="60"/>
        <v>3/1/23</v>
      </c>
      <c r="D580" s="3" t="s">
        <v>539</v>
      </c>
      <c r="E580" s="22">
        <f>31-24+28+1</f>
        <v>36</v>
      </c>
      <c r="G580" s="22" t="s">
        <v>390</v>
      </c>
      <c r="AC580">
        <v>0</v>
      </c>
      <c r="AD580" s="47"/>
      <c r="AF580" s="47"/>
      <c r="AI580" s="10"/>
    </row>
    <row r="581" spans="1:35" ht="14.75" x14ac:dyDescent="0.75">
      <c r="A581" s="207">
        <v>4129</v>
      </c>
      <c r="B581" s="3">
        <v>45035</v>
      </c>
      <c r="C581" s="3" t="str">
        <f t="shared" si="60"/>
        <v>4/19/23</v>
      </c>
      <c r="D581" s="3" t="s">
        <v>539</v>
      </c>
      <c r="E581" s="22">
        <f>30+19</f>
        <v>49</v>
      </c>
      <c r="G581" s="22" t="s">
        <v>390</v>
      </c>
      <c r="AC581">
        <v>0</v>
      </c>
      <c r="AD581" s="47"/>
      <c r="AF581" s="47"/>
      <c r="AI581" s="10"/>
    </row>
    <row r="582" spans="1:35" ht="14.75" x14ac:dyDescent="0.75">
      <c r="A582" s="207">
        <v>4129</v>
      </c>
      <c r="B582" s="3">
        <v>45069</v>
      </c>
      <c r="C582" s="3" t="str">
        <f t="shared" si="60"/>
        <v>5/23/23</v>
      </c>
      <c r="D582" s="3" t="s">
        <v>539</v>
      </c>
      <c r="E582" s="22">
        <f>30-19+23</f>
        <v>34</v>
      </c>
      <c r="G582" s="22" t="s">
        <v>390</v>
      </c>
      <c r="AC582">
        <v>0</v>
      </c>
      <c r="AD582" s="47"/>
      <c r="AF582" s="47"/>
      <c r="AI582" s="10"/>
    </row>
    <row r="583" spans="1:35" ht="14.75" x14ac:dyDescent="0.75">
      <c r="A583" s="207">
        <v>4129</v>
      </c>
      <c r="B583" s="3">
        <v>45113</v>
      </c>
      <c r="C583" s="3" t="str">
        <f t="shared" si="60"/>
        <v>7/6/23</v>
      </c>
      <c r="D583" s="3" t="s">
        <v>539</v>
      </c>
      <c r="E583" s="22">
        <f>31-23+30+6</f>
        <v>44</v>
      </c>
      <c r="G583" s="22" t="s">
        <v>390</v>
      </c>
      <c r="AC583">
        <v>0</v>
      </c>
      <c r="AD583" s="47"/>
      <c r="AF583" s="47"/>
      <c r="AI583" s="10"/>
    </row>
    <row r="584" spans="1:35" s="313" customFormat="1" ht="14.75" x14ac:dyDescent="0.75">
      <c r="A584" s="309">
        <v>4129</v>
      </c>
      <c r="B584" s="310">
        <v>45167</v>
      </c>
      <c r="C584" s="3" t="str">
        <f t="shared" si="60"/>
        <v>8/29/23</v>
      </c>
      <c r="D584" s="3" t="s">
        <v>539</v>
      </c>
      <c r="E584" s="309"/>
      <c r="F584" s="309"/>
      <c r="G584" s="311"/>
      <c r="H584" s="309"/>
      <c r="I584" s="309"/>
      <c r="J584" s="309"/>
      <c r="K584" s="309"/>
      <c r="L584" s="309"/>
      <c r="M584" s="312"/>
      <c r="N584" s="312"/>
      <c r="O584" s="312"/>
      <c r="P584" s="312"/>
      <c r="Q584" s="312"/>
      <c r="R584" s="312"/>
      <c r="S584" s="312"/>
      <c r="T584" s="312"/>
      <c r="U584" s="312"/>
      <c r="V584" s="312"/>
      <c r="W584" s="309"/>
      <c r="X584" s="309"/>
      <c r="AD584" s="312"/>
      <c r="AF584" s="312"/>
      <c r="AI584" s="314"/>
    </row>
    <row r="585" spans="1:35" ht="14.75" x14ac:dyDescent="0.75">
      <c r="A585" s="22">
        <v>4133</v>
      </c>
      <c r="B585" s="3">
        <v>44639</v>
      </c>
      <c r="C585" s="3" t="str">
        <f t="shared" si="60"/>
        <v>3/19/22</v>
      </c>
      <c r="D585" s="3" t="s">
        <v>539</v>
      </c>
      <c r="E585" s="22">
        <v>0</v>
      </c>
      <c r="G585" s="22" t="s">
        <v>539</v>
      </c>
      <c r="L585" s="22">
        <f t="shared" si="53"/>
        <v>0</v>
      </c>
      <c r="Q585" s="47">
        <f t="shared" si="54"/>
        <v>0</v>
      </c>
      <c r="V585" s="47">
        <f t="shared" si="55"/>
        <v>0</v>
      </c>
      <c r="AB585" t="str">
        <f t="shared" si="56"/>
        <v>No</v>
      </c>
      <c r="AC585">
        <f>TreatmentUsed!E39</f>
        <v>49</v>
      </c>
      <c r="AD585" s="47" t="e">
        <f>Q585-#REF!</f>
        <v>#REF!</v>
      </c>
      <c r="AE585" t="e">
        <f>AD585/E585</f>
        <v>#REF!</v>
      </c>
      <c r="AF585" s="47" t="e">
        <f>V585-#REF!</f>
        <v>#REF!</v>
      </c>
      <c r="AG585" t="e">
        <f>(V585-#REF!)/E585</f>
        <v>#REF!</v>
      </c>
      <c r="AH585" t="e">
        <f t="shared" si="59"/>
        <v>#DIV/0!</v>
      </c>
      <c r="AI585" s="10" t="e">
        <f>(AH585/E585)</f>
        <v>#DIV/0!</v>
      </c>
    </row>
    <row r="586" spans="1:35" ht="14.75" x14ac:dyDescent="0.75">
      <c r="A586" s="22">
        <v>4133</v>
      </c>
      <c r="B586" s="3">
        <v>44655</v>
      </c>
      <c r="C586" s="3" t="str">
        <f t="shared" si="60"/>
        <v>4/4/22</v>
      </c>
      <c r="D586" s="3" t="s">
        <v>539</v>
      </c>
      <c r="E586" s="22">
        <f>31-19+4</f>
        <v>16</v>
      </c>
      <c r="G586" s="22" t="s">
        <v>539</v>
      </c>
      <c r="L586" s="22">
        <f t="shared" si="53"/>
        <v>0</v>
      </c>
      <c r="Q586" s="47">
        <f t="shared" si="54"/>
        <v>0</v>
      </c>
      <c r="V586" s="47">
        <f t="shared" si="55"/>
        <v>0</v>
      </c>
      <c r="AB586" t="str">
        <f t="shared" si="56"/>
        <v>No</v>
      </c>
      <c r="AC586">
        <f>TreatmentUsed!E119</f>
        <v>20</v>
      </c>
      <c r="AD586" s="47">
        <f t="shared" si="57"/>
        <v>0</v>
      </c>
      <c r="AE586">
        <f>AD586/E586</f>
        <v>0</v>
      </c>
      <c r="AF586" s="47">
        <f t="shared" si="58"/>
        <v>0</v>
      </c>
      <c r="AG586">
        <f>(V586-V585)/E586</f>
        <v>0</v>
      </c>
      <c r="AH586" t="e">
        <f t="shared" si="59"/>
        <v>#DIV/0!</v>
      </c>
      <c r="AI586" s="10" t="e">
        <f>(AH586/E586)</f>
        <v>#DIV/0!</v>
      </c>
    </row>
    <row r="587" spans="1:35" ht="14.75" x14ac:dyDescent="0.75">
      <c r="A587" s="22">
        <v>4133</v>
      </c>
      <c r="B587" s="3">
        <v>44677</v>
      </c>
      <c r="C587" s="3" t="str">
        <f t="shared" si="60"/>
        <v>4/26/22</v>
      </c>
      <c r="D587" s="3" t="s">
        <v>539</v>
      </c>
      <c r="E587" s="22">
        <f>26-4</f>
        <v>22</v>
      </c>
      <c r="G587" s="22" t="s">
        <v>539</v>
      </c>
      <c r="H587" s="22">
        <f>M587+R587+2056.5</f>
        <v>4596.3999999999996</v>
      </c>
      <c r="I587" s="22">
        <f>N587+S587+1449.8</f>
        <v>4594.3</v>
      </c>
      <c r="L587" s="22">
        <f t="shared" si="53"/>
        <v>9190.7000000000007</v>
      </c>
      <c r="M587" s="47">
        <v>2527.6</v>
      </c>
      <c r="N587" s="47">
        <v>3129.4</v>
      </c>
      <c r="Q587" s="47">
        <f t="shared" si="54"/>
        <v>5657</v>
      </c>
      <c r="R587" s="47">
        <v>12.3</v>
      </c>
      <c r="S587" s="47">
        <v>15.1</v>
      </c>
      <c r="V587" s="47">
        <f t="shared" si="55"/>
        <v>27.4</v>
      </c>
      <c r="W587" s="22" t="s">
        <v>1283</v>
      </c>
      <c r="X587" s="22">
        <v>9</v>
      </c>
      <c r="Y587">
        <v>9</v>
      </c>
      <c r="Z587">
        <v>0</v>
      </c>
      <c r="AA587">
        <v>2.9</v>
      </c>
      <c r="AB587" t="str">
        <f t="shared" si="56"/>
        <v>No</v>
      </c>
      <c r="AC587">
        <v>0</v>
      </c>
      <c r="AD587" s="47">
        <f t="shared" si="57"/>
        <v>5657</v>
      </c>
      <c r="AE587">
        <f>AD587/E587</f>
        <v>257.13636363636363</v>
      </c>
      <c r="AF587" s="47">
        <f t="shared" si="58"/>
        <v>27.4</v>
      </c>
      <c r="AG587">
        <f>(V587-V586)/E587</f>
        <v>1.2454545454545454</v>
      </c>
      <c r="AH587">
        <f t="shared" si="59"/>
        <v>0.29812745492726339</v>
      </c>
      <c r="AI587" s="10">
        <f>(AH587/E587)</f>
        <v>1.3551247951239244E-2</v>
      </c>
    </row>
    <row r="588" spans="1:35" ht="14.75" x14ac:dyDescent="0.75">
      <c r="A588" s="22">
        <v>4133</v>
      </c>
      <c r="B588" s="3">
        <v>44698</v>
      </c>
      <c r="C588" s="3" t="str">
        <f t="shared" si="60"/>
        <v>5/17/22</v>
      </c>
      <c r="D588" s="3" t="s">
        <v>539</v>
      </c>
      <c r="E588" s="22">
        <f>30-26+17</f>
        <v>21</v>
      </c>
      <c r="G588" s="22" t="s">
        <v>539</v>
      </c>
      <c r="L588" s="22">
        <f t="shared" si="53"/>
        <v>0</v>
      </c>
      <c r="Q588" s="47">
        <f t="shared" si="54"/>
        <v>0</v>
      </c>
      <c r="V588" s="47">
        <f t="shared" si="55"/>
        <v>0</v>
      </c>
      <c r="AB588" t="str">
        <f t="shared" si="56"/>
        <v>No</v>
      </c>
      <c r="AC588">
        <f>TreatmentUsed!E452</f>
        <v>26</v>
      </c>
      <c r="AD588" s="47">
        <f t="shared" si="57"/>
        <v>-5657</v>
      </c>
      <c r="AE588">
        <f>AD588/E588</f>
        <v>-269.38095238095241</v>
      </c>
      <c r="AF588" s="47">
        <f t="shared" si="58"/>
        <v>-27.4</v>
      </c>
      <c r="AG588">
        <f>(V588-V587)/E588</f>
        <v>-1.3047619047619048</v>
      </c>
      <c r="AH588" t="e">
        <f t="shared" si="59"/>
        <v>#DIV/0!</v>
      </c>
      <c r="AI588" s="10" t="e">
        <f>(AH588/E588)</f>
        <v>#DIV/0!</v>
      </c>
    </row>
    <row r="589" spans="1:35" ht="14.75" x14ac:dyDescent="0.75">
      <c r="A589" s="22">
        <v>4133</v>
      </c>
      <c r="B589" s="3">
        <v>44727</v>
      </c>
      <c r="C589" s="3" t="str">
        <f t="shared" si="60"/>
        <v>6/15/22</v>
      </c>
      <c r="D589" s="3" t="s">
        <v>539</v>
      </c>
      <c r="E589" s="22">
        <f>31-17+15</f>
        <v>29</v>
      </c>
      <c r="G589" s="22" t="s">
        <v>539</v>
      </c>
      <c r="L589" s="22">
        <f t="shared" si="53"/>
        <v>0</v>
      </c>
      <c r="Q589" s="47">
        <f t="shared" si="54"/>
        <v>0</v>
      </c>
      <c r="V589" s="47">
        <f t="shared" si="55"/>
        <v>0</v>
      </c>
      <c r="AB589" t="str">
        <f t="shared" si="56"/>
        <v>No</v>
      </c>
      <c r="AC589">
        <f>TreatmentUsed!E971</f>
        <v>3</v>
      </c>
      <c r="AD589" s="47">
        <f t="shared" si="57"/>
        <v>0</v>
      </c>
      <c r="AE589">
        <f>AD589/E589</f>
        <v>0</v>
      </c>
      <c r="AF589" s="47">
        <f t="shared" si="58"/>
        <v>0</v>
      </c>
      <c r="AG589">
        <f>(V589-V588)/E589</f>
        <v>0</v>
      </c>
      <c r="AH589" t="e">
        <f t="shared" si="59"/>
        <v>#DIV/0!</v>
      </c>
      <c r="AI589" s="10" t="e">
        <f>(AH589/E589)</f>
        <v>#DIV/0!</v>
      </c>
    </row>
    <row r="590" spans="1:35" ht="14.75" x14ac:dyDescent="0.75">
      <c r="A590" s="22">
        <v>4133</v>
      </c>
      <c r="B590" s="3">
        <v>44754</v>
      </c>
      <c r="C590" s="3" t="str">
        <f t="shared" si="60"/>
        <v>7/12/22</v>
      </c>
      <c r="D590" s="3" t="s">
        <v>539</v>
      </c>
      <c r="E590" s="22">
        <f>12+30-15</f>
        <v>27</v>
      </c>
      <c r="G590" s="22" t="s">
        <v>539</v>
      </c>
      <c r="H590" s="22">
        <f>M590+1467.2</f>
        <v>3364.5</v>
      </c>
      <c r="L590" s="22">
        <f t="shared" si="53"/>
        <v>3364.5</v>
      </c>
      <c r="M590" s="47">
        <v>1897.3</v>
      </c>
      <c r="Q590" s="47">
        <f t="shared" si="54"/>
        <v>1897.3</v>
      </c>
      <c r="R590" s="47">
        <v>0</v>
      </c>
      <c r="V590" s="47">
        <f t="shared" si="55"/>
        <v>0</v>
      </c>
      <c r="W590" s="22" t="s">
        <v>1283</v>
      </c>
      <c r="X590" s="22">
        <v>0</v>
      </c>
      <c r="Y590">
        <v>0</v>
      </c>
      <c r="Z590">
        <v>9</v>
      </c>
      <c r="AB590" t="str">
        <f t="shared" si="56"/>
        <v>No</v>
      </c>
      <c r="AC590">
        <v>0</v>
      </c>
      <c r="AD590" s="47">
        <f t="shared" si="57"/>
        <v>1897.3</v>
      </c>
      <c r="AE590">
        <f>AD590/E590</f>
        <v>70.270370370370372</v>
      </c>
      <c r="AF590" s="47">
        <f t="shared" si="58"/>
        <v>0</v>
      </c>
      <c r="AG590">
        <f>(V590-V589)/E590</f>
        <v>0</v>
      </c>
      <c r="AH590">
        <f t="shared" si="59"/>
        <v>0</v>
      </c>
      <c r="AI590" s="10">
        <f>(AH590/E590)</f>
        <v>0</v>
      </c>
    </row>
    <row r="591" spans="1:35" ht="14.75" x14ac:dyDescent="0.75">
      <c r="A591" s="22">
        <v>4133</v>
      </c>
      <c r="B591" s="3">
        <v>44770</v>
      </c>
      <c r="C591" s="3" t="str">
        <f t="shared" si="60"/>
        <v>7/28/22</v>
      </c>
      <c r="D591" s="3" t="s">
        <v>539</v>
      </c>
      <c r="E591" s="22">
        <f>28-12</f>
        <v>16</v>
      </c>
      <c r="G591" s="22" t="s">
        <v>539</v>
      </c>
      <c r="H591" s="22">
        <f>M591+2007.5</f>
        <v>4356.1000000000004</v>
      </c>
      <c r="L591" s="22">
        <f t="shared" si="53"/>
        <v>4356.1000000000004</v>
      </c>
      <c r="M591" s="47">
        <v>2348.6</v>
      </c>
      <c r="Q591" s="47">
        <f t="shared" si="54"/>
        <v>2348.6</v>
      </c>
      <c r="R591" s="47">
        <v>0</v>
      </c>
      <c r="V591" s="47">
        <f t="shared" si="55"/>
        <v>0</v>
      </c>
      <c r="AB591" t="str">
        <f t="shared" si="56"/>
        <v>No</v>
      </c>
      <c r="AC591">
        <v>0</v>
      </c>
      <c r="AD591" s="47">
        <f t="shared" si="57"/>
        <v>451.29999999999995</v>
      </c>
      <c r="AE591">
        <f>AD591/E591</f>
        <v>28.206249999999997</v>
      </c>
      <c r="AF591" s="47">
        <f t="shared" si="58"/>
        <v>0</v>
      </c>
      <c r="AG591">
        <f>(V591-V590)/E591</f>
        <v>0</v>
      </c>
      <c r="AH591">
        <f t="shared" si="59"/>
        <v>0</v>
      </c>
      <c r="AI591" s="10">
        <f>(AH591/E591)</f>
        <v>0</v>
      </c>
    </row>
    <row r="592" spans="1:35" ht="14.75" x14ac:dyDescent="0.75">
      <c r="A592" s="22">
        <v>4133</v>
      </c>
      <c r="B592" s="3">
        <v>44819</v>
      </c>
      <c r="C592" s="3" t="str">
        <f t="shared" si="60"/>
        <v>9/15/22</v>
      </c>
      <c r="D592" s="3" t="s">
        <v>539</v>
      </c>
      <c r="E592" s="22">
        <f>15+31+31-28</f>
        <v>49</v>
      </c>
      <c r="G592" s="22" t="s">
        <v>539</v>
      </c>
      <c r="H592" s="22">
        <f>M592+1668.9</f>
        <v>4268.8</v>
      </c>
      <c r="L592" s="22">
        <f t="shared" si="53"/>
        <v>4268.8</v>
      </c>
      <c r="M592" s="47">
        <v>2599.9</v>
      </c>
      <c r="Q592" s="47">
        <f t="shared" si="54"/>
        <v>2599.9</v>
      </c>
      <c r="R592" s="47">
        <v>0</v>
      </c>
      <c r="V592" s="47">
        <f t="shared" si="55"/>
        <v>0</v>
      </c>
      <c r="AB592" t="str">
        <f t="shared" si="56"/>
        <v>No</v>
      </c>
      <c r="AC592">
        <v>5</v>
      </c>
      <c r="AD592" s="47">
        <f t="shared" si="57"/>
        <v>251.30000000000018</v>
      </c>
      <c r="AE592">
        <f>AD592/E592</f>
        <v>5.1285714285714326</v>
      </c>
      <c r="AF592" s="47">
        <f t="shared" si="58"/>
        <v>0</v>
      </c>
      <c r="AG592">
        <f>(V592-V591)/E592</f>
        <v>0</v>
      </c>
      <c r="AH592">
        <f t="shared" si="59"/>
        <v>0</v>
      </c>
      <c r="AI592" s="10">
        <f>(AH592/E592)</f>
        <v>0</v>
      </c>
    </row>
    <row r="593" spans="1:36" ht="14.75" x14ac:dyDescent="0.75">
      <c r="A593" s="22">
        <v>4133</v>
      </c>
      <c r="B593" s="3">
        <v>44859</v>
      </c>
      <c r="C593" s="3" t="str">
        <f t="shared" si="60"/>
        <v>10/25/22</v>
      </c>
      <c r="D593" s="3" t="s">
        <v>539</v>
      </c>
      <c r="E593" s="22">
        <f>25+30-15</f>
        <v>40</v>
      </c>
      <c r="G593" s="22" t="s">
        <v>539</v>
      </c>
      <c r="L593" s="22">
        <f t="shared" si="53"/>
        <v>0</v>
      </c>
      <c r="Q593" s="47">
        <f t="shared" si="54"/>
        <v>0</v>
      </c>
      <c r="V593" s="47">
        <f t="shared" si="55"/>
        <v>0</v>
      </c>
      <c r="AB593" t="str">
        <f t="shared" si="56"/>
        <v>No</v>
      </c>
      <c r="AC593">
        <v>0</v>
      </c>
      <c r="AD593" s="47">
        <f t="shared" si="57"/>
        <v>-2599.9</v>
      </c>
      <c r="AE593">
        <f>AD593/E593</f>
        <v>-64.997500000000002</v>
      </c>
      <c r="AF593" s="47">
        <f t="shared" si="58"/>
        <v>0</v>
      </c>
      <c r="AG593">
        <f>(V593-V592)/E593</f>
        <v>0</v>
      </c>
      <c r="AH593" t="e">
        <f t="shared" si="59"/>
        <v>#DIV/0!</v>
      </c>
      <c r="AI593" s="10" t="e">
        <f>(AH593/E593)</f>
        <v>#DIV/0!</v>
      </c>
    </row>
    <row r="594" spans="1:36" ht="14.75" x14ac:dyDescent="0.75">
      <c r="A594" s="22">
        <v>4133</v>
      </c>
      <c r="B594" s="3">
        <v>44882</v>
      </c>
      <c r="C594" s="3" t="str">
        <f t="shared" si="60"/>
        <v>11/17/22</v>
      </c>
      <c r="D594" s="3" t="s">
        <v>539</v>
      </c>
      <c r="E594" s="22">
        <f>17+31-25</f>
        <v>23</v>
      </c>
      <c r="G594" s="22" t="s">
        <v>390</v>
      </c>
      <c r="H594" s="22">
        <f>M594+1632</f>
        <v>4230</v>
      </c>
      <c r="L594" s="22">
        <f>SUM(H594:K594)</f>
        <v>4230</v>
      </c>
      <c r="M594" s="47">
        <v>2598</v>
      </c>
      <c r="Q594" s="47">
        <f>SUM(M594:P594)</f>
        <v>2598</v>
      </c>
      <c r="R594" s="47">
        <v>0</v>
      </c>
      <c r="V594" s="47">
        <f>SUM(R594:U594)</f>
        <v>0</v>
      </c>
      <c r="AB594" t="str">
        <f t="shared" si="56"/>
        <v>No</v>
      </c>
      <c r="AC594">
        <v>0</v>
      </c>
      <c r="AD594" s="47">
        <f t="shared" si="57"/>
        <v>2598</v>
      </c>
      <c r="AE594">
        <f>AD594/E594</f>
        <v>112.95652173913044</v>
      </c>
      <c r="AF594" s="47">
        <f t="shared" si="58"/>
        <v>0</v>
      </c>
      <c r="AG594">
        <f>(V594-V593)/E594</f>
        <v>0</v>
      </c>
      <c r="AH594">
        <f t="shared" si="59"/>
        <v>0</v>
      </c>
      <c r="AI594" s="10">
        <f>(AH594/E594)</f>
        <v>0</v>
      </c>
    </row>
    <row r="595" spans="1:36" ht="14.75" x14ac:dyDescent="0.75">
      <c r="A595" s="69">
        <v>4133</v>
      </c>
      <c r="B595" s="70">
        <v>44903</v>
      </c>
      <c r="C595" s="3" t="str">
        <f t="shared" si="60"/>
        <v>12/8/22</v>
      </c>
      <c r="D595" s="3" t="s">
        <v>539</v>
      </c>
      <c r="E595" s="22">
        <f>30-17+8</f>
        <v>21</v>
      </c>
      <c r="G595" s="22" t="s">
        <v>390</v>
      </c>
      <c r="H595" s="22">
        <f>M595+1005.2</f>
        <v>2736.5</v>
      </c>
      <c r="L595" s="22">
        <f t="shared" si="53"/>
        <v>2736.5</v>
      </c>
      <c r="M595" s="47">
        <v>1731.3</v>
      </c>
      <c r="Q595" s="47">
        <f t="shared" si="54"/>
        <v>1731.3</v>
      </c>
      <c r="R595" s="47">
        <v>0</v>
      </c>
      <c r="V595" s="47">
        <f t="shared" si="55"/>
        <v>0</v>
      </c>
      <c r="AB595" t="str">
        <f t="shared" si="56"/>
        <v>No</v>
      </c>
      <c r="AC595">
        <v>0</v>
      </c>
      <c r="AD595" s="47">
        <f t="shared" si="57"/>
        <v>-866.7</v>
      </c>
      <c r="AE595">
        <f>AD595/E595</f>
        <v>-41.271428571428572</v>
      </c>
      <c r="AF595" s="47">
        <f t="shared" si="58"/>
        <v>0</v>
      </c>
      <c r="AG595">
        <f>(V595-V594)/E595</f>
        <v>0</v>
      </c>
      <c r="AH595">
        <f t="shared" si="59"/>
        <v>0</v>
      </c>
      <c r="AI595" s="10">
        <f>(AH595/E595)</f>
        <v>0</v>
      </c>
    </row>
    <row r="596" spans="1:36" ht="14.75" x14ac:dyDescent="0.75">
      <c r="A596" s="22">
        <v>4133</v>
      </c>
      <c r="B596" s="3">
        <v>44971</v>
      </c>
      <c r="C596" s="3" t="str">
        <f t="shared" si="60"/>
        <v>2/14/23</v>
      </c>
      <c r="D596" s="3" t="s">
        <v>539</v>
      </c>
      <c r="E596" s="22">
        <f>31-8+31+14</f>
        <v>68</v>
      </c>
      <c r="G596" s="22" t="s">
        <v>390</v>
      </c>
      <c r="AC596">
        <v>0</v>
      </c>
      <c r="AD596" s="47"/>
      <c r="AF596" s="47"/>
      <c r="AI596" s="10"/>
    </row>
    <row r="597" spans="1:36" ht="14.75" x14ac:dyDescent="0.75">
      <c r="A597" s="22">
        <v>4133</v>
      </c>
      <c r="B597" s="3">
        <v>44992</v>
      </c>
      <c r="C597" s="3" t="str">
        <f t="shared" si="60"/>
        <v>3/7/23</v>
      </c>
      <c r="D597" s="3" t="s">
        <v>539</v>
      </c>
      <c r="G597" s="22" t="s">
        <v>390</v>
      </c>
      <c r="AC597">
        <v>0</v>
      </c>
      <c r="AD597" s="47"/>
      <c r="AF597" s="47"/>
      <c r="AI597" s="10"/>
    </row>
    <row r="598" spans="1:36" ht="14.75" x14ac:dyDescent="0.75">
      <c r="A598" s="22">
        <v>4133</v>
      </c>
      <c r="B598" s="3">
        <v>45036</v>
      </c>
      <c r="C598" s="3" t="str">
        <f t="shared" si="60"/>
        <v>4/20/23</v>
      </c>
      <c r="D598" s="3" t="s">
        <v>539</v>
      </c>
      <c r="G598" s="22" t="s">
        <v>390</v>
      </c>
      <c r="AC598">
        <v>0</v>
      </c>
      <c r="AD598" s="47"/>
      <c r="AF598" s="47"/>
      <c r="AI598" s="10"/>
    </row>
    <row r="599" spans="1:36" ht="14.75" x14ac:dyDescent="0.75">
      <c r="A599" s="69">
        <v>4133</v>
      </c>
      <c r="B599" s="70">
        <v>45071</v>
      </c>
      <c r="C599" s="3" t="str">
        <f t="shared" si="60"/>
        <v>5/25/23</v>
      </c>
      <c r="D599" s="3" t="s">
        <v>539</v>
      </c>
      <c r="G599" s="22" t="s">
        <v>390</v>
      </c>
      <c r="L599" s="22">
        <f t="shared" si="53"/>
        <v>0</v>
      </c>
      <c r="Q599" s="47">
        <f t="shared" si="54"/>
        <v>0</v>
      </c>
      <c r="V599" s="47">
        <f t="shared" si="55"/>
        <v>0</v>
      </c>
      <c r="AC599">
        <v>0</v>
      </c>
      <c r="AD599" s="47"/>
      <c r="AF599" s="47"/>
      <c r="AI599" s="10"/>
    </row>
    <row r="600" spans="1:36" ht="14.75" x14ac:dyDescent="0.75">
      <c r="A600" s="22">
        <v>4133</v>
      </c>
      <c r="B600" s="3">
        <v>45112</v>
      </c>
      <c r="C600" s="3" t="str">
        <f t="shared" si="60"/>
        <v>7/5/23</v>
      </c>
      <c r="D600" s="3" t="s">
        <v>539</v>
      </c>
      <c r="G600" s="22" t="s">
        <v>390</v>
      </c>
      <c r="AC600">
        <v>0</v>
      </c>
      <c r="AD600" s="47"/>
      <c r="AF600" s="47"/>
      <c r="AI600" s="10"/>
    </row>
    <row r="601" spans="1:36" ht="14.75" x14ac:dyDescent="0.75">
      <c r="A601" s="22">
        <v>4133</v>
      </c>
      <c r="B601" s="3">
        <v>45160</v>
      </c>
      <c r="C601" s="3" t="str">
        <f t="shared" si="60"/>
        <v>8/22/23</v>
      </c>
      <c r="D601" s="3" t="s">
        <v>539</v>
      </c>
      <c r="G601" s="22" t="s">
        <v>390</v>
      </c>
      <c r="AC601">
        <v>0</v>
      </c>
      <c r="AD601" s="47"/>
      <c r="AF601" s="47"/>
      <c r="AI601" s="10"/>
    </row>
    <row r="602" spans="1:36" s="205" customFormat="1" ht="14.75" x14ac:dyDescent="0.75">
      <c r="A602" s="200">
        <v>4190</v>
      </c>
      <c r="B602" s="201">
        <v>44624</v>
      </c>
      <c r="C602" s="3" t="str">
        <f t="shared" si="60"/>
        <v>3/4/22</v>
      </c>
      <c r="D602" s="3" t="s">
        <v>539</v>
      </c>
      <c r="E602" s="200">
        <v>0</v>
      </c>
      <c r="F602" s="200"/>
      <c r="G602" s="200" t="s">
        <v>539</v>
      </c>
      <c r="H602" s="200"/>
      <c r="I602" s="200"/>
      <c r="J602" s="200"/>
      <c r="K602" s="200"/>
      <c r="L602" s="200"/>
      <c r="M602" s="204"/>
      <c r="N602" s="204"/>
      <c r="O602" s="204"/>
      <c r="P602" s="204"/>
      <c r="Q602" s="204"/>
      <c r="R602" s="204"/>
      <c r="S602" s="204"/>
      <c r="T602" s="204"/>
      <c r="U602" s="204"/>
      <c r="V602" s="204"/>
      <c r="W602" s="200"/>
      <c r="X602" s="200"/>
      <c r="AD602" s="204"/>
      <c r="AF602" s="204"/>
      <c r="AI602" s="206"/>
    </row>
    <row r="603" spans="1:36" ht="14.75" x14ac:dyDescent="0.75">
      <c r="A603" s="22">
        <v>4190</v>
      </c>
      <c r="B603" s="3">
        <v>44627</v>
      </c>
      <c r="C603" s="3" t="str">
        <f t="shared" si="60"/>
        <v>3/7/22</v>
      </c>
      <c r="D603" s="3" t="s">
        <v>539</v>
      </c>
      <c r="E603" s="22">
        <v>3</v>
      </c>
      <c r="G603" s="22" t="s">
        <v>539</v>
      </c>
      <c r="AD603" s="47"/>
      <c r="AF603" s="47"/>
      <c r="AI603" s="10"/>
      <c r="AJ603" t="s">
        <v>1313</v>
      </c>
    </row>
    <row r="604" spans="1:36" ht="14.75" x14ac:dyDescent="0.75">
      <c r="A604" s="22">
        <v>4190</v>
      </c>
      <c r="B604" s="3">
        <v>44639</v>
      </c>
      <c r="C604" s="3" t="str">
        <f t="shared" si="60"/>
        <v>3/19/22</v>
      </c>
      <c r="D604" s="3" t="s">
        <v>539</v>
      </c>
      <c r="E604" s="22">
        <f>19-7</f>
        <v>12</v>
      </c>
      <c r="G604" s="22" t="s">
        <v>539</v>
      </c>
      <c r="AC604">
        <v>34</v>
      </c>
      <c r="AD604" s="47"/>
      <c r="AF604" s="47"/>
      <c r="AI604" s="10"/>
    </row>
    <row r="605" spans="1:36" ht="14.75" x14ac:dyDescent="0.75">
      <c r="A605" s="22">
        <v>4190</v>
      </c>
      <c r="B605" s="3">
        <v>44655</v>
      </c>
      <c r="C605" s="3" t="str">
        <f t="shared" si="60"/>
        <v>4/4/22</v>
      </c>
      <c r="D605" s="3" t="s">
        <v>539</v>
      </c>
      <c r="E605" s="22">
        <f>31-19+4</f>
        <v>16</v>
      </c>
      <c r="G605" s="22" t="s">
        <v>539</v>
      </c>
      <c r="L605" s="22">
        <f t="shared" si="53"/>
        <v>0</v>
      </c>
      <c r="Q605" s="47">
        <f t="shared" si="54"/>
        <v>0</v>
      </c>
      <c r="V605" s="47">
        <f t="shared" si="55"/>
        <v>0</v>
      </c>
      <c r="AB605" t="str">
        <f t="shared" si="56"/>
        <v>No</v>
      </c>
      <c r="AC605">
        <f>TreatmentUsed!E104</f>
        <v>30</v>
      </c>
      <c r="AD605" s="47" t="e">
        <f>Q605-#REF!</f>
        <v>#REF!</v>
      </c>
      <c r="AE605" t="e">
        <f>AD605/E605</f>
        <v>#REF!</v>
      </c>
      <c r="AF605" s="47" t="e">
        <f>V605-#REF!</f>
        <v>#REF!</v>
      </c>
      <c r="AG605" t="e">
        <f>(V605-#REF!)/E605</f>
        <v>#REF!</v>
      </c>
      <c r="AH605" t="e">
        <f t="shared" si="59"/>
        <v>#DIV/0!</v>
      </c>
      <c r="AI605" s="10" t="e">
        <f>(AH605/E605)</f>
        <v>#DIV/0!</v>
      </c>
    </row>
    <row r="606" spans="1:36" ht="14.75" x14ac:dyDescent="0.75">
      <c r="A606" s="22">
        <v>4190</v>
      </c>
      <c r="B606" s="3">
        <v>44677</v>
      </c>
      <c r="C606" s="3" t="str">
        <f t="shared" si="60"/>
        <v>4/26/22</v>
      </c>
      <c r="D606" s="3" t="s">
        <v>539</v>
      </c>
      <c r="E606" s="22">
        <f>26-4</f>
        <v>22</v>
      </c>
      <c r="G606" s="22" t="s">
        <v>539</v>
      </c>
      <c r="L606" s="22">
        <f t="shared" si="53"/>
        <v>0</v>
      </c>
      <c r="Q606" s="47">
        <f t="shared" si="54"/>
        <v>0</v>
      </c>
      <c r="V606" s="47">
        <f t="shared" si="55"/>
        <v>0</v>
      </c>
      <c r="AB606" t="str">
        <f t="shared" si="56"/>
        <v>No</v>
      </c>
      <c r="AC606">
        <v>0</v>
      </c>
      <c r="AD606" s="47">
        <f t="shared" si="57"/>
        <v>0</v>
      </c>
      <c r="AE606">
        <f>AD606/E606</f>
        <v>0</v>
      </c>
      <c r="AF606" s="47">
        <f t="shared" si="58"/>
        <v>0</v>
      </c>
      <c r="AG606">
        <f>(V606-V605)/E606</f>
        <v>0</v>
      </c>
      <c r="AH606" t="e">
        <f t="shared" si="59"/>
        <v>#DIV/0!</v>
      </c>
      <c r="AI606" s="10" t="e">
        <f>(AH606/E606)</f>
        <v>#DIV/0!</v>
      </c>
    </row>
    <row r="607" spans="1:36" ht="14.75" x14ac:dyDescent="0.75">
      <c r="A607" s="22">
        <v>4190</v>
      </c>
      <c r="B607" s="3">
        <v>44698</v>
      </c>
      <c r="C607" s="3" t="str">
        <f t="shared" si="60"/>
        <v>5/17/22</v>
      </c>
      <c r="D607" s="3" t="s">
        <v>539</v>
      </c>
      <c r="E607" s="22">
        <f>30-26+17</f>
        <v>21</v>
      </c>
      <c r="G607" s="22" t="s">
        <v>539</v>
      </c>
      <c r="L607" s="22">
        <f t="shared" si="53"/>
        <v>0</v>
      </c>
      <c r="Q607" s="47">
        <f t="shared" si="54"/>
        <v>0</v>
      </c>
      <c r="V607" s="47">
        <f t="shared" si="55"/>
        <v>0</v>
      </c>
      <c r="AB607" t="str">
        <f t="shared" si="56"/>
        <v>No</v>
      </c>
      <c r="AC607">
        <f>TreatmentUsed!E423</f>
        <v>18</v>
      </c>
      <c r="AD607" s="47">
        <f t="shared" si="57"/>
        <v>0</v>
      </c>
      <c r="AE607">
        <f>AD607/E607</f>
        <v>0</v>
      </c>
      <c r="AF607" s="47">
        <f t="shared" si="58"/>
        <v>0</v>
      </c>
      <c r="AG607">
        <f>(V607-V606)/E607</f>
        <v>0</v>
      </c>
      <c r="AH607" t="e">
        <f t="shared" si="59"/>
        <v>#DIV/0!</v>
      </c>
      <c r="AI607" s="10" t="e">
        <f>(AH607/E607)</f>
        <v>#DIV/0!</v>
      </c>
    </row>
    <row r="608" spans="1:36" ht="14.75" x14ac:dyDescent="0.75">
      <c r="A608" s="22">
        <v>4190</v>
      </c>
      <c r="B608" s="3">
        <v>44727</v>
      </c>
      <c r="C608" s="3" t="str">
        <f t="shared" si="60"/>
        <v>6/15/22</v>
      </c>
      <c r="D608" s="3" t="s">
        <v>539</v>
      </c>
      <c r="E608" s="22">
        <f>31-17+15</f>
        <v>29</v>
      </c>
      <c r="G608" s="22" t="s">
        <v>539</v>
      </c>
      <c r="L608" s="22">
        <f t="shared" si="53"/>
        <v>0</v>
      </c>
      <c r="Q608" s="47">
        <f t="shared" si="54"/>
        <v>0</v>
      </c>
      <c r="V608" s="47">
        <f t="shared" si="55"/>
        <v>0</v>
      </c>
      <c r="AB608" t="str">
        <f t="shared" si="56"/>
        <v>No</v>
      </c>
      <c r="AC608">
        <f>TreatmentUsed!E962</f>
        <v>9</v>
      </c>
      <c r="AD608" s="47">
        <f t="shared" si="57"/>
        <v>0</v>
      </c>
      <c r="AE608">
        <f>AD608/E608</f>
        <v>0</v>
      </c>
      <c r="AF608" s="47">
        <f t="shared" si="58"/>
        <v>0</v>
      </c>
      <c r="AG608">
        <f>(V608-V607)/E608</f>
        <v>0</v>
      </c>
      <c r="AH608" t="e">
        <f t="shared" si="59"/>
        <v>#DIV/0!</v>
      </c>
      <c r="AI608" s="10" t="e">
        <f>(AH608/E608)</f>
        <v>#DIV/0!</v>
      </c>
    </row>
    <row r="609" spans="1:35" ht="14.75" x14ac:dyDescent="0.75">
      <c r="A609" s="22">
        <v>4190</v>
      </c>
      <c r="B609" s="3">
        <v>44754</v>
      </c>
      <c r="C609" s="3" t="str">
        <f t="shared" si="60"/>
        <v>7/12/22</v>
      </c>
      <c r="D609" s="3" t="s">
        <v>539</v>
      </c>
      <c r="E609" s="22">
        <f>12+30-15</f>
        <v>27</v>
      </c>
      <c r="G609" s="22" t="s">
        <v>539</v>
      </c>
      <c r="L609" s="22">
        <f t="shared" si="53"/>
        <v>0</v>
      </c>
      <c r="Q609" s="47">
        <f t="shared" si="54"/>
        <v>0</v>
      </c>
      <c r="V609" s="47">
        <f t="shared" si="55"/>
        <v>0</v>
      </c>
      <c r="AB609" t="str">
        <f t="shared" si="56"/>
        <v>No</v>
      </c>
      <c r="AC609">
        <v>9</v>
      </c>
      <c r="AD609" s="47">
        <f t="shared" si="57"/>
        <v>0</v>
      </c>
      <c r="AE609">
        <f>AD609/E609</f>
        <v>0</v>
      </c>
      <c r="AF609" s="47">
        <f t="shared" si="58"/>
        <v>0</v>
      </c>
      <c r="AG609">
        <f>(V609-V608)/E609</f>
        <v>0</v>
      </c>
      <c r="AH609" t="e">
        <f t="shared" si="59"/>
        <v>#DIV/0!</v>
      </c>
      <c r="AI609" s="10" t="e">
        <f>(AH609/E609)</f>
        <v>#DIV/0!</v>
      </c>
    </row>
    <row r="610" spans="1:35" ht="14.75" x14ac:dyDescent="0.75">
      <c r="A610" s="22">
        <v>4190</v>
      </c>
      <c r="B610" s="3">
        <v>44770</v>
      </c>
      <c r="C610" s="3" t="str">
        <f t="shared" si="60"/>
        <v>7/28/22</v>
      </c>
      <c r="D610" s="3" t="s">
        <v>539</v>
      </c>
      <c r="E610" s="22">
        <f>28-12</f>
        <v>16</v>
      </c>
      <c r="G610" s="22" t="s">
        <v>539</v>
      </c>
      <c r="L610" s="22">
        <f t="shared" si="53"/>
        <v>0</v>
      </c>
      <c r="Q610" s="47">
        <f t="shared" si="54"/>
        <v>0</v>
      </c>
      <c r="V610" s="47">
        <f t="shared" si="55"/>
        <v>0</v>
      </c>
      <c r="AB610" t="str">
        <f t="shared" si="56"/>
        <v>No</v>
      </c>
      <c r="AC610">
        <v>0</v>
      </c>
      <c r="AD610" s="47">
        <f t="shared" si="57"/>
        <v>0</v>
      </c>
      <c r="AE610">
        <f>AD610/E610</f>
        <v>0</v>
      </c>
      <c r="AF610" s="47">
        <f t="shared" si="58"/>
        <v>0</v>
      </c>
      <c r="AG610">
        <f>(V610-V609)/E610</f>
        <v>0</v>
      </c>
      <c r="AH610" t="e">
        <f t="shared" si="59"/>
        <v>#DIV/0!</v>
      </c>
      <c r="AI610" s="10" t="e">
        <f>(AH610/E610)</f>
        <v>#DIV/0!</v>
      </c>
    </row>
    <row r="611" spans="1:35" ht="14.75" x14ac:dyDescent="0.75">
      <c r="A611" s="22">
        <v>4190</v>
      </c>
      <c r="B611" s="3">
        <v>44819</v>
      </c>
      <c r="C611" s="3" t="str">
        <f t="shared" si="60"/>
        <v>9/15/22</v>
      </c>
      <c r="D611" s="3" t="s">
        <v>539</v>
      </c>
      <c r="E611" s="22">
        <f>15+31+31-28</f>
        <v>49</v>
      </c>
      <c r="G611" s="22" t="s">
        <v>390</v>
      </c>
      <c r="L611" s="22">
        <f t="shared" si="53"/>
        <v>0</v>
      </c>
      <c r="Q611" s="47">
        <f t="shared" si="54"/>
        <v>0</v>
      </c>
      <c r="V611" s="47">
        <f t="shared" si="55"/>
        <v>0</v>
      </c>
      <c r="AB611" t="str">
        <f t="shared" si="56"/>
        <v>No</v>
      </c>
      <c r="AC611">
        <v>0</v>
      </c>
      <c r="AD611" s="47">
        <f t="shared" si="57"/>
        <v>0</v>
      </c>
      <c r="AE611">
        <f>AD611/E611</f>
        <v>0</v>
      </c>
      <c r="AF611" s="47">
        <f t="shared" si="58"/>
        <v>0</v>
      </c>
      <c r="AG611">
        <f>(V611-V610)/E611</f>
        <v>0</v>
      </c>
      <c r="AH611" t="e">
        <f t="shared" si="59"/>
        <v>#DIV/0!</v>
      </c>
      <c r="AI611" s="10" t="e">
        <f>(AH611/E611)</f>
        <v>#DIV/0!</v>
      </c>
    </row>
    <row r="612" spans="1:35" ht="14.75" x14ac:dyDescent="0.75">
      <c r="A612" s="22">
        <v>4190</v>
      </c>
      <c r="B612" s="3">
        <v>44859</v>
      </c>
      <c r="C612" s="3" t="str">
        <f t="shared" si="60"/>
        <v>10/25/22</v>
      </c>
      <c r="D612" s="3" t="s">
        <v>539</v>
      </c>
      <c r="E612" s="22">
        <f>25+30-15</f>
        <v>40</v>
      </c>
      <c r="G612" s="22" t="s">
        <v>539</v>
      </c>
      <c r="L612" s="22">
        <f t="shared" si="53"/>
        <v>0</v>
      </c>
      <c r="Q612" s="47">
        <f t="shared" si="54"/>
        <v>0</v>
      </c>
      <c r="V612" s="47">
        <f t="shared" si="55"/>
        <v>0</v>
      </c>
      <c r="AB612" t="str">
        <f t="shared" si="56"/>
        <v>No</v>
      </c>
      <c r="AC612">
        <v>4</v>
      </c>
      <c r="AD612" s="47">
        <f t="shared" si="57"/>
        <v>0</v>
      </c>
      <c r="AE612">
        <f>AD612/E612</f>
        <v>0</v>
      </c>
      <c r="AF612" s="47">
        <f t="shared" si="58"/>
        <v>0</v>
      </c>
      <c r="AG612">
        <f>(V612-V611)/E612</f>
        <v>0</v>
      </c>
      <c r="AH612" t="e">
        <f t="shared" si="59"/>
        <v>#DIV/0!</v>
      </c>
      <c r="AI612" s="10" t="e">
        <f>(AH612/E612)</f>
        <v>#DIV/0!</v>
      </c>
    </row>
    <row r="613" spans="1:35" ht="14.75" x14ac:dyDescent="0.75">
      <c r="A613" s="22">
        <v>4190</v>
      </c>
      <c r="B613" s="3">
        <v>44882</v>
      </c>
      <c r="C613" s="3" t="str">
        <f t="shared" si="60"/>
        <v>11/17/22</v>
      </c>
      <c r="D613" s="3" t="s">
        <v>539</v>
      </c>
      <c r="E613" s="22">
        <f>17+31-25</f>
        <v>23</v>
      </c>
      <c r="G613" s="22" t="s">
        <v>539</v>
      </c>
      <c r="L613" s="22">
        <f t="shared" ref="L613:L666" si="61">SUM(H613:K613)</f>
        <v>0</v>
      </c>
      <c r="Q613" s="47">
        <f t="shared" ref="Q613:Q666" si="62">SUM(M613:P613)</f>
        <v>0</v>
      </c>
      <c r="V613" s="47">
        <f t="shared" ref="V613:V666" si="63">SUM(R613:U613)</f>
        <v>0</v>
      </c>
      <c r="AB613" t="str">
        <f t="shared" si="56"/>
        <v>No</v>
      </c>
      <c r="AC613">
        <v>0</v>
      </c>
      <c r="AD613" s="47">
        <f t="shared" si="57"/>
        <v>0</v>
      </c>
      <c r="AE613">
        <f>AD613/E613</f>
        <v>0</v>
      </c>
      <c r="AF613" s="47">
        <f t="shared" si="58"/>
        <v>0</v>
      </c>
      <c r="AG613">
        <f>(V613-V612)/E613</f>
        <v>0</v>
      </c>
      <c r="AH613" t="e">
        <f t="shared" si="59"/>
        <v>#DIV/0!</v>
      </c>
      <c r="AI613" s="10" t="e">
        <f>(AH613/E613)</f>
        <v>#DIV/0!</v>
      </c>
    </row>
    <row r="614" spans="1:35" ht="14.75" x14ac:dyDescent="0.75">
      <c r="A614" s="69">
        <v>4190</v>
      </c>
      <c r="B614" s="70">
        <v>44903</v>
      </c>
      <c r="C614" s="3" t="str">
        <f t="shared" si="60"/>
        <v>12/8/22</v>
      </c>
      <c r="D614" s="3" t="s">
        <v>539</v>
      </c>
      <c r="E614" s="22">
        <f>30-17+8</f>
        <v>21</v>
      </c>
      <c r="G614" s="22" t="s">
        <v>539</v>
      </c>
      <c r="L614" s="22">
        <f t="shared" si="61"/>
        <v>0</v>
      </c>
      <c r="Q614" s="47">
        <f t="shared" si="62"/>
        <v>0</v>
      </c>
      <c r="V614" s="47">
        <f t="shared" si="63"/>
        <v>0</v>
      </c>
      <c r="AB614" t="str">
        <f t="shared" si="56"/>
        <v>No</v>
      </c>
      <c r="AC614">
        <v>0</v>
      </c>
      <c r="AD614" s="47">
        <f t="shared" si="57"/>
        <v>0</v>
      </c>
      <c r="AE614">
        <f>AD614/E614</f>
        <v>0</v>
      </c>
      <c r="AF614" s="47">
        <f t="shared" si="58"/>
        <v>0</v>
      </c>
      <c r="AG614">
        <f>(V614-V613)/E614</f>
        <v>0</v>
      </c>
      <c r="AH614" t="e">
        <f t="shared" si="59"/>
        <v>#DIV/0!</v>
      </c>
      <c r="AI614" s="10" t="e">
        <f>(AH614/E614)</f>
        <v>#DIV/0!</v>
      </c>
    </row>
    <row r="615" spans="1:35" ht="14.75" x14ac:dyDescent="0.75">
      <c r="A615" s="69">
        <v>4190</v>
      </c>
      <c r="B615" s="70">
        <v>44971</v>
      </c>
      <c r="C615" s="3" t="str">
        <f t="shared" si="60"/>
        <v>2/14/23</v>
      </c>
      <c r="D615" s="3" t="s">
        <v>539</v>
      </c>
      <c r="E615" s="22">
        <f>31-8+31+14</f>
        <v>68</v>
      </c>
      <c r="G615" s="22" t="s">
        <v>390</v>
      </c>
      <c r="L615" s="22">
        <f t="shared" si="61"/>
        <v>0</v>
      </c>
      <c r="Q615" s="47">
        <f t="shared" si="62"/>
        <v>0</v>
      </c>
      <c r="V615" s="47">
        <f t="shared" si="63"/>
        <v>0</v>
      </c>
      <c r="AC615">
        <v>0</v>
      </c>
      <c r="AD615" s="47"/>
      <c r="AF615" s="47"/>
      <c r="AI615" s="10"/>
    </row>
    <row r="616" spans="1:35" ht="14.75" x14ac:dyDescent="0.75">
      <c r="A616" s="22">
        <v>4190</v>
      </c>
      <c r="B616" s="3">
        <v>44992</v>
      </c>
      <c r="C616" s="3" t="str">
        <f t="shared" si="60"/>
        <v>3/7/23</v>
      </c>
      <c r="D616" s="3" t="s">
        <v>539</v>
      </c>
      <c r="E616" s="22">
        <f>28-14+7</f>
        <v>21</v>
      </c>
      <c r="G616" s="22" t="s">
        <v>390</v>
      </c>
      <c r="AC616">
        <v>0</v>
      </c>
      <c r="AD616" s="47"/>
      <c r="AF616" s="47"/>
      <c r="AI616" s="10"/>
    </row>
    <row r="617" spans="1:35" ht="14.75" x14ac:dyDescent="0.75">
      <c r="A617" s="22">
        <v>4190</v>
      </c>
      <c r="B617" s="3">
        <v>45036</v>
      </c>
      <c r="C617" s="3" t="str">
        <f t="shared" si="60"/>
        <v>4/20/23</v>
      </c>
      <c r="D617" s="3" t="s">
        <v>539</v>
      </c>
      <c r="E617" s="22">
        <f>31-7+20</f>
        <v>44</v>
      </c>
      <c r="G617" s="22" t="s">
        <v>390</v>
      </c>
      <c r="AC617">
        <v>0</v>
      </c>
      <c r="AD617" s="47"/>
      <c r="AF617" s="47"/>
      <c r="AI617" s="10"/>
    </row>
    <row r="618" spans="1:35" ht="14.75" x14ac:dyDescent="0.75">
      <c r="A618" s="22">
        <v>4190</v>
      </c>
      <c r="B618" s="3">
        <v>45071</v>
      </c>
      <c r="C618" s="3" t="str">
        <f t="shared" si="60"/>
        <v>5/25/23</v>
      </c>
      <c r="D618" s="3" t="s">
        <v>539</v>
      </c>
      <c r="E618" s="22">
        <f>30-20+25</f>
        <v>35</v>
      </c>
      <c r="G618" s="22" t="s">
        <v>390</v>
      </c>
      <c r="AC618">
        <v>0</v>
      </c>
      <c r="AD618" s="47"/>
      <c r="AF618" s="47"/>
      <c r="AI618" s="10"/>
    </row>
    <row r="619" spans="1:35" ht="14.75" x14ac:dyDescent="0.75">
      <c r="A619" s="22">
        <v>4190</v>
      </c>
      <c r="B619" s="3">
        <v>45112</v>
      </c>
      <c r="C619" s="3" t="str">
        <f t="shared" si="60"/>
        <v>7/5/23</v>
      </c>
      <c r="D619" s="3" t="s">
        <v>539</v>
      </c>
      <c r="E619" s="22">
        <f>31-25+30+5</f>
        <v>41</v>
      </c>
      <c r="G619" s="22" t="s">
        <v>390</v>
      </c>
      <c r="AC619">
        <v>0</v>
      </c>
      <c r="AD619" s="47"/>
      <c r="AF619" s="47"/>
      <c r="AI619" s="10"/>
    </row>
    <row r="620" spans="1:35" ht="14.75" x14ac:dyDescent="0.75">
      <c r="A620" s="22">
        <v>4190</v>
      </c>
      <c r="B620" s="3">
        <v>45160</v>
      </c>
      <c r="C620" s="3" t="str">
        <f t="shared" si="60"/>
        <v>8/22/23</v>
      </c>
      <c r="D620" s="3" t="s">
        <v>539</v>
      </c>
      <c r="E620" s="22">
        <f>31-5+22</f>
        <v>48</v>
      </c>
      <c r="G620" s="22" t="s">
        <v>390</v>
      </c>
      <c r="AD620" s="47"/>
      <c r="AF620" s="47"/>
      <c r="AI620" s="10"/>
    </row>
    <row r="621" spans="1:35" s="205" customFormat="1" ht="14.75" x14ac:dyDescent="0.75">
      <c r="A621" s="200" t="s">
        <v>737</v>
      </c>
      <c r="B621" s="201">
        <v>44641</v>
      </c>
      <c r="C621" s="3" t="str">
        <f t="shared" si="60"/>
        <v>3/21/22</v>
      </c>
      <c r="D621" s="3" t="s">
        <v>539</v>
      </c>
      <c r="E621" s="200">
        <v>0</v>
      </c>
      <c r="F621" s="200"/>
      <c r="G621" s="200" t="s">
        <v>539</v>
      </c>
      <c r="H621" s="200"/>
      <c r="I621" s="200"/>
      <c r="J621" s="200"/>
      <c r="K621" s="200"/>
      <c r="L621" s="200">
        <f t="shared" si="61"/>
        <v>0</v>
      </c>
      <c r="M621" s="204"/>
      <c r="N621" s="204"/>
      <c r="O621" s="204"/>
      <c r="P621" s="204"/>
      <c r="Q621" s="204">
        <f t="shared" si="62"/>
        <v>0</v>
      </c>
      <c r="R621" s="204"/>
      <c r="S621" s="204"/>
      <c r="T621" s="204"/>
      <c r="U621" s="204"/>
      <c r="V621" s="204">
        <f t="shared" si="63"/>
        <v>0</v>
      </c>
      <c r="W621" s="200"/>
      <c r="X621" s="200"/>
      <c r="AB621" s="205" t="str">
        <f t="shared" si="56"/>
        <v>No</v>
      </c>
      <c r="AC621" s="205">
        <f>TreatmentUsed!E66</f>
        <v>3</v>
      </c>
      <c r="AD621" s="204">
        <f>Q621-Q614</f>
        <v>0</v>
      </c>
      <c r="AE621" s="205" t="e">
        <f>AD621/E621</f>
        <v>#DIV/0!</v>
      </c>
      <c r="AF621" s="204">
        <f>V621-V614</f>
        <v>0</v>
      </c>
      <c r="AG621" s="205" t="e">
        <f>(V621-V614)/E621</f>
        <v>#DIV/0!</v>
      </c>
      <c r="AH621" s="205" t="e">
        <f t="shared" si="59"/>
        <v>#DIV/0!</v>
      </c>
      <c r="AI621" s="206" t="e">
        <f>(AH621/E621)</f>
        <v>#DIV/0!</v>
      </c>
    </row>
    <row r="622" spans="1:35" ht="14.75" x14ac:dyDescent="0.75">
      <c r="A622" s="22" t="s">
        <v>737</v>
      </c>
      <c r="B622" s="3">
        <v>44670</v>
      </c>
      <c r="C622" s="3" t="str">
        <f t="shared" si="60"/>
        <v>4/19/22</v>
      </c>
      <c r="D622" s="3" t="s">
        <v>539</v>
      </c>
      <c r="E622" s="22">
        <f>31-21+19</f>
        <v>29</v>
      </c>
      <c r="G622" s="22" t="s">
        <v>539</v>
      </c>
      <c r="L622" s="22">
        <f t="shared" si="61"/>
        <v>0</v>
      </c>
      <c r="Q622" s="47">
        <f t="shared" si="62"/>
        <v>0</v>
      </c>
      <c r="V622" s="47">
        <f t="shared" si="63"/>
        <v>0</v>
      </c>
      <c r="AB622" t="str">
        <f t="shared" si="56"/>
        <v>No</v>
      </c>
      <c r="AC622">
        <v>0</v>
      </c>
      <c r="AD622" s="47">
        <f>Q622-Q621</f>
        <v>0</v>
      </c>
      <c r="AE622">
        <f>AD622/E622</f>
        <v>0</v>
      </c>
      <c r="AF622" s="47">
        <f>V622-V621</f>
        <v>0</v>
      </c>
      <c r="AG622">
        <f>(V622-V621)/E622</f>
        <v>0</v>
      </c>
      <c r="AH622" t="e">
        <f t="shared" si="59"/>
        <v>#DIV/0!</v>
      </c>
      <c r="AI622" s="10" t="e">
        <f>(AH622/E622)</f>
        <v>#DIV/0!</v>
      </c>
    </row>
    <row r="623" spans="1:35" ht="14.75" x14ac:dyDescent="0.75">
      <c r="A623" s="22" t="s">
        <v>737</v>
      </c>
      <c r="B623" s="3">
        <v>44694</v>
      </c>
      <c r="C623" s="3" t="str">
        <f t="shared" si="60"/>
        <v>5/13/22</v>
      </c>
      <c r="D623" s="3" t="s">
        <v>539</v>
      </c>
      <c r="E623" s="22">
        <f>30-19+13</f>
        <v>24</v>
      </c>
      <c r="G623" s="22" t="s">
        <v>539</v>
      </c>
      <c r="L623" s="22">
        <f t="shared" si="61"/>
        <v>0</v>
      </c>
      <c r="Q623" s="47">
        <f t="shared" si="62"/>
        <v>0</v>
      </c>
      <c r="V623" s="47">
        <f t="shared" si="63"/>
        <v>0</v>
      </c>
      <c r="AB623" t="str">
        <f t="shared" si="56"/>
        <v>No</v>
      </c>
      <c r="AC623">
        <v>0</v>
      </c>
      <c r="AD623" s="47">
        <f t="shared" si="57"/>
        <v>0</v>
      </c>
      <c r="AE623">
        <f>AD623/E623</f>
        <v>0</v>
      </c>
      <c r="AF623" s="47">
        <f t="shared" si="58"/>
        <v>0</v>
      </c>
      <c r="AG623">
        <f>(V623-V622)/E623</f>
        <v>0</v>
      </c>
      <c r="AH623" t="e">
        <f t="shared" si="59"/>
        <v>#DIV/0!</v>
      </c>
      <c r="AI623" s="10" t="e">
        <f>(AH623/E623)</f>
        <v>#DIV/0!</v>
      </c>
    </row>
    <row r="624" spans="1:35" ht="14.75" x14ac:dyDescent="0.75">
      <c r="A624" s="22" t="s">
        <v>737</v>
      </c>
      <c r="B624" s="3">
        <v>44713</v>
      </c>
      <c r="C624" s="3" t="str">
        <f t="shared" si="60"/>
        <v>6/1/22</v>
      </c>
      <c r="D624" s="3" t="s">
        <v>539</v>
      </c>
      <c r="E624" s="22">
        <f>31-13+1</f>
        <v>19</v>
      </c>
      <c r="G624" s="22" t="s">
        <v>390</v>
      </c>
      <c r="AC624">
        <v>0</v>
      </c>
      <c r="AD624" s="47"/>
      <c r="AF624" s="47"/>
      <c r="AI624" s="10"/>
    </row>
    <row r="625" spans="1:36" ht="14.75" x14ac:dyDescent="0.75">
      <c r="A625" s="22" t="s">
        <v>737</v>
      </c>
      <c r="B625" s="3">
        <v>44741</v>
      </c>
      <c r="C625" s="3" t="str">
        <f t="shared" si="60"/>
        <v>6/29/22</v>
      </c>
      <c r="D625" s="3" t="s">
        <v>539</v>
      </c>
      <c r="E625" s="22">
        <v>28</v>
      </c>
      <c r="G625" s="22" t="s">
        <v>390</v>
      </c>
      <c r="AC625">
        <v>0</v>
      </c>
      <c r="AD625" s="47"/>
      <c r="AF625" s="47"/>
      <c r="AI625" s="10"/>
    </row>
    <row r="626" spans="1:36" ht="14.75" x14ac:dyDescent="0.75">
      <c r="A626" s="22" t="s">
        <v>737</v>
      </c>
      <c r="B626" s="3">
        <v>44742</v>
      </c>
      <c r="C626" s="3" t="str">
        <f t="shared" si="60"/>
        <v>6/30/22</v>
      </c>
      <c r="D626" s="3" t="s">
        <v>539</v>
      </c>
      <c r="E626" s="22">
        <f>31-13+30</f>
        <v>48</v>
      </c>
      <c r="G626" s="22" t="s">
        <v>390</v>
      </c>
      <c r="L626" s="22">
        <f t="shared" si="61"/>
        <v>0</v>
      </c>
      <c r="Q626" s="47">
        <f t="shared" si="62"/>
        <v>0</v>
      </c>
      <c r="V626" s="47">
        <f t="shared" si="63"/>
        <v>0</v>
      </c>
      <c r="AB626" t="str">
        <f t="shared" si="56"/>
        <v>No</v>
      </c>
      <c r="AC626">
        <v>0</v>
      </c>
      <c r="AD626" s="47">
        <f>Q626-Q623</f>
        <v>0</v>
      </c>
      <c r="AE626">
        <f>AD626/E626</f>
        <v>0</v>
      </c>
      <c r="AF626" s="47">
        <f>V626-V623</f>
        <v>0</v>
      </c>
      <c r="AG626">
        <f>(V626-V623)/E626</f>
        <v>0</v>
      </c>
      <c r="AH626" t="e">
        <f t="shared" si="59"/>
        <v>#DIV/0!</v>
      </c>
      <c r="AI626" s="10" t="e">
        <f>(AH626/E626)</f>
        <v>#DIV/0!</v>
      </c>
    </row>
    <row r="627" spans="1:36" ht="14.75" x14ac:dyDescent="0.75">
      <c r="A627" s="22" t="s">
        <v>737</v>
      </c>
      <c r="B627" s="3">
        <v>44783</v>
      </c>
      <c r="C627" s="3" t="str">
        <f t="shared" si="60"/>
        <v>8/10/22</v>
      </c>
      <c r="D627" s="3" t="s">
        <v>539</v>
      </c>
      <c r="E627" s="22">
        <f>31+10</f>
        <v>41</v>
      </c>
      <c r="G627" s="22" t="s">
        <v>390</v>
      </c>
      <c r="L627" s="22">
        <f t="shared" si="61"/>
        <v>0</v>
      </c>
      <c r="Q627" s="47">
        <f t="shared" si="62"/>
        <v>0</v>
      </c>
      <c r="V627" s="47">
        <f t="shared" si="63"/>
        <v>0</v>
      </c>
      <c r="AB627" t="str">
        <f t="shared" si="56"/>
        <v>No</v>
      </c>
      <c r="AC627">
        <v>0</v>
      </c>
      <c r="AD627" s="47">
        <f t="shared" si="57"/>
        <v>0</v>
      </c>
      <c r="AE627">
        <f>AD627/E627</f>
        <v>0</v>
      </c>
      <c r="AF627" s="47">
        <f t="shared" si="58"/>
        <v>0</v>
      </c>
      <c r="AG627">
        <f>(V627-V626)/E627</f>
        <v>0</v>
      </c>
      <c r="AH627" t="e">
        <f t="shared" si="59"/>
        <v>#DIV/0!</v>
      </c>
      <c r="AI627" s="10" t="e">
        <f>(AH627/E627)</f>
        <v>#DIV/0!</v>
      </c>
    </row>
    <row r="628" spans="1:36" ht="14.75" x14ac:dyDescent="0.75">
      <c r="A628" s="207" t="s">
        <v>737</v>
      </c>
      <c r="B628" s="3">
        <v>44845</v>
      </c>
      <c r="C628" s="3" t="str">
        <f t="shared" si="60"/>
        <v>10/11/22</v>
      </c>
      <c r="D628" s="3" t="s">
        <v>539</v>
      </c>
      <c r="E628" s="22">
        <f>31-10+30+11</f>
        <v>62</v>
      </c>
      <c r="G628" s="22" t="s">
        <v>390</v>
      </c>
      <c r="AC628">
        <v>0</v>
      </c>
      <c r="AD628" s="47"/>
      <c r="AF628" s="47"/>
      <c r="AI628" s="10"/>
    </row>
    <row r="629" spans="1:36" ht="14.75" x14ac:dyDescent="0.75">
      <c r="A629" s="207" t="s">
        <v>737</v>
      </c>
      <c r="B629" s="3">
        <v>44873</v>
      </c>
      <c r="C629" s="3" t="str">
        <f t="shared" si="60"/>
        <v>11/8/22</v>
      </c>
      <c r="D629" s="3" t="s">
        <v>539</v>
      </c>
      <c r="E629" s="22">
        <f>31-11+8</f>
        <v>28</v>
      </c>
      <c r="G629" s="22" t="s">
        <v>390</v>
      </c>
      <c r="AC629">
        <v>0</v>
      </c>
      <c r="AD629" s="47"/>
      <c r="AF629" s="47"/>
      <c r="AI629" s="10"/>
    </row>
    <row r="630" spans="1:36" ht="14.75" x14ac:dyDescent="0.75">
      <c r="A630" s="207" t="s">
        <v>737</v>
      </c>
      <c r="B630" s="3">
        <v>44936</v>
      </c>
      <c r="C630" s="3" t="str">
        <f t="shared" si="60"/>
        <v>1/10/23</v>
      </c>
      <c r="D630" s="3" t="s">
        <v>539</v>
      </c>
      <c r="E630" s="22">
        <f>30-8+31+10</f>
        <v>63</v>
      </c>
      <c r="G630" s="22" t="s">
        <v>390</v>
      </c>
      <c r="AC630">
        <v>0</v>
      </c>
      <c r="AD630" s="47"/>
      <c r="AF630" s="47"/>
      <c r="AI630" s="10"/>
      <c r="AJ630" t="s">
        <v>1314</v>
      </c>
    </row>
    <row r="631" spans="1:36" ht="14.75" x14ac:dyDescent="0.75">
      <c r="A631" s="207" t="s">
        <v>737</v>
      </c>
      <c r="B631" s="3">
        <v>44973</v>
      </c>
      <c r="C631" s="3" t="str">
        <f t="shared" si="60"/>
        <v>2/16/23</v>
      </c>
      <c r="D631" s="3" t="s">
        <v>539</v>
      </c>
      <c r="E631" s="22">
        <f>31-10+16</f>
        <v>37</v>
      </c>
      <c r="G631" s="22" t="s">
        <v>390</v>
      </c>
      <c r="AC631">
        <v>0</v>
      </c>
      <c r="AD631" s="47"/>
      <c r="AF631" s="47"/>
      <c r="AI631" s="10"/>
      <c r="AJ631" t="s">
        <v>1315</v>
      </c>
    </row>
    <row r="632" spans="1:36" ht="14.75" x14ac:dyDescent="0.75">
      <c r="A632" s="207" t="s">
        <v>737</v>
      </c>
      <c r="B632" s="3">
        <v>45028</v>
      </c>
      <c r="C632" s="3" t="str">
        <f t="shared" si="60"/>
        <v>4/12/23</v>
      </c>
      <c r="D632" s="3" t="s">
        <v>539</v>
      </c>
      <c r="E632" s="22">
        <f>28-16+31+12</f>
        <v>55</v>
      </c>
      <c r="G632" s="22" t="s">
        <v>390</v>
      </c>
      <c r="AC632">
        <v>0</v>
      </c>
      <c r="AD632" s="47"/>
      <c r="AF632" s="47"/>
      <c r="AI632" s="10"/>
      <c r="AJ632" t="s">
        <v>1316</v>
      </c>
    </row>
    <row r="633" spans="1:36" ht="14.75" x14ac:dyDescent="0.75">
      <c r="A633" s="22" t="s">
        <v>737</v>
      </c>
      <c r="B633" s="3">
        <v>45064</v>
      </c>
      <c r="C633" s="3" t="str">
        <f t="shared" si="60"/>
        <v>5/18/23</v>
      </c>
      <c r="D633" s="3" t="s">
        <v>539</v>
      </c>
      <c r="AD633" s="47"/>
      <c r="AF633" s="47"/>
      <c r="AI633" s="10"/>
    </row>
    <row r="634" spans="1:36" ht="14.75" x14ac:dyDescent="0.75">
      <c r="A634" s="22" t="s">
        <v>737</v>
      </c>
      <c r="B634" s="3">
        <v>45104</v>
      </c>
      <c r="C634" s="3" t="str">
        <f t="shared" si="60"/>
        <v>6/27/23</v>
      </c>
      <c r="D634" s="3" t="s">
        <v>539</v>
      </c>
      <c r="AD634" s="47"/>
      <c r="AF634" s="47"/>
      <c r="AI634" s="10"/>
    </row>
    <row r="635" spans="1:36" ht="14.75" x14ac:dyDescent="0.75">
      <c r="A635" s="22" t="s">
        <v>737</v>
      </c>
      <c r="B635" s="3">
        <v>45162</v>
      </c>
      <c r="C635" s="3" t="str">
        <f t="shared" si="60"/>
        <v>8/24/23</v>
      </c>
      <c r="D635" s="3" t="s">
        <v>539</v>
      </c>
      <c r="F635" s="309"/>
      <c r="AD635" s="47"/>
      <c r="AF635" s="47"/>
      <c r="AI635" s="10"/>
    </row>
    <row r="636" spans="1:36" ht="14.75" x14ac:dyDescent="0.75">
      <c r="A636" s="200" t="s">
        <v>761</v>
      </c>
      <c r="B636" s="201">
        <v>44641</v>
      </c>
      <c r="C636" s="3" t="str">
        <f t="shared" si="60"/>
        <v>3/21/22</v>
      </c>
      <c r="D636" s="3" t="s">
        <v>539</v>
      </c>
      <c r="E636" s="200">
        <v>0</v>
      </c>
      <c r="G636" s="189" t="s">
        <v>539</v>
      </c>
      <c r="H636" s="189"/>
      <c r="I636" s="189"/>
      <c r="J636" s="189"/>
      <c r="K636" s="189"/>
      <c r="L636" s="189">
        <f t="shared" si="61"/>
        <v>0</v>
      </c>
      <c r="M636" s="212"/>
      <c r="N636" s="212"/>
      <c r="O636" s="212"/>
      <c r="P636" s="212"/>
      <c r="Q636" s="212">
        <f t="shared" si="62"/>
        <v>0</v>
      </c>
      <c r="R636" s="212"/>
      <c r="S636" s="212"/>
      <c r="T636" s="212"/>
      <c r="U636" s="212"/>
      <c r="V636" s="212">
        <f t="shared" si="63"/>
        <v>0</v>
      </c>
      <c r="W636" s="189"/>
      <c r="X636" s="189"/>
      <c r="Y636" s="213"/>
      <c r="Z636" s="213"/>
      <c r="AA636" s="213"/>
      <c r="AB636" s="213" t="str">
        <f t="shared" si="56"/>
        <v>No</v>
      </c>
      <c r="AC636" s="215" t="s">
        <v>363</v>
      </c>
      <c r="AD636" s="212">
        <f>Q636-Q627</f>
        <v>0</v>
      </c>
      <c r="AE636" s="213" t="e">
        <f>AD636/E636</f>
        <v>#DIV/0!</v>
      </c>
      <c r="AF636" s="212">
        <f>V636-V627</f>
        <v>0</v>
      </c>
      <c r="AG636" s="213" t="e">
        <f>(V636-V627)/E636</f>
        <v>#DIV/0!</v>
      </c>
      <c r="AH636" s="213" t="e">
        <f t="shared" si="59"/>
        <v>#DIV/0!</v>
      </c>
      <c r="AI636" s="214" t="e">
        <f>(AH636/E636)</f>
        <v>#DIV/0!</v>
      </c>
      <c r="AJ636" s="213" t="s">
        <v>1287</v>
      </c>
    </row>
    <row r="637" spans="1:36" ht="14.75" x14ac:dyDescent="0.75">
      <c r="A637" s="22" t="s">
        <v>761</v>
      </c>
      <c r="B637" s="3">
        <v>44670</v>
      </c>
      <c r="C637" s="3" t="str">
        <f t="shared" si="60"/>
        <v>4/19/22</v>
      </c>
      <c r="D637" s="3" t="s">
        <v>539</v>
      </c>
      <c r="E637" s="22">
        <f>31-21+19</f>
        <v>29</v>
      </c>
      <c r="G637" s="22" t="s">
        <v>539</v>
      </c>
      <c r="L637" s="22">
        <f t="shared" si="61"/>
        <v>0</v>
      </c>
      <c r="Q637" s="47">
        <f t="shared" si="62"/>
        <v>0</v>
      </c>
      <c r="V637" s="47">
        <f t="shared" si="63"/>
        <v>0</v>
      </c>
      <c r="AB637" t="str">
        <f t="shared" si="56"/>
        <v>No</v>
      </c>
      <c r="AC637">
        <f>TreatmentUsed!E319</f>
        <v>4</v>
      </c>
      <c r="AD637" s="47">
        <f t="shared" si="57"/>
        <v>0</v>
      </c>
      <c r="AE637">
        <f>AD637/E637</f>
        <v>0</v>
      </c>
      <c r="AF637" s="47">
        <f t="shared" si="58"/>
        <v>0</v>
      </c>
      <c r="AG637">
        <f>(V637-V636)/E637</f>
        <v>0</v>
      </c>
      <c r="AH637" t="e">
        <f t="shared" si="59"/>
        <v>#DIV/0!</v>
      </c>
      <c r="AI637" s="10" t="e">
        <f>(AH637/E637)</f>
        <v>#DIV/0!</v>
      </c>
    </row>
    <row r="638" spans="1:36" ht="14.75" x14ac:dyDescent="0.75">
      <c r="A638" s="22" t="s">
        <v>761</v>
      </c>
      <c r="B638" s="3">
        <v>44694</v>
      </c>
      <c r="C638" s="3" t="str">
        <f t="shared" si="60"/>
        <v>5/13/22</v>
      </c>
      <c r="D638" s="3" t="s">
        <v>539</v>
      </c>
      <c r="E638" s="22">
        <f>30-19+13</f>
        <v>24</v>
      </c>
      <c r="G638" s="22" t="s">
        <v>539</v>
      </c>
      <c r="L638" s="22">
        <f t="shared" si="61"/>
        <v>0</v>
      </c>
      <c r="Q638" s="47">
        <f t="shared" si="62"/>
        <v>0</v>
      </c>
      <c r="V638" s="47">
        <f t="shared" si="63"/>
        <v>0</v>
      </c>
      <c r="AB638" t="str">
        <f t="shared" si="56"/>
        <v>No</v>
      </c>
      <c r="AC638">
        <f>TreatmentUsed!E419</f>
        <v>8</v>
      </c>
      <c r="AD638" s="47">
        <f>Q638-Q637</f>
        <v>0</v>
      </c>
      <c r="AE638">
        <f>AD638/E638</f>
        <v>0</v>
      </c>
      <c r="AF638" s="47">
        <f>V638-V637</f>
        <v>0</v>
      </c>
      <c r="AG638">
        <f>(V638-V637)/E638</f>
        <v>0</v>
      </c>
      <c r="AH638" t="e">
        <f t="shared" si="59"/>
        <v>#DIV/0!</v>
      </c>
      <c r="AI638" s="10" t="e">
        <f>(AH638/E638)</f>
        <v>#DIV/0!</v>
      </c>
    </row>
    <row r="639" spans="1:36" ht="14.75" x14ac:dyDescent="0.75">
      <c r="A639" s="22" t="s">
        <v>761</v>
      </c>
      <c r="B639" s="3">
        <v>44713</v>
      </c>
      <c r="C639" s="3" t="str">
        <f t="shared" si="60"/>
        <v>6/1/22</v>
      </c>
      <c r="D639" s="3" t="s">
        <v>539</v>
      </c>
      <c r="E639" s="22">
        <v>19</v>
      </c>
      <c r="G639" s="22" t="s">
        <v>539</v>
      </c>
      <c r="L639" s="22">
        <f t="shared" si="61"/>
        <v>0</v>
      </c>
      <c r="AC639">
        <v>0</v>
      </c>
      <c r="AD639" s="47"/>
      <c r="AF639" s="47"/>
      <c r="AI639" s="10"/>
    </row>
    <row r="640" spans="1:36" ht="14.75" x14ac:dyDescent="0.75">
      <c r="A640" s="22" t="s">
        <v>761</v>
      </c>
      <c r="B640" s="3">
        <v>44741</v>
      </c>
      <c r="C640" s="3" t="str">
        <f t="shared" si="60"/>
        <v>6/29/22</v>
      </c>
      <c r="D640" s="3" t="s">
        <v>539</v>
      </c>
      <c r="E640" s="22">
        <v>28</v>
      </c>
      <c r="G640" s="22" t="s">
        <v>539</v>
      </c>
      <c r="L640" s="22">
        <f t="shared" si="61"/>
        <v>0</v>
      </c>
      <c r="AC640">
        <v>0</v>
      </c>
      <c r="AD640" s="47"/>
      <c r="AF640" s="47"/>
      <c r="AI640" s="10"/>
    </row>
    <row r="641" spans="1:36" ht="14.75" x14ac:dyDescent="0.75">
      <c r="A641" s="22" t="s">
        <v>761</v>
      </c>
      <c r="B641" s="3">
        <v>44742</v>
      </c>
      <c r="C641" s="3" t="str">
        <f t="shared" si="60"/>
        <v>6/30/22</v>
      </c>
      <c r="D641" s="3" t="s">
        <v>539</v>
      </c>
      <c r="E641" s="22">
        <f>31-13+30</f>
        <v>48</v>
      </c>
      <c r="G641" s="22" t="s">
        <v>539</v>
      </c>
      <c r="L641" s="22">
        <f t="shared" si="61"/>
        <v>0</v>
      </c>
      <c r="Q641" s="47">
        <f t="shared" si="62"/>
        <v>0</v>
      </c>
      <c r="V641" s="47">
        <f t="shared" si="63"/>
        <v>0</v>
      </c>
      <c r="AB641" t="str">
        <f t="shared" si="56"/>
        <v>No</v>
      </c>
      <c r="AC641">
        <f>TreatmentUsed!E1051</f>
        <v>4</v>
      </c>
      <c r="AD641" s="47">
        <f>Q641-Q638</f>
        <v>0</v>
      </c>
      <c r="AE641">
        <f>AD641/E641</f>
        <v>0</v>
      </c>
      <c r="AF641" s="47">
        <f>V641-V638</f>
        <v>0</v>
      </c>
      <c r="AG641">
        <f>(V641-V638)/E641</f>
        <v>0</v>
      </c>
      <c r="AH641" t="e">
        <f t="shared" si="59"/>
        <v>#DIV/0!</v>
      </c>
      <c r="AI641" s="10" t="e">
        <f>(AH641/E641)</f>
        <v>#DIV/0!</v>
      </c>
    </row>
    <row r="642" spans="1:36" ht="14.75" x14ac:dyDescent="0.75">
      <c r="A642" s="22" t="s">
        <v>761</v>
      </c>
      <c r="B642" s="3">
        <v>44783</v>
      </c>
      <c r="C642" s="3" t="str">
        <f t="shared" si="60"/>
        <v>8/10/22</v>
      </c>
      <c r="D642" s="3" t="s">
        <v>539</v>
      </c>
      <c r="E642" s="22">
        <f>31+10</f>
        <v>41</v>
      </c>
      <c r="G642" s="22" t="s">
        <v>539</v>
      </c>
      <c r="L642" s="22">
        <f t="shared" si="61"/>
        <v>0</v>
      </c>
      <c r="Q642" s="47">
        <f t="shared" si="62"/>
        <v>0</v>
      </c>
      <c r="V642" s="47">
        <f t="shared" si="63"/>
        <v>0</v>
      </c>
      <c r="AB642" t="str">
        <f t="shared" si="56"/>
        <v>No</v>
      </c>
      <c r="AC642">
        <v>0</v>
      </c>
      <c r="AD642" s="47">
        <f t="shared" si="57"/>
        <v>0</v>
      </c>
      <c r="AE642">
        <f>AD642/E642</f>
        <v>0</v>
      </c>
      <c r="AF642" s="47">
        <f t="shared" si="58"/>
        <v>0</v>
      </c>
      <c r="AG642">
        <f>(V642-V641)/E642</f>
        <v>0</v>
      </c>
      <c r="AH642" t="e">
        <f t="shared" si="59"/>
        <v>#DIV/0!</v>
      </c>
      <c r="AI642" s="10" t="e">
        <f>(AH642/E642)</f>
        <v>#DIV/0!</v>
      </c>
    </row>
    <row r="643" spans="1:36" ht="14.75" x14ac:dyDescent="0.75">
      <c r="A643" s="22" t="s">
        <v>761</v>
      </c>
      <c r="B643" s="3">
        <v>44845</v>
      </c>
      <c r="C643" s="3" t="str">
        <f t="shared" ref="C643:C660" si="64">TEXT(B643,"M/D/YY")</f>
        <v>10/11/22</v>
      </c>
      <c r="D643" s="3" t="s">
        <v>539</v>
      </c>
      <c r="E643" s="22">
        <v>62</v>
      </c>
      <c r="G643" s="22" t="s">
        <v>390</v>
      </c>
      <c r="L643" s="22">
        <f t="shared" si="61"/>
        <v>0</v>
      </c>
      <c r="AC643">
        <v>0</v>
      </c>
      <c r="AD643" s="47"/>
      <c r="AF643" s="47"/>
      <c r="AI643" s="10"/>
    </row>
    <row r="644" spans="1:36" ht="14.75" x14ac:dyDescent="0.75">
      <c r="A644" s="22" t="s">
        <v>761</v>
      </c>
      <c r="B644" s="3">
        <v>44873</v>
      </c>
      <c r="C644" s="3" t="str">
        <f t="shared" si="64"/>
        <v>11/8/22</v>
      </c>
      <c r="D644" s="3" t="s">
        <v>539</v>
      </c>
      <c r="E644" s="22">
        <v>28</v>
      </c>
      <c r="G644" s="22" t="s">
        <v>390</v>
      </c>
      <c r="L644" s="22">
        <f t="shared" si="61"/>
        <v>0</v>
      </c>
      <c r="AC644">
        <v>0</v>
      </c>
      <c r="AD644" s="47"/>
      <c r="AF644" s="47"/>
      <c r="AI644" s="10"/>
    </row>
    <row r="645" spans="1:36" ht="14.75" x14ac:dyDescent="0.75">
      <c r="A645" s="22" t="s">
        <v>761</v>
      </c>
      <c r="B645" s="3">
        <v>44936</v>
      </c>
      <c r="C645" s="3" t="str">
        <f t="shared" si="64"/>
        <v>1/10/23</v>
      </c>
      <c r="D645" s="3" t="s">
        <v>539</v>
      </c>
      <c r="E645" s="22">
        <v>63</v>
      </c>
      <c r="G645" s="22" t="s">
        <v>390</v>
      </c>
      <c r="L645" s="22">
        <f t="shared" si="61"/>
        <v>0</v>
      </c>
      <c r="AC645">
        <v>0</v>
      </c>
      <c r="AD645" s="47"/>
      <c r="AF645" s="47"/>
      <c r="AI645" s="10"/>
    </row>
    <row r="646" spans="1:36" ht="14.75" x14ac:dyDescent="0.75">
      <c r="A646" s="22" t="s">
        <v>761</v>
      </c>
      <c r="B646" s="3">
        <v>44973</v>
      </c>
      <c r="C646" s="3" t="str">
        <f t="shared" si="64"/>
        <v>2/16/23</v>
      </c>
      <c r="D646" s="3" t="s">
        <v>539</v>
      </c>
      <c r="E646" s="22">
        <v>37</v>
      </c>
      <c r="G646" s="22" t="s">
        <v>390</v>
      </c>
      <c r="L646" s="22">
        <f t="shared" si="61"/>
        <v>0</v>
      </c>
      <c r="AC646">
        <v>0</v>
      </c>
      <c r="AD646" s="47"/>
      <c r="AF646" s="47"/>
      <c r="AI646" s="10"/>
    </row>
    <row r="647" spans="1:36" ht="14.75" x14ac:dyDescent="0.75">
      <c r="A647" s="22" t="s">
        <v>761</v>
      </c>
      <c r="B647" s="3">
        <v>45028</v>
      </c>
      <c r="C647" s="3" t="str">
        <f t="shared" si="64"/>
        <v>4/12/23</v>
      </c>
      <c r="D647" s="3" t="s">
        <v>539</v>
      </c>
      <c r="E647" s="22">
        <v>55</v>
      </c>
      <c r="G647" s="22" t="s">
        <v>390</v>
      </c>
      <c r="L647" s="22">
        <f t="shared" si="61"/>
        <v>0</v>
      </c>
      <c r="AC647">
        <v>0</v>
      </c>
      <c r="AD647" s="47"/>
      <c r="AF647" s="47"/>
      <c r="AI647" s="10"/>
    </row>
    <row r="648" spans="1:36" ht="14.75" x14ac:dyDescent="0.75">
      <c r="A648" s="22" t="s">
        <v>761</v>
      </c>
      <c r="B648" s="3">
        <v>45064</v>
      </c>
      <c r="C648" s="3" t="str">
        <f t="shared" si="64"/>
        <v>5/18/23</v>
      </c>
      <c r="D648" s="3" t="s">
        <v>539</v>
      </c>
      <c r="E648" s="22">
        <f>30-12+18</f>
        <v>36</v>
      </c>
      <c r="G648" s="22" t="s">
        <v>390</v>
      </c>
      <c r="L648" s="22">
        <f t="shared" si="61"/>
        <v>0</v>
      </c>
      <c r="AC648">
        <v>0</v>
      </c>
      <c r="AD648" s="47"/>
      <c r="AF648" s="47"/>
      <c r="AI648" s="10"/>
    </row>
    <row r="649" spans="1:36" ht="14.75" x14ac:dyDescent="0.75">
      <c r="A649" s="22" t="s">
        <v>761</v>
      </c>
      <c r="B649" s="3">
        <v>45104</v>
      </c>
      <c r="C649" s="3" t="str">
        <f t="shared" si="64"/>
        <v>6/27/23</v>
      </c>
      <c r="D649" s="3" t="s">
        <v>539</v>
      </c>
      <c r="E649" s="22">
        <f>31-18+27</f>
        <v>40</v>
      </c>
      <c r="G649" s="22" t="s">
        <v>390</v>
      </c>
      <c r="L649" s="22">
        <f t="shared" si="61"/>
        <v>0</v>
      </c>
      <c r="AC649">
        <v>0</v>
      </c>
      <c r="AD649" s="47"/>
      <c r="AF649" s="47"/>
      <c r="AI649" s="10"/>
    </row>
    <row r="650" spans="1:36" ht="14.75" x14ac:dyDescent="0.75">
      <c r="A650" s="22" t="s">
        <v>761</v>
      </c>
      <c r="B650" s="3">
        <v>45162</v>
      </c>
      <c r="C650" s="3" t="str">
        <f t="shared" si="64"/>
        <v>8/24/23</v>
      </c>
      <c r="D650" s="3" t="s">
        <v>539</v>
      </c>
      <c r="E650" s="22">
        <f>30-27+31+24</f>
        <v>58</v>
      </c>
      <c r="G650" s="22" t="s">
        <v>390</v>
      </c>
      <c r="L650" s="22">
        <f t="shared" si="61"/>
        <v>0</v>
      </c>
      <c r="AD650" s="47"/>
      <c r="AF650" s="47"/>
      <c r="AI650" s="10"/>
    </row>
    <row r="651" spans="1:36" ht="14.75" x14ac:dyDescent="0.75">
      <c r="A651" s="200" t="s">
        <v>1252</v>
      </c>
      <c r="B651" s="201">
        <v>44715</v>
      </c>
      <c r="C651" s="3" t="str">
        <f t="shared" si="64"/>
        <v>6/3/22</v>
      </c>
      <c r="D651" s="3" t="s">
        <v>539</v>
      </c>
      <c r="E651" s="200">
        <v>0</v>
      </c>
      <c r="F651" s="200"/>
      <c r="G651" s="200" t="s">
        <v>363</v>
      </c>
      <c r="H651" s="200"/>
      <c r="I651" s="200"/>
      <c r="J651" s="200"/>
      <c r="K651" s="200"/>
      <c r="L651" s="200">
        <f t="shared" si="61"/>
        <v>0</v>
      </c>
      <c r="M651" s="204"/>
      <c r="N651" s="204"/>
      <c r="O651" s="204"/>
      <c r="P651" s="204"/>
      <c r="Q651" s="204">
        <f t="shared" si="62"/>
        <v>0</v>
      </c>
      <c r="R651" s="204"/>
      <c r="S651" s="204"/>
      <c r="T651" s="204"/>
      <c r="U651" s="204"/>
      <c r="V651" s="204">
        <f t="shared" si="63"/>
        <v>0</v>
      </c>
      <c r="W651" s="200"/>
      <c r="X651" s="200"/>
      <c r="Y651" s="205"/>
      <c r="Z651" s="205"/>
      <c r="AA651" s="205"/>
      <c r="AB651" s="205" t="str">
        <f t="shared" si="56"/>
        <v>No</v>
      </c>
      <c r="AC651" s="205">
        <v>0</v>
      </c>
      <c r="AD651" s="204" t="e">
        <f>Q651-#REF!</f>
        <v>#REF!</v>
      </c>
      <c r="AE651" s="205" t="e">
        <f>AD651/#REF!</f>
        <v>#REF!</v>
      </c>
      <c r="AF651" s="204" t="e">
        <f>V651-#REF!</f>
        <v>#REF!</v>
      </c>
      <c r="AG651" s="205" t="e">
        <f>(V651-#REF!)/#REF!</f>
        <v>#REF!</v>
      </c>
      <c r="AH651" s="205" t="e">
        <f t="shared" si="59"/>
        <v>#DIV/0!</v>
      </c>
      <c r="AI651" s="206" t="e">
        <f>(AH651/#REF!)</f>
        <v>#DIV/0!</v>
      </c>
      <c r="AJ651" s="205"/>
    </row>
    <row r="652" spans="1:36" ht="14.75" x14ac:dyDescent="0.75">
      <c r="A652" s="22" t="s">
        <v>1252</v>
      </c>
      <c r="B652" s="3">
        <v>44743</v>
      </c>
      <c r="C652" s="3" t="str">
        <f t="shared" si="64"/>
        <v>7/1/22</v>
      </c>
      <c r="D652" s="3" t="s">
        <v>539</v>
      </c>
      <c r="E652" s="22">
        <v>28</v>
      </c>
      <c r="G652" s="22" t="s">
        <v>363</v>
      </c>
      <c r="L652" s="22">
        <f t="shared" si="61"/>
        <v>0</v>
      </c>
      <c r="Q652" s="47">
        <f t="shared" si="62"/>
        <v>0</v>
      </c>
      <c r="V652" s="47">
        <f t="shared" si="63"/>
        <v>0</v>
      </c>
      <c r="AB652" t="str">
        <f t="shared" si="56"/>
        <v>No</v>
      </c>
      <c r="AC652">
        <v>0</v>
      </c>
      <c r="AD652" s="47" t="e">
        <f>Q652-#REF!</f>
        <v>#REF!</v>
      </c>
      <c r="AE652" t="e">
        <f>AD652/E651</f>
        <v>#REF!</v>
      </c>
      <c r="AF652" s="47" t="e">
        <f>V652-#REF!</f>
        <v>#REF!</v>
      </c>
      <c r="AG652" t="e">
        <f>(V652-#REF!)/E651</f>
        <v>#REF!</v>
      </c>
      <c r="AH652" t="e">
        <f t="shared" si="59"/>
        <v>#DIV/0!</v>
      </c>
      <c r="AI652" s="10" t="e">
        <f>(AH652/E651)</f>
        <v>#DIV/0!</v>
      </c>
    </row>
    <row r="653" spans="1:36" s="205" customFormat="1" ht="14.75" x14ac:dyDescent="0.75">
      <c r="A653" s="22" t="s">
        <v>1252</v>
      </c>
      <c r="B653" s="3">
        <v>44762</v>
      </c>
      <c r="C653" s="3" t="str">
        <f t="shared" si="64"/>
        <v>7/20/22</v>
      </c>
      <c r="D653" s="3" t="s">
        <v>539</v>
      </c>
      <c r="E653" s="22">
        <v>20</v>
      </c>
      <c r="F653" s="22"/>
      <c r="G653" s="22" t="s">
        <v>363</v>
      </c>
      <c r="H653" s="22"/>
      <c r="I653" s="22"/>
      <c r="J653" s="22"/>
      <c r="K653" s="22"/>
      <c r="L653" s="22">
        <f t="shared" si="61"/>
        <v>0</v>
      </c>
      <c r="M653" s="47"/>
      <c r="N653" s="47"/>
      <c r="O653" s="47"/>
      <c r="P653" s="47"/>
      <c r="Q653" s="47">
        <f t="shared" si="62"/>
        <v>0</v>
      </c>
      <c r="R653" s="47"/>
      <c r="S653" s="47"/>
      <c r="T653" s="47"/>
      <c r="U653" s="47"/>
      <c r="V653" s="47">
        <f t="shared" si="63"/>
        <v>0</v>
      </c>
      <c r="W653" s="22"/>
      <c r="X653" s="22"/>
      <c r="Y653"/>
      <c r="Z653"/>
      <c r="AA653"/>
      <c r="AB653" t="str">
        <f t="shared" si="56"/>
        <v>No</v>
      </c>
      <c r="AC653">
        <v>0</v>
      </c>
      <c r="AD653" s="47">
        <f t="shared" si="57"/>
        <v>0</v>
      </c>
      <c r="AE653" t="e">
        <f>AD653/#REF!</f>
        <v>#REF!</v>
      </c>
      <c r="AF653" s="47">
        <f t="shared" si="58"/>
        <v>0</v>
      </c>
      <c r="AG653" t="e">
        <f>(V653-V652)/#REF!</f>
        <v>#REF!</v>
      </c>
      <c r="AH653" t="e">
        <f t="shared" si="59"/>
        <v>#DIV/0!</v>
      </c>
      <c r="AI653" s="10" t="e">
        <f>(AH653/#REF!)</f>
        <v>#DIV/0!</v>
      </c>
      <c r="AJ653"/>
    </row>
    <row r="654" spans="1:36" ht="14.75" x14ac:dyDescent="0.75">
      <c r="A654" s="22" t="s">
        <v>1252</v>
      </c>
      <c r="B654" s="3">
        <v>44784</v>
      </c>
      <c r="C654" s="3" t="str">
        <f t="shared" si="64"/>
        <v>8/11/22</v>
      </c>
      <c r="D654" s="3" t="s">
        <v>539</v>
      </c>
      <c r="E654" s="22">
        <v>22</v>
      </c>
      <c r="G654" s="22" t="s">
        <v>363</v>
      </c>
      <c r="L654" s="22">
        <f t="shared" si="61"/>
        <v>0</v>
      </c>
      <c r="Q654" s="47">
        <f t="shared" si="62"/>
        <v>0</v>
      </c>
      <c r="V654" s="47">
        <f t="shared" si="63"/>
        <v>0</v>
      </c>
      <c r="AB654" t="str">
        <f t="shared" si="56"/>
        <v>No</v>
      </c>
      <c r="AC654">
        <v>0</v>
      </c>
      <c r="AD654" s="47">
        <f t="shared" si="57"/>
        <v>0</v>
      </c>
      <c r="AE654">
        <f>AD654/E652</f>
        <v>0</v>
      </c>
      <c r="AF654" s="47">
        <f t="shared" si="58"/>
        <v>0</v>
      </c>
      <c r="AG654">
        <f>(V654-V653)/E652</f>
        <v>0</v>
      </c>
      <c r="AH654" t="e">
        <f t="shared" si="59"/>
        <v>#DIV/0!</v>
      </c>
      <c r="AI654" s="10" t="e">
        <f>(AH654/E652)</f>
        <v>#DIV/0!</v>
      </c>
    </row>
    <row r="655" spans="1:36" ht="14.75" x14ac:dyDescent="0.75">
      <c r="A655" s="22" t="s">
        <v>1252</v>
      </c>
      <c r="B655" s="3">
        <v>44845</v>
      </c>
      <c r="C655" s="3" t="str">
        <f t="shared" si="64"/>
        <v>10/11/22</v>
      </c>
      <c r="D655" s="3" t="s">
        <v>539</v>
      </c>
      <c r="E655" s="22">
        <v>61</v>
      </c>
      <c r="G655" s="22" t="s">
        <v>363</v>
      </c>
      <c r="L655" s="22">
        <f t="shared" si="61"/>
        <v>0</v>
      </c>
      <c r="Q655" s="47">
        <f t="shared" si="62"/>
        <v>0</v>
      </c>
      <c r="V655" s="47">
        <f t="shared" si="63"/>
        <v>0</v>
      </c>
      <c r="AB655" t="str">
        <f t="shared" si="56"/>
        <v>No</v>
      </c>
      <c r="AC655">
        <v>0</v>
      </c>
      <c r="AD655" s="47">
        <f t="shared" si="57"/>
        <v>0</v>
      </c>
      <c r="AE655">
        <f>AD655/E653</f>
        <v>0</v>
      </c>
      <c r="AF655" s="47">
        <f t="shared" si="58"/>
        <v>0</v>
      </c>
      <c r="AG655">
        <f>(V655-V654)/E653</f>
        <v>0</v>
      </c>
      <c r="AH655" t="e">
        <f t="shared" si="59"/>
        <v>#DIV/0!</v>
      </c>
      <c r="AI655" s="10" t="e">
        <f>(AH655/E653)</f>
        <v>#DIV/0!</v>
      </c>
    </row>
    <row r="656" spans="1:36" ht="14.75" x14ac:dyDescent="0.75">
      <c r="A656" s="22" t="s">
        <v>1252</v>
      </c>
      <c r="B656" s="3">
        <v>44937</v>
      </c>
      <c r="C656" s="3" t="str">
        <f t="shared" si="64"/>
        <v>1/11/23</v>
      </c>
      <c r="D656" s="3" t="s">
        <v>539</v>
      </c>
      <c r="E656" s="22">
        <v>92</v>
      </c>
      <c r="G656" s="22" t="s">
        <v>363</v>
      </c>
      <c r="L656" s="22">
        <f t="shared" si="61"/>
        <v>0</v>
      </c>
      <c r="Q656" s="47">
        <f t="shared" si="62"/>
        <v>0</v>
      </c>
      <c r="V656" s="47">
        <f t="shared" si="63"/>
        <v>0</v>
      </c>
      <c r="AB656" t="str">
        <f t="shared" si="56"/>
        <v>No</v>
      </c>
      <c r="AC656">
        <v>0</v>
      </c>
      <c r="AD656" s="47">
        <f t="shared" si="57"/>
        <v>0</v>
      </c>
      <c r="AE656">
        <f>AD656/E654</f>
        <v>0</v>
      </c>
      <c r="AF656" s="47">
        <f t="shared" si="58"/>
        <v>0</v>
      </c>
      <c r="AG656">
        <f>(V656-V655)/E654</f>
        <v>0</v>
      </c>
      <c r="AH656" t="e">
        <f t="shared" si="59"/>
        <v>#DIV/0!</v>
      </c>
      <c r="AI656" s="10" t="e">
        <f>(AH656/E654)</f>
        <v>#DIV/0!</v>
      </c>
    </row>
    <row r="657" spans="1:35" ht="14.75" x14ac:dyDescent="0.75">
      <c r="A657" s="22" t="s">
        <v>1252</v>
      </c>
      <c r="B657" s="3">
        <v>44980</v>
      </c>
      <c r="C657" s="3" t="str">
        <f t="shared" si="64"/>
        <v>2/23/23</v>
      </c>
      <c r="D657" s="3" t="s">
        <v>539</v>
      </c>
      <c r="E657" s="22">
        <v>43</v>
      </c>
      <c r="G657" s="22" t="s">
        <v>363</v>
      </c>
      <c r="L657" s="22">
        <f t="shared" si="61"/>
        <v>0</v>
      </c>
      <c r="Q657" s="47">
        <f t="shared" si="62"/>
        <v>0</v>
      </c>
      <c r="V657" s="47">
        <f t="shared" si="63"/>
        <v>0</v>
      </c>
      <c r="AB657" t="str">
        <f t="shared" si="56"/>
        <v>No</v>
      </c>
      <c r="AC657">
        <v>0</v>
      </c>
      <c r="AD657" s="47">
        <f t="shared" si="57"/>
        <v>0</v>
      </c>
      <c r="AE657">
        <f>AD657/E655</f>
        <v>0</v>
      </c>
      <c r="AF657" s="47">
        <f t="shared" si="58"/>
        <v>0</v>
      </c>
      <c r="AG657">
        <f>(V657-V656)/E655</f>
        <v>0</v>
      </c>
      <c r="AH657" t="e">
        <f t="shared" si="59"/>
        <v>#DIV/0!</v>
      </c>
      <c r="AI657" s="10" t="e">
        <f>(AH657/E655)</f>
        <v>#DIV/0!</v>
      </c>
    </row>
    <row r="658" spans="1:35" ht="14.75" x14ac:dyDescent="0.75">
      <c r="A658" s="22" t="s">
        <v>1252</v>
      </c>
      <c r="B658" s="3">
        <v>45028</v>
      </c>
      <c r="C658" s="3" t="str">
        <f t="shared" si="64"/>
        <v>4/12/23</v>
      </c>
      <c r="D658" s="3" t="s">
        <v>539</v>
      </c>
      <c r="E658" s="22">
        <v>48</v>
      </c>
      <c r="G658" s="22" t="s">
        <v>363</v>
      </c>
      <c r="L658" s="22">
        <f t="shared" si="61"/>
        <v>0</v>
      </c>
      <c r="Q658" s="47">
        <f t="shared" si="62"/>
        <v>0</v>
      </c>
      <c r="V658" s="47">
        <f t="shared" si="63"/>
        <v>0</v>
      </c>
      <c r="AB658" t="str">
        <f t="shared" si="56"/>
        <v>No</v>
      </c>
      <c r="AC658">
        <v>0</v>
      </c>
      <c r="AD658" s="47">
        <f t="shared" si="57"/>
        <v>0</v>
      </c>
      <c r="AE658">
        <f>AD658/E656</f>
        <v>0</v>
      </c>
      <c r="AF658" s="47">
        <f t="shared" si="58"/>
        <v>0</v>
      </c>
      <c r="AG658">
        <f>(V658-V657)/E656</f>
        <v>0</v>
      </c>
      <c r="AH658" t="e">
        <f t="shared" si="59"/>
        <v>#DIV/0!</v>
      </c>
      <c r="AI658" s="10" t="e">
        <f>(AH658/E656)</f>
        <v>#DIV/0!</v>
      </c>
    </row>
    <row r="659" spans="1:35" ht="14.75" x14ac:dyDescent="0.75">
      <c r="A659" s="22" t="s">
        <v>1252</v>
      </c>
      <c r="B659" s="3">
        <v>45064</v>
      </c>
      <c r="C659" s="3" t="str">
        <f t="shared" si="64"/>
        <v>5/18/23</v>
      </c>
      <c r="D659" s="3" t="s">
        <v>539</v>
      </c>
      <c r="E659" s="22">
        <v>36</v>
      </c>
      <c r="G659" s="22" t="s">
        <v>363</v>
      </c>
      <c r="L659" s="22">
        <f t="shared" si="61"/>
        <v>0</v>
      </c>
      <c r="Q659" s="47">
        <f t="shared" si="62"/>
        <v>0</v>
      </c>
      <c r="V659" s="47">
        <f t="shared" si="63"/>
        <v>0</v>
      </c>
      <c r="AB659" t="str">
        <f t="shared" si="56"/>
        <v>No</v>
      </c>
      <c r="AC659">
        <v>0</v>
      </c>
      <c r="AD659" s="47">
        <f t="shared" si="57"/>
        <v>0</v>
      </c>
      <c r="AE659">
        <f>AD659/E657</f>
        <v>0</v>
      </c>
      <c r="AF659" s="47">
        <f t="shared" si="58"/>
        <v>0</v>
      </c>
      <c r="AG659">
        <f>(V659-V658)/E657</f>
        <v>0</v>
      </c>
      <c r="AH659" t="e">
        <f t="shared" si="59"/>
        <v>#DIV/0!</v>
      </c>
      <c r="AI659" s="10" t="e">
        <f>(AH659/E657)</f>
        <v>#DIV/0!</v>
      </c>
    </row>
    <row r="660" spans="1:35" ht="14.75" x14ac:dyDescent="0.75">
      <c r="A660" s="22" t="s">
        <v>1252</v>
      </c>
      <c r="B660" s="3">
        <v>45104</v>
      </c>
      <c r="C660" s="3" t="str">
        <f t="shared" si="64"/>
        <v>6/27/23</v>
      </c>
      <c r="D660" s="3" t="s">
        <v>539</v>
      </c>
      <c r="E660" s="22">
        <v>40</v>
      </c>
      <c r="G660" s="22" t="s">
        <v>363</v>
      </c>
      <c r="L660" s="22">
        <f t="shared" si="61"/>
        <v>0</v>
      </c>
      <c r="Q660" s="47">
        <f t="shared" si="62"/>
        <v>0</v>
      </c>
      <c r="V660" s="47">
        <f t="shared" si="63"/>
        <v>0</v>
      </c>
      <c r="AB660" t="str">
        <f t="shared" si="56"/>
        <v>No</v>
      </c>
      <c r="AC660">
        <v>0</v>
      </c>
      <c r="AD660" s="47">
        <f t="shared" si="57"/>
        <v>0</v>
      </c>
      <c r="AE660">
        <f>AD660/E658</f>
        <v>0</v>
      </c>
      <c r="AF660" s="47">
        <f t="shared" si="58"/>
        <v>0</v>
      </c>
      <c r="AG660">
        <f>(V660-V659)/E658</f>
        <v>0</v>
      </c>
      <c r="AH660" t="e">
        <f t="shared" si="59"/>
        <v>#DIV/0!</v>
      </c>
      <c r="AI660" s="10" t="e">
        <f>(AH660/E658)</f>
        <v>#DIV/0!</v>
      </c>
    </row>
    <row r="661" spans="1:35" ht="14.75" x14ac:dyDescent="0.75">
      <c r="AD661" s="47"/>
      <c r="AF661" s="47"/>
      <c r="AI661" s="10"/>
    </row>
    <row r="662" spans="1:35" ht="14.75" x14ac:dyDescent="0.75">
      <c r="AD662" s="47"/>
      <c r="AF662" s="47"/>
      <c r="AI662" s="10"/>
    </row>
    <row r="663" spans="1:35" ht="14.75" x14ac:dyDescent="0.75">
      <c r="AD663" s="47"/>
      <c r="AF663" s="47"/>
      <c r="AI663" s="10"/>
    </row>
    <row r="664" spans="1:35" ht="14.75" x14ac:dyDescent="0.75">
      <c r="AD664" s="47"/>
      <c r="AF664" s="47"/>
      <c r="AI664" s="10"/>
    </row>
    <row r="665" spans="1:35" ht="14.75" x14ac:dyDescent="0.75">
      <c r="AD665" s="47"/>
      <c r="AF665" s="47"/>
      <c r="AI665" s="10"/>
    </row>
    <row r="666" spans="1:35" ht="14.75" x14ac:dyDescent="0.75">
      <c r="AD666" s="47"/>
      <c r="AF666" s="47"/>
      <c r="AI666" s="10"/>
    </row>
    <row r="667" spans="1:35" ht="14.75" x14ac:dyDescent="0.75">
      <c r="AD667" s="47"/>
      <c r="AF667" s="47"/>
      <c r="AI667" s="10"/>
    </row>
    <row r="668" spans="1:35" ht="14.75" x14ac:dyDescent="0.75">
      <c r="AD668" s="47"/>
      <c r="AF668" s="47"/>
      <c r="AI668" s="10"/>
    </row>
    <row r="669" spans="1:35" ht="14.75" x14ac:dyDescent="0.75">
      <c r="AD669" s="47"/>
      <c r="AF669" s="47"/>
      <c r="AI669" s="10"/>
    </row>
    <row r="670" spans="1:35" ht="14.75" x14ac:dyDescent="0.75">
      <c r="AD670" s="47"/>
      <c r="AF670" s="47"/>
      <c r="AI670" s="10"/>
    </row>
    <row r="671" spans="1:35" ht="14.75" x14ac:dyDescent="0.75">
      <c r="AD671" s="47"/>
      <c r="AF671" s="47"/>
      <c r="AI671" s="10"/>
    </row>
    <row r="672" spans="1:35" ht="14.75" x14ac:dyDescent="0.75">
      <c r="AD672" s="47"/>
      <c r="AF672" s="47"/>
      <c r="AI672" s="10"/>
    </row>
    <row r="673" spans="30:35" ht="14.75" x14ac:dyDescent="0.75">
      <c r="AD673" s="47"/>
      <c r="AF673" s="47"/>
      <c r="AI673" s="10"/>
    </row>
    <row r="674" spans="30:35" ht="14.75" x14ac:dyDescent="0.75">
      <c r="AD674" s="47"/>
      <c r="AF674" s="47"/>
      <c r="AI674" s="10"/>
    </row>
    <row r="675" spans="30:35" ht="14.75" x14ac:dyDescent="0.75">
      <c r="AD675" s="47"/>
      <c r="AF675" s="47"/>
      <c r="AI675" s="10"/>
    </row>
    <row r="676" spans="30:35" ht="14.75" x14ac:dyDescent="0.75">
      <c r="AD676" s="47"/>
      <c r="AF676" s="47"/>
      <c r="AI676" s="10"/>
    </row>
    <row r="677" spans="30:35" ht="14.75" x14ac:dyDescent="0.75">
      <c r="AD677" s="47"/>
      <c r="AF677" s="47"/>
      <c r="AI677" s="10"/>
    </row>
    <row r="678" spans="30:35" ht="14.75" x14ac:dyDescent="0.75">
      <c r="AD678" s="47"/>
      <c r="AF678" s="47"/>
      <c r="AI678" s="10"/>
    </row>
    <row r="679" spans="30:35" ht="14.75" x14ac:dyDescent="0.75">
      <c r="AD679" s="47"/>
      <c r="AF679" s="47"/>
      <c r="AI679" s="10"/>
    </row>
    <row r="680" spans="30:35" ht="14.75" x14ac:dyDescent="0.75">
      <c r="AD680" s="47"/>
      <c r="AF680" s="47"/>
      <c r="AI680" s="10"/>
    </row>
    <row r="681" spans="30:35" ht="14.75" x14ac:dyDescent="0.75">
      <c r="AD681" s="47"/>
      <c r="AF681" s="47"/>
      <c r="AI681" s="10"/>
    </row>
    <row r="682" spans="30:35" ht="14.75" x14ac:dyDescent="0.75">
      <c r="AD682" s="47"/>
      <c r="AF682" s="47"/>
      <c r="AI682" s="10"/>
    </row>
    <row r="683" spans="30:35" ht="14.75" x14ac:dyDescent="0.75">
      <c r="AD683" s="47"/>
      <c r="AF683" s="47"/>
      <c r="AI683" s="10"/>
    </row>
    <row r="684" spans="30:35" ht="14.75" x14ac:dyDescent="0.75">
      <c r="AD684" s="47"/>
      <c r="AF684" s="47"/>
      <c r="AI684" s="10"/>
    </row>
    <row r="685" spans="30:35" ht="14.75" x14ac:dyDescent="0.75">
      <c r="AD685" s="47"/>
      <c r="AF685" s="47"/>
      <c r="AI685" s="10"/>
    </row>
    <row r="686" spans="30:35" ht="14.75" x14ac:dyDescent="0.75">
      <c r="AD686" s="47"/>
      <c r="AF686" s="47"/>
      <c r="AI686" s="10"/>
    </row>
    <row r="687" spans="30:35" ht="14.75" x14ac:dyDescent="0.75">
      <c r="AD687" s="47"/>
      <c r="AF687" s="47"/>
      <c r="AI687" s="10"/>
    </row>
    <row r="688" spans="30:35" ht="14.75" x14ac:dyDescent="0.75">
      <c r="AD688" s="47"/>
      <c r="AF688" s="47"/>
      <c r="AI688" s="10"/>
    </row>
    <row r="689" spans="30:35" ht="14.75" x14ac:dyDescent="0.75">
      <c r="AD689" s="47"/>
      <c r="AF689" s="47"/>
      <c r="AI689" s="10"/>
    </row>
    <row r="690" spans="30:35" ht="14.75" x14ac:dyDescent="0.75">
      <c r="AD690" s="47"/>
      <c r="AF690" s="47"/>
      <c r="AI690" s="10"/>
    </row>
    <row r="691" spans="30:35" ht="14.75" x14ac:dyDescent="0.75">
      <c r="AD691" s="47"/>
      <c r="AF691" s="47"/>
      <c r="AI691" s="10"/>
    </row>
    <row r="692" spans="30:35" ht="14.75" x14ac:dyDescent="0.75">
      <c r="AD692" s="47"/>
      <c r="AF692" s="47"/>
      <c r="AI692" s="10"/>
    </row>
    <row r="693" spans="30:35" ht="14.75" x14ac:dyDescent="0.75">
      <c r="AD693" s="47"/>
      <c r="AF693" s="47"/>
      <c r="AI693" s="10"/>
    </row>
    <row r="694" spans="30:35" ht="14.75" x14ac:dyDescent="0.75">
      <c r="AD694" s="47"/>
      <c r="AF694" s="47"/>
      <c r="AI694" s="10"/>
    </row>
    <row r="695" spans="30:35" ht="14.75" x14ac:dyDescent="0.75">
      <c r="AD695" s="47"/>
      <c r="AF695" s="47"/>
      <c r="AI695" s="10"/>
    </row>
    <row r="696" spans="30:35" ht="14.75" x14ac:dyDescent="0.75">
      <c r="AD696" s="47"/>
      <c r="AF696" s="47"/>
      <c r="AI696" s="10"/>
    </row>
    <row r="697" spans="30:35" ht="14.75" x14ac:dyDescent="0.75">
      <c r="AD697" s="47"/>
      <c r="AF697" s="47"/>
      <c r="AI697" s="10"/>
    </row>
    <row r="698" spans="30:35" ht="14.75" x14ac:dyDescent="0.75">
      <c r="AD698" s="47"/>
      <c r="AF698" s="47"/>
      <c r="AI698" s="10"/>
    </row>
    <row r="699" spans="30:35" ht="14.75" x14ac:dyDescent="0.75">
      <c r="AD699" s="47"/>
      <c r="AF699" s="47"/>
      <c r="AI699" s="10"/>
    </row>
    <row r="700" spans="30:35" ht="14.75" x14ac:dyDescent="0.75">
      <c r="AD700" s="47"/>
      <c r="AF700" s="47"/>
      <c r="AI700" s="10"/>
    </row>
    <row r="701" spans="30:35" ht="14.75" x14ac:dyDescent="0.75">
      <c r="AD701" s="47"/>
      <c r="AF701" s="47"/>
      <c r="AI701" s="10"/>
    </row>
    <row r="702" spans="30:35" ht="14.75" x14ac:dyDescent="0.75">
      <c r="AD702" s="47"/>
      <c r="AF702" s="47"/>
      <c r="AI702" s="10"/>
    </row>
    <row r="703" spans="30:35" ht="14.75" x14ac:dyDescent="0.75">
      <c r="AD703" s="47"/>
      <c r="AF703" s="47"/>
      <c r="AI703" s="10"/>
    </row>
    <row r="704" spans="30:35" ht="14.75" x14ac:dyDescent="0.75">
      <c r="AD704" s="47"/>
      <c r="AF704" s="47"/>
      <c r="AI704" s="10"/>
    </row>
    <row r="705" spans="30:35" ht="14.75" x14ac:dyDescent="0.75">
      <c r="AD705" s="47"/>
      <c r="AF705" s="47"/>
      <c r="AI705" s="10"/>
    </row>
    <row r="706" spans="30:35" ht="14.75" x14ac:dyDescent="0.75">
      <c r="AD706" s="47"/>
      <c r="AF706" s="47"/>
      <c r="AI706" s="10"/>
    </row>
    <row r="707" spans="30:35" ht="14.75" x14ac:dyDescent="0.75">
      <c r="AD707" s="47"/>
      <c r="AF707" s="47"/>
      <c r="AI707" s="10"/>
    </row>
    <row r="708" spans="30:35" ht="14.75" x14ac:dyDescent="0.75">
      <c r="AD708" s="47"/>
      <c r="AF708" s="47"/>
      <c r="AI708" s="10"/>
    </row>
    <row r="709" spans="30:35" ht="14.75" x14ac:dyDescent="0.75">
      <c r="AD709" s="47"/>
      <c r="AF709" s="47"/>
      <c r="AI709" s="10"/>
    </row>
    <row r="710" spans="30:35" ht="14.75" x14ac:dyDescent="0.75">
      <c r="AD710" s="47"/>
      <c r="AF710" s="47"/>
      <c r="AI710" s="10"/>
    </row>
    <row r="711" spans="30:35" ht="14.75" x14ac:dyDescent="0.75">
      <c r="AD711" s="47"/>
      <c r="AF711" s="47"/>
      <c r="AI711" s="10"/>
    </row>
    <row r="712" spans="30:35" ht="14.75" x14ac:dyDescent="0.75">
      <c r="AD712" s="47"/>
      <c r="AF712" s="47"/>
      <c r="AI712" s="10"/>
    </row>
    <row r="713" spans="30:35" ht="14.75" x14ac:dyDescent="0.75">
      <c r="AD713" s="47"/>
      <c r="AF713" s="47"/>
      <c r="AI713" s="10"/>
    </row>
    <row r="714" spans="30:35" ht="14.75" x14ac:dyDescent="0.75">
      <c r="AD714" s="47"/>
      <c r="AF714" s="47"/>
      <c r="AI714" s="10"/>
    </row>
    <row r="715" spans="30:35" ht="14.75" x14ac:dyDescent="0.75">
      <c r="AD715" s="47"/>
      <c r="AF715" s="47"/>
      <c r="AI715" s="10"/>
    </row>
    <row r="716" spans="30:35" ht="14.75" x14ac:dyDescent="0.75">
      <c r="AD716" s="47"/>
      <c r="AF716" s="47"/>
      <c r="AI716" s="10"/>
    </row>
    <row r="717" spans="30:35" ht="14.75" x14ac:dyDescent="0.75">
      <c r="AD717" s="47"/>
      <c r="AF717" s="47"/>
      <c r="AI717" s="10"/>
    </row>
    <row r="718" spans="30:35" ht="14.75" x14ac:dyDescent="0.75">
      <c r="AD718" s="47"/>
      <c r="AF718" s="47"/>
      <c r="AI718" s="10"/>
    </row>
    <row r="719" spans="30:35" ht="14.75" x14ac:dyDescent="0.75">
      <c r="AD719" s="47"/>
      <c r="AF719" s="47"/>
      <c r="AI719" s="10"/>
    </row>
    <row r="720" spans="30:35" ht="14.75" x14ac:dyDescent="0.75">
      <c r="AD720" s="47"/>
      <c r="AF720" s="47"/>
      <c r="AI720" s="10"/>
    </row>
    <row r="721" spans="30:35" ht="14.75" x14ac:dyDescent="0.75">
      <c r="AD721" s="47"/>
      <c r="AF721" s="47"/>
      <c r="AI721" s="10"/>
    </row>
    <row r="722" spans="30:35" ht="14.75" x14ac:dyDescent="0.75">
      <c r="AD722" s="47"/>
      <c r="AF722" s="47"/>
      <c r="AI722" s="10"/>
    </row>
    <row r="723" spans="30:35" ht="14.75" x14ac:dyDescent="0.75">
      <c r="AD723" s="47"/>
      <c r="AF723" s="47"/>
      <c r="AI723" s="10"/>
    </row>
    <row r="724" spans="30:35" ht="14.75" x14ac:dyDescent="0.75">
      <c r="AD724" s="47"/>
      <c r="AF724" s="47"/>
      <c r="AI724" s="10"/>
    </row>
    <row r="725" spans="30:35" ht="14.75" x14ac:dyDescent="0.75">
      <c r="AD725" s="47"/>
      <c r="AF725" s="47"/>
      <c r="AI725" s="10"/>
    </row>
    <row r="726" spans="30:35" ht="14.75" x14ac:dyDescent="0.75">
      <c r="AD726" s="47"/>
      <c r="AF726" s="47"/>
      <c r="AI726" s="10"/>
    </row>
    <row r="727" spans="30:35" ht="14.75" x14ac:dyDescent="0.75">
      <c r="AD727" s="47"/>
      <c r="AF727" s="47"/>
      <c r="AI727" s="10"/>
    </row>
    <row r="728" spans="30:35" ht="14.75" x14ac:dyDescent="0.75">
      <c r="AD728" s="47"/>
      <c r="AF728" s="47"/>
      <c r="AI728" s="10"/>
    </row>
    <row r="729" spans="30:35" ht="14.75" x14ac:dyDescent="0.75">
      <c r="AD729" s="47"/>
      <c r="AF729" s="47"/>
      <c r="AI729" s="10"/>
    </row>
    <row r="730" spans="30:35" ht="14.75" x14ac:dyDescent="0.75">
      <c r="AD730" s="47"/>
      <c r="AF730" s="47"/>
      <c r="AI730" s="10"/>
    </row>
    <row r="731" spans="30:35" ht="14.75" x14ac:dyDescent="0.75">
      <c r="AD731" s="47"/>
      <c r="AF731" s="47"/>
      <c r="AI731" s="10"/>
    </row>
    <row r="732" spans="30:35" ht="14.75" x14ac:dyDescent="0.75">
      <c r="AD732" s="47"/>
      <c r="AF732" s="47"/>
      <c r="AI732" s="10"/>
    </row>
    <row r="733" spans="30:35" ht="14.75" x14ac:dyDescent="0.75">
      <c r="AD733" s="47"/>
      <c r="AF733" s="47"/>
      <c r="AI733" s="10"/>
    </row>
    <row r="734" spans="30:35" ht="14.75" x14ac:dyDescent="0.75">
      <c r="AD734" s="47"/>
      <c r="AF734" s="47"/>
      <c r="AI734" s="10"/>
    </row>
    <row r="735" spans="30:35" ht="14.75" x14ac:dyDescent="0.75">
      <c r="AD735" s="47"/>
      <c r="AF735" s="47"/>
      <c r="AI735" s="10"/>
    </row>
    <row r="736" spans="30:35" ht="14.75" x14ac:dyDescent="0.75">
      <c r="AD736" s="47"/>
      <c r="AF736" s="47"/>
      <c r="AI736" s="10"/>
    </row>
    <row r="737" spans="30:35" ht="14.75" x14ac:dyDescent="0.75">
      <c r="AD737" s="47"/>
      <c r="AF737" s="47"/>
      <c r="AI737" s="10"/>
    </row>
    <row r="738" spans="30:35" ht="14.75" x14ac:dyDescent="0.75">
      <c r="AD738" s="47"/>
      <c r="AF738" s="47"/>
      <c r="AI738" s="10"/>
    </row>
    <row r="739" spans="30:35" ht="14.75" x14ac:dyDescent="0.75">
      <c r="AD739" s="47"/>
      <c r="AF739" s="47"/>
      <c r="AI739" s="10"/>
    </row>
    <row r="740" spans="30:35" ht="14.75" x14ac:dyDescent="0.75">
      <c r="AD740" s="47"/>
      <c r="AF740" s="47"/>
      <c r="AI740" s="10"/>
    </row>
    <row r="741" spans="30:35" ht="14.75" x14ac:dyDescent="0.75">
      <c r="AD741" s="47"/>
      <c r="AF741" s="47"/>
      <c r="AI741" s="10"/>
    </row>
    <row r="742" spans="30:35" ht="14.75" x14ac:dyDescent="0.75">
      <c r="AD742" s="47"/>
      <c r="AF742" s="47"/>
      <c r="AI742" s="10"/>
    </row>
    <row r="743" spans="30:35" ht="14.75" x14ac:dyDescent="0.75">
      <c r="AD743" s="47"/>
      <c r="AF743" s="47"/>
      <c r="AI743" s="10"/>
    </row>
    <row r="744" spans="30:35" ht="14.75" x14ac:dyDescent="0.75">
      <c r="AD744" s="47"/>
      <c r="AF744" s="47"/>
      <c r="AI744" s="10"/>
    </row>
    <row r="745" spans="30:35" ht="14.75" x14ac:dyDescent="0.75">
      <c r="AD745" s="47"/>
      <c r="AF745" s="47"/>
      <c r="AI745" s="10"/>
    </row>
    <row r="746" spans="30:35" ht="14.75" x14ac:dyDescent="0.75">
      <c r="AD746" s="47"/>
      <c r="AF746" s="47"/>
      <c r="AI746" s="10"/>
    </row>
    <row r="747" spans="30:35" ht="14.75" x14ac:dyDescent="0.75">
      <c r="AD747" s="47"/>
      <c r="AF747" s="47"/>
      <c r="AI747" s="10"/>
    </row>
    <row r="748" spans="30:35" ht="14.75" x14ac:dyDescent="0.75">
      <c r="AD748" s="47"/>
      <c r="AF748" s="47"/>
      <c r="AI748" s="10"/>
    </row>
    <row r="749" spans="30:35" ht="14.75" x14ac:dyDescent="0.75">
      <c r="AD749" s="47"/>
      <c r="AF749" s="47"/>
      <c r="AI749" s="10"/>
    </row>
    <row r="750" spans="30:35" ht="14.75" x14ac:dyDescent="0.75">
      <c r="AD750" s="47"/>
      <c r="AF750" s="47"/>
      <c r="AI750" s="10"/>
    </row>
    <row r="751" spans="30:35" ht="14.75" x14ac:dyDescent="0.75">
      <c r="AD751" s="47"/>
      <c r="AF751" s="47"/>
      <c r="AI751" s="10"/>
    </row>
    <row r="752" spans="30:35" ht="14.75" x14ac:dyDescent="0.75">
      <c r="AD752" s="47"/>
      <c r="AF752" s="47"/>
      <c r="AI752" s="10"/>
    </row>
    <row r="753" spans="30:35" ht="14.75" x14ac:dyDescent="0.75">
      <c r="AD753" s="47"/>
      <c r="AF753" s="47"/>
      <c r="AI753" s="10"/>
    </row>
    <row r="754" spans="30:35" ht="14.75" x14ac:dyDescent="0.75">
      <c r="AD754" s="47"/>
      <c r="AF754" s="47"/>
      <c r="AI754" s="10"/>
    </row>
    <row r="755" spans="30:35" ht="14.75" x14ac:dyDescent="0.75">
      <c r="AD755" s="47"/>
      <c r="AF755" s="47"/>
      <c r="AI755" s="10"/>
    </row>
    <row r="756" spans="30:35" ht="14.75" x14ac:dyDescent="0.75">
      <c r="AD756" s="47"/>
      <c r="AF756" s="47"/>
      <c r="AI756" s="10"/>
    </row>
    <row r="757" spans="30:35" ht="14.75" x14ac:dyDescent="0.75">
      <c r="AD757" s="47"/>
      <c r="AF757" s="47"/>
      <c r="AI757" s="10"/>
    </row>
    <row r="758" spans="30:35" ht="14.75" x14ac:dyDescent="0.75">
      <c r="AD758" s="47"/>
      <c r="AF758" s="47"/>
      <c r="AI758" s="10"/>
    </row>
    <row r="759" spans="30:35" ht="14.75" x14ac:dyDescent="0.75">
      <c r="AD759" s="47"/>
      <c r="AF759" s="47"/>
      <c r="AI759" s="10"/>
    </row>
    <row r="760" spans="30:35" ht="14.75" x14ac:dyDescent="0.75">
      <c r="AD760" s="47"/>
      <c r="AF760" s="47"/>
      <c r="AI760" s="10"/>
    </row>
    <row r="761" spans="30:35" ht="14.75" x14ac:dyDescent="0.75">
      <c r="AD761" s="47"/>
      <c r="AF761" s="47"/>
      <c r="AI761" s="10"/>
    </row>
    <row r="762" spans="30:35" ht="14.75" x14ac:dyDescent="0.75">
      <c r="AD762" s="47"/>
      <c r="AF762" s="47"/>
      <c r="AI762" s="10"/>
    </row>
    <row r="763" spans="30:35" ht="14.75" x14ac:dyDescent="0.75">
      <c r="AD763" s="47"/>
      <c r="AF763" s="47"/>
      <c r="AI763" s="10"/>
    </row>
    <row r="764" spans="30:35" ht="14.75" x14ac:dyDescent="0.75">
      <c r="AD764" s="47"/>
      <c r="AF764" s="47"/>
      <c r="AI764" s="10"/>
    </row>
    <row r="765" spans="30:35" ht="15" customHeight="1" x14ac:dyDescent="0.75">
      <c r="AD765" s="47"/>
      <c r="AF765" s="47"/>
      <c r="AI765" s="10"/>
    </row>
    <row r="766" spans="30:35" ht="15" customHeight="1" x14ac:dyDescent="0.75">
      <c r="AD766" s="47"/>
      <c r="AF766" s="47"/>
      <c r="AI766" s="10"/>
    </row>
    <row r="767" spans="30:35" ht="15" customHeight="1" x14ac:dyDescent="0.75">
      <c r="AD767" s="47"/>
      <c r="AF767" s="47"/>
      <c r="AI767" s="10"/>
    </row>
    <row r="768" spans="30:35" ht="15" customHeight="1" x14ac:dyDescent="0.75">
      <c r="AD768" s="47"/>
      <c r="AF768" s="47"/>
      <c r="AI768" s="10"/>
    </row>
    <row r="769" spans="30:35" ht="15" customHeight="1" x14ac:dyDescent="0.75">
      <c r="AD769" s="47"/>
      <c r="AF769" s="47"/>
      <c r="AI769" s="10"/>
    </row>
    <row r="770" spans="30:35" ht="15" customHeight="1" x14ac:dyDescent="0.75">
      <c r="AI770" s="10"/>
    </row>
    <row r="771" spans="30:35" ht="15" customHeight="1" x14ac:dyDescent="0.75">
      <c r="AI771" s="10"/>
    </row>
    <row r="772" spans="30:35" ht="15" customHeight="1" x14ac:dyDescent="0.75">
      <c r="AI772" s="10"/>
    </row>
    <row r="773" spans="30:35" ht="15" customHeight="1" x14ac:dyDescent="0.75">
      <c r="AI773" s="10"/>
    </row>
    <row r="774" spans="30:35" ht="15" customHeight="1" x14ac:dyDescent="0.75">
      <c r="AI774" s="10"/>
    </row>
    <row r="775" spans="30:35" ht="15" customHeight="1" x14ac:dyDescent="0.75">
      <c r="AI775" s="10"/>
    </row>
    <row r="776" spans="30:35" ht="15" customHeight="1" x14ac:dyDescent="0.75">
      <c r="AI776" s="10"/>
    </row>
    <row r="777" spans="30:35" ht="15" customHeight="1" x14ac:dyDescent="0.75">
      <c r="AI777" s="10"/>
    </row>
  </sheetData>
  <sortState xmlns:xlrd2="http://schemas.microsoft.com/office/spreadsheetml/2017/richdata2" ref="A2:AJ736">
    <sortCondition ref="A2:A736"/>
    <sortCondition ref="B2:B736"/>
  </sortState>
  <phoneticPr fontId="10" type="noConversion"/>
  <conditionalFormatting sqref="G1:G488 G490:G1048576">
    <cfRule type="containsText" dxfId="1" priority="1" operator="containsText" text="dEAD">
      <formula>NOT(ISERROR(SEARCH("dEAD",G1)))</formula>
    </cfRule>
    <cfRule type="cellIs" dxfId="0" priority="2" operator="equal">
      <formula>"Y"</formula>
    </cfRule>
  </conditionalFormatting>
  <dataValidations count="4">
    <dataValidation type="date" operator="greaterThan" allowBlank="1" showInputMessage="1" showErrorMessage="1" sqref="B24:B32" xr:uid="{70C6EA9F-1C44-414E-A676-4EF28DF53581}">
      <formula1>44581</formula1>
    </dataValidation>
    <dataValidation operator="greaterThan" allowBlank="1" showInputMessage="1" showErrorMessage="1" sqref="G13:G14 N472:P472 H13 G17 G15:K16 I13:K14 G473:I476 K473:P476 J474:J476 G2:K12 I17:K17 L2:P17 G505:K552 M566 M505:P563 G23 G20:I20 L18:L23 M18:P19 G18:K19 K20 G21:K22 G490:K503 M20:N22 P20:P22 M490:P503 L489:L552 G477:P488 H594 G593:G594 N564:P566 I593:L594 M594 M567:P592 N593:P594 E490:E503 E2:E22 E432:E488 G472:L472 G24:P471 E24:E430 E505:E1048576 G553:L592 G595:P1048576" xr:uid="{01A062A8-C267-4C91-9F60-0AE791117C10}"/>
    <dataValidation type="decimal" allowBlank="1" showInputMessage="1" showErrorMessage="1" sqref="AA1:AA488 AA490:AA1048576" xr:uid="{4E7358BB-C32F-402B-A183-27DB0BAFEC2D}">
      <formula1>0</formula1>
      <formula2>100</formula2>
    </dataValidation>
    <dataValidation type="list" operator="equal" allowBlank="1" showInputMessage="1" showErrorMessage="1" sqref="F2:F1048569" xr:uid="{D4F4F209-93E5-4A2D-A5E8-35E08F2C8D3F}">
      <formula1>"Completely Bleached, Not Bleached, Paling, Partial Bleaching"</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AB534-4D47-42B3-807E-A22AEF92E27E}">
  <dimension ref="A1:E29"/>
  <sheetViews>
    <sheetView workbookViewId="0">
      <selection activeCell="G11" sqref="G11"/>
    </sheetView>
  </sheetViews>
  <sheetFormatPr defaultRowHeight="14.75" x14ac:dyDescent="0.75"/>
  <cols>
    <col min="2" max="2" width="38.7265625" bestFit="1" customWidth="1"/>
    <col min="3" max="3" width="11" style="3" bestFit="1" customWidth="1"/>
    <col min="4" max="4" width="31.26953125" customWidth="1"/>
  </cols>
  <sheetData>
    <row r="1" spans="1:5" s="2" customFormat="1" x14ac:dyDescent="0.75">
      <c r="A1" s="2" t="s">
        <v>230</v>
      </c>
      <c r="B1" s="2" t="s">
        <v>1317</v>
      </c>
      <c r="C1" s="2" t="s">
        <v>1318</v>
      </c>
      <c r="D1" s="2" t="s">
        <v>1319</v>
      </c>
      <c r="E1" s="2" t="s">
        <v>18</v>
      </c>
    </row>
    <row r="2" spans="1:5" x14ac:dyDescent="0.75">
      <c r="A2">
        <v>946</v>
      </c>
      <c r="B2" t="s">
        <v>1320</v>
      </c>
      <c r="C2" s="3">
        <v>44874</v>
      </c>
    </row>
    <row r="3" spans="1:5" x14ac:dyDescent="0.75">
      <c r="A3">
        <v>906</v>
      </c>
      <c r="B3" t="s">
        <v>1320</v>
      </c>
      <c r="C3" s="3">
        <v>45049</v>
      </c>
    </row>
    <row r="4" spans="1:5" x14ac:dyDescent="0.75">
      <c r="A4">
        <v>907</v>
      </c>
      <c r="B4" t="s">
        <v>1320</v>
      </c>
      <c r="C4" s="3">
        <v>44768</v>
      </c>
    </row>
    <row r="5" spans="1:5" x14ac:dyDescent="0.75">
      <c r="A5">
        <v>907</v>
      </c>
      <c r="B5" t="s">
        <v>1320</v>
      </c>
      <c r="C5" s="3">
        <v>44896</v>
      </c>
    </row>
    <row r="6" spans="1:5" x14ac:dyDescent="0.75">
      <c r="A6">
        <v>907</v>
      </c>
      <c r="B6" t="s">
        <v>1320</v>
      </c>
      <c r="C6" s="3">
        <v>45069</v>
      </c>
    </row>
    <row r="7" spans="1:5" x14ac:dyDescent="0.75">
      <c r="A7">
        <v>946</v>
      </c>
      <c r="B7" t="s">
        <v>1320</v>
      </c>
      <c r="C7" s="3">
        <v>44874</v>
      </c>
    </row>
    <row r="8" spans="1:5" x14ac:dyDescent="0.75">
      <c r="A8">
        <v>952</v>
      </c>
      <c r="B8" t="s">
        <v>1321</v>
      </c>
      <c r="C8" s="3">
        <v>44659</v>
      </c>
    </row>
    <row r="9" spans="1:5" x14ac:dyDescent="0.75">
      <c r="A9">
        <v>952</v>
      </c>
      <c r="B9" t="s">
        <v>1322</v>
      </c>
      <c r="C9" s="3">
        <v>44659</v>
      </c>
    </row>
    <row r="10" spans="1:5" x14ac:dyDescent="0.75">
      <c r="A10">
        <v>952</v>
      </c>
      <c r="B10" s="3" t="s">
        <v>1320</v>
      </c>
      <c r="C10" s="3">
        <v>44768</v>
      </c>
    </row>
    <row r="11" spans="1:5" ht="29.5" x14ac:dyDescent="0.75">
      <c r="A11">
        <v>957</v>
      </c>
      <c r="B11" s="28" t="s">
        <v>1323</v>
      </c>
      <c r="C11" s="3">
        <v>44715</v>
      </c>
    </row>
    <row r="12" spans="1:5" x14ac:dyDescent="0.75">
      <c r="A12">
        <v>960</v>
      </c>
      <c r="B12" t="s">
        <v>1320</v>
      </c>
      <c r="C12" s="3">
        <v>44874</v>
      </c>
    </row>
    <row r="13" spans="1:5" x14ac:dyDescent="0.75">
      <c r="A13">
        <v>960</v>
      </c>
      <c r="B13" t="s">
        <v>1320</v>
      </c>
      <c r="C13" s="3">
        <v>44895</v>
      </c>
    </row>
    <row r="14" spans="1:5" x14ac:dyDescent="0.75">
      <c r="A14">
        <v>963</v>
      </c>
      <c r="B14" t="s">
        <v>1320</v>
      </c>
      <c r="C14" s="3">
        <v>44985</v>
      </c>
    </row>
    <row r="15" spans="1:5" x14ac:dyDescent="0.75">
      <c r="A15">
        <v>963</v>
      </c>
      <c r="B15" t="s">
        <v>1320</v>
      </c>
      <c r="C15" s="3">
        <v>45035</v>
      </c>
    </row>
    <row r="16" spans="1:5" x14ac:dyDescent="0.75">
      <c r="A16">
        <v>4127</v>
      </c>
      <c r="B16" t="s">
        <v>1320</v>
      </c>
      <c r="C16" s="3">
        <v>45069</v>
      </c>
    </row>
    <row r="17" spans="1:5" x14ac:dyDescent="0.75">
      <c r="A17">
        <v>960</v>
      </c>
      <c r="B17" t="s">
        <v>1324</v>
      </c>
      <c r="C17" s="3">
        <v>44769</v>
      </c>
    </row>
    <row r="18" spans="1:5" x14ac:dyDescent="0.75">
      <c r="A18">
        <v>4128</v>
      </c>
      <c r="B18" t="s">
        <v>1320</v>
      </c>
      <c r="C18" s="3">
        <v>45069</v>
      </c>
    </row>
    <row r="19" spans="1:5" x14ac:dyDescent="0.75">
      <c r="A19">
        <v>4133</v>
      </c>
      <c r="B19" t="s">
        <v>1320</v>
      </c>
      <c r="C19" s="3">
        <v>44639</v>
      </c>
      <c r="D19" t="s">
        <v>1325</v>
      </c>
      <c r="E19" t="s">
        <v>1326</v>
      </c>
    </row>
    <row r="20" spans="1:5" x14ac:dyDescent="0.75">
      <c r="A20">
        <v>4133</v>
      </c>
      <c r="B20" t="s">
        <v>1320</v>
      </c>
      <c r="C20" s="3">
        <v>44859</v>
      </c>
      <c r="D20" t="s">
        <v>1327</v>
      </c>
      <c r="E20" t="s">
        <v>1328</v>
      </c>
    </row>
    <row r="21" spans="1:5" x14ac:dyDescent="0.75">
      <c r="A21">
        <v>4133</v>
      </c>
      <c r="B21" t="s">
        <v>1320</v>
      </c>
      <c r="C21" s="3">
        <v>44882</v>
      </c>
      <c r="D21" t="s">
        <v>1327</v>
      </c>
      <c r="E21" t="s">
        <v>1329</v>
      </c>
    </row>
    <row r="22" spans="1:5" x14ac:dyDescent="0.75">
      <c r="A22">
        <v>4133</v>
      </c>
      <c r="B22" t="s">
        <v>1320</v>
      </c>
      <c r="C22" s="3">
        <v>44903</v>
      </c>
      <c r="D22" t="s">
        <v>1327</v>
      </c>
      <c r="E22" t="s">
        <v>1329</v>
      </c>
    </row>
    <row r="23" spans="1:5" x14ac:dyDescent="0.75">
      <c r="A23">
        <v>4190</v>
      </c>
      <c r="B23" t="s">
        <v>1320</v>
      </c>
      <c r="C23" s="3">
        <v>44655</v>
      </c>
    </row>
    <row r="24" spans="1:5" x14ac:dyDescent="0.75">
      <c r="A24">
        <v>4190</v>
      </c>
      <c r="B24" t="s">
        <v>1320</v>
      </c>
      <c r="C24" s="3">
        <v>44882</v>
      </c>
    </row>
    <row r="25" spans="1:5" x14ac:dyDescent="0.75">
      <c r="A25">
        <v>4190</v>
      </c>
      <c r="B25" t="s">
        <v>1320</v>
      </c>
      <c r="C25" s="3">
        <v>44903</v>
      </c>
    </row>
    <row r="26" spans="1:5" x14ac:dyDescent="0.75">
      <c r="A26">
        <v>4190</v>
      </c>
      <c r="B26" t="s">
        <v>1320</v>
      </c>
      <c r="C26" s="3">
        <v>44698</v>
      </c>
      <c r="D26" t="s">
        <v>1330</v>
      </c>
      <c r="E26" t="s">
        <v>1331</v>
      </c>
    </row>
    <row r="27" spans="1:5" x14ac:dyDescent="0.75">
      <c r="A27" t="s">
        <v>1332</v>
      </c>
      <c r="B27" t="s">
        <v>1320</v>
      </c>
      <c r="C27" s="3">
        <v>44641</v>
      </c>
    </row>
    <row r="28" spans="1:5" x14ac:dyDescent="0.75">
      <c r="A28" t="s">
        <v>1332</v>
      </c>
      <c r="B28" t="s">
        <v>1320</v>
      </c>
      <c r="C28" s="3">
        <v>44670</v>
      </c>
    </row>
    <row r="29" spans="1:5" x14ac:dyDescent="0.75">
      <c r="A29" t="s">
        <v>1247</v>
      </c>
      <c r="B29" t="s">
        <v>1333</v>
      </c>
      <c r="C29" s="3" t="s">
        <v>1334</v>
      </c>
      <c r="E29" t="s">
        <v>1335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5E3B6-49B6-41B7-9684-AA4273DD2BCE}">
  <dimension ref="A1:H39"/>
  <sheetViews>
    <sheetView workbookViewId="0">
      <selection activeCell="D13" sqref="A1:D13"/>
    </sheetView>
  </sheetViews>
  <sheetFormatPr defaultRowHeight="14.75" x14ac:dyDescent="0.75"/>
  <cols>
    <col min="1" max="1" width="17.26953125" style="218" bestFit="1" customWidth="1"/>
    <col min="2" max="2" width="12" bestFit="1" customWidth="1"/>
    <col min="3" max="3" width="20.54296875" customWidth="1"/>
    <col min="6" max="6" width="10.40625" customWidth="1"/>
    <col min="7" max="7" width="60.26953125" customWidth="1"/>
  </cols>
  <sheetData>
    <row r="1" spans="1:8" s="11" customFormat="1" ht="43.15" customHeight="1" x14ac:dyDescent="0.75">
      <c r="A1" s="277" t="s">
        <v>1336</v>
      </c>
      <c r="B1" s="281" t="s">
        <v>1337</v>
      </c>
      <c r="C1" s="282" t="s">
        <v>1338</v>
      </c>
      <c r="D1" s="283" t="s">
        <v>1339</v>
      </c>
      <c r="H1"/>
    </row>
    <row r="2" spans="1:8" x14ac:dyDescent="0.75">
      <c r="A2" s="278" t="s">
        <v>1340</v>
      </c>
      <c r="B2" s="284">
        <v>2</v>
      </c>
      <c r="C2" s="285">
        <v>2</v>
      </c>
      <c r="D2" s="286">
        <v>0</v>
      </c>
      <c r="H2" s="11"/>
    </row>
    <row r="3" spans="1:8" x14ac:dyDescent="0.75">
      <c r="A3" s="279" t="s">
        <v>1341</v>
      </c>
      <c r="B3" s="287">
        <v>15</v>
      </c>
      <c r="C3" s="288">
        <v>9</v>
      </c>
      <c r="D3" s="289">
        <v>1</v>
      </c>
    </row>
    <row r="4" spans="1:8" x14ac:dyDescent="0.75">
      <c r="A4" s="279" t="s">
        <v>1342</v>
      </c>
      <c r="B4" s="287">
        <v>5</v>
      </c>
      <c r="C4" s="288">
        <v>5</v>
      </c>
      <c r="D4" s="289">
        <v>1</v>
      </c>
    </row>
    <row r="5" spans="1:8" x14ac:dyDescent="0.75">
      <c r="A5" s="279" t="s">
        <v>1343</v>
      </c>
      <c r="B5" s="287">
        <v>4</v>
      </c>
      <c r="C5" s="288">
        <v>3</v>
      </c>
      <c r="D5" s="289">
        <v>0</v>
      </c>
    </row>
    <row r="6" spans="1:8" x14ac:dyDescent="0.75">
      <c r="A6" s="279" t="s">
        <v>1344</v>
      </c>
      <c r="B6" s="287">
        <v>18</v>
      </c>
      <c r="C6" s="288">
        <v>14</v>
      </c>
      <c r="D6" s="289">
        <v>0</v>
      </c>
    </row>
    <row r="7" spans="1:8" x14ac:dyDescent="0.75">
      <c r="A7" s="279" t="s">
        <v>1345</v>
      </c>
      <c r="B7" s="287">
        <v>1</v>
      </c>
      <c r="C7" s="288">
        <v>1</v>
      </c>
      <c r="D7" s="289">
        <v>0</v>
      </c>
    </row>
    <row r="8" spans="1:8" x14ac:dyDescent="0.75">
      <c r="A8" s="279" t="s">
        <v>1346</v>
      </c>
      <c r="B8" s="287">
        <v>6</v>
      </c>
      <c r="C8" s="288">
        <v>6</v>
      </c>
      <c r="D8" s="289">
        <v>0</v>
      </c>
    </row>
    <row r="9" spans="1:8" x14ac:dyDescent="0.75">
      <c r="A9" s="279" t="s">
        <v>1347</v>
      </c>
      <c r="B9" s="287">
        <v>12</v>
      </c>
      <c r="C9" s="288">
        <v>11</v>
      </c>
      <c r="D9" s="289">
        <v>0</v>
      </c>
      <c r="F9" s="11" t="s">
        <v>18</v>
      </c>
    </row>
    <row r="10" spans="1:8" x14ac:dyDescent="0.75">
      <c r="A10" s="279" t="s">
        <v>1348</v>
      </c>
      <c r="B10" s="287">
        <v>8</v>
      </c>
      <c r="C10" s="288">
        <v>8</v>
      </c>
      <c r="D10" s="289">
        <v>0</v>
      </c>
      <c r="F10" t="s">
        <v>1349</v>
      </c>
      <c r="G10" s="11"/>
    </row>
    <row r="11" spans="1:8" x14ac:dyDescent="0.75">
      <c r="A11" s="279" t="s">
        <v>1350</v>
      </c>
      <c r="B11" s="287">
        <v>2</v>
      </c>
      <c r="C11" s="288">
        <v>2</v>
      </c>
      <c r="D11" s="289">
        <v>0</v>
      </c>
      <c r="F11" t="s">
        <v>1351</v>
      </c>
      <c r="G11" t="s">
        <v>1352</v>
      </c>
    </row>
    <row r="12" spans="1:8" x14ac:dyDescent="0.75">
      <c r="A12" s="279" t="s">
        <v>1353</v>
      </c>
      <c r="B12" s="287">
        <v>2</v>
      </c>
      <c r="C12" s="288">
        <v>2</v>
      </c>
      <c r="D12" s="289">
        <v>0</v>
      </c>
      <c r="F12" t="s">
        <v>1354</v>
      </c>
      <c r="G12" t="s">
        <v>1355</v>
      </c>
    </row>
    <row r="13" spans="1:8" x14ac:dyDescent="0.75">
      <c r="A13" s="280" t="s">
        <v>1356</v>
      </c>
      <c r="B13" s="290">
        <v>4</v>
      </c>
      <c r="C13" s="291">
        <v>3</v>
      </c>
      <c r="D13" s="292">
        <v>0</v>
      </c>
      <c r="F13" t="s">
        <v>1357</v>
      </c>
      <c r="G13" t="s">
        <v>1358</v>
      </c>
    </row>
    <row r="14" spans="1:8" ht="59" x14ac:dyDescent="0.75">
      <c r="G14" s="28" t="s">
        <v>1359</v>
      </c>
    </row>
    <row r="15" spans="1:8" x14ac:dyDescent="0.75">
      <c r="G15" t="s">
        <v>1360</v>
      </c>
    </row>
    <row r="19" spans="1:7" x14ac:dyDescent="0.75">
      <c r="A19" s="2"/>
      <c r="B19" s="2" t="s">
        <v>1361</v>
      </c>
      <c r="C19" s="2"/>
      <c r="D19" s="2"/>
      <c r="E19" s="2"/>
      <c r="F19" s="2"/>
    </row>
    <row r="20" spans="1:7" ht="14.45" customHeight="1" x14ac:dyDescent="0.75">
      <c r="A20" s="2" t="s">
        <v>1362</v>
      </c>
      <c r="B20" s="2" t="s">
        <v>1363</v>
      </c>
      <c r="C20" s="2" t="s">
        <v>951</v>
      </c>
      <c r="D20" s="2" t="s">
        <v>1364</v>
      </c>
      <c r="E20" s="2" t="s">
        <v>1365</v>
      </c>
      <c r="F20" s="332" t="s">
        <v>1366</v>
      </c>
      <c r="G20" s="332"/>
    </row>
    <row r="21" spans="1:7" x14ac:dyDescent="0.75">
      <c r="A21" s="239" t="s">
        <v>1367</v>
      </c>
      <c r="B21" s="58">
        <v>8</v>
      </c>
      <c r="C21" s="58">
        <v>7</v>
      </c>
      <c r="D21" s="58">
        <v>5405</v>
      </c>
      <c r="E21" s="58">
        <f>SUM(B21:D21)</f>
        <v>5420</v>
      </c>
      <c r="F21" s="332"/>
      <c r="G21" s="332"/>
    </row>
    <row r="22" spans="1:7" x14ac:dyDescent="0.75">
      <c r="A22" s="240">
        <v>44593</v>
      </c>
      <c r="B22">
        <v>0</v>
      </c>
      <c r="C22">
        <v>0</v>
      </c>
      <c r="D22">
        <v>43</v>
      </c>
      <c r="E22">
        <f t="shared" ref="E22:E39" si="0">SUM(B22:D22)</f>
        <v>43</v>
      </c>
      <c r="F22" s="332"/>
      <c r="G22" s="332"/>
    </row>
    <row r="23" spans="1:7" x14ac:dyDescent="0.75">
      <c r="A23" s="240">
        <v>44621</v>
      </c>
      <c r="B23">
        <v>2</v>
      </c>
      <c r="C23">
        <v>0</v>
      </c>
      <c r="D23">
        <v>276</v>
      </c>
      <c r="E23">
        <f t="shared" si="0"/>
        <v>278</v>
      </c>
    </row>
    <row r="24" spans="1:7" x14ac:dyDescent="0.75">
      <c r="A24" s="240">
        <v>44652</v>
      </c>
      <c r="B24">
        <v>0</v>
      </c>
      <c r="C24">
        <v>0</v>
      </c>
      <c r="D24">
        <v>306</v>
      </c>
      <c r="E24">
        <f t="shared" si="0"/>
        <v>306</v>
      </c>
    </row>
    <row r="25" spans="1:7" x14ac:dyDescent="0.75">
      <c r="A25" s="240">
        <v>44682</v>
      </c>
      <c r="B25">
        <v>0</v>
      </c>
      <c r="C25">
        <v>0</v>
      </c>
      <c r="D25">
        <v>329</v>
      </c>
      <c r="E25">
        <f t="shared" si="0"/>
        <v>329</v>
      </c>
    </row>
    <row r="26" spans="1:7" x14ac:dyDescent="0.75">
      <c r="A26" s="240">
        <v>44713</v>
      </c>
      <c r="B26">
        <v>1</v>
      </c>
      <c r="C26">
        <v>0</v>
      </c>
      <c r="D26">
        <v>348</v>
      </c>
      <c r="E26">
        <f t="shared" si="0"/>
        <v>349</v>
      </c>
    </row>
    <row r="27" spans="1:7" x14ac:dyDescent="0.75">
      <c r="A27" s="240">
        <v>44743</v>
      </c>
      <c r="B27">
        <v>0</v>
      </c>
      <c r="C27">
        <v>0</v>
      </c>
      <c r="D27">
        <v>595</v>
      </c>
      <c r="E27">
        <f t="shared" si="0"/>
        <v>595</v>
      </c>
    </row>
    <row r="28" spans="1:7" x14ac:dyDescent="0.75">
      <c r="A28" s="240">
        <v>44774</v>
      </c>
      <c r="B28">
        <v>0</v>
      </c>
      <c r="C28">
        <v>0</v>
      </c>
      <c r="D28">
        <v>450</v>
      </c>
      <c r="E28">
        <f t="shared" si="0"/>
        <v>450</v>
      </c>
    </row>
    <row r="29" spans="1:7" x14ac:dyDescent="0.75">
      <c r="A29" s="240">
        <v>44805</v>
      </c>
      <c r="B29">
        <v>0</v>
      </c>
      <c r="C29">
        <v>0</v>
      </c>
      <c r="D29">
        <v>240</v>
      </c>
      <c r="E29">
        <f t="shared" si="0"/>
        <v>240</v>
      </c>
    </row>
    <row r="30" spans="1:7" x14ac:dyDescent="0.75">
      <c r="A30" s="240">
        <v>44835</v>
      </c>
      <c r="B30">
        <v>0</v>
      </c>
      <c r="C30">
        <v>0</v>
      </c>
      <c r="D30">
        <v>265</v>
      </c>
      <c r="E30">
        <f t="shared" si="0"/>
        <v>265</v>
      </c>
    </row>
    <row r="31" spans="1:7" x14ac:dyDescent="0.75">
      <c r="A31" s="240">
        <v>44866</v>
      </c>
      <c r="B31">
        <v>0</v>
      </c>
      <c r="C31">
        <v>0</v>
      </c>
      <c r="D31">
        <v>473</v>
      </c>
      <c r="E31">
        <f t="shared" si="0"/>
        <v>473</v>
      </c>
    </row>
    <row r="32" spans="1:7" x14ac:dyDescent="0.75">
      <c r="A32" s="240">
        <v>44896</v>
      </c>
      <c r="B32">
        <v>0</v>
      </c>
      <c r="C32">
        <v>0</v>
      </c>
      <c r="D32">
        <v>220</v>
      </c>
      <c r="E32">
        <f t="shared" si="0"/>
        <v>220</v>
      </c>
    </row>
    <row r="33" spans="1:5" x14ac:dyDescent="0.75">
      <c r="A33" s="240">
        <v>44927</v>
      </c>
      <c r="B33">
        <v>1</v>
      </c>
      <c r="C33">
        <v>1</v>
      </c>
      <c r="D33">
        <v>522</v>
      </c>
      <c r="E33">
        <f t="shared" si="0"/>
        <v>524</v>
      </c>
    </row>
    <row r="34" spans="1:5" x14ac:dyDescent="0.75">
      <c r="A34" s="240">
        <v>44958</v>
      </c>
      <c r="B34">
        <v>0</v>
      </c>
      <c r="C34">
        <v>1</v>
      </c>
      <c r="D34">
        <v>247</v>
      </c>
      <c r="E34">
        <f t="shared" si="0"/>
        <v>248</v>
      </c>
    </row>
    <row r="35" spans="1:5" x14ac:dyDescent="0.75">
      <c r="A35" s="240">
        <v>44986</v>
      </c>
      <c r="B35">
        <v>2</v>
      </c>
      <c r="C35">
        <v>1</v>
      </c>
      <c r="D35">
        <v>263</v>
      </c>
      <c r="E35">
        <f t="shared" si="0"/>
        <v>266</v>
      </c>
    </row>
    <row r="36" spans="1:5" x14ac:dyDescent="0.75">
      <c r="A36" s="240">
        <v>45017</v>
      </c>
      <c r="B36">
        <v>0</v>
      </c>
      <c r="C36">
        <v>0</v>
      </c>
      <c r="D36">
        <v>195</v>
      </c>
      <c r="E36">
        <f t="shared" si="0"/>
        <v>195</v>
      </c>
    </row>
    <row r="37" spans="1:5" x14ac:dyDescent="0.75">
      <c r="A37" s="240">
        <v>45047</v>
      </c>
      <c r="B37">
        <v>0</v>
      </c>
      <c r="C37">
        <v>1</v>
      </c>
      <c r="D37">
        <v>282</v>
      </c>
      <c r="E37">
        <f t="shared" si="0"/>
        <v>283</v>
      </c>
    </row>
    <row r="38" spans="1:5" x14ac:dyDescent="0.75">
      <c r="A38" s="240">
        <v>45078</v>
      </c>
      <c r="B38">
        <v>2</v>
      </c>
      <c r="C38">
        <v>2</v>
      </c>
      <c r="D38">
        <v>187</v>
      </c>
      <c r="E38">
        <f t="shared" si="0"/>
        <v>191</v>
      </c>
    </row>
    <row r="39" spans="1:5" x14ac:dyDescent="0.75">
      <c r="A39" s="240">
        <v>45108</v>
      </c>
      <c r="B39">
        <v>0</v>
      </c>
      <c r="C39">
        <v>1</v>
      </c>
      <c r="D39">
        <v>164</v>
      </c>
      <c r="E39">
        <f t="shared" si="0"/>
        <v>165</v>
      </c>
    </row>
  </sheetData>
  <sortState xmlns:xlrd2="http://schemas.microsoft.com/office/spreadsheetml/2017/richdata2" ref="A2:C13">
    <sortCondition ref="A1:A13"/>
  </sortState>
  <mergeCells count="1">
    <mergeCell ref="F20:G2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ken xmlns="0c11af25-d01a-44f6-be6d-2b20ba00fa5e" xsi:nil="true"/>
    <lcf76f155ced4ddcb4097134ff3c332f xmlns="0c11af25-d01a-44f6-be6d-2b20ba00fa5e">
      <Terms xmlns="http://schemas.microsoft.com/office/infopath/2007/PartnerControls"/>
    </lcf76f155ced4ddcb4097134ff3c332f>
    <TaxCatchAll xmlns="b649c5eb-ad89-4b07-99ca-1a33d886383a" xsi:nil="true"/>
    <Date xmlns="0c11af25-d01a-44f6-be6d-2b20ba00fa5e" xsi:nil="true"/>
    <DateTaken xmlns="0c11af25-d01a-44f6-be6d-2b20ba00fa5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7989427569C0742B090116381E68091" ma:contentTypeVersion="23" ma:contentTypeDescription="Create a new document." ma:contentTypeScope="" ma:versionID="5b64c46156505f77431fd2adf494db01">
  <xsd:schema xmlns:xsd="http://www.w3.org/2001/XMLSchema" xmlns:xs="http://www.w3.org/2001/XMLSchema" xmlns:p="http://schemas.microsoft.com/office/2006/metadata/properties" xmlns:ns2="0c11af25-d01a-44f6-be6d-2b20ba00fa5e" xmlns:ns3="b649c5eb-ad89-4b07-99ca-1a33d886383a" targetNamespace="http://schemas.microsoft.com/office/2006/metadata/properties" ma:root="true" ma:fieldsID="ae61d349b4c08a0f6b21536510f33f27" ns2:_="" ns3:_="">
    <xsd:import namespace="0c11af25-d01a-44f6-be6d-2b20ba00fa5e"/>
    <xsd:import namespace="b649c5eb-ad89-4b07-99ca-1a33d88638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MediaServiceLocation" minOccurs="0"/>
                <xsd:element ref="ns2:Taken" minOccurs="0"/>
                <xsd:element ref="ns3:TaxCatchAll" minOccurs="0"/>
                <xsd:element ref="ns2:lcf76f155ced4ddcb4097134ff3c332f" minOccurs="0"/>
                <xsd:element ref="ns2:Date" minOccurs="0"/>
                <xsd:element ref="ns2: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11af25-d01a-44f6-be6d-2b20ba00fa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Taken" ma:index="21" nillable="true" ma:displayName="Taken" ma:format="DateTime" ma:internalName="Taken">
      <xsd:simpleType>
        <xsd:restriction base="dms:DateTim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034c296d-0cc7-459f-80c4-a05af033c424" ma:termSetId="09814cd3-568e-fe90-9814-8d621ff8fb84" ma:anchorId="fba54fb3-c3e1-fe81-a776-ca4b69148c4d" ma:open="true" ma:isKeyword="false">
      <xsd:complexType>
        <xsd:sequence>
          <xsd:element ref="pc:Terms" minOccurs="0" maxOccurs="1"/>
        </xsd:sequence>
      </xsd:complexType>
    </xsd:element>
    <xsd:element name="Date" ma:index="25" nillable="true" ma:displayName="Date" ma:format="DateOnly" ma:internalName="Date">
      <xsd:simpleType>
        <xsd:restriction base="dms:DateTime"/>
      </xsd:simpleType>
    </xsd:element>
    <xsd:element name="DateTaken" ma:index="26" nillable="true" ma:displayName="Date Taken" ma:format="DateOnly" ma:internalName="DateTaken">
      <xsd:simpleType>
        <xsd:restriction base="dms:DateTime"/>
      </xsd:simple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49c5eb-ad89-4b07-99ca-1a33d88638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fea9fbb-b534-4868-8e7a-d33e56dfe6f9}" ma:internalName="TaxCatchAll" ma:showField="CatchAllData" ma:web="b649c5eb-ad89-4b07-99ca-1a33d88638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4D8A54-C566-43F9-AADF-AA87E777C6E8}">
  <ds:schemaRefs>
    <ds:schemaRef ds:uri="0c11af25-d01a-44f6-be6d-2b20ba00fa5e"/>
    <ds:schemaRef ds:uri="http://schemas.microsoft.com/office/2006/documentManagement/types"/>
    <ds:schemaRef ds:uri="http://purl.org/dc/dcmitype/"/>
    <ds:schemaRef ds:uri="http://schemas.microsoft.com/office/2006/metadata/properties"/>
    <ds:schemaRef ds:uri="http://purl.org/dc/elements/1.1/"/>
    <ds:schemaRef ds:uri="b649c5eb-ad89-4b07-99ca-1a33d886383a"/>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B8BF5FB-4FD1-42A3-BB72-5BFD9F641A90}">
  <ds:schemaRefs>
    <ds:schemaRef ds:uri="http://schemas.microsoft.com/sharepoint/v3/contenttype/forms"/>
  </ds:schemaRefs>
</ds:datastoreItem>
</file>

<file path=customXml/itemProps3.xml><?xml version="1.0" encoding="utf-8"?>
<ds:datastoreItem xmlns:ds="http://schemas.openxmlformats.org/officeDocument/2006/customXml" ds:itemID="{D981C2B4-3848-4156-97EB-1B7C32711E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11af25-d01a-44f6-be6d-2b20ba00fa5e"/>
    <ds:schemaRef ds:uri="b649c5eb-ad89-4b07-99ca-1a33d88638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InterventionData</vt:lpstr>
      <vt:lpstr>TreatmentUsed</vt:lpstr>
      <vt:lpstr>Waste&amp;Transfer</vt:lpstr>
      <vt:lpstr>TagInfo</vt:lpstr>
      <vt:lpstr>FateTracking</vt:lpstr>
      <vt:lpstr>FT_Issues_KB_Resolve</vt:lpstr>
      <vt:lpstr>Success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Avery Coble</dc:creator>
  <cp:keywords/>
  <dc:description/>
  <cp:lastModifiedBy>Avery Coble</cp:lastModifiedBy>
  <cp:revision/>
  <dcterms:created xsi:type="dcterms:W3CDTF">2022-01-20T16:21:32Z</dcterms:created>
  <dcterms:modified xsi:type="dcterms:W3CDTF">2023-11-16T14:49:03Z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0x01010087989427569C0742B090116381E68091</vt:lpwstr>
  </property>
  <property fmtid="{D5CDD505-2E9C-101B-9397-08002B2CF9AE}" pid="3" name="MediaServiceImageTags">
    <vt:lpwstr/>
  </property>
</Properties>
</file>